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Reid Village WD/"/>
    </mc:Choice>
  </mc:AlternateContent>
  <xr:revisionPtr revIDLastSave="67" documentId="8_{F4517646-E0C4-468E-95F5-8A13CE462A50}" xr6:coauthVersionLast="47" xr6:coauthVersionMax="47" xr10:uidLastSave="{07C821A4-6CCC-4F4C-8973-A78CB401101D}"/>
  <bookViews>
    <workbookView xWindow="-98" yWindow="-98" windowWidth="20715" windowHeight="13155" xr2:uid="{00000000-000D-0000-FFFF-FFFF00000000}"/>
  </bookViews>
  <sheets>
    <sheet name="SAO" sheetId="6" r:id="rId1"/>
    <sheet name="Wages" sheetId="55" r:id="rId2"/>
    <sheet name="Medical" sheetId="40" r:id="rId3"/>
    <sheet name="Depreciation" sheetId="51" r:id="rId4"/>
    <sheet name="Debt Service" sheetId="50" r:id="rId5"/>
    <sheet name="Capital" sheetId="56" r:id="rId6"/>
    <sheet name="Water Loss" sheetId="54" r:id="rId7"/>
    <sheet name="Rates" sheetId="2" r:id="rId8"/>
    <sheet name="Bills" sheetId="42" r:id="rId9"/>
    <sheet name="ExBA1" sheetId="58" r:id="rId10"/>
    <sheet name="ExBA2" sheetId="52" r:id="rId11"/>
    <sheet name="PrBA" sheetId="57" r:id="rId12"/>
  </sheets>
  <definedNames>
    <definedName name="AHV">#REF!</definedName>
    <definedName name="_xlnm.Print_Area" localSheetId="8">Bills!$B$1:$I$27</definedName>
    <definedName name="_xlnm.Print_Area" localSheetId="4">'Debt Service'!$A$1:$O$25</definedName>
    <definedName name="_xlnm.Print_Area" localSheetId="3">Depreciation!$A$1:$L$47</definedName>
    <definedName name="_xlnm.Print_Area" localSheetId="9">ExBA1!$A$1:$K$29</definedName>
    <definedName name="_xlnm.Print_Area" localSheetId="10">ExBA2!$A$1:$K$29</definedName>
    <definedName name="_xlnm.Print_Area" localSheetId="11">PrBA!$A$1:$K$29</definedName>
    <definedName name="_xlnm.Print_Area" localSheetId="7">Rates!$A$1:$K$15</definedName>
    <definedName name="_xlnm.Print_Area" localSheetId="0">SAO!$A$1:$G$54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6" l="1"/>
  <c r="H7" i="52"/>
  <c r="E6" i="6"/>
  <c r="E29" i="58"/>
  <c r="G4" i="58" s="1"/>
  <c r="G28" i="58"/>
  <c r="E28" i="58"/>
  <c r="C28" i="58"/>
  <c r="B28" i="58"/>
  <c r="G27" i="58"/>
  <c r="E27" i="58"/>
  <c r="C27" i="58"/>
  <c r="B27" i="58"/>
  <c r="E26" i="58"/>
  <c r="G26" i="58" s="1"/>
  <c r="C26" i="58"/>
  <c r="B26" i="58"/>
  <c r="E25" i="58"/>
  <c r="G25" i="58" s="1"/>
  <c r="C25" i="58"/>
  <c r="B25" i="58"/>
  <c r="E24" i="58"/>
  <c r="C24" i="58"/>
  <c r="B24" i="58"/>
  <c r="K19" i="58"/>
  <c r="J19" i="58"/>
  <c r="I19" i="58"/>
  <c r="H19" i="58"/>
  <c r="G19" i="58"/>
  <c r="F19" i="58"/>
  <c r="E19" i="58"/>
  <c r="D19" i="58"/>
  <c r="D24" i="58" s="1"/>
  <c r="D14" i="58"/>
  <c r="J13" i="58"/>
  <c r="I13" i="58"/>
  <c r="H13" i="58"/>
  <c r="G13" i="58"/>
  <c r="F13" i="58"/>
  <c r="J12" i="58"/>
  <c r="I12" i="58"/>
  <c r="H12" i="58"/>
  <c r="G12" i="58"/>
  <c r="F12" i="58"/>
  <c r="H7" i="58"/>
  <c r="K18" i="57"/>
  <c r="J18" i="57"/>
  <c r="I18" i="57"/>
  <c r="H18" i="57"/>
  <c r="G18" i="57"/>
  <c r="F18" i="57"/>
  <c r="K17" i="57"/>
  <c r="J17" i="57"/>
  <c r="I17" i="57"/>
  <c r="H17" i="57"/>
  <c r="G17" i="57"/>
  <c r="F17" i="57"/>
  <c r="K16" i="57"/>
  <c r="J16" i="57"/>
  <c r="I16" i="57"/>
  <c r="H16" i="57"/>
  <c r="G16" i="57"/>
  <c r="F16" i="57"/>
  <c r="K15" i="57"/>
  <c r="J15" i="57"/>
  <c r="I15" i="57"/>
  <c r="H15" i="57"/>
  <c r="G15" i="57"/>
  <c r="F15" i="57"/>
  <c r="K14" i="57"/>
  <c r="J14" i="57"/>
  <c r="I14" i="57"/>
  <c r="H14" i="57"/>
  <c r="G14" i="57"/>
  <c r="F14" i="57"/>
  <c r="D24" i="52"/>
  <c r="D14" i="52"/>
  <c r="E28" i="52"/>
  <c r="E27" i="52"/>
  <c r="E26" i="52"/>
  <c r="E25" i="52"/>
  <c r="E25" i="57" s="1"/>
  <c r="E24" i="52"/>
  <c r="E24" i="57" s="1"/>
  <c r="E28" i="57"/>
  <c r="E27" i="57"/>
  <c r="E26" i="57"/>
  <c r="D24" i="57"/>
  <c r="C8" i="40"/>
  <c r="G8" i="40" s="1"/>
  <c r="I8" i="40" s="1"/>
  <c r="F8" i="40"/>
  <c r="F7" i="55"/>
  <c r="E7" i="55"/>
  <c r="G7" i="55" s="1"/>
  <c r="C7" i="40"/>
  <c r="F7" i="40"/>
  <c r="E17" i="6"/>
  <c r="G18" i="55"/>
  <c r="C3" i="56"/>
  <c r="C16" i="40"/>
  <c r="C9" i="40"/>
  <c r="C6" i="40"/>
  <c r="E37" i="6"/>
  <c r="F14" i="51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L14" i="50"/>
  <c r="K14" i="50"/>
  <c r="J14" i="50"/>
  <c r="I14" i="50"/>
  <c r="H14" i="50"/>
  <c r="G14" i="50"/>
  <c r="F14" i="50"/>
  <c r="E14" i="50"/>
  <c r="D14" i="50"/>
  <c r="C14" i="50"/>
  <c r="L13" i="50"/>
  <c r="J13" i="50"/>
  <c r="H13" i="50"/>
  <c r="F13" i="50"/>
  <c r="D13" i="50"/>
  <c r="L12" i="50"/>
  <c r="J12" i="50"/>
  <c r="H12" i="50"/>
  <c r="F12" i="50"/>
  <c r="D12" i="50"/>
  <c r="G10" i="6"/>
  <c r="B9" i="55"/>
  <c r="E18" i="57"/>
  <c r="D18" i="57"/>
  <c r="E17" i="57"/>
  <c r="D17" i="57"/>
  <c r="E16" i="57"/>
  <c r="D16" i="57"/>
  <c r="E15" i="57"/>
  <c r="D15" i="57"/>
  <c r="E14" i="57"/>
  <c r="D14" i="57"/>
  <c r="C28" i="57"/>
  <c r="B28" i="57"/>
  <c r="C27" i="57"/>
  <c r="B27" i="57"/>
  <c r="C26" i="57"/>
  <c r="B26" i="57"/>
  <c r="C25" i="57"/>
  <c r="B25" i="57"/>
  <c r="C24" i="57"/>
  <c r="B24" i="57"/>
  <c r="J13" i="57"/>
  <c r="I13" i="57"/>
  <c r="H13" i="57"/>
  <c r="G13" i="57"/>
  <c r="F13" i="57"/>
  <c r="J12" i="57"/>
  <c r="I12" i="57"/>
  <c r="H12" i="57"/>
  <c r="G12" i="57"/>
  <c r="F12" i="57"/>
  <c r="C28" i="52"/>
  <c r="B28" i="52"/>
  <c r="C27" i="52"/>
  <c r="B27" i="52"/>
  <c r="C26" i="52"/>
  <c r="B26" i="52"/>
  <c r="C25" i="52"/>
  <c r="B25" i="52"/>
  <c r="C24" i="52"/>
  <c r="B24" i="52"/>
  <c r="J13" i="52"/>
  <c r="J12" i="52"/>
  <c r="I13" i="52"/>
  <c r="I12" i="52"/>
  <c r="H13" i="52"/>
  <c r="H12" i="52"/>
  <c r="G13" i="52"/>
  <c r="G12" i="52"/>
  <c r="F13" i="52"/>
  <c r="F12" i="52"/>
  <c r="E10" i="42"/>
  <c r="E9" i="42"/>
  <c r="D29" i="58" l="1"/>
  <c r="F4" i="58" s="1"/>
  <c r="G24" i="58"/>
  <c r="G29" i="58" s="1"/>
  <c r="H4" i="58" s="1"/>
  <c r="H6" i="58" s="1"/>
  <c r="H8" i="58" s="1"/>
  <c r="H9" i="58" s="1"/>
  <c r="I19" i="57"/>
  <c r="G7" i="40"/>
  <c r="I7" i="40" s="1"/>
  <c r="E19" i="57"/>
  <c r="D19" i="57"/>
  <c r="H19" i="52"/>
  <c r="G26" i="52" s="1"/>
  <c r="I19" i="52"/>
  <c r="G27" i="52" s="1"/>
  <c r="J19" i="52"/>
  <c r="G28" i="52" s="1"/>
  <c r="E9" i="40"/>
  <c r="F9" i="40" s="1"/>
  <c r="F6" i="40"/>
  <c r="G19" i="57" l="1"/>
  <c r="J19" i="57"/>
  <c r="F19" i="57"/>
  <c r="D29" i="57"/>
  <c r="F4" i="57" s="1"/>
  <c r="H19" i="57"/>
  <c r="G6" i="40"/>
  <c r="I6" i="40" s="1"/>
  <c r="G9" i="40"/>
  <c r="I9" i="40" s="1"/>
  <c r="E5" i="55"/>
  <c r="F6" i="55"/>
  <c r="E9" i="55"/>
  <c r="F8" i="55"/>
  <c r="C10" i="55"/>
  <c r="B10" i="55"/>
  <c r="J27" i="51"/>
  <c r="K19" i="57" l="1"/>
  <c r="E29" i="57"/>
  <c r="G4" i="57" s="1"/>
  <c r="E8" i="55"/>
  <c r="G8" i="55" s="1"/>
  <c r="F5" i="55"/>
  <c r="G5" i="55" s="1"/>
  <c r="F9" i="55"/>
  <c r="G9" i="55" s="1"/>
  <c r="F10" i="55" l="1"/>
  <c r="G28" i="6"/>
  <c r="M17" i="50"/>
  <c r="B31" i="54"/>
  <c r="B30" i="54"/>
  <c r="B29" i="54"/>
  <c r="D19" i="52" l="1"/>
  <c r="G24" i="52" s="1"/>
  <c r="E19" i="52"/>
  <c r="F19" i="52"/>
  <c r="B32" i="54"/>
  <c r="G27" i="6"/>
  <c r="G26" i="6"/>
  <c r="D29" i="52" l="1"/>
  <c r="F4" i="52" s="1"/>
  <c r="K19" i="52"/>
  <c r="G19" i="52"/>
  <c r="G25" i="52" s="1"/>
  <c r="A31" i="54"/>
  <c r="A30" i="54"/>
  <c r="A29" i="54"/>
  <c r="M16" i="50"/>
  <c r="M15" i="50" l="1"/>
  <c r="F44" i="51"/>
  <c r="J19" i="51"/>
  <c r="J18" i="51"/>
  <c r="J42" i="51"/>
  <c r="J23" i="51"/>
  <c r="K23" i="51" s="1"/>
  <c r="D10" i="40"/>
  <c r="C10" i="40"/>
  <c r="E29" i="52" l="1"/>
  <c r="G4" i="52" s="1"/>
  <c r="I10" i="40"/>
  <c r="C15" i="40" s="1"/>
  <c r="K19" i="51"/>
  <c r="K18" i="51"/>
  <c r="K42" i="51"/>
  <c r="G10" i="40"/>
  <c r="C6" i="56"/>
  <c r="E24" i="6" s="1"/>
  <c r="G25" i="6" s="1"/>
  <c r="C5" i="56"/>
  <c r="E6" i="55"/>
  <c r="E10" i="55" s="1"/>
  <c r="C20" i="54"/>
  <c r="C13" i="54"/>
  <c r="C4" i="54"/>
  <c r="C17" i="40" l="1"/>
  <c r="E20" i="6" s="1"/>
  <c r="D24" i="54"/>
  <c r="C21" i="54"/>
  <c r="G6" i="55"/>
  <c r="G10" i="55" l="1"/>
  <c r="G14" i="55"/>
  <c r="D26" i="54"/>
  <c r="D29" i="54" s="1"/>
  <c r="D36" i="54"/>
  <c r="D31" i="54" l="1"/>
  <c r="D30" i="54"/>
  <c r="G12" i="55"/>
  <c r="G27" i="55"/>
  <c r="G29" i="55" s="1"/>
  <c r="G31" i="55" s="1"/>
  <c r="H44" i="51"/>
  <c r="J41" i="51"/>
  <c r="K41" i="51" s="1"/>
  <c r="J38" i="51"/>
  <c r="K38" i="51" s="1"/>
  <c r="J35" i="51"/>
  <c r="K35" i="51" s="1"/>
  <c r="J34" i="51"/>
  <c r="K34" i="51" s="1"/>
  <c r="J33" i="51"/>
  <c r="K33" i="51" s="1"/>
  <c r="J32" i="51"/>
  <c r="K32" i="51" s="1"/>
  <c r="J31" i="51"/>
  <c r="K31" i="51" s="1"/>
  <c r="J30" i="51"/>
  <c r="K30" i="51" s="1"/>
  <c r="J29" i="51"/>
  <c r="K29" i="51" s="1"/>
  <c r="J28" i="51"/>
  <c r="K28" i="51" s="1"/>
  <c r="K27" i="51"/>
  <c r="J24" i="51"/>
  <c r="K24" i="51" s="1"/>
  <c r="J22" i="51"/>
  <c r="K22" i="51" s="1"/>
  <c r="J15" i="51"/>
  <c r="K15" i="51" s="1"/>
  <c r="J14" i="51"/>
  <c r="K14" i="51" s="1"/>
  <c r="J13" i="51"/>
  <c r="K13" i="51" s="1"/>
  <c r="J12" i="51"/>
  <c r="K12" i="51" s="1"/>
  <c r="J11" i="51"/>
  <c r="K11" i="51" s="1"/>
  <c r="J10" i="51"/>
  <c r="K10" i="51" s="1"/>
  <c r="K18" i="50"/>
  <c r="I18" i="50"/>
  <c r="G18" i="50"/>
  <c r="E18" i="50"/>
  <c r="C18" i="50"/>
  <c r="M14" i="50"/>
  <c r="M13" i="50"/>
  <c r="M12" i="50"/>
  <c r="L18" i="50"/>
  <c r="J18" i="50"/>
  <c r="H18" i="50"/>
  <c r="F18" i="50"/>
  <c r="D18" i="50"/>
  <c r="E19" i="6" l="1"/>
  <c r="G20" i="6" s="1"/>
  <c r="D32" i="54"/>
  <c r="D35" i="54" s="1"/>
  <c r="D37" i="54" s="1"/>
  <c r="G17" i="55"/>
  <c r="G19" i="55" s="1"/>
  <c r="E16" i="6" s="1"/>
  <c r="G17" i="6" s="1"/>
  <c r="G21" i="55"/>
  <c r="G23" i="55" s="1"/>
  <c r="G25" i="55" s="1"/>
  <c r="E38" i="6" s="1"/>
  <c r="K44" i="51"/>
  <c r="G37" i="6" s="1"/>
  <c r="J44" i="51"/>
  <c r="P18" i="50"/>
  <c r="M18" i="50"/>
  <c r="M21" i="50" s="1"/>
  <c r="G45" i="6" s="1"/>
  <c r="E35" i="6" l="1"/>
  <c r="E39" i="6" s="1"/>
  <c r="M23" i="50"/>
  <c r="G46" i="6" s="1"/>
  <c r="P23" i="50" l="1"/>
  <c r="G38" i="6"/>
  <c r="G34" i="6"/>
  <c r="G33" i="6"/>
  <c r="G32" i="6"/>
  <c r="G31" i="6"/>
  <c r="G30" i="6"/>
  <c r="G29" i="6"/>
  <c r="G23" i="6"/>
  <c r="G22" i="6"/>
  <c r="G21" i="6"/>
  <c r="G18" i="6"/>
  <c r="G11" i="6" l="1"/>
  <c r="G9" i="6" l="1"/>
  <c r="D12" i="6"/>
  <c r="D35" i="6"/>
  <c r="G48" i="6" l="1"/>
  <c r="G35" i="6"/>
  <c r="D39" i="6"/>
  <c r="G39" i="6" l="1"/>
  <c r="D41" i="6"/>
  <c r="G44" i="6" l="1"/>
  <c r="G47" i="6" s="1"/>
  <c r="G50" i="6" s="1"/>
  <c r="H7" i="57" l="1"/>
  <c r="G29" i="52"/>
  <c r="H4" i="52" l="1"/>
  <c r="H6" i="52" s="1"/>
  <c r="H8" i="52" l="1"/>
  <c r="E7" i="6" s="1"/>
  <c r="G7" i="6" s="1"/>
  <c r="G52" i="6"/>
  <c r="G54" i="6" s="1"/>
  <c r="H9" i="52" l="1"/>
  <c r="F13" i="2"/>
  <c r="F28" i="57" s="1"/>
  <c r="G28" i="57" s="1"/>
  <c r="F12" i="2"/>
  <c r="F27" i="57" s="1"/>
  <c r="G27" i="57" s="1"/>
  <c r="F11" i="2"/>
  <c r="F26" i="57" s="1"/>
  <c r="G26" i="57" s="1"/>
  <c r="F10" i="2"/>
  <c r="F25" i="57" s="1"/>
  <c r="G25" i="57" s="1"/>
  <c r="F9" i="2"/>
  <c r="G12" i="6" l="1"/>
  <c r="G41" i="6" s="1"/>
  <c r="E12" i="6"/>
  <c r="E41" i="6" s="1"/>
  <c r="H13" i="2"/>
  <c r="I13" i="2" s="1"/>
  <c r="H12" i="2"/>
  <c r="I12" i="2" s="1"/>
  <c r="H11" i="2"/>
  <c r="I11" i="2" s="1"/>
  <c r="H10" i="2"/>
  <c r="I10" i="2" s="1"/>
  <c r="F24" i="42"/>
  <c r="G24" i="42" s="1"/>
  <c r="H24" i="42" s="1"/>
  <c r="F16" i="42"/>
  <c r="G16" i="42" s="1"/>
  <c r="H16" i="42" s="1"/>
  <c r="F12" i="42"/>
  <c r="G12" i="42" s="1"/>
  <c r="H12" i="42" s="1"/>
  <c r="F23" i="42"/>
  <c r="G23" i="42" s="1"/>
  <c r="H23" i="42" s="1"/>
  <c r="F19" i="42"/>
  <c r="G19" i="42" s="1"/>
  <c r="H19" i="42" s="1"/>
  <c r="F15" i="42"/>
  <c r="G15" i="42" s="1"/>
  <c r="H15" i="42" s="1"/>
  <c r="F11" i="42"/>
  <c r="G11" i="42" s="1"/>
  <c r="H11" i="42" s="1"/>
  <c r="F13" i="42"/>
  <c r="G13" i="42" s="1"/>
  <c r="H13" i="42" s="1"/>
  <c r="F22" i="42"/>
  <c r="G22" i="42" s="1"/>
  <c r="H22" i="42" s="1"/>
  <c r="F18" i="42"/>
  <c r="G18" i="42" s="1"/>
  <c r="H18" i="42" s="1"/>
  <c r="F14" i="42"/>
  <c r="G14" i="42" s="1"/>
  <c r="H14" i="42" s="1"/>
  <c r="F17" i="42"/>
  <c r="G17" i="42" s="1"/>
  <c r="H17" i="42" s="1"/>
  <c r="F24" i="57"/>
  <c r="G24" i="57" s="1"/>
  <c r="G29" i="57" s="1"/>
  <c r="H4" i="57" s="1"/>
  <c r="H6" i="57" s="1"/>
  <c r="H8" i="57" s="1"/>
  <c r="H9" i="57" s="1"/>
  <c r="F21" i="42"/>
  <c r="G21" i="42" s="1"/>
  <c r="H21" i="42" s="1"/>
  <c r="F20" i="42"/>
  <c r="G20" i="42" s="1"/>
  <c r="H20" i="42" s="1"/>
  <c r="F10" i="42"/>
  <c r="G10" i="42" s="1"/>
  <c r="H10" i="42" s="1"/>
  <c r="H9" i="2"/>
  <c r="I9" i="2" s="1"/>
  <c r="F9" i="42"/>
  <c r="G9" i="42" s="1"/>
  <c r="H9" i="42" s="1"/>
</calcChain>
</file>

<file path=xl/sharedStrings.xml><?xml version="1.0" encoding="utf-8"?>
<sst xmlns="http://schemas.openxmlformats.org/spreadsheetml/2006/main" count="432" uniqueCount="288">
  <si>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</si>
  <si>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</si>
  <si>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</si>
  <si>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</si>
  <si>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</si>
  <si>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</si>
  <si>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</si>
  <si>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</si>
  <si>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Miscellaneous Expenses</t>
  </si>
  <si>
    <t>Transportation Expenses</t>
  </si>
  <si>
    <t>Proposed</t>
  </si>
  <si>
    <t>Total</t>
  </si>
  <si>
    <t>Gallons</t>
  </si>
  <si>
    <t>Operating Revenues</t>
  </si>
  <si>
    <t>Other Water Revenues:</t>
  </si>
  <si>
    <t>Misc. Service Revenues</t>
  </si>
  <si>
    <t>Total Operating Revenues</t>
  </si>
  <si>
    <t>Operating Expenses</t>
  </si>
  <si>
    <t>Depreciation Expense</t>
  </si>
  <si>
    <t>REVENUE REQUIREMENTS</t>
  </si>
  <si>
    <t>Plus:</t>
  </si>
  <si>
    <t>Less:</t>
  </si>
  <si>
    <t>Other Operating Revenue</t>
  </si>
  <si>
    <t>Existing</t>
  </si>
  <si>
    <t>Change</t>
  </si>
  <si>
    <t>1"</t>
  </si>
  <si>
    <t>2"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</si>
  <si>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</si>
  <si>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</si>
  <si>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</si>
  <si>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</si>
  <si>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</si>
  <si>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</si>
  <si>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</si>
  <si>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Total Utility Operating Income</t>
  </si>
  <si>
    <t>Pro Forma Operating Expenses</t>
  </si>
  <si>
    <t>Adjustment</t>
  </si>
  <si>
    <t>Forfeited Discounts</t>
  </si>
  <si>
    <t>Total Metered Retail Sales</t>
  </si>
  <si>
    <t>DEPRECIATION EXPENSE ADJUSTMENTS</t>
  </si>
  <si>
    <t>Depreciation</t>
  </si>
  <si>
    <t>Date in</t>
  </si>
  <si>
    <t>Original</t>
  </si>
  <si>
    <t>Expense</t>
  </si>
  <si>
    <t>Service</t>
  </si>
  <si>
    <t>Life</t>
  </si>
  <si>
    <t>Depr. Exp.</t>
  </si>
  <si>
    <t>TOTAL</t>
  </si>
  <si>
    <t>CURRENT AND PROPOSED RATES</t>
  </si>
  <si>
    <t>Current</t>
  </si>
  <si>
    <t>Other Water Revenues</t>
  </si>
  <si>
    <t>Rental of Building/Real Property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</si>
  <si>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</si>
  <si>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</si>
  <si>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</si>
  <si>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</si>
  <si>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</si>
  <si>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</si>
  <si>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</si>
  <si>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Meter</t>
  </si>
  <si>
    <t>Difference</t>
  </si>
  <si>
    <t>Bill</t>
  </si>
  <si>
    <t>Percentage</t>
  </si>
  <si>
    <t>Size</t>
  </si>
  <si>
    <t>5/8 x 3/4"</t>
  </si>
  <si>
    <t>TOTALS</t>
  </si>
  <si>
    <t>TABLE C</t>
  </si>
  <si>
    <t>per Month*</t>
  </si>
  <si>
    <t>* Highlighted usage represents the average residential bill.</t>
  </si>
  <si>
    <t>Chemicals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</si>
  <si>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</si>
  <si>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</si>
  <si>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</si>
  <si>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</si>
  <si>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</si>
  <si>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</si>
  <si>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</si>
  <si>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</si>
  <si>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</si>
  <si>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</si>
  <si>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</si>
  <si>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Less: Test Year Salaries &amp; Wages Exp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</si>
  <si>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</si>
  <si>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</si>
  <si>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</si>
  <si>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</si>
  <si>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</si>
  <si>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</si>
  <si>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</si>
  <si>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</si>
  <si>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</si>
  <si>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</si>
  <si>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</si>
  <si>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</si>
  <si>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Average Annual Principal and Interest Payments</t>
  </si>
  <si>
    <t>Additional Working Capital</t>
  </si>
  <si>
    <t>Table B</t>
  </si>
  <si>
    <t>DEBT SERVICE SCHDULE</t>
  </si>
  <si>
    <t>CY 2023</t>
  </si>
  <si>
    <t>CY 2024</t>
  </si>
  <si>
    <t>CY 2025</t>
  </si>
  <si>
    <t>CY 2026</t>
  </si>
  <si>
    <t>Interest</t>
  </si>
  <si>
    <t>Principal</t>
  </si>
  <si>
    <t>&amp; Fees</t>
  </si>
  <si>
    <t>Average Annual Principal &amp; Interest</t>
  </si>
  <si>
    <t>Average Annual Coverage</t>
  </si>
  <si>
    <t>General Plant</t>
  </si>
  <si>
    <t>Pumping Plant</t>
  </si>
  <si>
    <t>Transmission &amp; Distribution Plant</t>
  </si>
  <si>
    <t>Transportation Equipment</t>
  </si>
  <si>
    <t>Water Treatment Plant</t>
  </si>
  <si>
    <t>Asset</t>
  </si>
  <si>
    <t>Structures &amp; Improvements</t>
  </si>
  <si>
    <t>Communication &amp; Computer Eqmt.</t>
  </si>
  <si>
    <t>Office Furniture &amp; Equipment</t>
  </si>
  <si>
    <t>Power Operated Equipment</t>
  </si>
  <si>
    <t>Tools, Shop, &amp; Garage Equipment</t>
  </si>
  <si>
    <t>Tank Repairs &amp; Painting</t>
  </si>
  <si>
    <t>Telemetry</t>
  </si>
  <si>
    <t>Pumping Equipment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</si>
  <si>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</si>
  <si>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</si>
  <si>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</si>
  <si>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</si>
  <si>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</si>
  <si>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</si>
  <si>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</si>
  <si>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</si>
  <si>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</si>
  <si>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Entire Group</t>
  </si>
  <si>
    <t xml:space="preserve">              *  Includes only costs associated with assets that contributed to depreciation expense in the test year.</t>
  </si>
  <si>
    <t>Cost *</t>
  </si>
  <si>
    <t>Reported</t>
  </si>
  <si>
    <t>Water Loss Adjustment</t>
  </si>
  <si>
    <t>Sold</t>
  </si>
  <si>
    <t>Uses:</t>
  </si>
  <si>
    <t xml:space="preserve">  water loss percentage</t>
  </si>
  <si>
    <t xml:space="preserve">  allowable in rates</t>
  </si>
  <si>
    <t xml:space="preserve">  adjustment percentage</t>
  </si>
  <si>
    <t>Produced</t>
  </si>
  <si>
    <t>Purchased</t>
  </si>
  <si>
    <t>Total Produced and Purchased</t>
  </si>
  <si>
    <t>Total Other Water Used</t>
  </si>
  <si>
    <t>Losses:</t>
  </si>
  <si>
    <t xml:space="preserve">   WTP</t>
  </si>
  <si>
    <t xml:space="preserve">   Flushing</t>
  </si>
  <si>
    <t xml:space="preserve">   Fire</t>
  </si>
  <si>
    <t xml:space="preserve">   Other</t>
  </si>
  <si>
    <t xml:space="preserve">   Line Leaks</t>
  </si>
  <si>
    <t xml:space="preserve">   Unknown</t>
  </si>
  <si>
    <t>Total Losses:</t>
  </si>
  <si>
    <t>Sold, Used, and Lost</t>
  </si>
  <si>
    <t>Total Gross Wages</t>
  </si>
  <si>
    <t>Gross Wages for Full Time Employees CERS Eligible</t>
  </si>
  <si>
    <t xml:space="preserve">Materials </t>
  </si>
  <si>
    <t>New Meter Fees Collected</t>
  </si>
  <si>
    <t>DISTRICT'S</t>
  </si>
  <si>
    <t>Allowable</t>
  </si>
  <si>
    <t>EMPLOYEE</t>
  </si>
  <si>
    <t xml:space="preserve">WATER DIST </t>
  </si>
  <si>
    <t>ANNUAL</t>
  </si>
  <si>
    <t>Employer</t>
  </si>
  <si>
    <t>PREMIUM</t>
  </si>
  <si>
    <t>CONTRIB</t>
  </si>
  <si>
    <t>CONTRIB %</t>
  </si>
  <si>
    <t>Share</t>
  </si>
  <si>
    <t>Premium</t>
  </si>
  <si>
    <t>Structures and Improvements</t>
  </si>
  <si>
    <t>Water Treatment Equipment</t>
  </si>
  <si>
    <t>Source of Supply Plant</t>
  </si>
  <si>
    <t>Collecting &amp; Impounding Reservoirs</t>
  </si>
  <si>
    <t>Supply Mains</t>
  </si>
  <si>
    <t>Pension</t>
  </si>
  <si>
    <t>Eligible</t>
  </si>
  <si>
    <t>TABLE D</t>
  </si>
  <si>
    <t>Total Adjustment</t>
  </si>
  <si>
    <t>Monthly Surcharge Amount</t>
  </si>
  <si>
    <t>CURRENT AND PROPOSED BILLS</t>
  </si>
  <si>
    <t>/ Number of Bills</t>
  </si>
  <si>
    <t>Contractual Services - Accounting</t>
  </si>
  <si>
    <t>Contractual Services - Management</t>
  </si>
  <si>
    <t>Contractual Services - Other</t>
  </si>
  <si>
    <t>Insurance - General Liability</t>
  </si>
  <si>
    <t xml:space="preserve">   Tank Overflows</t>
  </si>
  <si>
    <t xml:space="preserve">   Line Breaks</t>
  </si>
  <si>
    <t>CURRENT BILLING ANALYSIS</t>
  </si>
  <si>
    <t>Summary</t>
  </si>
  <si>
    <t># of Bills</t>
  </si>
  <si>
    <t>Gallons Sold</t>
  </si>
  <si>
    <t>Revenue</t>
  </si>
  <si>
    <t>First</t>
  </si>
  <si>
    <t>Over</t>
  </si>
  <si>
    <t>Usage</t>
  </si>
  <si>
    <t>Bills</t>
  </si>
  <si>
    <t>REVENUE BY RATE INCREMENT</t>
  </si>
  <si>
    <t xml:space="preserve">Rate </t>
  </si>
  <si>
    <t>Less Adjustments</t>
  </si>
  <si>
    <t>Costs Subject to Water Loss Adjustment</t>
  </si>
  <si>
    <t>Computation of Water Loss Surcharge</t>
  </si>
  <si>
    <t>From PSC Annual Report</t>
  </si>
  <si>
    <t>Adjustment to SAO Billed Retail Revenues</t>
  </si>
  <si>
    <t>Computation of Adjustment:</t>
  </si>
  <si>
    <t>Monthly Water Rates:</t>
  </si>
  <si>
    <t>Minimum Bill</t>
  </si>
  <si>
    <t>All Over</t>
  </si>
  <si>
    <t>5,000 Gallons</t>
  </si>
  <si>
    <t>CONSUMPTION BY RATE INCREMENT</t>
  </si>
  <si>
    <t>Revenue Required from Sale of Water</t>
  </si>
  <si>
    <t>Medical Insurance Adjustment</t>
  </si>
  <si>
    <t>Contractual Labor and Materials Adjustment for New Service Installations</t>
  </si>
  <si>
    <t>Allowable Employer Premium</t>
  </si>
  <si>
    <t>Less: District's Annual Premium</t>
  </si>
  <si>
    <t>Reid Village Water District</t>
  </si>
  <si>
    <t>CY 2023 - 2027</t>
  </si>
  <si>
    <t>CY 2027</t>
  </si>
  <si>
    <t>REID VILLAGE WATER DISTRICT</t>
  </si>
  <si>
    <t>10,000 Gallons</t>
  </si>
  <si>
    <t>2,000 Gallons</t>
  </si>
  <si>
    <t>Next</t>
  </si>
  <si>
    <t>1,000 Gallons</t>
  </si>
  <si>
    <t>Billing Analysis Revenue</t>
  </si>
  <si>
    <t>Net Revenue</t>
  </si>
  <si>
    <t>PROJECTED BILLING ANALYSIS</t>
  </si>
  <si>
    <t>R Cartmill</t>
  </si>
  <si>
    <t>R Thomas</t>
  </si>
  <si>
    <t xml:space="preserve">Labor </t>
  </si>
  <si>
    <t>Exclude labor on new service connections.</t>
  </si>
  <si>
    <t>Exclude materials on new service connections.</t>
  </si>
  <si>
    <t>Loan 91-05</t>
  </si>
  <si>
    <t>Loan 91-06</t>
  </si>
  <si>
    <t>Loan B16-08</t>
  </si>
  <si>
    <t>Total Operation and Maintenance Expenses</t>
  </si>
  <si>
    <t>Per Gallon</t>
  </si>
  <si>
    <t>Various</t>
  </si>
  <si>
    <t>Varies</t>
  </si>
  <si>
    <t>TRC</t>
  </si>
  <si>
    <t>RT</t>
  </si>
  <si>
    <t>TYPE</t>
  </si>
  <si>
    <t>Family</t>
  </si>
  <si>
    <t>New</t>
  </si>
  <si>
    <t>7 Meters at $650</t>
  </si>
  <si>
    <t>Yes</t>
  </si>
  <si>
    <t>Increased pension expense for joining CERS.</t>
  </si>
  <si>
    <t>R Lee</t>
  </si>
  <si>
    <t>No</t>
  </si>
  <si>
    <t>New Approved</t>
  </si>
  <si>
    <t>Correct missclassification of chlorine in 2021.</t>
  </si>
  <si>
    <t>Correct missclassification of chlorine in 2021 and adjust for 2022.</t>
  </si>
  <si>
    <t>Source</t>
  </si>
  <si>
    <t>Email dated March 7, 2023.</t>
  </si>
  <si>
    <t>General Ledger Account 63200</t>
  </si>
  <si>
    <t>Adjust wages to current employee count and wage rates.</t>
  </si>
  <si>
    <t>Adjust payroll taxes to current employee count and wage rates.</t>
  </si>
  <si>
    <t>Adjust depreciation to allowable lives.</t>
  </si>
  <si>
    <t>General Ledger Account 61600</t>
  </si>
  <si>
    <t>Unusable Calculation</t>
  </si>
  <si>
    <t>Tab Wages Cell G18</t>
  </si>
  <si>
    <t>Tab Capital Cell C5</t>
  </si>
  <si>
    <t>Tab Wages Cell G30</t>
  </si>
  <si>
    <t>Tab Medical Cell C16</t>
  </si>
  <si>
    <t>Tab Capital Cell C6</t>
  </si>
  <si>
    <t>Tab Depreciation Cell K44</t>
  </si>
  <si>
    <t>Tab Wages Cell G24</t>
  </si>
  <si>
    <t>Average Annual Debt Service</t>
  </si>
  <si>
    <t>Tab Debt Service Cell M21</t>
  </si>
  <si>
    <t>Debt Service Coverage</t>
  </si>
  <si>
    <t>Tab Debt Service Cell M23</t>
  </si>
  <si>
    <t>Interest Income</t>
  </si>
  <si>
    <t>Changes in medical rates and employee selections.</t>
  </si>
  <si>
    <t>J Hayes</t>
  </si>
  <si>
    <t>JH</t>
  </si>
  <si>
    <t>Emp + Child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</si>
  <si>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</si>
  <si>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</si>
  <si>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</si>
  <si>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</si>
  <si>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</si>
  <si>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</si>
  <si>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</si>
  <si>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</si>
  <si>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</si>
  <si>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</si>
  <si>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Adjust to billing analysis total using 2021 rates.</t>
  </si>
  <si>
    <t>Adjust to billing analysis total using rates after PWA adjustment.</t>
  </si>
  <si>
    <t>Tab ExBA2 Cell H8</t>
  </si>
  <si>
    <t>Tab ExBA1 Cell H8</t>
  </si>
  <si>
    <t>From ExBA1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</si>
</sst>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mm/dd/yy;@"/>
    <numFmt numFmtId="169" formatCode="_([$$-409]* #,##0_);_([$$-409]* \(#,##0\);_([$$-409]* &quot;-&quot;??_);_(@_)"/>
    <numFmt numFmtId="170" formatCode="[$$-409]#,##0"/>
    <numFmt numFmtId="171" formatCode="_(&quot;$&quot;* #,##0.00000_);_(&quot;$&quot;* \(#,##0.00000\);_(&quot;$&quot;* &quot;-&quot;??_);_(@_)"/>
  </numFmts>
  <fonts count="2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315">
    <xf numFmtId="0" fontId="0" fillId="0" borderId="0" xfId="0"/>
    <xf numFmtId="0" fontId="5" fillId="0" borderId="0" xfId="0" applyFont="1"/>
    <xf numFmtId="165" fontId="5" fillId="0" borderId="0" xfId="0" applyNumberFormat="1" applyFont="1"/>
    <xf numFmtId="3" fontId="5" fillId="0" borderId="0" xfId="0" applyNumberFormat="1" applyFont="1"/>
    <xf numFmtId="0" fontId="0" fillId="0" borderId="6" xfId="0" applyBorder="1"/>
    <xf numFmtId="165" fontId="5" fillId="0" borderId="1" xfId="1" applyNumberFormat="1" applyFont="1" applyBorder="1"/>
    <xf numFmtId="165" fontId="5" fillId="0" borderId="0" xfId="1" applyNumberFormat="1" applyFont="1" applyBorder="1"/>
    <xf numFmtId="165" fontId="5" fillId="0" borderId="0" xfId="1" applyNumberFormat="1" applyFont="1"/>
    <xf numFmtId="165" fontId="5" fillId="0" borderId="3" xfId="1" applyNumberFormat="1" applyFont="1" applyBorder="1"/>
    <xf numFmtId="165" fontId="5" fillId="0" borderId="2" xfId="1" applyNumberFormat="1" applyFont="1" applyBorder="1"/>
    <xf numFmtId="165" fontId="5" fillId="0" borderId="4" xfId="1" applyNumberFormat="1" applyFont="1" applyBorder="1"/>
    <xf numFmtId="165" fontId="5" fillId="0" borderId="7" xfId="1" applyNumberFormat="1" applyFont="1" applyBorder="1"/>
    <xf numFmtId="165" fontId="5" fillId="0" borderId="8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43" fontId="5" fillId="0" borderId="0" xfId="1" applyFont="1"/>
    <xf numFmtId="165" fontId="11" fillId="0" borderId="0" xfId="1" applyNumberFormat="1" applyFont="1" applyBorder="1" applyAlignment="1">
      <alignment horizontal="center"/>
    </xf>
    <xf numFmtId="43" fontId="5" fillId="0" borderId="0" xfId="1" applyFont="1" applyBorder="1"/>
    <xf numFmtId="165" fontId="5" fillId="0" borderId="0" xfId="5" applyNumberFormat="1" applyFont="1"/>
    <xf numFmtId="3" fontId="5" fillId="0" borderId="0" xfId="0" applyNumberFormat="1" applyFont="1" applyAlignment="1">
      <alignment horizontal="right"/>
    </xf>
    <xf numFmtId="165" fontId="5" fillId="0" borderId="7" xfId="5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5" fontId="5" fillId="0" borderId="0" xfId="5" applyNumberFormat="1" applyFont="1" applyBorder="1"/>
    <xf numFmtId="165" fontId="11" fillId="0" borderId="0" xfId="1" applyNumberFormat="1" applyFont="1"/>
    <xf numFmtId="167" fontId="10" fillId="0" borderId="0" xfId="5" applyNumberFormat="1" applyFont="1" applyBorder="1" applyAlignment="1">
      <alignment horizontal="center"/>
    </xf>
    <xf numFmtId="43" fontId="5" fillId="0" borderId="0" xfId="1" applyFont="1" applyBorder="1" applyAlignment="1"/>
    <xf numFmtId="43" fontId="5" fillId="0" borderId="0" xfId="1" applyFont="1" applyBorder="1" applyAlignment="1">
      <alignment horizontal="right"/>
    </xf>
    <xf numFmtId="44" fontId="5" fillId="0" borderId="0" xfId="2" applyFont="1" applyBorder="1" applyAlignment="1"/>
    <xf numFmtId="44" fontId="5" fillId="0" borderId="0" xfId="2" applyFont="1" applyBorder="1" applyAlignment="1">
      <alignment vertical="center"/>
    </xf>
    <xf numFmtId="165" fontId="5" fillId="0" borderId="1" xfId="0" applyNumberFormat="1" applyFont="1" applyBorder="1"/>
    <xf numFmtId="164" fontId="5" fillId="0" borderId="0" xfId="6" applyNumberFormat="1" applyFont="1"/>
    <xf numFmtId="165" fontId="8" fillId="0" borderId="0" xfId="1" applyNumberFormat="1" applyFont="1"/>
    <xf numFmtId="165" fontId="11" fillId="0" borderId="8" xfId="1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43" fontId="5" fillId="0" borderId="8" xfId="1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5" fillId="0" borderId="1" xfId="1" applyFont="1" applyBorder="1"/>
    <xf numFmtId="166" fontId="5" fillId="0" borderId="8" xfId="3" applyNumberFormat="1" applyFont="1" applyBorder="1"/>
    <xf numFmtId="165" fontId="5" fillId="2" borderId="0" xfId="1" applyNumberFormat="1" applyFont="1" applyFill="1" applyBorder="1"/>
    <xf numFmtId="43" fontId="5" fillId="2" borderId="8" xfId="1" quotePrefix="1" applyFont="1" applyFill="1" applyBorder="1" applyAlignment="1">
      <alignment horizontal="center"/>
    </xf>
    <xf numFmtId="43" fontId="5" fillId="2" borderId="0" xfId="1" applyFont="1" applyFill="1" applyBorder="1"/>
    <xf numFmtId="166" fontId="5" fillId="2" borderId="8" xfId="3" applyNumberFormat="1" applyFont="1" applyFill="1" applyBorder="1"/>
    <xf numFmtId="165" fontId="15" fillId="0" borderId="0" xfId="1" applyNumberFormat="1" applyFont="1"/>
    <xf numFmtId="0" fontId="20" fillId="0" borderId="0" xfId="0" applyFont="1" applyAlignment="1">
      <alignment horizontal="center"/>
    </xf>
    <xf numFmtId="10" fontId="5" fillId="0" borderId="0" xfId="0" applyNumberFormat="1" applyFont="1"/>
    <xf numFmtId="44" fontId="5" fillId="0" borderId="0" xfId="2" applyFont="1" applyBorder="1"/>
    <xf numFmtId="165" fontId="5" fillId="0" borderId="0" xfId="5" quotePrefix="1" applyNumberFormat="1" applyFont="1"/>
    <xf numFmtId="0" fontId="5" fillId="0" borderId="7" xfId="0" applyFont="1" applyBorder="1"/>
    <xf numFmtId="165" fontId="5" fillId="0" borderId="0" xfId="1" applyNumberFormat="1" applyFont="1" applyAlignment="1">
      <alignment horizontal="centerContinuous" vertical="center"/>
    </xf>
    <xf numFmtId="165" fontId="5" fillId="0" borderId="0" xfId="1" applyNumberFormat="1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14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8" fillId="0" borderId="0" xfId="1" applyNumberFormat="1" applyFont="1" applyAlignment="1">
      <alignment vertical="center"/>
    </xf>
    <xf numFmtId="165" fontId="9" fillId="0" borderId="0" xfId="1" applyNumberFormat="1" applyFont="1" applyAlignment="1">
      <alignment vertical="center"/>
    </xf>
    <xf numFmtId="165" fontId="5" fillId="0" borderId="0" xfId="1" applyNumberFormat="1" applyFont="1" applyAlignment="1">
      <alignment horizontal="center"/>
    </xf>
    <xf numFmtId="165" fontId="12" fillId="0" borderId="0" xfId="1" quotePrefix="1" applyNumberFormat="1" applyFont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165" fontId="5" fillId="0" borderId="0" xfId="1" applyNumberFormat="1" applyFont="1" applyAlignment="1"/>
    <xf numFmtId="165" fontId="12" fillId="0" borderId="0" xfId="1" applyNumberFormat="1" applyFont="1" applyAlignment="1">
      <alignment vertical="center"/>
    </xf>
    <xf numFmtId="10" fontId="5" fillId="0" borderId="0" xfId="3" applyNumberFormat="1" applyFont="1" applyAlignment="1">
      <alignment vertical="center"/>
    </xf>
    <xf numFmtId="165" fontId="5" fillId="0" borderId="6" xfId="5" applyNumberFormat="1" applyFont="1" applyBorder="1"/>
    <xf numFmtId="165" fontId="5" fillId="0" borderId="0" xfId="5" applyNumberFormat="1" applyFont="1" applyBorder="1" applyAlignment="1">
      <alignment horizontal="center"/>
    </xf>
    <xf numFmtId="10" fontId="5" fillId="0" borderId="0" xfId="3" applyNumberFormat="1" applyFont="1" applyBorder="1"/>
    <xf numFmtId="10" fontId="5" fillId="2" borderId="0" xfId="3" applyNumberFormat="1" applyFont="1" applyFill="1" applyBorder="1"/>
    <xf numFmtId="165" fontId="5" fillId="0" borderId="8" xfId="5" applyNumberFormat="1" applyFont="1" applyBorder="1"/>
    <xf numFmtId="165" fontId="9" fillId="0" borderId="7" xfId="5" applyNumberFormat="1" applyFont="1" applyBorder="1" applyAlignment="1">
      <alignment horizontal="center"/>
    </xf>
    <xf numFmtId="165" fontId="11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165" fontId="11" fillId="0" borderId="0" xfId="1" applyNumberFormat="1" applyFont="1" applyAlignment="1">
      <alignment vertical="center"/>
    </xf>
    <xf numFmtId="165" fontId="5" fillId="0" borderId="3" xfId="5" applyNumberFormat="1" applyFont="1" applyBorder="1"/>
    <xf numFmtId="165" fontId="5" fillId="0" borderId="2" xfId="5" applyNumberFormat="1" applyFont="1" applyBorder="1"/>
    <xf numFmtId="165" fontId="5" fillId="0" borderId="4" xfId="5" applyNumberFormat="1" applyFont="1" applyBorder="1"/>
    <xf numFmtId="165" fontId="6" fillId="0" borderId="7" xfId="5" applyNumberFormat="1" applyFont="1" applyBorder="1" applyAlignment="1">
      <alignment horizontal="centerContinuous"/>
    </xf>
    <xf numFmtId="165" fontId="9" fillId="0" borderId="0" xfId="5" applyNumberFormat="1" applyFont="1" applyAlignment="1">
      <alignment horizontal="centerContinuous"/>
    </xf>
    <xf numFmtId="165" fontId="7" fillId="0" borderId="7" xfId="5" applyNumberFormat="1" applyFont="1" applyBorder="1" applyAlignment="1">
      <alignment horizontal="centerContinuous"/>
    </xf>
    <xf numFmtId="165" fontId="10" fillId="0" borderId="0" xfId="5" applyNumberFormat="1" applyFont="1" applyAlignment="1">
      <alignment horizontal="centerContinuous"/>
    </xf>
    <xf numFmtId="3" fontId="13" fillId="0" borderId="7" xfId="0" applyNumberFormat="1" applyFont="1" applyBorder="1" applyAlignment="1">
      <alignment horizontal="centerContinuous" vertical="center"/>
    </xf>
    <xf numFmtId="165" fontId="22" fillId="0" borderId="7" xfId="5" applyNumberFormat="1" applyFont="1" applyBorder="1" applyAlignment="1">
      <alignment horizontal="centerContinuous"/>
    </xf>
    <xf numFmtId="165" fontId="5" fillId="0" borderId="0" xfId="5" applyNumberFormat="1" applyFont="1" applyAlignment="1">
      <alignment horizontal="centerContinuous"/>
    </xf>
    <xf numFmtId="165" fontId="5" fillId="0" borderId="7" xfId="5" applyNumberFormat="1" applyFont="1" applyBorder="1" applyAlignment="1">
      <alignment horizontal="centerContinuous"/>
    </xf>
    <xf numFmtId="165" fontId="5" fillId="0" borderId="9" xfId="5" applyNumberFormat="1" applyFont="1" applyBorder="1" applyAlignment="1">
      <alignment horizontal="left"/>
    </xf>
    <xf numFmtId="165" fontId="5" fillId="0" borderId="3" xfId="5" applyNumberFormat="1" applyFont="1" applyBorder="1" applyAlignment="1">
      <alignment horizontal="left"/>
    </xf>
    <xf numFmtId="165" fontId="5" fillId="0" borderId="2" xfId="5" applyNumberFormat="1" applyFont="1" applyBorder="1" applyAlignment="1">
      <alignment horizontal="left"/>
    </xf>
    <xf numFmtId="165" fontId="5" fillId="0" borderId="4" xfId="5" applyNumberFormat="1" applyFont="1" applyBorder="1" applyAlignment="1">
      <alignment horizontal="left"/>
    </xf>
    <xf numFmtId="165" fontId="5" fillId="0" borderId="10" xfId="5" applyNumberFormat="1" applyFont="1" applyBorder="1"/>
    <xf numFmtId="165" fontId="12" fillId="0" borderId="0" xfId="5" applyNumberFormat="1" applyFont="1" applyAlignment="1">
      <alignment horizontal="center" vertical="center"/>
    </xf>
    <xf numFmtId="165" fontId="9" fillId="0" borderId="8" xfId="5" applyNumberFormat="1" applyFont="1" applyBorder="1" applyAlignment="1">
      <alignment horizontal="center" vertical="center"/>
    </xf>
    <xf numFmtId="165" fontId="9" fillId="0" borderId="0" xfId="5" applyNumberFormat="1" applyFont="1" applyAlignment="1">
      <alignment horizontal="center" vertical="center"/>
    </xf>
    <xf numFmtId="165" fontId="12" fillId="0" borderId="8" xfId="5" applyNumberFormat="1" applyFont="1" applyBorder="1" applyAlignment="1">
      <alignment horizontal="center" vertical="center"/>
    </xf>
    <xf numFmtId="165" fontId="12" fillId="0" borderId="0" xfId="5" applyNumberFormat="1" applyFont="1" applyBorder="1" applyAlignment="1">
      <alignment horizontal="center" vertical="center"/>
    </xf>
    <xf numFmtId="165" fontId="5" fillId="0" borderId="10" xfId="5" applyNumberFormat="1" applyFont="1" applyBorder="1" applyAlignment="1">
      <alignment horizontal="left"/>
    </xf>
    <xf numFmtId="165" fontId="5" fillId="0" borderId="7" xfId="5" applyNumberFormat="1" applyFont="1" applyBorder="1" applyAlignment="1">
      <alignment horizontal="center"/>
    </xf>
    <xf numFmtId="165" fontId="5" fillId="0" borderId="0" xfId="5" applyNumberFormat="1" applyFont="1" applyAlignment="1">
      <alignment horizontal="center"/>
    </xf>
    <xf numFmtId="165" fontId="5" fillId="0" borderId="8" xfId="5" applyNumberFormat="1" applyFont="1" applyBorder="1" applyAlignment="1">
      <alignment horizontal="center"/>
    </xf>
    <xf numFmtId="165" fontId="5" fillId="0" borderId="0" xfId="5" quotePrefix="1" applyNumberFormat="1" applyFont="1" applyBorder="1" applyAlignment="1">
      <alignment horizontal="center"/>
    </xf>
    <xf numFmtId="165" fontId="5" fillId="0" borderId="7" xfId="5" quotePrefix="1" applyNumberFormat="1" applyFont="1" applyBorder="1" applyAlignment="1">
      <alignment horizontal="left"/>
    </xf>
    <xf numFmtId="165" fontId="5" fillId="0" borderId="0" xfId="5" quotePrefix="1" applyNumberFormat="1" applyFont="1" applyAlignment="1">
      <alignment horizontal="left"/>
    </xf>
    <xf numFmtId="165" fontId="5" fillId="0" borderId="8" xfId="5" quotePrefix="1" applyNumberFormat="1" applyFont="1" applyBorder="1" applyAlignment="1">
      <alignment horizontal="left"/>
    </xf>
    <xf numFmtId="165" fontId="9" fillId="0" borderId="7" xfId="5" quotePrefix="1" applyNumberFormat="1" applyFont="1" applyBorder="1" applyAlignment="1">
      <alignment horizontal="left"/>
    </xf>
    <xf numFmtId="165" fontId="9" fillId="0" borderId="0" xfId="5" quotePrefix="1" applyNumberFormat="1" applyFont="1" applyAlignment="1">
      <alignment horizontal="left"/>
    </xf>
    <xf numFmtId="165" fontId="9" fillId="0" borderId="8" xfId="5" quotePrefix="1" applyNumberFormat="1" applyFont="1" applyBorder="1" applyAlignment="1">
      <alignment horizontal="left"/>
    </xf>
    <xf numFmtId="164" fontId="9" fillId="0" borderId="0" xfId="6" quotePrefix="1" applyNumberFormat="1" applyFont="1" applyBorder="1" applyAlignment="1">
      <alignment horizontal="left"/>
    </xf>
    <xf numFmtId="165" fontId="9" fillId="0" borderId="11" xfId="5" applyNumberFormat="1" applyFont="1" applyBorder="1" applyAlignment="1">
      <alignment horizontal="right"/>
    </xf>
    <xf numFmtId="165" fontId="9" fillId="0" borderId="5" xfId="5" applyNumberFormat="1" applyFont="1" applyBorder="1" applyAlignment="1">
      <alignment horizontal="right"/>
    </xf>
    <xf numFmtId="165" fontId="9" fillId="0" borderId="1" xfId="5" applyNumberFormat="1" applyFont="1" applyBorder="1" applyAlignment="1">
      <alignment horizontal="right"/>
    </xf>
    <xf numFmtId="165" fontId="9" fillId="0" borderId="6" xfId="5" applyNumberFormat="1" applyFont="1" applyBorder="1" applyAlignment="1">
      <alignment horizontal="right"/>
    </xf>
    <xf numFmtId="165" fontId="9" fillId="0" borderId="8" xfId="5" applyNumberFormat="1" applyFont="1" applyBorder="1" applyAlignment="1">
      <alignment horizontal="right"/>
    </xf>
    <xf numFmtId="165" fontId="9" fillId="0" borderId="7" xfId="5" applyNumberFormat="1" applyFont="1" applyBorder="1" applyAlignment="1">
      <alignment horizontal="right"/>
    </xf>
    <xf numFmtId="165" fontId="9" fillId="0" borderId="0" xfId="5" applyNumberFormat="1" applyFont="1" applyAlignment="1">
      <alignment horizontal="right"/>
    </xf>
    <xf numFmtId="165" fontId="9" fillId="0" borderId="2" xfId="5" applyNumberFormat="1" applyFont="1" applyBorder="1" applyAlignment="1">
      <alignment horizontal="right"/>
    </xf>
    <xf numFmtId="165" fontId="9" fillId="0" borderId="7" xfId="5" applyNumberFormat="1" applyFont="1" applyBorder="1"/>
    <xf numFmtId="164" fontId="9" fillId="0" borderId="0" xfId="6" applyNumberFormat="1" applyFont="1"/>
    <xf numFmtId="165" fontId="9" fillId="0" borderId="0" xfId="5" applyNumberFormat="1" applyFont="1"/>
    <xf numFmtId="165" fontId="9" fillId="0" borderId="0" xfId="5" applyNumberFormat="1" applyFont="1" applyBorder="1"/>
    <xf numFmtId="164" fontId="9" fillId="0" borderId="0" xfId="6" applyNumberFormat="1" applyFont="1" applyBorder="1"/>
    <xf numFmtId="165" fontId="5" fillId="0" borderId="5" xfId="5" applyNumberFormat="1" applyFont="1" applyBorder="1" applyAlignment="1">
      <alignment horizontal="center"/>
    </xf>
    <xf numFmtId="165" fontId="5" fillId="0" borderId="1" xfId="5" applyNumberFormat="1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3" fontId="5" fillId="0" borderId="2" xfId="0" applyNumberFormat="1" applyFont="1" applyBorder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3" fontId="9" fillId="0" borderId="0" xfId="0" applyNumberFormat="1" applyFont="1"/>
    <xf numFmtId="3" fontId="5" fillId="0" borderId="1" xfId="0" applyNumberFormat="1" applyFont="1" applyBorder="1"/>
    <xf numFmtId="44" fontId="12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7" fontId="5" fillId="0" borderId="0" xfId="5" applyNumberFormat="1" applyFont="1" applyAlignment="1"/>
    <xf numFmtId="167" fontId="5" fillId="0" borderId="2" xfId="5" applyNumberFormat="1" applyFont="1" applyBorder="1"/>
    <xf numFmtId="167" fontId="5" fillId="0" borderId="0" xfId="5" applyNumberFormat="1" applyFont="1" applyBorder="1" applyAlignment="1"/>
    <xf numFmtId="167" fontId="5" fillId="0" borderId="0" xfId="5" applyNumberFormat="1" applyFont="1" applyBorder="1" applyAlignment="1">
      <alignment horizontal="center"/>
    </xf>
    <xf numFmtId="167" fontId="15" fillId="0" borderId="0" xfId="5" applyNumberFormat="1" applyFont="1" applyBorder="1" applyAlignment="1"/>
    <xf numFmtId="170" fontId="5" fillId="0" borderId="0" xfId="0" applyNumberFormat="1" applyFont="1"/>
    <xf numFmtId="169" fontId="9" fillId="0" borderId="0" xfId="0" applyNumberFormat="1" applyFont="1"/>
    <xf numFmtId="167" fontId="5" fillId="0" borderId="0" xfId="5" quotePrefix="1" applyNumberFormat="1" applyFont="1" applyBorder="1" applyAlignment="1">
      <alignment horizontal="center"/>
    </xf>
    <xf numFmtId="3" fontId="5" fillId="0" borderId="4" xfId="0" applyNumberFormat="1" applyFont="1" applyBorder="1"/>
    <xf numFmtId="3" fontId="5" fillId="0" borderId="8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/>
    <xf numFmtId="4" fontId="5" fillId="0" borderId="7" xfId="0" applyNumberFormat="1" applyFont="1" applyBorder="1"/>
    <xf numFmtId="0" fontId="5" fillId="0" borderId="0" xfId="0" applyFont="1" applyAlignment="1">
      <alignment vertical="top"/>
    </xf>
    <xf numFmtId="0" fontId="23" fillId="0" borderId="0" xfId="0" applyFont="1"/>
    <xf numFmtId="165" fontId="23" fillId="0" borderId="0" xfId="1" applyNumberFormat="1" applyFont="1"/>
    <xf numFmtId="43" fontId="5" fillId="0" borderId="0" xfId="1" applyFont="1" applyAlignment="1">
      <alignment horizontal="right"/>
    </xf>
    <xf numFmtId="10" fontId="5" fillId="0" borderId="1" xfId="3" applyNumberFormat="1" applyFont="1" applyBorder="1"/>
    <xf numFmtId="165" fontId="5" fillId="0" borderId="0" xfId="5" applyNumberFormat="1" applyFont="1" applyBorder="1" applyAlignment="1">
      <alignment horizontal="right"/>
    </xf>
    <xf numFmtId="165" fontId="5" fillId="0" borderId="0" xfId="1" applyNumberFormat="1" applyFont="1" applyFill="1" applyAlignment="1">
      <alignment vertical="center"/>
    </xf>
    <xf numFmtId="9" fontId="5" fillId="0" borderId="0" xfId="0" applyNumberFormat="1" applyFont="1"/>
    <xf numFmtId="165" fontId="5" fillId="0" borderId="0" xfId="9" applyNumberFormat="1" applyFont="1" applyFill="1" applyBorder="1"/>
    <xf numFmtId="165" fontId="11" fillId="0" borderId="0" xfId="9" applyNumberFormat="1" applyFont="1" applyFill="1" applyBorder="1"/>
    <xf numFmtId="43" fontId="5" fillId="0" borderId="0" xfId="1" applyFont="1" applyFill="1" applyBorder="1"/>
    <xf numFmtId="166" fontId="5" fillId="0" borderId="0" xfId="3" applyNumberFormat="1" applyFont="1" applyFill="1" applyBorder="1"/>
    <xf numFmtId="44" fontId="5" fillId="0" borderId="0" xfId="0" applyNumberFormat="1" applyFont="1"/>
    <xf numFmtId="44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/>
    </xf>
    <xf numFmtId="9" fontId="5" fillId="0" borderId="0" xfId="3" applyFont="1" applyFill="1" applyBorder="1" applyAlignment="1">
      <alignment horizontal="right"/>
    </xf>
    <xf numFmtId="44" fontId="19" fillId="0" borderId="0" xfId="0" applyNumberFormat="1" applyFont="1" applyAlignment="1">
      <alignment horizontal="right"/>
    </xf>
    <xf numFmtId="44" fontId="5" fillId="0" borderId="0" xfId="10" applyFont="1" applyFill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44" fontId="5" fillId="0" borderId="1" xfId="10" applyFont="1" applyFill="1" applyBorder="1" applyAlignment="1">
      <alignment horizontal="right"/>
    </xf>
    <xf numFmtId="166" fontId="5" fillId="0" borderId="0" xfId="3" applyNumberFormat="1" applyFont="1" applyFill="1" applyBorder="1" applyAlignment="1">
      <alignment horizontal="right"/>
    </xf>
    <xf numFmtId="166" fontId="9" fillId="0" borderId="0" xfId="3" applyNumberFormat="1" applyFont="1" applyFill="1" applyBorder="1" applyAlignment="1">
      <alignment horizontal="right"/>
    </xf>
    <xf numFmtId="9" fontId="20" fillId="0" borderId="0" xfId="4" applyNumberFormat="1" applyFont="1" applyAlignment="1">
      <alignment horizontal="right"/>
    </xf>
    <xf numFmtId="9" fontId="5" fillId="0" borderId="0" xfId="9" applyNumberFormat="1" applyFont="1" applyFill="1" applyBorder="1" applyAlignment="1">
      <alignment horizontal="right"/>
    </xf>
    <xf numFmtId="9" fontId="11" fillId="0" borderId="0" xfId="9" applyNumberFormat="1" applyFont="1" applyFill="1" applyBorder="1" applyAlignment="1">
      <alignment horizontal="right"/>
    </xf>
    <xf numFmtId="9" fontId="20" fillId="0" borderId="0" xfId="3" applyFont="1" applyFill="1" applyBorder="1" applyAlignment="1">
      <alignment horizontal="right"/>
    </xf>
    <xf numFmtId="44" fontId="2" fillId="0" borderId="0" xfId="0" applyNumberFormat="1" applyFont="1" applyAlignment="1">
      <alignment horizontal="right"/>
    </xf>
    <xf numFmtId="44" fontId="5" fillId="0" borderId="0" xfId="3" applyNumberFormat="1" applyFont="1" applyFill="1" applyBorder="1" applyAlignment="1">
      <alignment horizontal="right"/>
    </xf>
    <xf numFmtId="44" fontId="20" fillId="0" borderId="0" xfId="0" applyNumberFormat="1" applyFont="1" applyAlignment="1">
      <alignment horizontal="right"/>
    </xf>
    <xf numFmtId="44" fontId="5" fillId="0" borderId="0" xfId="9" applyNumberFormat="1" applyFont="1" applyFill="1" applyBorder="1" applyAlignment="1">
      <alignment horizontal="right"/>
    </xf>
    <xf numFmtId="44" fontId="11" fillId="0" borderId="0" xfId="9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9" fontId="9" fillId="0" borderId="0" xfId="0" applyNumberFormat="1" applyFont="1" applyAlignment="1">
      <alignment horizontal="right"/>
    </xf>
    <xf numFmtId="167" fontId="5" fillId="0" borderId="1" xfId="5" applyNumberFormat="1" applyFont="1" applyBorder="1" applyAlignment="1">
      <alignment horizontal="right"/>
    </xf>
    <xf numFmtId="167" fontId="5" fillId="0" borderId="0" xfId="5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5" fillId="0" borderId="0" xfId="5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0" fontId="5" fillId="0" borderId="0" xfId="3" applyNumberFormat="1" applyFont="1" applyBorder="1" applyAlignment="1"/>
    <xf numFmtId="43" fontId="5" fillId="0" borderId="0" xfId="1" applyFont="1" applyBorder="1" applyAlignment="1">
      <alignment vertical="center"/>
    </xf>
    <xf numFmtId="44" fontId="5" fillId="0" borderId="0" xfId="1" applyNumberFormat="1" applyFont="1"/>
    <xf numFmtId="44" fontId="5" fillId="0" borderId="0" xfId="1" applyNumberFormat="1" applyFont="1" applyBorder="1"/>
    <xf numFmtId="44" fontId="5" fillId="0" borderId="1" xfId="0" applyNumberFormat="1" applyFont="1" applyBorder="1"/>
    <xf numFmtId="43" fontId="5" fillId="0" borderId="5" xfId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44" fontId="5" fillId="0" borderId="0" xfId="2" applyFont="1"/>
    <xf numFmtId="164" fontId="5" fillId="0" borderId="0" xfId="2" applyNumberFormat="1" applyFont="1"/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0" xfId="1" applyNumberFormat="1" applyFont="1"/>
    <xf numFmtId="164" fontId="5" fillId="0" borderId="1" xfId="1" applyNumberFormat="1" applyFont="1" applyBorder="1"/>
    <xf numFmtId="10" fontId="5" fillId="0" borderId="0" xfId="3" applyNumberFormat="1" applyFont="1" applyAlignment="1">
      <alignment vertical="top"/>
    </xf>
    <xf numFmtId="164" fontId="5" fillId="0" borderId="0" xfId="0" applyNumberFormat="1" applyFont="1"/>
    <xf numFmtId="164" fontId="5" fillId="0" borderId="1" xfId="1" applyNumberFormat="1" applyFont="1" applyBorder="1" applyAlignment="1">
      <alignment horizontal="right" vertical="center"/>
    </xf>
    <xf numFmtId="10" fontId="5" fillId="0" borderId="0" xfId="3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44" fontId="5" fillId="0" borderId="0" xfId="0" applyNumberFormat="1" applyFont="1" applyAlignment="1">
      <alignment horizontal="right" wrapText="1"/>
    </xf>
    <xf numFmtId="166" fontId="5" fillId="0" borderId="0" xfId="3" applyNumberFormat="1" applyFont="1" applyFill="1" applyBorder="1" applyAlignment="1">
      <alignment horizontal="right" wrapText="1"/>
    </xf>
    <xf numFmtId="9" fontId="5" fillId="0" borderId="0" xfId="0" applyNumberFormat="1" applyFont="1" applyAlignment="1">
      <alignment horizontal="right" wrapText="1"/>
    </xf>
    <xf numFmtId="9" fontId="5" fillId="0" borderId="0" xfId="3" applyFont="1" applyFill="1" applyBorder="1" applyAlignment="1">
      <alignment horizontal="right" wrapText="1"/>
    </xf>
    <xf numFmtId="44" fontId="5" fillId="0" borderId="0" xfId="0" applyNumberFormat="1" applyFont="1" applyAlignment="1">
      <alignment wrapText="1"/>
    </xf>
    <xf numFmtId="43" fontId="5" fillId="0" borderId="1" xfId="1" applyFont="1" applyFill="1" applyBorder="1"/>
    <xf numFmtId="165" fontId="5" fillId="0" borderId="10" xfId="5" quotePrefix="1" applyNumberFormat="1" applyFont="1" applyBorder="1" applyAlignment="1">
      <alignment horizontal="left"/>
    </xf>
    <xf numFmtId="165" fontId="5" fillId="0" borderId="0" xfId="1" applyNumberFormat="1" applyFont="1" applyFill="1"/>
    <xf numFmtId="165" fontId="5" fillId="0" borderId="2" xfId="1" applyNumberFormat="1" applyFont="1" applyFill="1" applyBorder="1"/>
    <xf numFmtId="165" fontId="5" fillId="0" borderId="1" xfId="1" applyNumberFormat="1" applyFont="1" applyFill="1" applyBorder="1"/>
    <xf numFmtId="3" fontId="13" fillId="0" borderId="7" xfId="0" applyNumberFormat="1" applyFont="1" applyBorder="1" applyAlignment="1">
      <alignment horizontal="center" vertical="center"/>
    </xf>
    <xf numFmtId="165" fontId="11" fillId="0" borderId="7" xfId="1" applyNumberFormat="1" applyFont="1" applyFill="1" applyBorder="1" applyAlignment="1">
      <alignment horizontal="center"/>
    </xf>
    <xf numFmtId="43" fontId="5" fillId="0" borderId="7" xfId="1" applyFont="1" applyFill="1" applyBorder="1"/>
    <xf numFmtId="165" fontId="11" fillId="0" borderId="0" xfId="1" applyNumberFormat="1" applyFont="1" applyFill="1" applyBorder="1" applyAlignment="1">
      <alignment horizontal="center"/>
    </xf>
    <xf numFmtId="43" fontId="5" fillId="2" borderId="7" xfId="1" applyFont="1" applyFill="1" applyBorder="1"/>
    <xf numFmtId="43" fontId="5" fillId="0" borderId="12" xfId="1" applyFont="1" applyBorder="1" applyAlignment="1"/>
    <xf numFmtId="43" fontId="5" fillId="0" borderId="13" xfId="1" applyFont="1" applyBorder="1" applyAlignment="1"/>
    <xf numFmtId="43" fontId="11" fillId="0" borderId="13" xfId="1" applyFont="1" applyBorder="1" applyAlignment="1">
      <alignment horizontal="center"/>
    </xf>
    <xf numFmtId="43" fontId="5" fillId="0" borderId="12" xfId="1" applyFont="1" applyBorder="1" applyAlignment="1">
      <alignment horizontal="right"/>
    </xf>
    <xf numFmtId="44" fontId="5" fillId="0" borderId="13" xfId="2" applyFont="1" applyBorder="1" applyAlignment="1"/>
    <xf numFmtId="43" fontId="5" fillId="0" borderId="14" xfId="1" applyFont="1" applyBorder="1" applyAlignment="1"/>
    <xf numFmtId="43" fontId="5" fillId="0" borderId="15" xfId="1" applyFont="1" applyBorder="1" applyAlignment="1"/>
    <xf numFmtId="10" fontId="5" fillId="0" borderId="15" xfId="3" applyNumberFormat="1" applyFont="1" applyBorder="1" applyAlignment="1">
      <alignment horizontal="center"/>
    </xf>
    <xf numFmtId="43" fontId="5" fillId="0" borderId="16" xfId="1" applyFont="1" applyBorder="1" applyAlignme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164" fontId="5" fillId="0" borderId="1" xfId="2" applyNumberFormat="1" applyFont="1" applyBorder="1"/>
    <xf numFmtId="0" fontId="5" fillId="0" borderId="1" xfId="0" applyFont="1" applyBorder="1" applyAlignment="1">
      <alignment horizontal="left" indent="1"/>
    </xf>
    <xf numFmtId="164" fontId="5" fillId="0" borderId="1" xfId="1" applyNumberFormat="1" applyFont="1" applyFill="1" applyBorder="1" applyAlignment="1">
      <alignment horizontal="right" vertical="center"/>
    </xf>
    <xf numFmtId="43" fontId="5" fillId="0" borderId="12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4" fontId="5" fillId="0" borderId="0" xfId="2" applyFont="1" applyFill="1" applyBorder="1" applyAlignment="1"/>
    <xf numFmtId="44" fontId="5" fillId="0" borderId="0" xfId="2" applyFont="1" applyFill="1" applyBorder="1" applyAlignment="1">
      <alignment vertical="center"/>
    </xf>
    <xf numFmtId="10" fontId="5" fillId="0" borderId="0" xfId="3" applyNumberFormat="1" applyFont="1" applyFill="1" applyBorder="1" applyAlignment="1">
      <alignment horizontal="center"/>
    </xf>
    <xf numFmtId="44" fontId="5" fillId="0" borderId="13" xfId="2" applyFont="1" applyFill="1" applyBorder="1" applyAlignment="1"/>
    <xf numFmtId="0" fontId="5" fillId="0" borderId="0" xfId="0" quotePrefix="1" applyFont="1" applyAlignment="1">
      <alignment horizontal="center"/>
    </xf>
    <xf numFmtId="0" fontId="9" fillId="0" borderId="0" xfId="0" applyFont="1"/>
    <xf numFmtId="44" fontId="1" fillId="0" borderId="0" xfId="0" applyNumberFormat="1" applyFont="1" applyAlignment="1">
      <alignment horizontal="right"/>
    </xf>
    <xf numFmtId="44" fontId="11" fillId="0" borderId="0" xfId="0" applyNumberFormat="1" applyFont="1" applyAlignment="1">
      <alignment horizontal="right"/>
    </xf>
    <xf numFmtId="165" fontId="11" fillId="0" borderId="0" xfId="1" applyNumberFormat="1" applyFont="1" applyBorder="1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4" fontId="5" fillId="0" borderId="0" xfId="2" applyNumberFormat="1" applyFont="1" applyAlignment="1">
      <alignment horizontal="center" vertical="center"/>
    </xf>
    <xf numFmtId="165" fontId="5" fillId="0" borderId="0" xfId="1" applyNumberFormat="1" applyFont="1" applyFill="1" applyAlignment="1">
      <alignment horizontal="center"/>
    </xf>
    <xf numFmtId="165" fontId="14" fillId="0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horizontal="center" vertical="center"/>
    </xf>
    <xf numFmtId="165" fontId="14" fillId="0" borderId="0" xfId="1" applyNumberFormat="1" applyFont="1" applyFill="1" applyAlignment="1">
      <alignment horizontal="left"/>
    </xf>
    <xf numFmtId="165" fontId="14" fillId="0" borderId="0" xfId="1" applyNumberFormat="1" applyFont="1" applyFill="1" applyAlignment="1">
      <alignment horizontal="center"/>
    </xf>
    <xf numFmtId="6" fontId="5" fillId="0" borderId="0" xfId="0" applyNumberFormat="1" applyFont="1"/>
    <xf numFmtId="165" fontId="11" fillId="0" borderId="0" xfId="1" applyNumberFormat="1" applyFont="1" applyFill="1" applyBorder="1" applyAlignment="1">
      <alignment vertical="center"/>
    </xf>
    <xf numFmtId="43" fontId="5" fillId="0" borderId="10" xfId="1" applyFont="1" applyFill="1" applyBorder="1"/>
    <xf numFmtId="165" fontId="5" fillId="0" borderId="7" xfId="5" applyNumberFormat="1" applyFont="1" applyFill="1" applyBorder="1" applyAlignment="1">
      <alignment horizontal="center"/>
    </xf>
    <xf numFmtId="165" fontId="5" fillId="0" borderId="0" xfId="5" applyNumberFormat="1" applyFont="1" applyFill="1" applyAlignment="1">
      <alignment horizontal="center"/>
    </xf>
    <xf numFmtId="165" fontId="5" fillId="0" borderId="8" xfId="5" applyNumberFormat="1" applyFont="1" applyFill="1" applyBorder="1" applyAlignment="1">
      <alignment horizontal="center"/>
    </xf>
    <xf numFmtId="171" fontId="5" fillId="0" borderId="0" xfId="2" applyNumberFormat="1" applyFont="1" applyFill="1" applyBorder="1" applyAlignment="1"/>
    <xf numFmtId="171" fontId="5" fillId="0" borderId="0" xfId="2" applyNumberFormat="1" applyFont="1" applyFill="1" applyBorder="1" applyAlignment="1">
      <alignment vertical="center"/>
    </xf>
    <xf numFmtId="171" fontId="5" fillId="0" borderId="0" xfId="2" applyNumberFormat="1" applyFont="1"/>
    <xf numFmtId="166" fontId="5" fillId="0" borderId="0" xfId="3" applyNumberFormat="1" applyFont="1" applyAlignment="1">
      <alignment horizontal="right" vertical="center"/>
    </xf>
    <xf numFmtId="43" fontId="5" fillId="0" borderId="0" xfId="1" applyFont="1" applyFill="1"/>
    <xf numFmtId="44" fontId="5" fillId="0" borderId="0" xfId="0" applyNumberFormat="1" applyFont="1" applyAlignment="1">
      <alignment horizontal="left"/>
    </xf>
    <xf numFmtId="165" fontId="11" fillId="0" borderId="0" xfId="1" applyNumberFormat="1" applyFont="1" applyFill="1"/>
    <xf numFmtId="43" fontId="5" fillId="0" borderId="1" xfId="1" applyFont="1" applyBorder="1" applyAlignment="1"/>
    <xf numFmtId="10" fontId="5" fillId="0" borderId="1" xfId="3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 vertical="center"/>
    </xf>
    <xf numFmtId="165" fontId="1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167" fontId="10" fillId="0" borderId="0" xfId="5" applyNumberFormat="1" applyFont="1" applyBorder="1" applyAlignment="1">
      <alignment horizontal="center"/>
    </xf>
    <xf numFmtId="165" fontId="12" fillId="0" borderId="7" xfId="5" applyNumberFormat="1" applyFont="1" applyBorder="1" applyAlignment="1">
      <alignment horizontal="center" vertical="center"/>
    </xf>
    <xf numFmtId="165" fontId="12" fillId="0" borderId="8" xfId="5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13" xfId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3" fontId="21" fillId="0" borderId="12" xfId="0" applyNumberFormat="1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" fontId="21" fillId="0" borderId="13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43" fontId="8" fillId="0" borderId="12" xfId="1" applyFont="1" applyBorder="1" applyAlignment="1">
      <alignment horizontal="right" wrapText="1"/>
    </xf>
    <xf numFmtId="43" fontId="8" fillId="0" borderId="0" xfId="1" applyFont="1" applyBorder="1" applyAlignment="1">
      <alignment horizontal="right" wrapText="1"/>
    </xf>
    <xf numFmtId="165" fontId="6" fillId="0" borderId="7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6" fillId="0" borderId="8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showGridLines="0" tabSelected="1" workbookViewId="0">
      <selection activeCell="G59" sqref="G59"/>
    </sheetView>
  </sheetViews>
  <sheetFormatPr defaultColWidth="8.77734375" defaultRowHeight="14.25" x14ac:dyDescent="0.45"/>
  <cols>
    <col min="1" max="1" width="3.6640625" style="7" customWidth="1"/>
    <col min="2" max="2" width="2.6640625" style="7" customWidth="1"/>
    <col min="3" max="3" width="29.44140625" style="7" customWidth="1"/>
    <col min="4" max="4" width="11.33203125" style="7" customWidth="1"/>
    <col min="5" max="5" width="11.5546875" style="7" customWidth="1"/>
    <col min="6" max="6" width="5.33203125" style="7" customWidth="1"/>
    <col min="7" max="7" width="11.5546875" style="7" customWidth="1"/>
    <col min="8" max="8" width="3.5546875" style="7" customWidth="1"/>
    <col min="9" max="9" width="47.27734375" style="7" customWidth="1"/>
    <col min="10" max="11" width="11.33203125" style="7" customWidth="1"/>
    <col min="12" max="12" width="10.88671875" style="7" customWidth="1"/>
    <col min="13" max="16384" width="8.77734375" style="7"/>
  </cols>
  <sheetData>
    <row r="1" spans="1:12" ht="18" x14ac:dyDescent="0.45">
      <c r="A1" s="280" t="s">
        <v>28</v>
      </c>
      <c r="B1" s="280"/>
      <c r="C1" s="280"/>
      <c r="D1" s="280"/>
      <c r="E1" s="280"/>
      <c r="F1" s="280"/>
      <c r="G1" s="280"/>
      <c r="H1" s="52"/>
      <c r="I1" s="52"/>
      <c r="J1" s="52"/>
      <c r="K1" s="52"/>
    </row>
    <row r="2" spans="1:12" ht="15.75" x14ac:dyDescent="0.45">
      <c r="A2" s="281" t="s">
        <v>213</v>
      </c>
      <c r="B2" s="282"/>
      <c r="C2" s="282"/>
      <c r="D2" s="282"/>
      <c r="E2" s="282"/>
      <c r="F2" s="282"/>
      <c r="G2" s="282"/>
      <c r="H2" s="52"/>
      <c r="I2" s="52"/>
      <c r="J2" s="52"/>
      <c r="K2" s="52"/>
      <c r="L2" s="52"/>
    </row>
    <row r="3" spans="1:12" ht="16.5" x14ac:dyDescent="0.45">
      <c r="A3" s="45"/>
      <c r="B3" s="51"/>
      <c r="C3" s="51"/>
      <c r="D3" s="51"/>
      <c r="E3" s="51"/>
      <c r="F3" s="51"/>
      <c r="G3" s="51"/>
      <c r="H3" s="52"/>
      <c r="I3" s="74"/>
      <c r="J3" s="52"/>
      <c r="K3" s="52"/>
    </row>
    <row r="4" spans="1:12" ht="16.5" x14ac:dyDescent="0.45">
      <c r="A4" s="52"/>
      <c r="B4" s="52"/>
      <c r="C4" s="52"/>
      <c r="D4" s="53" t="s">
        <v>29</v>
      </c>
      <c r="E4" s="53" t="s">
        <v>30</v>
      </c>
      <c r="F4" s="53" t="s">
        <v>31</v>
      </c>
      <c r="G4" s="53" t="s">
        <v>32</v>
      </c>
      <c r="H4" s="52"/>
      <c r="I4" s="64" t="s">
        <v>36</v>
      </c>
      <c r="J4" s="64" t="s">
        <v>249</v>
      </c>
      <c r="K4" s="52"/>
    </row>
    <row r="5" spans="1:12" x14ac:dyDescent="0.45">
      <c r="A5" s="54" t="s">
        <v>13</v>
      </c>
      <c r="B5" s="52"/>
      <c r="C5" s="52"/>
      <c r="D5" s="52"/>
      <c r="F5" s="52"/>
      <c r="G5" s="52"/>
      <c r="H5" s="52"/>
      <c r="J5" s="52"/>
      <c r="K5" s="52"/>
    </row>
    <row r="6" spans="1:12" x14ac:dyDescent="0.45">
      <c r="A6" s="52"/>
      <c r="B6" s="52" t="s">
        <v>38</v>
      </c>
      <c r="C6" s="52"/>
      <c r="D6" s="152">
        <v>599543</v>
      </c>
      <c r="E6" s="52">
        <f>ExBA1!H8</f>
        <v>-12533.550000000047</v>
      </c>
      <c r="F6" s="55" t="s">
        <v>273</v>
      </c>
      <c r="G6" s="52"/>
      <c r="H6" s="56"/>
      <c r="I6" s="52" t="s">
        <v>283</v>
      </c>
      <c r="J6" s="52" t="s">
        <v>286</v>
      </c>
      <c r="K6" s="52"/>
    </row>
    <row r="7" spans="1:12" x14ac:dyDescent="0.45">
      <c r="A7" s="52"/>
      <c r="B7" s="52"/>
      <c r="C7" s="52"/>
      <c r="D7" s="152"/>
      <c r="E7" s="52">
        <f>ExBA2!H8</f>
        <v>16537.729999999981</v>
      </c>
      <c r="F7" s="55" t="s">
        <v>273</v>
      </c>
      <c r="G7" s="52">
        <f>D6+E6+E7</f>
        <v>603547.17999999993</v>
      </c>
      <c r="H7" s="56"/>
      <c r="I7" s="52" t="s">
        <v>284</v>
      </c>
      <c r="J7" s="52" t="s">
        <v>285</v>
      </c>
    </row>
    <row r="8" spans="1:12" x14ac:dyDescent="0.45">
      <c r="A8" s="52"/>
      <c r="B8" s="52" t="s">
        <v>14</v>
      </c>
      <c r="C8" s="52"/>
      <c r="D8" s="152"/>
      <c r="E8" s="52"/>
      <c r="F8" s="55"/>
      <c r="G8" s="52"/>
      <c r="H8" s="58"/>
      <c r="I8" s="52"/>
      <c r="J8" s="52"/>
      <c r="K8" s="52"/>
    </row>
    <row r="9" spans="1:12" x14ac:dyDescent="0.45">
      <c r="A9" s="52"/>
      <c r="B9" s="52"/>
      <c r="C9" s="52" t="s">
        <v>37</v>
      </c>
      <c r="D9" s="152">
        <v>0</v>
      </c>
      <c r="E9" s="52"/>
      <c r="F9" s="55"/>
      <c r="G9" s="52">
        <f>D9+E9</f>
        <v>0</v>
      </c>
      <c r="H9" s="56"/>
      <c r="I9" s="52"/>
      <c r="J9" s="52"/>
      <c r="K9" s="52"/>
    </row>
    <row r="10" spans="1:12" x14ac:dyDescent="0.45">
      <c r="A10" s="52"/>
      <c r="C10" s="52" t="s">
        <v>15</v>
      </c>
      <c r="D10" s="152">
        <v>0</v>
      </c>
      <c r="E10" s="52"/>
      <c r="F10" s="55"/>
      <c r="G10" s="52">
        <f>D10+E10</f>
        <v>0</v>
      </c>
      <c r="H10" s="56"/>
      <c r="I10" s="52"/>
      <c r="J10" s="52"/>
      <c r="K10" s="52"/>
    </row>
    <row r="11" spans="1:12" ht="16.5" x14ac:dyDescent="0.45">
      <c r="A11" s="52"/>
      <c r="C11" s="52" t="s">
        <v>50</v>
      </c>
      <c r="D11" s="266">
        <v>10229</v>
      </c>
      <c r="E11" s="72">
        <v>0</v>
      </c>
      <c r="F11" s="55"/>
      <c r="G11" s="72">
        <f>D11+E11</f>
        <v>10229</v>
      </c>
      <c r="H11" s="57"/>
      <c r="I11" s="52"/>
      <c r="J11" s="52"/>
      <c r="K11" s="52"/>
    </row>
    <row r="12" spans="1:12" x14ac:dyDescent="0.45">
      <c r="A12" s="59" t="s">
        <v>16</v>
      </c>
      <c r="B12" s="52"/>
      <c r="C12" s="52"/>
      <c r="D12" s="152">
        <f>SUM(D6:D11)</f>
        <v>609772</v>
      </c>
      <c r="E12" s="52">
        <f>SUM(E6:E11)</f>
        <v>4004.1799999999348</v>
      </c>
      <c r="F12" s="55"/>
      <c r="G12" s="52">
        <f>SUM(G6:G11)</f>
        <v>613776.17999999993</v>
      </c>
      <c r="H12" s="58"/>
      <c r="J12" s="52"/>
      <c r="K12" s="52"/>
    </row>
    <row r="13" spans="1:12" x14ac:dyDescent="0.45">
      <c r="A13" s="52"/>
      <c r="B13" s="52"/>
      <c r="C13" s="52"/>
      <c r="D13" s="52"/>
      <c r="E13" s="52"/>
      <c r="F13" s="55"/>
      <c r="G13" s="52"/>
      <c r="H13" s="58"/>
      <c r="I13" s="52"/>
      <c r="J13" s="52"/>
      <c r="K13" s="52"/>
    </row>
    <row r="14" spans="1:12" x14ac:dyDescent="0.45">
      <c r="A14" s="54" t="s">
        <v>17</v>
      </c>
      <c r="B14" s="52"/>
      <c r="C14" s="52"/>
      <c r="D14" s="52"/>
      <c r="E14" s="52"/>
      <c r="F14" s="55"/>
      <c r="G14" s="52"/>
      <c r="H14" s="58"/>
      <c r="I14" s="52"/>
      <c r="J14" s="52"/>
      <c r="K14" s="52"/>
    </row>
    <row r="15" spans="1:12" x14ac:dyDescent="0.45">
      <c r="A15" s="52"/>
      <c r="B15" s="52" t="s">
        <v>33</v>
      </c>
      <c r="C15" s="52"/>
      <c r="D15" s="152"/>
      <c r="E15" s="52"/>
      <c r="F15" s="55"/>
      <c r="G15" s="52"/>
      <c r="H15" s="58"/>
      <c r="I15" s="52"/>
      <c r="J15" s="52"/>
      <c r="K15" s="52"/>
    </row>
    <row r="16" spans="1:12" x14ac:dyDescent="0.45">
      <c r="A16" s="52"/>
      <c r="B16" s="52"/>
      <c r="C16" s="52" t="s">
        <v>2</v>
      </c>
      <c r="D16" s="152">
        <v>158125</v>
      </c>
      <c r="E16" s="152">
        <f>Wages!G19</f>
        <v>23028.375</v>
      </c>
      <c r="F16" s="260" t="s">
        <v>274</v>
      </c>
      <c r="G16" s="152"/>
      <c r="H16" s="261"/>
      <c r="I16" s="152" t="s">
        <v>252</v>
      </c>
      <c r="J16" s="152" t="s">
        <v>257</v>
      </c>
      <c r="K16" s="152"/>
    </row>
    <row r="17" spans="1:11" x14ac:dyDescent="0.45">
      <c r="A17" s="52"/>
      <c r="B17" s="52"/>
      <c r="C17" s="52"/>
      <c r="D17" s="152"/>
      <c r="E17" s="152">
        <f>-Capital!C5</f>
        <v>-1365</v>
      </c>
      <c r="F17" s="260" t="s">
        <v>277</v>
      </c>
      <c r="G17" s="152">
        <f>D16+E16+E17</f>
        <v>179788.375</v>
      </c>
      <c r="H17" s="261"/>
      <c r="I17" s="152" t="s">
        <v>227</v>
      </c>
      <c r="J17" s="152" t="s">
        <v>258</v>
      </c>
      <c r="K17" s="152"/>
    </row>
    <row r="18" spans="1:11" x14ac:dyDescent="0.45">
      <c r="A18" s="52"/>
      <c r="B18" s="52"/>
      <c r="C18" s="52" t="s">
        <v>3</v>
      </c>
      <c r="D18" s="152">
        <v>3500</v>
      </c>
      <c r="E18" s="152"/>
      <c r="F18" s="262"/>
      <c r="G18" s="152">
        <f t="shared" ref="G18:G34" si="0">D18+E18</f>
        <v>3500</v>
      </c>
      <c r="H18" s="261"/>
      <c r="I18" s="221"/>
      <c r="J18" s="221"/>
      <c r="K18" s="221"/>
    </row>
    <row r="19" spans="1:11" x14ac:dyDescent="0.45">
      <c r="A19" s="52"/>
      <c r="B19" s="52"/>
      <c r="C19" s="152" t="s">
        <v>4</v>
      </c>
      <c r="D19" s="152">
        <v>56185</v>
      </c>
      <c r="E19" s="152">
        <f>Wages!G31</f>
        <v>46228.824000000008</v>
      </c>
      <c r="F19" s="260" t="s">
        <v>275</v>
      </c>
      <c r="G19" s="152"/>
      <c r="H19" s="261"/>
      <c r="I19" s="152" t="s">
        <v>243</v>
      </c>
      <c r="J19" s="152" t="s">
        <v>259</v>
      </c>
      <c r="K19" s="152"/>
    </row>
    <row r="20" spans="1:11" x14ac:dyDescent="0.45">
      <c r="A20" s="52"/>
      <c r="B20" s="52"/>
      <c r="C20" s="152"/>
      <c r="D20" s="152"/>
      <c r="E20" s="152">
        <f>+Medical!C17</f>
        <v>-4490.5587999999989</v>
      </c>
      <c r="F20" s="260" t="s">
        <v>276</v>
      </c>
      <c r="G20" s="152">
        <f>D19+E19+E20</f>
        <v>97923.265200000009</v>
      </c>
      <c r="H20" s="261"/>
      <c r="I20" s="152" t="s">
        <v>269</v>
      </c>
      <c r="J20" s="152" t="s">
        <v>260</v>
      </c>
      <c r="K20" s="152"/>
    </row>
    <row r="21" spans="1:11" x14ac:dyDescent="0.45">
      <c r="A21" s="52"/>
      <c r="B21" s="52"/>
      <c r="C21" s="52" t="s">
        <v>5</v>
      </c>
      <c r="D21" s="152">
        <v>208483</v>
      </c>
      <c r="E21" s="152"/>
      <c r="F21" s="260"/>
      <c r="G21" s="152">
        <f t="shared" si="0"/>
        <v>208483</v>
      </c>
      <c r="H21" s="263"/>
      <c r="I21" s="221"/>
      <c r="J21" s="221"/>
      <c r="K21" s="221"/>
    </row>
    <row r="22" spans="1:11" x14ac:dyDescent="0.45">
      <c r="A22" s="52"/>
      <c r="B22" s="52"/>
      <c r="C22" s="52" t="s">
        <v>6</v>
      </c>
      <c r="D22" s="152">
        <v>18707</v>
      </c>
      <c r="E22" s="152"/>
      <c r="F22" s="260"/>
      <c r="G22" s="152">
        <f t="shared" si="0"/>
        <v>18707</v>
      </c>
      <c r="H22" s="264"/>
      <c r="I22" s="221"/>
      <c r="J22" s="152"/>
      <c r="K22" s="152"/>
    </row>
    <row r="23" spans="1:11" x14ac:dyDescent="0.45">
      <c r="A23" s="52"/>
      <c r="B23" s="52"/>
      <c r="C23" s="52" t="s">
        <v>69</v>
      </c>
      <c r="D23" s="152">
        <v>0</v>
      </c>
      <c r="E23" s="152">
        <v>3973.58</v>
      </c>
      <c r="F23" s="260" t="s">
        <v>278</v>
      </c>
      <c r="G23" s="152">
        <f t="shared" si="0"/>
        <v>3973.58</v>
      </c>
      <c r="H23" s="264"/>
      <c r="I23" s="221" t="s">
        <v>248</v>
      </c>
      <c r="J23" s="152" t="s">
        <v>250</v>
      </c>
      <c r="K23" s="152"/>
    </row>
    <row r="24" spans="1:11" x14ac:dyDescent="0.45">
      <c r="A24" s="52"/>
      <c r="B24" s="52"/>
      <c r="C24" s="152" t="s">
        <v>7</v>
      </c>
      <c r="D24" s="152">
        <v>6107</v>
      </c>
      <c r="E24" s="152">
        <f>-Capital!C6</f>
        <v>-3185</v>
      </c>
      <c r="F24" s="260" t="s">
        <v>277</v>
      </c>
      <c r="G24" s="152"/>
      <c r="H24" s="261"/>
      <c r="I24" s="152" t="s">
        <v>228</v>
      </c>
      <c r="J24" s="152" t="s">
        <v>261</v>
      </c>
      <c r="K24" s="152"/>
    </row>
    <row r="25" spans="1:11" x14ac:dyDescent="0.45">
      <c r="A25" s="52"/>
      <c r="B25" s="52"/>
      <c r="C25" s="152"/>
      <c r="D25" s="152"/>
      <c r="E25" s="152">
        <v>-3292.99</v>
      </c>
      <c r="F25" s="260" t="s">
        <v>278</v>
      </c>
      <c r="G25" s="152">
        <f>D24+E24+E25</f>
        <v>-370.98999999999978</v>
      </c>
      <c r="H25" s="261"/>
      <c r="I25" s="152" t="s">
        <v>247</v>
      </c>
      <c r="J25" s="152" t="s">
        <v>250</v>
      </c>
      <c r="K25" s="152"/>
    </row>
    <row r="26" spans="1:11" x14ac:dyDescent="0.45">
      <c r="A26" s="52"/>
      <c r="B26" s="52"/>
      <c r="C26" s="52" t="s">
        <v>180</v>
      </c>
      <c r="D26" s="152">
        <v>4500</v>
      </c>
      <c r="E26" s="152"/>
      <c r="F26" s="260"/>
      <c r="G26" s="152">
        <f t="shared" si="0"/>
        <v>4500</v>
      </c>
      <c r="H26" s="261"/>
      <c r="I26" s="152"/>
      <c r="J26" s="152"/>
      <c r="K26" s="152"/>
    </row>
    <row r="27" spans="1:11" x14ac:dyDescent="0.45">
      <c r="A27" s="52"/>
      <c r="B27" s="52"/>
      <c r="C27" s="152" t="s">
        <v>181</v>
      </c>
      <c r="D27" s="152">
        <v>0</v>
      </c>
      <c r="E27" s="152"/>
      <c r="F27" s="60"/>
      <c r="G27" s="52">
        <f t="shared" si="0"/>
        <v>0</v>
      </c>
      <c r="H27" s="56"/>
      <c r="I27" s="52"/>
      <c r="J27" s="52"/>
      <c r="K27" s="52"/>
    </row>
    <row r="28" spans="1:11" x14ac:dyDescent="0.45">
      <c r="A28" s="52"/>
      <c r="B28" s="52"/>
      <c r="C28" s="152" t="s">
        <v>182</v>
      </c>
      <c r="D28" s="152">
        <v>2938</v>
      </c>
      <c r="E28" s="52"/>
      <c r="F28" s="60"/>
      <c r="G28" s="52">
        <f t="shared" si="0"/>
        <v>2938</v>
      </c>
      <c r="H28" s="56"/>
      <c r="I28" s="52"/>
      <c r="J28" s="52"/>
      <c r="K28" s="52"/>
    </row>
    <row r="29" spans="1:11" x14ac:dyDescent="0.45">
      <c r="A29" s="52"/>
      <c r="B29" s="52"/>
      <c r="C29" s="52" t="s">
        <v>51</v>
      </c>
      <c r="D29" s="152">
        <v>0</v>
      </c>
      <c r="E29" s="52"/>
      <c r="F29" s="60"/>
      <c r="G29" s="52">
        <f t="shared" si="0"/>
        <v>0</v>
      </c>
      <c r="H29" s="56"/>
      <c r="I29" s="52"/>
      <c r="J29" s="52"/>
      <c r="K29" s="52"/>
    </row>
    <row r="30" spans="1:11" x14ac:dyDescent="0.45">
      <c r="A30" s="52"/>
      <c r="B30" s="52"/>
      <c r="C30" s="52" t="s">
        <v>9</v>
      </c>
      <c r="D30" s="152">
        <v>5187</v>
      </c>
      <c r="E30" s="52"/>
      <c r="F30" s="60"/>
      <c r="G30" s="52">
        <f t="shared" si="0"/>
        <v>5187</v>
      </c>
      <c r="H30" s="58"/>
      <c r="I30" s="52"/>
      <c r="J30" s="52"/>
      <c r="K30" s="52"/>
    </row>
    <row r="31" spans="1:11" x14ac:dyDescent="0.45">
      <c r="A31" s="52"/>
      <c r="B31" s="52"/>
      <c r="C31" s="152" t="s">
        <v>183</v>
      </c>
      <c r="D31" s="152">
        <v>0</v>
      </c>
      <c r="E31" s="52"/>
      <c r="F31" s="60"/>
      <c r="G31" s="52">
        <f t="shared" si="0"/>
        <v>0</v>
      </c>
      <c r="H31" s="58"/>
      <c r="I31" s="52"/>
      <c r="J31" s="52"/>
      <c r="K31" s="52"/>
    </row>
    <row r="32" spans="1:11" x14ac:dyDescent="0.45">
      <c r="A32" s="52"/>
      <c r="B32" s="52"/>
      <c r="C32" s="52" t="s">
        <v>52</v>
      </c>
      <c r="D32" s="152">
        <v>14217</v>
      </c>
      <c r="E32" s="52"/>
      <c r="F32" s="60"/>
      <c r="G32" s="52">
        <f t="shared" si="0"/>
        <v>14217</v>
      </c>
      <c r="H32" s="58"/>
      <c r="I32" s="52"/>
      <c r="J32" s="52"/>
      <c r="K32" s="52"/>
    </row>
    <row r="33" spans="1:11" x14ac:dyDescent="0.45">
      <c r="A33" s="52"/>
      <c r="B33" s="52"/>
      <c r="C33" s="52" t="s">
        <v>53</v>
      </c>
      <c r="D33" s="152"/>
      <c r="E33" s="52"/>
      <c r="F33" s="55"/>
      <c r="G33" s="52">
        <f t="shared" si="0"/>
        <v>0</v>
      </c>
      <c r="H33" s="58"/>
      <c r="I33" s="52"/>
      <c r="J33" s="52"/>
      <c r="K33" s="52"/>
    </row>
    <row r="34" spans="1:11" ht="16.5" x14ac:dyDescent="0.45">
      <c r="A34" s="52"/>
      <c r="B34" s="52"/>
      <c r="C34" s="152" t="s">
        <v>8</v>
      </c>
      <c r="D34" s="266">
        <v>33735</v>
      </c>
      <c r="E34" s="72">
        <v>0</v>
      </c>
      <c r="F34" s="60"/>
      <c r="G34" s="72">
        <f t="shared" si="0"/>
        <v>33735</v>
      </c>
      <c r="H34" s="58"/>
      <c r="I34" s="52"/>
      <c r="J34" s="52"/>
      <c r="K34" s="52"/>
    </row>
    <row r="35" spans="1:11" x14ac:dyDescent="0.45">
      <c r="A35" s="52"/>
      <c r="B35" s="52" t="s">
        <v>232</v>
      </c>
      <c r="C35" s="52"/>
      <c r="D35" s="152">
        <f>SUM(D16:D34)</f>
        <v>511684</v>
      </c>
      <c r="E35" s="52">
        <f>SUM(E16:E34)</f>
        <v>60897.230200000013</v>
      </c>
      <c r="F35" s="55"/>
      <c r="G35" s="52">
        <f>SUM(G16:G34)</f>
        <v>572581.23020000011</v>
      </c>
      <c r="H35" s="58"/>
      <c r="I35" s="52"/>
      <c r="J35" s="52"/>
      <c r="K35" s="52"/>
    </row>
    <row r="36" spans="1:11" ht="4.05" customHeight="1" x14ac:dyDescent="0.45">
      <c r="A36" s="52"/>
      <c r="B36" s="52"/>
      <c r="C36" s="52"/>
      <c r="D36" s="52"/>
      <c r="E36" s="52"/>
      <c r="F36" s="55"/>
      <c r="G36" s="52"/>
      <c r="H36" s="58"/>
      <c r="I36" s="52"/>
      <c r="J36" s="52"/>
      <c r="K36" s="52"/>
    </row>
    <row r="37" spans="1:11" x14ac:dyDescent="0.45">
      <c r="A37" s="52"/>
      <c r="B37" s="52" t="s">
        <v>18</v>
      </c>
      <c r="C37" s="52"/>
      <c r="D37" s="152">
        <v>46069</v>
      </c>
      <c r="E37" s="52">
        <f>Depreciation!K44</f>
        <v>-7668.9005714285704</v>
      </c>
      <c r="F37" s="55" t="s">
        <v>279</v>
      </c>
      <c r="G37" s="52">
        <f>D37+E37</f>
        <v>38400.099428571426</v>
      </c>
      <c r="H37" s="58"/>
      <c r="I37" s="52" t="s">
        <v>254</v>
      </c>
      <c r="J37" s="52" t="s">
        <v>262</v>
      </c>
    </row>
    <row r="38" spans="1:11" ht="16.5" x14ac:dyDescent="0.45">
      <c r="A38" s="52"/>
      <c r="B38" s="152" t="s">
        <v>1</v>
      </c>
      <c r="C38" s="152"/>
      <c r="D38" s="266">
        <v>15120</v>
      </c>
      <c r="E38" s="72">
        <f>Wages!G25</f>
        <v>-58.226812499999141</v>
      </c>
      <c r="F38" s="73" t="s">
        <v>280</v>
      </c>
      <c r="G38" s="72">
        <f t="shared" ref="G38" si="1">D38+E38</f>
        <v>15061.773187500001</v>
      </c>
      <c r="H38" s="58"/>
      <c r="I38" s="152" t="s">
        <v>253</v>
      </c>
      <c r="J38" s="52" t="s">
        <v>263</v>
      </c>
    </row>
    <row r="39" spans="1:11" ht="16.5" x14ac:dyDescent="0.45">
      <c r="A39" s="59" t="s">
        <v>0</v>
      </c>
      <c r="B39" s="52"/>
      <c r="C39" s="52"/>
      <c r="D39" s="72">
        <f>SUM(D35:D38)</f>
        <v>572873</v>
      </c>
      <c r="E39" s="72">
        <f>SUM(E35:E38)</f>
        <v>53170.102816071449</v>
      </c>
      <c r="F39" s="73"/>
      <c r="G39" s="72">
        <f>SUM(G35:G38)</f>
        <v>626043.10281607148</v>
      </c>
      <c r="H39" s="58"/>
      <c r="I39" s="52"/>
      <c r="J39" s="52"/>
      <c r="K39" s="52"/>
    </row>
    <row r="40" spans="1:11" ht="4.05" customHeight="1" x14ac:dyDescent="0.45">
      <c r="A40" s="59"/>
      <c r="B40" s="52"/>
      <c r="C40" s="52"/>
      <c r="D40" s="74"/>
      <c r="E40" s="52"/>
      <c r="F40" s="55"/>
      <c r="G40" s="52"/>
      <c r="H40" s="52"/>
      <c r="I40" s="52"/>
      <c r="J40" s="52"/>
      <c r="K40" s="52"/>
    </row>
    <row r="41" spans="1:11" x14ac:dyDescent="0.45">
      <c r="A41" s="59" t="s">
        <v>34</v>
      </c>
      <c r="B41" s="52"/>
      <c r="C41" s="52"/>
      <c r="D41" s="52">
        <f>D12-D39</f>
        <v>36899</v>
      </c>
      <c r="E41" s="52">
        <f>E12-E39</f>
        <v>-49165.922816071514</v>
      </c>
      <c r="F41" s="55"/>
      <c r="G41" s="52">
        <f>G12-G39</f>
        <v>-12266.922816071543</v>
      </c>
      <c r="H41" s="52"/>
      <c r="I41" s="52"/>
      <c r="K41" s="52"/>
    </row>
    <row r="42" spans="1:11" x14ac:dyDescent="0.45">
      <c r="A42" s="52"/>
      <c r="B42" s="52"/>
      <c r="C42" s="52"/>
      <c r="D42" s="52"/>
      <c r="E42" s="52"/>
      <c r="F42" s="55"/>
      <c r="G42" s="52"/>
      <c r="H42" s="52"/>
      <c r="I42" s="52"/>
      <c r="J42" s="52"/>
      <c r="K42" s="52"/>
    </row>
    <row r="43" spans="1:11" ht="18" x14ac:dyDescent="0.45">
      <c r="A43" s="280" t="s">
        <v>19</v>
      </c>
      <c r="B43" s="280"/>
      <c r="C43" s="280"/>
      <c r="D43" s="280"/>
      <c r="E43" s="280"/>
      <c r="F43" s="280"/>
      <c r="G43" s="280"/>
      <c r="H43" s="52"/>
      <c r="I43" s="61"/>
      <c r="J43" s="62"/>
      <c r="K43" s="52"/>
    </row>
    <row r="44" spans="1:11" x14ac:dyDescent="0.45">
      <c r="A44" s="59" t="s">
        <v>35</v>
      </c>
      <c r="B44" s="52"/>
      <c r="C44" s="52"/>
      <c r="D44" s="63"/>
      <c r="E44" s="52"/>
      <c r="F44" s="60"/>
      <c r="G44" s="7">
        <f>G39</f>
        <v>626043.10281607148</v>
      </c>
      <c r="H44" s="52"/>
      <c r="J44" s="52"/>
      <c r="K44" s="52"/>
    </row>
    <row r="45" spans="1:11" x14ac:dyDescent="0.45">
      <c r="A45" s="52" t="s">
        <v>20</v>
      </c>
      <c r="B45" s="52"/>
      <c r="C45" s="52" t="s">
        <v>94</v>
      </c>
      <c r="D45" s="63"/>
      <c r="E45" s="52"/>
      <c r="F45" s="60" t="s">
        <v>281</v>
      </c>
      <c r="G45" s="221">
        <f>'Debt Service'!M21</f>
        <v>61056.631999999998</v>
      </c>
      <c r="H45" s="52"/>
      <c r="I45" s="7" t="s">
        <v>264</v>
      </c>
      <c r="J45" s="52" t="s">
        <v>265</v>
      </c>
      <c r="K45" s="52"/>
    </row>
    <row r="46" spans="1:11" ht="16.5" x14ac:dyDescent="0.75">
      <c r="A46" s="52"/>
      <c r="B46" s="52"/>
      <c r="C46" s="52" t="s">
        <v>95</v>
      </c>
      <c r="D46" s="63"/>
      <c r="E46" s="52"/>
      <c r="F46" s="60" t="s">
        <v>282</v>
      </c>
      <c r="G46" s="254">
        <f>'Debt Service'!M23</f>
        <v>12211.3264</v>
      </c>
      <c r="H46" s="52"/>
      <c r="I46" s="7" t="s">
        <v>266</v>
      </c>
      <c r="J46" s="52" t="s">
        <v>267</v>
      </c>
      <c r="K46" s="52"/>
    </row>
    <row r="47" spans="1:11" x14ac:dyDescent="0.45">
      <c r="A47" s="59" t="s">
        <v>56</v>
      </c>
      <c r="B47" s="52"/>
      <c r="C47" s="52"/>
      <c r="D47" s="63"/>
      <c r="E47" s="52"/>
      <c r="F47" s="60"/>
      <c r="G47" s="7">
        <f>G44+G45+G46</f>
        <v>699311.06121607148</v>
      </c>
      <c r="H47" s="52"/>
      <c r="J47" s="52"/>
      <c r="K47" s="52"/>
    </row>
    <row r="48" spans="1:11" x14ac:dyDescent="0.45">
      <c r="A48" s="52" t="s">
        <v>21</v>
      </c>
      <c r="B48" s="52"/>
      <c r="C48" s="52" t="s">
        <v>22</v>
      </c>
      <c r="D48" s="63"/>
      <c r="E48" s="52"/>
      <c r="F48" s="60"/>
      <c r="G48" s="7">
        <f>SUM(G9:G11)</f>
        <v>10229</v>
      </c>
      <c r="H48" s="52"/>
      <c r="J48" s="52"/>
      <c r="K48" s="52"/>
    </row>
    <row r="49" spans="1:11" ht="16.5" x14ac:dyDescent="0.75">
      <c r="A49" s="52"/>
      <c r="B49" s="52"/>
      <c r="C49" s="52" t="s">
        <v>268</v>
      </c>
      <c r="D49" s="63"/>
      <c r="E49" s="52"/>
      <c r="F49" s="60"/>
      <c r="G49" s="277">
        <v>5225</v>
      </c>
      <c r="H49" s="52"/>
      <c r="I49" s="32"/>
      <c r="J49" s="52"/>
      <c r="K49" s="52"/>
    </row>
    <row r="50" spans="1:11" x14ac:dyDescent="0.45">
      <c r="A50" s="59" t="s">
        <v>54</v>
      </c>
      <c r="B50" s="52"/>
      <c r="C50" s="52"/>
      <c r="D50" s="63"/>
      <c r="E50" s="52"/>
      <c r="F50" s="60"/>
      <c r="G50" s="7">
        <f>G47-G48-G49</f>
        <v>683857.06121607148</v>
      </c>
      <c r="H50" s="52"/>
      <c r="J50" s="52"/>
      <c r="K50" s="52"/>
    </row>
    <row r="51" spans="1:11" ht="16.5" x14ac:dyDescent="0.75">
      <c r="A51" s="52" t="s">
        <v>21</v>
      </c>
      <c r="B51" s="52"/>
      <c r="C51" s="52" t="s">
        <v>55</v>
      </c>
      <c r="D51" s="63"/>
      <c r="E51" s="52"/>
      <c r="F51" s="60"/>
      <c r="G51" s="24">
        <f>G7</f>
        <v>603547.17999999993</v>
      </c>
      <c r="H51" s="52"/>
      <c r="I51" s="32"/>
      <c r="J51" s="52"/>
      <c r="K51" s="52"/>
    </row>
    <row r="52" spans="1:11" x14ac:dyDescent="0.45">
      <c r="A52" s="59" t="s">
        <v>57</v>
      </c>
      <c r="B52" s="52"/>
      <c r="C52" s="52"/>
      <c r="D52" s="63"/>
      <c r="E52" s="52"/>
      <c r="F52" s="60"/>
      <c r="G52" s="52">
        <f>G50-G51</f>
        <v>80309.881216071546</v>
      </c>
      <c r="H52" s="52"/>
      <c r="I52" s="52"/>
      <c r="J52" s="52"/>
      <c r="K52" s="52"/>
    </row>
    <row r="53" spans="1:11" ht="4.05" customHeight="1" x14ac:dyDescent="0.45">
      <c r="A53" s="52"/>
      <c r="B53" s="52"/>
      <c r="C53" s="52"/>
      <c r="D53" s="63"/>
      <c r="E53" s="52"/>
      <c r="F53" s="60"/>
      <c r="G53" s="52"/>
      <c r="H53" s="52"/>
      <c r="I53" s="52"/>
      <c r="J53" s="52"/>
      <c r="K53" s="52"/>
    </row>
    <row r="54" spans="1:11" x14ac:dyDescent="0.45">
      <c r="A54" s="59" t="s">
        <v>58</v>
      </c>
      <c r="B54" s="52"/>
      <c r="C54" s="52"/>
      <c r="D54" s="63"/>
      <c r="E54" s="52"/>
      <c r="F54" s="60"/>
      <c r="G54" s="65">
        <f>G52/G51</f>
        <v>0.13306313719512625</v>
      </c>
      <c r="H54" s="52"/>
      <c r="I54" s="52"/>
      <c r="J54" s="52"/>
      <c r="K54" s="52"/>
    </row>
    <row r="57" spans="1:11" x14ac:dyDescent="0.45">
      <c r="A57" s="59"/>
      <c r="B57" s="52"/>
      <c r="C57" s="52"/>
      <c r="D57" s="63"/>
      <c r="E57" s="52"/>
      <c r="F57" s="60"/>
      <c r="G57" s="52"/>
    </row>
    <row r="58" spans="1:11" x14ac:dyDescent="0.45">
      <c r="A58" s="52"/>
      <c r="B58" s="52"/>
      <c r="C58" s="52"/>
      <c r="D58" s="63"/>
      <c r="E58" s="52"/>
      <c r="F58" s="60"/>
      <c r="G58" s="52"/>
    </row>
    <row r="59" spans="1:11" x14ac:dyDescent="0.45">
      <c r="A59" s="59"/>
      <c r="B59" s="52"/>
      <c r="C59" s="52"/>
      <c r="D59" s="63"/>
      <c r="E59" s="52"/>
      <c r="F59" s="60"/>
      <c r="G59" s="52"/>
    </row>
  </sheetData>
  <mergeCells count="3">
    <mergeCell ref="A43:G43"/>
    <mergeCell ref="A1:G1"/>
    <mergeCell ref="A2:G2"/>
  </mergeCells>
  <printOptions horizontalCentered="1"/>
  <pageMargins left="0.45" right="0.25" top="0.5" bottom="0.5" header="0.3" footer="0.3"/>
  <pageSetup scale="95" orientation="portrait" horizontalDpi="4294967293" r:id="rId1"/>
  <rowBreaks count="2" manualBreakCount="2">
    <brk id="41" max="16383" man="1"/>
    <brk id="4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3ECA-7D15-459E-9D5E-C8873BBE61D2}">
  <sheetPr>
    <pageSetUpPr fitToPage="1"/>
  </sheetPr>
  <dimension ref="A1:L29"/>
  <sheetViews>
    <sheetView workbookViewId="0">
      <selection activeCell="F29" sqref="F29"/>
    </sheetView>
  </sheetViews>
  <sheetFormatPr defaultRowHeight="14.25" x14ac:dyDescent="0.4"/>
  <cols>
    <col min="1" max="1" width="8.88671875" style="238"/>
    <col min="2" max="2" width="8.88671875" style="146"/>
    <col min="3" max="3" width="9.27734375" style="146" bestFit="1" customWidth="1"/>
    <col min="4" max="4" width="9.0546875" style="146" bestFit="1" customWidth="1"/>
    <col min="5" max="5" width="20.44140625" style="146" bestFit="1" customWidth="1"/>
    <col min="6" max="9" width="11.38671875" style="146" bestFit="1" customWidth="1"/>
    <col min="10" max="10" width="10.44140625" style="146" bestFit="1" customWidth="1"/>
    <col min="11" max="11" width="11.38671875" style="146" bestFit="1" customWidth="1"/>
    <col min="12" max="16384" width="8.88671875" style="146"/>
  </cols>
  <sheetData>
    <row r="1" spans="1:12" x14ac:dyDescent="0.45">
      <c r="A1" s="21"/>
      <c r="B1" s="1"/>
      <c r="C1" s="1"/>
      <c r="D1" s="251">
        <v>2021</v>
      </c>
      <c r="E1" s="251" t="s">
        <v>186</v>
      </c>
      <c r="F1" s="312" t="s">
        <v>213</v>
      </c>
      <c r="G1" s="312"/>
      <c r="H1" s="312"/>
      <c r="I1" s="1"/>
      <c r="J1" s="1"/>
      <c r="K1" s="1"/>
    </row>
    <row r="2" spans="1:12" x14ac:dyDescent="0.45">
      <c r="A2" s="21"/>
      <c r="B2" s="1"/>
      <c r="C2" s="1"/>
      <c r="D2" s="310"/>
      <c r="E2" s="310"/>
      <c r="F2" s="199"/>
      <c r="G2" s="199"/>
      <c r="H2" s="55"/>
      <c r="I2" s="1"/>
      <c r="J2" s="1"/>
      <c r="K2" s="1"/>
    </row>
    <row r="3" spans="1:12" x14ac:dyDescent="0.45">
      <c r="A3" s="21"/>
      <c r="B3" s="1"/>
      <c r="C3" s="1"/>
      <c r="D3" s="313" t="s">
        <v>187</v>
      </c>
      <c r="E3" s="313"/>
      <c r="F3" s="198" t="s">
        <v>188</v>
      </c>
      <c r="G3" s="198" t="s">
        <v>189</v>
      </c>
      <c r="H3" s="201" t="s">
        <v>190</v>
      </c>
      <c r="I3" s="1"/>
      <c r="J3" s="1"/>
      <c r="K3" s="1"/>
    </row>
    <row r="4" spans="1:12" x14ac:dyDescent="0.45">
      <c r="A4" s="21"/>
      <c r="B4" s="1"/>
      <c r="C4" s="1"/>
      <c r="D4" s="314" t="s">
        <v>221</v>
      </c>
      <c r="E4" s="314"/>
      <c r="F4" s="200">
        <f>D29</f>
        <v>13394</v>
      </c>
      <c r="G4" s="200">
        <f>E29</f>
        <v>53797159.600000009</v>
      </c>
      <c r="H4" s="204">
        <f>G29</f>
        <v>587009.44999999995</v>
      </c>
      <c r="I4" s="1"/>
      <c r="J4" s="1"/>
      <c r="K4" s="1"/>
    </row>
    <row r="5" spans="1:12" x14ac:dyDescent="0.45">
      <c r="A5" s="21"/>
      <c r="B5" s="1"/>
      <c r="C5" s="1"/>
      <c r="D5" s="310" t="s">
        <v>197</v>
      </c>
      <c r="E5" s="310"/>
      <c r="F5" s="199"/>
      <c r="G5" s="199"/>
      <c r="H5" s="243">
        <v>0</v>
      </c>
      <c r="I5" s="1"/>
      <c r="J5" s="1"/>
      <c r="K5" s="1"/>
    </row>
    <row r="6" spans="1:12" x14ac:dyDescent="0.45">
      <c r="A6" s="21"/>
      <c r="B6" s="1"/>
      <c r="C6" s="1"/>
      <c r="D6" s="310" t="s">
        <v>222</v>
      </c>
      <c r="E6" s="310"/>
      <c r="F6" s="199"/>
      <c r="G6" s="199"/>
      <c r="H6" s="205">
        <f>H4-H5</f>
        <v>587009.44999999995</v>
      </c>
      <c r="I6" s="1"/>
      <c r="J6" s="1"/>
      <c r="K6" s="1"/>
    </row>
    <row r="7" spans="1:12" x14ac:dyDescent="0.45">
      <c r="A7" s="21"/>
      <c r="B7" s="1"/>
      <c r="C7" s="1"/>
      <c r="D7" s="310" t="s">
        <v>200</v>
      </c>
      <c r="E7" s="310"/>
      <c r="F7" s="199"/>
      <c r="G7" s="199"/>
      <c r="H7" s="211">
        <f>SAO!D6</f>
        <v>599543</v>
      </c>
      <c r="I7" s="1"/>
      <c r="J7" s="1"/>
      <c r="K7" s="1"/>
    </row>
    <row r="8" spans="1:12" x14ac:dyDescent="0.45">
      <c r="A8" s="21"/>
      <c r="B8" s="1"/>
      <c r="C8" s="1"/>
      <c r="D8" s="310" t="s">
        <v>60</v>
      </c>
      <c r="E8" s="310"/>
      <c r="F8" s="199"/>
      <c r="G8" s="199"/>
      <c r="H8" s="205">
        <f>H6-H7</f>
        <v>-12533.550000000047</v>
      </c>
      <c r="I8" s="1" t="s">
        <v>201</v>
      </c>
      <c r="J8" s="1"/>
      <c r="K8" s="1"/>
      <c r="L8" s="209"/>
    </row>
    <row r="9" spans="1:12" x14ac:dyDescent="0.45">
      <c r="A9" s="21"/>
      <c r="B9" s="1"/>
      <c r="C9" s="1"/>
      <c r="D9" s="199"/>
      <c r="E9" s="199"/>
      <c r="F9" s="199"/>
      <c r="G9" s="199"/>
      <c r="H9" s="274">
        <f>H8/H7</f>
        <v>-2.0905172773262381E-2</v>
      </c>
      <c r="I9" s="1"/>
      <c r="J9" s="1"/>
      <c r="K9" s="1"/>
      <c r="L9" s="209"/>
    </row>
    <row r="10" spans="1:12" x14ac:dyDescent="0.45">
      <c r="A10" s="21"/>
      <c r="B10" s="1"/>
      <c r="C10" s="1"/>
      <c r="D10" s="311"/>
      <c r="E10" s="311"/>
      <c r="F10" s="1"/>
      <c r="G10" s="1"/>
      <c r="H10" s="7"/>
      <c r="I10" s="1"/>
      <c r="J10" s="1"/>
      <c r="K10" s="1"/>
    </row>
    <row r="11" spans="1:12" x14ac:dyDescent="0.45">
      <c r="A11" s="239" t="s">
        <v>207</v>
      </c>
      <c r="B11" s="1"/>
      <c r="C11" s="1"/>
      <c r="D11" s="1"/>
      <c r="E11" s="1"/>
      <c r="F11" s="1"/>
      <c r="G11" s="1"/>
      <c r="H11" s="7"/>
      <c r="I11" s="1"/>
      <c r="J11" s="1"/>
      <c r="K11" s="1"/>
    </row>
    <row r="12" spans="1:12" x14ac:dyDescent="0.45">
      <c r="A12" s="21"/>
      <c r="B12" s="199"/>
      <c r="C12" s="255"/>
      <c r="D12" s="255"/>
      <c r="E12" s="255"/>
      <c r="F12" s="255" t="str">
        <f>B14</f>
        <v>First</v>
      </c>
      <c r="G12" s="255" t="str">
        <f>B15</f>
        <v>Next</v>
      </c>
      <c r="H12" s="255" t="str">
        <f>B16</f>
        <v>Next</v>
      </c>
      <c r="I12" s="258" t="str">
        <f>B17</f>
        <v>Next</v>
      </c>
      <c r="J12" s="255" t="str">
        <f>B18</f>
        <v>Over</v>
      </c>
      <c r="K12" s="255" t="s">
        <v>11</v>
      </c>
    </row>
    <row r="13" spans="1:12" x14ac:dyDescent="0.45">
      <c r="A13" s="21"/>
      <c r="B13" s="199"/>
      <c r="C13" s="256" t="s">
        <v>193</v>
      </c>
      <c r="D13" s="256" t="s">
        <v>194</v>
      </c>
      <c r="E13" s="256" t="s">
        <v>12</v>
      </c>
      <c r="F13" s="257">
        <f>C14</f>
        <v>2000</v>
      </c>
      <c r="G13" s="257">
        <f>C15</f>
        <v>1000</v>
      </c>
      <c r="H13" s="257">
        <f>C16</f>
        <v>2000</v>
      </c>
      <c r="I13" s="257">
        <f>C17</f>
        <v>5000</v>
      </c>
      <c r="J13" s="257">
        <f>C18</f>
        <v>10000</v>
      </c>
      <c r="K13" s="256"/>
    </row>
    <row r="14" spans="1:12" x14ac:dyDescent="0.45">
      <c r="A14" s="21"/>
      <c r="B14" s="199" t="s">
        <v>191</v>
      </c>
      <c r="C14" s="73">
        <v>2000</v>
      </c>
      <c r="D14" s="200">
        <f>138+3686</f>
        <v>3824</v>
      </c>
      <c r="E14" s="200"/>
      <c r="F14" s="200"/>
      <c r="G14" s="200"/>
      <c r="H14" s="200"/>
      <c r="I14" s="200"/>
      <c r="J14" s="200"/>
      <c r="K14" s="2">
        <v>23558519.300000001</v>
      </c>
    </row>
    <row r="15" spans="1:12" x14ac:dyDescent="0.45">
      <c r="A15" s="21"/>
      <c r="B15" s="199" t="s">
        <v>219</v>
      </c>
      <c r="C15" s="73">
        <v>1000</v>
      </c>
      <c r="D15" s="200">
        <v>2937</v>
      </c>
      <c r="E15" s="200"/>
      <c r="F15" s="200"/>
      <c r="G15" s="200"/>
      <c r="H15" s="200"/>
      <c r="I15" s="200"/>
      <c r="J15" s="200"/>
      <c r="K15" s="2">
        <v>8138967.4000000004</v>
      </c>
    </row>
    <row r="16" spans="1:12" x14ac:dyDescent="0.45">
      <c r="A16" s="21"/>
      <c r="B16" s="199" t="s">
        <v>219</v>
      </c>
      <c r="C16" s="73">
        <v>2000</v>
      </c>
      <c r="D16" s="200">
        <v>3950</v>
      </c>
      <c r="E16" s="200"/>
      <c r="F16" s="200"/>
      <c r="G16" s="200"/>
      <c r="H16" s="200"/>
      <c r="I16" s="200"/>
      <c r="J16" s="200"/>
      <c r="K16" s="2">
        <v>8710398.1999999993</v>
      </c>
    </row>
    <row r="17" spans="1:11" x14ac:dyDescent="0.45">
      <c r="A17" s="21"/>
      <c r="B17" s="199" t="s">
        <v>219</v>
      </c>
      <c r="C17" s="73">
        <v>5000</v>
      </c>
      <c r="D17" s="200">
        <v>2289</v>
      </c>
      <c r="E17" s="200"/>
      <c r="F17" s="200"/>
      <c r="G17" s="200"/>
      <c r="H17" s="200"/>
      <c r="I17" s="200"/>
      <c r="J17" s="200"/>
      <c r="K17" s="2">
        <v>5560499.2000000002</v>
      </c>
    </row>
    <row r="18" spans="1:11" x14ac:dyDescent="0.45">
      <c r="A18" s="21"/>
      <c r="B18" s="199" t="s">
        <v>192</v>
      </c>
      <c r="C18" s="73">
        <v>10000</v>
      </c>
      <c r="D18" s="206">
        <v>394</v>
      </c>
      <c r="E18" s="206"/>
      <c r="F18" s="206"/>
      <c r="G18" s="206"/>
      <c r="H18" s="206"/>
      <c r="I18" s="206"/>
      <c r="J18" s="206"/>
      <c r="K18" s="30">
        <v>7828775.5</v>
      </c>
    </row>
    <row r="19" spans="1:11" x14ac:dyDescent="0.45">
      <c r="A19" s="21"/>
      <c r="B19" s="199"/>
      <c r="C19" s="73"/>
      <c r="D19" s="200">
        <f>SUM(D14:D18)</f>
        <v>13394</v>
      </c>
      <c r="E19" s="200">
        <f>SUM(E14:E18)</f>
        <v>0</v>
      </c>
      <c r="F19" s="200">
        <f>SUM(F14:F18)</f>
        <v>0</v>
      </c>
      <c r="G19" s="200">
        <f>SUM(G14:G18)</f>
        <v>0</v>
      </c>
      <c r="H19" s="200">
        <f t="shared" ref="H19:J19" si="0">SUM(H14:H18)</f>
        <v>0</v>
      </c>
      <c r="I19" s="200">
        <f t="shared" si="0"/>
        <v>0</v>
      </c>
      <c r="J19" s="200">
        <f t="shared" si="0"/>
        <v>0</v>
      </c>
      <c r="K19" s="200">
        <f>SUM(K14:K18)</f>
        <v>53797159.600000009</v>
      </c>
    </row>
    <row r="20" spans="1:11" x14ac:dyDescent="0.45">
      <c r="A20" s="21"/>
      <c r="B20" s="199"/>
      <c r="C20" s="73"/>
      <c r="D20" s="200"/>
      <c r="E20" s="200"/>
      <c r="F20" s="200"/>
      <c r="G20" s="200"/>
      <c r="H20" s="200"/>
    </row>
    <row r="21" spans="1:11" x14ac:dyDescent="0.45">
      <c r="A21" s="21"/>
      <c r="B21" s="1"/>
      <c r="C21" s="1"/>
      <c r="D21" s="1"/>
      <c r="E21" s="1"/>
      <c r="F21" s="1"/>
      <c r="G21" s="1"/>
      <c r="H21" s="7"/>
      <c r="I21" s="1"/>
      <c r="J21" s="1"/>
      <c r="K21" s="1"/>
    </row>
    <row r="22" spans="1:11" x14ac:dyDescent="0.45">
      <c r="A22" s="239" t="s">
        <v>195</v>
      </c>
      <c r="B22" s="1"/>
      <c r="C22" s="1"/>
      <c r="D22" s="1"/>
      <c r="E22" s="1"/>
      <c r="F22" s="1"/>
      <c r="G22" s="1"/>
      <c r="H22" s="7"/>
      <c r="I22" s="1"/>
      <c r="J22" s="1"/>
      <c r="K22" s="1"/>
    </row>
    <row r="23" spans="1:11" x14ac:dyDescent="0.45">
      <c r="A23" s="21"/>
      <c r="B23" s="1"/>
      <c r="C23" s="240" t="s">
        <v>193</v>
      </c>
      <c r="D23" s="240" t="s">
        <v>194</v>
      </c>
      <c r="E23" s="240" t="s">
        <v>12</v>
      </c>
      <c r="F23" s="240">
        <v>819</v>
      </c>
      <c r="G23" s="242" t="s">
        <v>190</v>
      </c>
      <c r="H23" s="7"/>
      <c r="I23" s="1"/>
      <c r="J23" s="1"/>
      <c r="K23" s="1"/>
    </row>
    <row r="24" spans="1:11" x14ac:dyDescent="0.45">
      <c r="A24" s="21"/>
      <c r="B24" s="199" t="str">
        <f>B14</f>
        <v>First</v>
      </c>
      <c r="C24" s="73">
        <f>C14</f>
        <v>2000</v>
      </c>
      <c r="D24" s="2">
        <f>D19</f>
        <v>13394</v>
      </c>
      <c r="E24" s="2">
        <f>K14</f>
        <v>23558519.300000001</v>
      </c>
      <c r="F24" s="202">
        <v>25.95</v>
      </c>
      <c r="G24" s="203">
        <f>ROUND(D24*F24,2)</f>
        <v>347574.3</v>
      </c>
      <c r="H24" s="7"/>
      <c r="I24" s="158"/>
      <c r="J24" s="1"/>
      <c r="K24" s="1"/>
    </row>
    <row r="25" spans="1:11" x14ac:dyDescent="0.45">
      <c r="A25" s="21"/>
      <c r="B25" s="199" t="str">
        <f t="shared" ref="B25:C28" si="1">B15</f>
        <v>Next</v>
      </c>
      <c r="C25" s="73">
        <f t="shared" si="1"/>
        <v>1000</v>
      </c>
      <c r="D25" s="2"/>
      <c r="E25" s="2">
        <f t="shared" ref="E25:E28" si="2">K15</f>
        <v>8138967.4000000004</v>
      </c>
      <c r="F25" s="273">
        <v>8.7799999999999996E-3</v>
      </c>
      <c r="G25" s="203">
        <f>ROUND(E25*F25,2)</f>
        <v>71460.13</v>
      </c>
      <c r="H25" s="7"/>
      <c r="I25" s="158"/>
      <c r="J25" s="1"/>
      <c r="K25" s="1"/>
    </row>
    <row r="26" spans="1:11" x14ac:dyDescent="0.45">
      <c r="A26" s="21"/>
      <c r="B26" s="199" t="str">
        <f t="shared" si="1"/>
        <v>Next</v>
      </c>
      <c r="C26" s="73">
        <f t="shared" si="1"/>
        <v>2000</v>
      </c>
      <c r="D26" s="2"/>
      <c r="E26" s="2">
        <f t="shared" si="2"/>
        <v>8710398.1999999993</v>
      </c>
      <c r="F26" s="273">
        <v>8.1899999999999994E-3</v>
      </c>
      <c r="G26" s="203">
        <f>ROUND(E26*F26,2)</f>
        <v>71338.16</v>
      </c>
      <c r="H26" s="7"/>
      <c r="I26" s="158"/>
      <c r="J26" s="1"/>
      <c r="K26" s="1"/>
    </row>
    <row r="27" spans="1:11" x14ac:dyDescent="0.45">
      <c r="A27" s="21"/>
      <c r="B27" s="199" t="str">
        <f t="shared" si="1"/>
        <v>Next</v>
      </c>
      <c r="C27" s="73">
        <f t="shared" si="1"/>
        <v>5000</v>
      </c>
      <c r="D27" s="2"/>
      <c r="E27" s="2">
        <f t="shared" si="2"/>
        <v>5560499.2000000002</v>
      </c>
      <c r="F27" s="273">
        <v>7.5799999999999999E-3</v>
      </c>
      <c r="G27" s="203">
        <f t="shared" ref="G27:G28" si="3">ROUND(E27*F27,2)</f>
        <v>42148.58</v>
      </c>
      <c r="H27" s="7"/>
      <c r="I27" s="158"/>
      <c r="J27" s="1"/>
      <c r="K27" s="1"/>
    </row>
    <row r="28" spans="1:11" x14ac:dyDescent="0.45">
      <c r="A28" s="21"/>
      <c r="B28" s="199" t="str">
        <f t="shared" si="1"/>
        <v>Over</v>
      </c>
      <c r="C28" s="73">
        <f t="shared" si="1"/>
        <v>10000</v>
      </c>
      <c r="D28" s="30"/>
      <c r="E28" s="30">
        <f t="shared" si="2"/>
        <v>7828775.5</v>
      </c>
      <c r="F28" s="273">
        <v>6.96E-3</v>
      </c>
      <c r="G28" s="241">
        <f t="shared" si="3"/>
        <v>54488.28</v>
      </c>
      <c r="H28" s="7"/>
      <c r="I28" s="158"/>
      <c r="J28" s="1"/>
      <c r="K28" s="1"/>
    </row>
    <row r="29" spans="1:11" x14ac:dyDescent="0.45">
      <c r="A29" s="21"/>
      <c r="B29" s="199"/>
      <c r="C29" s="73"/>
      <c r="D29" s="200">
        <f>SUM(D24:D28)</f>
        <v>13394</v>
      </c>
      <c r="E29" s="200">
        <f>SUM(E24:E28)</f>
        <v>53797159.600000009</v>
      </c>
      <c r="F29" s="200"/>
      <c r="G29" s="259">
        <f>SUM(G24:G28)</f>
        <v>587009.44999999995</v>
      </c>
      <c r="H29" s="7"/>
      <c r="I29" s="158"/>
      <c r="J29" s="1"/>
      <c r="K29" s="1"/>
    </row>
  </sheetData>
  <mergeCells count="9">
    <mergeCell ref="D7:E7"/>
    <mergeCell ref="D8:E8"/>
    <mergeCell ref="D10:E10"/>
    <mergeCell ref="F1:H1"/>
    <mergeCell ref="D2:E2"/>
    <mergeCell ref="D3:E3"/>
    <mergeCell ref="D4:E4"/>
    <mergeCell ref="D5:E5"/>
    <mergeCell ref="D6:E6"/>
  </mergeCells>
  <printOptions horizontalCentered="1" verticalCentered="1"/>
  <pageMargins left="0.45" right="0.45" top="0.5" bottom="0.5" header="0.3" footer="0.3"/>
  <pageSetup scale="88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pageSetUpPr fitToPage="1"/>
  </sheetPr>
  <dimension ref="A1:L29"/>
  <sheetViews>
    <sheetView workbookViewId="0">
      <selection activeCell="D8" sqref="D8:E8"/>
    </sheetView>
  </sheetViews>
  <sheetFormatPr defaultRowHeight="14.25" x14ac:dyDescent="0.4"/>
  <cols>
    <col min="1" max="1" width="8.88671875" style="238"/>
    <col min="2" max="2" width="8.88671875" style="146"/>
    <col min="3" max="3" width="9.27734375" style="146" bestFit="1" customWidth="1"/>
    <col min="4" max="4" width="9.0546875" style="146" bestFit="1" customWidth="1"/>
    <col min="5" max="5" width="20.44140625" style="146" bestFit="1" customWidth="1"/>
    <col min="6" max="9" width="11.38671875" style="146" bestFit="1" customWidth="1"/>
    <col min="10" max="10" width="10.44140625" style="146" bestFit="1" customWidth="1"/>
    <col min="11" max="11" width="11.38671875" style="146" bestFit="1" customWidth="1"/>
    <col min="12" max="16384" width="8.88671875" style="146"/>
  </cols>
  <sheetData>
    <row r="1" spans="1:12" x14ac:dyDescent="0.45">
      <c r="A1" s="21"/>
      <c r="B1" s="1"/>
      <c r="C1" s="1"/>
      <c r="D1" s="251">
        <v>2021</v>
      </c>
      <c r="E1" s="251" t="s">
        <v>186</v>
      </c>
      <c r="F1" s="312" t="s">
        <v>213</v>
      </c>
      <c r="G1" s="312"/>
      <c r="H1" s="312"/>
      <c r="I1" s="1"/>
      <c r="J1" s="1"/>
      <c r="K1" s="1"/>
    </row>
    <row r="2" spans="1:12" x14ac:dyDescent="0.45">
      <c r="A2" s="21"/>
      <c r="B2" s="1"/>
      <c r="C2" s="1"/>
      <c r="D2" s="310"/>
      <c r="E2" s="310"/>
      <c r="F2" s="199"/>
      <c r="G2" s="199"/>
      <c r="H2" s="55"/>
      <c r="I2" s="1"/>
      <c r="J2" s="1"/>
      <c r="K2" s="1"/>
    </row>
    <row r="3" spans="1:12" x14ac:dyDescent="0.45">
      <c r="A3" s="21"/>
      <c r="B3" s="1"/>
      <c r="C3" s="1"/>
      <c r="D3" s="313" t="s">
        <v>187</v>
      </c>
      <c r="E3" s="313"/>
      <c r="F3" s="198" t="s">
        <v>188</v>
      </c>
      <c r="G3" s="198" t="s">
        <v>189</v>
      </c>
      <c r="H3" s="201" t="s">
        <v>190</v>
      </c>
      <c r="I3" s="1"/>
      <c r="J3" s="1"/>
      <c r="K3" s="1"/>
    </row>
    <row r="4" spans="1:12" x14ac:dyDescent="0.45">
      <c r="A4" s="21"/>
      <c r="B4" s="1"/>
      <c r="C4" s="1"/>
      <c r="D4" s="314" t="s">
        <v>221</v>
      </c>
      <c r="E4" s="314"/>
      <c r="F4" s="200">
        <f>D29</f>
        <v>13394</v>
      </c>
      <c r="G4" s="200">
        <f>E29</f>
        <v>53797159.600000009</v>
      </c>
      <c r="H4" s="204">
        <f>G29</f>
        <v>603547.17999999993</v>
      </c>
      <c r="I4" s="1"/>
      <c r="J4" s="1"/>
      <c r="K4" s="1"/>
    </row>
    <row r="5" spans="1:12" x14ac:dyDescent="0.45">
      <c r="A5" s="21"/>
      <c r="B5" s="1"/>
      <c r="C5" s="1"/>
      <c r="D5" s="310" t="s">
        <v>197</v>
      </c>
      <c r="E5" s="310"/>
      <c r="F5" s="199"/>
      <c r="G5" s="199"/>
      <c r="H5" s="243">
        <v>0</v>
      </c>
      <c r="I5" s="1"/>
      <c r="J5" s="1"/>
      <c r="K5" s="1"/>
    </row>
    <row r="6" spans="1:12" x14ac:dyDescent="0.45">
      <c r="A6" s="21"/>
      <c r="B6" s="1"/>
      <c r="C6" s="1"/>
      <c r="D6" s="310" t="s">
        <v>222</v>
      </c>
      <c r="E6" s="310"/>
      <c r="F6" s="199"/>
      <c r="G6" s="199"/>
      <c r="H6" s="205">
        <f>H4-H5</f>
        <v>603547.17999999993</v>
      </c>
      <c r="I6" s="1"/>
      <c r="J6" s="1"/>
      <c r="K6" s="1"/>
    </row>
    <row r="7" spans="1:12" x14ac:dyDescent="0.45">
      <c r="A7" s="21"/>
      <c r="B7" s="1"/>
      <c r="C7" s="1"/>
      <c r="D7" s="310" t="s">
        <v>287</v>
      </c>
      <c r="E7" s="310"/>
      <c r="F7" s="199"/>
      <c r="G7" s="199"/>
      <c r="H7" s="211">
        <f>ExBA1!H6</f>
        <v>587009.44999999995</v>
      </c>
      <c r="I7" s="1"/>
      <c r="J7" s="1"/>
      <c r="K7" s="1"/>
    </row>
    <row r="8" spans="1:12" x14ac:dyDescent="0.45">
      <c r="A8" s="21"/>
      <c r="B8" s="1"/>
      <c r="C8" s="1"/>
      <c r="D8" s="310" t="s">
        <v>60</v>
      </c>
      <c r="E8" s="310"/>
      <c r="F8" s="199"/>
      <c r="G8" s="199"/>
      <c r="H8" s="205">
        <f>H6-H7</f>
        <v>16537.729999999981</v>
      </c>
      <c r="I8" s="1" t="s">
        <v>201</v>
      </c>
      <c r="J8" s="1"/>
      <c r="K8" s="1"/>
      <c r="L8" s="209"/>
    </row>
    <row r="9" spans="1:12" x14ac:dyDescent="0.45">
      <c r="A9" s="21"/>
      <c r="B9" s="1"/>
      <c r="C9" s="1"/>
      <c r="D9" s="199"/>
      <c r="E9" s="199"/>
      <c r="F9" s="199"/>
      <c r="G9" s="199"/>
      <c r="H9" s="274">
        <f>H8/H7</f>
        <v>2.8172851391063607E-2</v>
      </c>
      <c r="I9" s="1"/>
      <c r="J9" s="1"/>
      <c r="K9" s="1"/>
      <c r="L9" s="209"/>
    </row>
    <row r="10" spans="1:12" x14ac:dyDescent="0.45">
      <c r="A10" s="21"/>
      <c r="B10" s="1"/>
      <c r="C10" s="1"/>
      <c r="D10" s="311"/>
      <c r="E10" s="311"/>
      <c r="F10" s="1"/>
      <c r="G10" s="1"/>
      <c r="H10" s="7"/>
      <c r="I10" s="1"/>
      <c r="J10" s="1"/>
      <c r="K10" s="1"/>
    </row>
    <row r="11" spans="1:12" x14ac:dyDescent="0.45">
      <c r="A11" s="239" t="s">
        <v>207</v>
      </c>
      <c r="B11" s="1"/>
      <c r="C11" s="1"/>
      <c r="D11" s="1"/>
      <c r="E11" s="1"/>
      <c r="F11" s="1"/>
      <c r="G11" s="1"/>
      <c r="H11" s="7"/>
      <c r="I11" s="1"/>
      <c r="J11" s="1"/>
      <c r="K11" s="1"/>
    </row>
    <row r="12" spans="1:12" x14ac:dyDescent="0.45">
      <c r="A12" s="21"/>
      <c r="B12" s="199"/>
      <c r="C12" s="255"/>
      <c r="D12" s="255"/>
      <c r="E12" s="255"/>
      <c r="F12" s="255" t="str">
        <f>B14</f>
        <v>First</v>
      </c>
      <c r="G12" s="255" t="str">
        <f>B15</f>
        <v>Next</v>
      </c>
      <c r="H12" s="255" t="str">
        <f>B16</f>
        <v>Next</v>
      </c>
      <c r="I12" s="258" t="str">
        <f>B17</f>
        <v>Next</v>
      </c>
      <c r="J12" s="255" t="str">
        <f>B18</f>
        <v>Over</v>
      </c>
      <c r="K12" s="255" t="s">
        <v>11</v>
      </c>
    </row>
    <row r="13" spans="1:12" x14ac:dyDescent="0.45">
      <c r="A13" s="21"/>
      <c r="B13" s="199"/>
      <c r="C13" s="256" t="s">
        <v>193</v>
      </c>
      <c r="D13" s="256" t="s">
        <v>194</v>
      </c>
      <c r="E13" s="256" t="s">
        <v>12</v>
      </c>
      <c r="F13" s="257">
        <f>C14</f>
        <v>2000</v>
      </c>
      <c r="G13" s="257">
        <f>C15</f>
        <v>1000</v>
      </c>
      <c r="H13" s="257">
        <f>C16</f>
        <v>2000</v>
      </c>
      <c r="I13" s="257">
        <f>C17</f>
        <v>5000</v>
      </c>
      <c r="J13" s="257">
        <f>C18</f>
        <v>10000</v>
      </c>
      <c r="K13" s="256"/>
    </row>
    <row r="14" spans="1:12" x14ac:dyDescent="0.45">
      <c r="A14" s="21"/>
      <c r="B14" s="199" t="s">
        <v>191</v>
      </c>
      <c r="C14" s="73">
        <v>2000</v>
      </c>
      <c r="D14" s="200">
        <f>138+3686</f>
        <v>3824</v>
      </c>
      <c r="E14" s="200"/>
      <c r="F14" s="200"/>
      <c r="G14" s="200"/>
      <c r="H14" s="200"/>
      <c r="I14" s="200"/>
      <c r="J14" s="200"/>
      <c r="K14" s="2">
        <v>23558519.300000001</v>
      </c>
    </row>
    <row r="15" spans="1:12" x14ac:dyDescent="0.45">
      <c r="A15" s="21"/>
      <c r="B15" s="199" t="s">
        <v>219</v>
      </c>
      <c r="C15" s="73">
        <v>1000</v>
      </c>
      <c r="D15" s="200">
        <v>2937</v>
      </c>
      <c r="E15" s="200"/>
      <c r="F15" s="200"/>
      <c r="G15" s="200"/>
      <c r="H15" s="200"/>
      <c r="I15" s="200"/>
      <c r="J15" s="200"/>
      <c r="K15" s="2">
        <v>8138967.4000000004</v>
      </c>
    </row>
    <row r="16" spans="1:12" x14ac:dyDescent="0.45">
      <c r="A16" s="21"/>
      <c r="B16" s="199" t="s">
        <v>219</v>
      </c>
      <c r="C16" s="73">
        <v>2000</v>
      </c>
      <c r="D16" s="200">
        <v>3950</v>
      </c>
      <c r="E16" s="200"/>
      <c r="F16" s="200"/>
      <c r="G16" s="200"/>
      <c r="H16" s="200"/>
      <c r="I16" s="200"/>
      <c r="J16" s="200"/>
      <c r="K16" s="2">
        <v>8710398.1999999993</v>
      </c>
    </row>
    <row r="17" spans="1:11" x14ac:dyDescent="0.45">
      <c r="A17" s="21"/>
      <c r="B17" s="199" t="s">
        <v>219</v>
      </c>
      <c r="C17" s="73">
        <v>5000</v>
      </c>
      <c r="D17" s="200">
        <v>2289</v>
      </c>
      <c r="E17" s="200"/>
      <c r="F17" s="200"/>
      <c r="G17" s="200"/>
      <c r="H17" s="200"/>
      <c r="I17" s="200"/>
      <c r="J17" s="200"/>
      <c r="K17" s="2">
        <v>5560499.2000000002</v>
      </c>
    </row>
    <row r="18" spans="1:11" x14ac:dyDescent="0.45">
      <c r="A18" s="21"/>
      <c r="B18" s="199" t="s">
        <v>192</v>
      </c>
      <c r="C18" s="73">
        <v>10000</v>
      </c>
      <c r="D18" s="206">
        <v>394</v>
      </c>
      <c r="E18" s="206"/>
      <c r="F18" s="206"/>
      <c r="G18" s="206"/>
      <c r="H18" s="206"/>
      <c r="I18" s="206"/>
      <c r="J18" s="206"/>
      <c r="K18" s="30">
        <v>7828775.5</v>
      </c>
    </row>
    <row r="19" spans="1:11" x14ac:dyDescent="0.45">
      <c r="A19" s="21"/>
      <c r="B19" s="199"/>
      <c r="C19" s="73"/>
      <c r="D19" s="200">
        <f>SUM(D14:D18)</f>
        <v>13394</v>
      </c>
      <c r="E19" s="200">
        <f>SUM(E14:E18)</f>
        <v>0</v>
      </c>
      <c r="F19" s="200">
        <f>SUM(F14:F18)</f>
        <v>0</v>
      </c>
      <c r="G19" s="200">
        <f>SUM(G14:G18)</f>
        <v>0</v>
      </c>
      <c r="H19" s="200">
        <f t="shared" ref="H19:J19" si="0">SUM(H14:H18)</f>
        <v>0</v>
      </c>
      <c r="I19" s="200">
        <f t="shared" si="0"/>
        <v>0</v>
      </c>
      <c r="J19" s="200">
        <f t="shared" si="0"/>
        <v>0</v>
      </c>
      <c r="K19" s="200">
        <f>SUM(K14:K18)</f>
        <v>53797159.600000009</v>
      </c>
    </row>
    <row r="20" spans="1:11" x14ac:dyDescent="0.45">
      <c r="A20" s="21"/>
      <c r="B20" s="199"/>
      <c r="C20" s="73"/>
      <c r="D20" s="200"/>
      <c r="E20" s="200"/>
      <c r="F20" s="200"/>
      <c r="G20" s="200"/>
      <c r="H20" s="200"/>
    </row>
    <row r="21" spans="1:11" x14ac:dyDescent="0.45">
      <c r="A21" s="21"/>
      <c r="B21" s="1"/>
      <c r="C21" s="1"/>
      <c r="D21" s="1"/>
      <c r="E21" s="1"/>
      <c r="F21" s="1"/>
      <c r="G21" s="1"/>
      <c r="H21" s="7"/>
      <c r="I21" s="1"/>
      <c r="J21" s="1"/>
      <c r="K21" s="1"/>
    </row>
    <row r="22" spans="1:11" x14ac:dyDescent="0.45">
      <c r="A22" s="239" t="s">
        <v>195</v>
      </c>
      <c r="B22" s="1"/>
      <c r="C22" s="1"/>
      <c r="D22" s="1"/>
      <c r="E22" s="1"/>
      <c r="F22" s="1"/>
      <c r="G22" s="1"/>
      <c r="H22" s="7"/>
      <c r="I22" s="1"/>
      <c r="J22" s="1"/>
      <c r="K22" s="1"/>
    </row>
    <row r="23" spans="1:11" x14ac:dyDescent="0.45">
      <c r="A23" s="21"/>
      <c r="B23" s="1"/>
      <c r="C23" s="240" t="s">
        <v>193</v>
      </c>
      <c r="D23" s="240" t="s">
        <v>194</v>
      </c>
      <c r="E23" s="240" t="s">
        <v>12</v>
      </c>
      <c r="F23" s="240" t="s">
        <v>196</v>
      </c>
      <c r="G23" s="242" t="s">
        <v>190</v>
      </c>
      <c r="H23" s="7"/>
      <c r="I23" s="1"/>
      <c r="J23" s="1"/>
      <c r="K23" s="1"/>
    </row>
    <row r="24" spans="1:11" x14ac:dyDescent="0.45">
      <c r="A24" s="21"/>
      <c r="B24" s="199" t="str">
        <f>B14</f>
        <v>First</v>
      </c>
      <c r="C24" s="73">
        <f>C14</f>
        <v>2000</v>
      </c>
      <c r="D24" s="2">
        <f>D19</f>
        <v>13394</v>
      </c>
      <c r="E24" s="2">
        <f>K14</f>
        <v>23558519.300000001</v>
      </c>
      <c r="F24" s="202">
        <v>26.53</v>
      </c>
      <c r="G24" s="203">
        <f>ROUND(D24*F24,2)</f>
        <v>355342.82</v>
      </c>
      <c r="H24" s="7"/>
      <c r="I24" s="158"/>
      <c r="J24" s="1"/>
      <c r="K24" s="1"/>
    </row>
    <row r="25" spans="1:11" x14ac:dyDescent="0.45">
      <c r="A25" s="21"/>
      <c r="B25" s="199" t="str">
        <f t="shared" ref="B25:C25" si="1">B15</f>
        <v>Next</v>
      </c>
      <c r="C25" s="73">
        <f t="shared" si="1"/>
        <v>1000</v>
      </c>
      <c r="D25" s="2"/>
      <c r="E25" s="2">
        <f t="shared" ref="E25:E28" si="2">K15</f>
        <v>8138967.4000000004</v>
      </c>
      <c r="F25" s="273">
        <v>9.0699999999999999E-3</v>
      </c>
      <c r="G25" s="203">
        <f>ROUND(E25*F25,2)</f>
        <v>73820.429999999993</v>
      </c>
      <c r="H25" s="7"/>
      <c r="I25" s="158"/>
      <c r="J25" s="1"/>
      <c r="K25" s="1"/>
    </row>
    <row r="26" spans="1:11" x14ac:dyDescent="0.45">
      <c r="A26" s="21"/>
      <c r="B26" s="199" t="str">
        <f t="shared" ref="B26:C26" si="3">B16</f>
        <v>Next</v>
      </c>
      <c r="C26" s="73">
        <f t="shared" si="3"/>
        <v>2000</v>
      </c>
      <c r="D26" s="2"/>
      <c r="E26" s="2">
        <f t="shared" si="2"/>
        <v>8710398.1999999993</v>
      </c>
      <c r="F26" s="273">
        <v>8.4799999999999997E-3</v>
      </c>
      <c r="G26" s="203">
        <f>ROUND(E26*F26,2)</f>
        <v>73864.179999999993</v>
      </c>
      <c r="H26" s="7"/>
      <c r="I26" s="158"/>
      <c r="J26" s="1"/>
      <c r="K26" s="1"/>
    </row>
    <row r="27" spans="1:11" x14ac:dyDescent="0.45">
      <c r="A27" s="21"/>
      <c r="B27" s="199" t="str">
        <f t="shared" ref="B27:C27" si="4">B17</f>
        <v>Next</v>
      </c>
      <c r="C27" s="73">
        <f t="shared" si="4"/>
        <v>5000</v>
      </c>
      <c r="D27" s="2"/>
      <c r="E27" s="2">
        <f t="shared" si="2"/>
        <v>5560499.2000000002</v>
      </c>
      <c r="F27" s="273">
        <v>7.8700000000000003E-3</v>
      </c>
      <c r="G27" s="203">
        <f t="shared" ref="G27:G28" si="5">ROUND(E27*F27,2)</f>
        <v>43761.13</v>
      </c>
      <c r="H27" s="7"/>
      <c r="I27" s="158"/>
      <c r="J27" s="1"/>
      <c r="K27" s="1"/>
    </row>
    <row r="28" spans="1:11" x14ac:dyDescent="0.45">
      <c r="A28" s="21"/>
      <c r="B28" s="199" t="str">
        <f t="shared" ref="B28:C28" si="6">B18</f>
        <v>Over</v>
      </c>
      <c r="C28" s="73">
        <f t="shared" si="6"/>
        <v>10000</v>
      </c>
      <c r="D28" s="30"/>
      <c r="E28" s="30">
        <f t="shared" si="2"/>
        <v>7828775.5</v>
      </c>
      <c r="F28" s="273">
        <v>7.2500000000000004E-3</v>
      </c>
      <c r="G28" s="241">
        <f t="shared" si="5"/>
        <v>56758.62</v>
      </c>
      <c r="H28" s="7"/>
      <c r="I28" s="158"/>
      <c r="J28" s="1"/>
      <c r="K28" s="1"/>
    </row>
    <row r="29" spans="1:11" x14ac:dyDescent="0.45">
      <c r="A29" s="21"/>
      <c r="B29" s="199"/>
      <c r="C29" s="73"/>
      <c r="D29" s="200">
        <f>SUM(D24:D28)</f>
        <v>13394</v>
      </c>
      <c r="E29" s="200">
        <f>SUM(E24:E28)</f>
        <v>53797159.600000009</v>
      </c>
      <c r="F29" s="200"/>
      <c r="G29" s="259">
        <f>SUM(G24:G28)</f>
        <v>603547.17999999993</v>
      </c>
      <c r="H29" s="7"/>
      <c r="I29" s="158"/>
      <c r="J29" s="1"/>
      <c r="K29" s="1"/>
    </row>
  </sheetData>
  <mergeCells count="9">
    <mergeCell ref="D8:E8"/>
    <mergeCell ref="D10:E10"/>
    <mergeCell ref="F1:H1"/>
    <mergeCell ref="D2:E2"/>
    <mergeCell ref="D3:E3"/>
    <mergeCell ref="D4:E4"/>
    <mergeCell ref="D5:E5"/>
    <mergeCell ref="D6:E6"/>
    <mergeCell ref="D7:E7"/>
  </mergeCells>
  <printOptions horizontalCentered="1" verticalCentered="1"/>
  <pageMargins left="0.45" right="0.45" top="0.5" bottom="0.5" header="0.3" footer="0.3"/>
  <pageSetup scale="88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19CAF-FAE9-4640-843A-0C8C227076BF}">
  <sheetPr>
    <pageSetUpPr fitToPage="1"/>
  </sheetPr>
  <dimension ref="A1:L29"/>
  <sheetViews>
    <sheetView topLeftCell="A8" workbookViewId="0">
      <selection activeCell="B37" sqref="B37"/>
    </sheetView>
  </sheetViews>
  <sheetFormatPr defaultRowHeight="14.25" x14ac:dyDescent="0.4"/>
  <cols>
    <col min="1" max="1" width="8.88671875" style="238"/>
    <col min="2" max="2" width="8.88671875" style="146"/>
    <col min="3" max="3" width="9.27734375" style="146" bestFit="1" customWidth="1"/>
    <col min="4" max="4" width="7.609375" style="146" bestFit="1" customWidth="1"/>
    <col min="5" max="5" width="20.44140625" style="146" bestFit="1" customWidth="1"/>
    <col min="6" max="9" width="11.38671875" style="146" bestFit="1" customWidth="1"/>
    <col min="10" max="10" width="10.44140625" style="146" bestFit="1" customWidth="1"/>
    <col min="11" max="11" width="11.38671875" style="146" bestFit="1" customWidth="1"/>
    <col min="12" max="16384" width="8.88671875" style="146"/>
  </cols>
  <sheetData>
    <row r="1" spans="1:12" x14ac:dyDescent="0.45">
      <c r="A1" s="21"/>
      <c r="B1" s="1"/>
      <c r="C1" s="1"/>
      <c r="D1" s="251">
        <v>2021</v>
      </c>
      <c r="E1" s="251" t="s">
        <v>223</v>
      </c>
      <c r="F1" s="312" t="s">
        <v>213</v>
      </c>
      <c r="G1" s="312"/>
      <c r="H1" s="312"/>
      <c r="I1" s="1"/>
      <c r="J1" s="1"/>
      <c r="K1" s="1"/>
    </row>
    <row r="2" spans="1:12" x14ac:dyDescent="0.45">
      <c r="A2" s="21"/>
      <c r="B2" s="1"/>
      <c r="C2" s="1"/>
      <c r="D2" s="310"/>
      <c r="E2" s="310"/>
      <c r="F2" s="199"/>
      <c r="G2" s="199"/>
      <c r="H2" s="55"/>
      <c r="I2" s="1"/>
      <c r="J2" s="1"/>
      <c r="K2" s="1"/>
    </row>
    <row r="3" spans="1:12" x14ac:dyDescent="0.45">
      <c r="A3" s="21"/>
      <c r="B3" s="1"/>
      <c r="C3" s="1"/>
      <c r="D3" s="313" t="s">
        <v>187</v>
      </c>
      <c r="E3" s="313"/>
      <c r="F3" s="198" t="s">
        <v>188</v>
      </c>
      <c r="G3" s="198" t="s">
        <v>189</v>
      </c>
      <c r="H3" s="201" t="s">
        <v>190</v>
      </c>
      <c r="I3" s="1"/>
      <c r="J3" s="1"/>
      <c r="K3" s="1"/>
    </row>
    <row r="4" spans="1:12" x14ac:dyDescent="0.45">
      <c r="A4" s="21"/>
      <c r="B4" s="1"/>
      <c r="C4" s="1"/>
      <c r="D4" s="314" t="s">
        <v>221</v>
      </c>
      <c r="E4" s="314"/>
      <c r="F4" s="200">
        <f>D29</f>
        <v>13394</v>
      </c>
      <c r="G4" s="200">
        <f>E29</f>
        <v>53797159.600000009</v>
      </c>
      <c r="H4" s="204">
        <f>G29</f>
        <v>683873.05</v>
      </c>
      <c r="I4" s="1" t="s">
        <v>256</v>
      </c>
      <c r="J4" s="1"/>
      <c r="K4" s="1"/>
    </row>
    <row r="5" spans="1:12" x14ac:dyDescent="0.45">
      <c r="A5" s="21"/>
      <c r="B5" s="1"/>
      <c r="C5" s="1"/>
      <c r="D5" s="310" t="s">
        <v>197</v>
      </c>
      <c r="E5" s="310"/>
      <c r="F5" s="199"/>
      <c r="G5" s="199"/>
      <c r="H5" s="243">
        <v>0</v>
      </c>
      <c r="I5" s="1"/>
      <c r="J5" s="1"/>
      <c r="K5" s="1"/>
    </row>
    <row r="6" spans="1:12" x14ac:dyDescent="0.45">
      <c r="A6" s="21"/>
      <c r="B6" s="1"/>
      <c r="C6" s="1"/>
      <c r="D6" s="310" t="s">
        <v>222</v>
      </c>
      <c r="E6" s="310"/>
      <c r="F6" s="199"/>
      <c r="G6" s="199"/>
      <c r="H6" s="205">
        <f>H4+H5</f>
        <v>683873.05</v>
      </c>
      <c r="I6" s="1"/>
      <c r="J6" s="1"/>
      <c r="K6" s="1"/>
    </row>
    <row r="7" spans="1:12" x14ac:dyDescent="0.45">
      <c r="A7" s="21"/>
      <c r="B7" s="1"/>
      <c r="C7" s="1"/>
      <c r="D7" s="310" t="s">
        <v>208</v>
      </c>
      <c r="E7" s="310"/>
      <c r="F7" s="199"/>
      <c r="G7" s="199"/>
      <c r="H7" s="211">
        <f>SAO!G50</f>
        <v>683857.06121607148</v>
      </c>
      <c r="I7" s="1"/>
      <c r="J7" s="1"/>
      <c r="K7" s="1"/>
    </row>
    <row r="8" spans="1:12" x14ac:dyDescent="0.45">
      <c r="A8" s="21"/>
      <c r="B8" s="1"/>
      <c r="C8" s="1"/>
      <c r="D8" s="310" t="s">
        <v>60</v>
      </c>
      <c r="E8" s="310"/>
      <c r="F8" s="199"/>
      <c r="G8" s="199"/>
      <c r="H8" s="205">
        <f>H6-H7</f>
        <v>15.988783928565681</v>
      </c>
      <c r="I8" s="1"/>
      <c r="J8" s="1"/>
      <c r="K8" s="1"/>
      <c r="L8" s="209"/>
    </row>
    <row r="9" spans="1:12" x14ac:dyDescent="0.45">
      <c r="A9" s="21"/>
      <c r="B9" s="1"/>
      <c r="C9" s="1"/>
      <c r="D9" s="199"/>
      <c r="E9" s="199"/>
      <c r="F9" s="199"/>
      <c r="G9" s="199"/>
      <c r="H9" s="274">
        <f>H8/H7</f>
        <v>2.3380300994675063E-5</v>
      </c>
      <c r="I9" s="1"/>
      <c r="J9" s="1"/>
      <c r="K9" s="1"/>
      <c r="L9" s="209"/>
    </row>
    <row r="10" spans="1:12" x14ac:dyDescent="0.45">
      <c r="A10" s="21"/>
      <c r="B10" s="1"/>
      <c r="C10" s="1"/>
      <c r="D10" s="311"/>
      <c r="E10" s="311"/>
      <c r="F10" s="1"/>
      <c r="G10" s="1"/>
      <c r="H10" s="7"/>
      <c r="I10" s="1"/>
      <c r="J10" s="1"/>
      <c r="K10" s="1"/>
    </row>
    <row r="11" spans="1:12" x14ac:dyDescent="0.45">
      <c r="A11" s="239" t="s">
        <v>207</v>
      </c>
      <c r="B11" s="1"/>
      <c r="C11" s="1"/>
      <c r="D11" s="1"/>
      <c r="E11" s="1"/>
      <c r="F11" s="1"/>
      <c r="G11" s="1"/>
      <c r="H11" s="7"/>
      <c r="I11" s="1"/>
      <c r="J11" s="1"/>
      <c r="K11" s="1"/>
    </row>
    <row r="12" spans="1:12" x14ac:dyDescent="0.45">
      <c r="A12" s="21"/>
      <c r="B12" s="199"/>
      <c r="C12" s="255"/>
      <c r="D12" s="255"/>
      <c r="E12" s="255"/>
      <c r="F12" s="255" t="str">
        <f>B14</f>
        <v>First</v>
      </c>
      <c r="G12" s="255" t="str">
        <f>B15</f>
        <v>Next</v>
      </c>
      <c r="H12" s="255" t="str">
        <f>B16</f>
        <v>Next</v>
      </c>
      <c r="I12" s="258" t="str">
        <f>B17</f>
        <v>Next</v>
      </c>
      <c r="J12" s="255" t="str">
        <f>B18</f>
        <v>Over</v>
      </c>
      <c r="K12" s="255" t="s">
        <v>11</v>
      </c>
    </row>
    <row r="13" spans="1:12" x14ac:dyDescent="0.45">
      <c r="A13" s="21"/>
      <c r="B13" s="199"/>
      <c r="C13" s="256" t="s">
        <v>193</v>
      </c>
      <c r="D13" s="256" t="s">
        <v>194</v>
      </c>
      <c r="E13" s="256" t="s">
        <v>12</v>
      </c>
      <c r="F13" s="257">
        <f>C14</f>
        <v>2000</v>
      </c>
      <c r="G13" s="257">
        <f>C15</f>
        <v>1000</v>
      </c>
      <c r="H13" s="257">
        <f>C16</f>
        <v>2000</v>
      </c>
      <c r="I13" s="257">
        <f>C17</f>
        <v>5000</v>
      </c>
      <c r="J13" s="257">
        <f>C18</f>
        <v>10000</v>
      </c>
      <c r="K13" s="256"/>
    </row>
    <row r="14" spans="1:12" x14ac:dyDescent="0.45">
      <c r="A14" s="21"/>
      <c r="B14" s="199" t="s">
        <v>191</v>
      </c>
      <c r="C14" s="73">
        <v>2000</v>
      </c>
      <c r="D14" s="200">
        <f>ExBA2!D14</f>
        <v>3824</v>
      </c>
      <c r="E14" s="200">
        <f>ExBA2!E14</f>
        <v>0</v>
      </c>
      <c r="F14" s="200">
        <f>ExBA2!F14</f>
        <v>0</v>
      </c>
      <c r="G14" s="200">
        <f>ExBA2!G14</f>
        <v>0</v>
      </c>
      <c r="H14" s="200">
        <f>ExBA2!H14</f>
        <v>0</v>
      </c>
      <c r="I14" s="200">
        <f>ExBA2!I14</f>
        <v>0</v>
      </c>
      <c r="J14" s="200">
        <f>ExBA2!J14</f>
        <v>0</v>
      </c>
      <c r="K14" s="200">
        <f>ExBA2!K14</f>
        <v>23558519.300000001</v>
      </c>
    </row>
    <row r="15" spans="1:12" x14ac:dyDescent="0.45">
      <c r="A15" s="21"/>
      <c r="B15" s="199" t="s">
        <v>219</v>
      </c>
      <c r="C15" s="73">
        <v>1000</v>
      </c>
      <c r="D15" s="200">
        <f>ExBA2!D15</f>
        <v>2937</v>
      </c>
      <c r="E15" s="200">
        <f>ExBA2!E15</f>
        <v>0</v>
      </c>
      <c r="F15" s="200">
        <f>ExBA2!F15</f>
        <v>0</v>
      </c>
      <c r="G15" s="200">
        <f>ExBA2!G15</f>
        <v>0</v>
      </c>
      <c r="H15" s="200">
        <f>ExBA2!H15</f>
        <v>0</v>
      </c>
      <c r="I15" s="200">
        <f>ExBA2!I15</f>
        <v>0</v>
      </c>
      <c r="J15" s="200">
        <f>ExBA2!J15</f>
        <v>0</v>
      </c>
      <c r="K15" s="200">
        <f>ExBA2!K15</f>
        <v>8138967.4000000004</v>
      </c>
    </row>
    <row r="16" spans="1:12" x14ac:dyDescent="0.45">
      <c r="A16" s="21"/>
      <c r="B16" s="199" t="s">
        <v>219</v>
      </c>
      <c r="C16" s="73">
        <v>2000</v>
      </c>
      <c r="D16" s="200">
        <f>ExBA2!D16</f>
        <v>3950</v>
      </c>
      <c r="E16" s="200">
        <f>ExBA2!E16</f>
        <v>0</v>
      </c>
      <c r="F16" s="200">
        <f>ExBA2!F16</f>
        <v>0</v>
      </c>
      <c r="G16" s="200">
        <f>ExBA2!G16</f>
        <v>0</v>
      </c>
      <c r="H16" s="200">
        <f>ExBA2!H16</f>
        <v>0</v>
      </c>
      <c r="I16" s="200">
        <f>ExBA2!I16</f>
        <v>0</v>
      </c>
      <c r="J16" s="200">
        <f>ExBA2!J16</f>
        <v>0</v>
      </c>
      <c r="K16" s="200">
        <f>ExBA2!K16</f>
        <v>8710398.1999999993</v>
      </c>
    </row>
    <row r="17" spans="1:11" x14ac:dyDescent="0.45">
      <c r="A17" s="21"/>
      <c r="B17" s="199" t="s">
        <v>219</v>
      </c>
      <c r="C17" s="73">
        <v>5000</v>
      </c>
      <c r="D17" s="200">
        <f>ExBA2!D17</f>
        <v>2289</v>
      </c>
      <c r="E17" s="200">
        <f>ExBA2!E17</f>
        <v>0</v>
      </c>
      <c r="F17" s="200">
        <f>ExBA2!F17</f>
        <v>0</v>
      </c>
      <c r="G17" s="200">
        <f>ExBA2!G17</f>
        <v>0</v>
      </c>
      <c r="H17" s="200">
        <f>ExBA2!H17</f>
        <v>0</v>
      </c>
      <c r="I17" s="200">
        <f>ExBA2!I17</f>
        <v>0</v>
      </c>
      <c r="J17" s="200">
        <f>ExBA2!J17</f>
        <v>0</v>
      </c>
      <c r="K17" s="200">
        <f>ExBA2!K17</f>
        <v>5560499.2000000002</v>
      </c>
    </row>
    <row r="18" spans="1:11" x14ac:dyDescent="0.45">
      <c r="A18" s="21"/>
      <c r="B18" s="199" t="s">
        <v>192</v>
      </c>
      <c r="C18" s="73">
        <v>10000</v>
      </c>
      <c r="D18" s="206">
        <f>ExBA2!D18</f>
        <v>394</v>
      </c>
      <c r="E18" s="206">
        <f>ExBA2!E18</f>
        <v>0</v>
      </c>
      <c r="F18" s="206">
        <f>ExBA2!F18</f>
        <v>0</v>
      </c>
      <c r="G18" s="206">
        <f>ExBA2!G18</f>
        <v>0</v>
      </c>
      <c r="H18" s="206">
        <f>ExBA2!H18</f>
        <v>0</v>
      </c>
      <c r="I18" s="206">
        <f>ExBA2!I18</f>
        <v>0</v>
      </c>
      <c r="J18" s="206">
        <f>ExBA2!J18</f>
        <v>0</v>
      </c>
      <c r="K18" s="206">
        <f>ExBA2!K18</f>
        <v>7828775.5</v>
      </c>
    </row>
    <row r="19" spans="1:11" x14ac:dyDescent="0.45">
      <c r="A19" s="21"/>
      <c r="B19" s="199"/>
      <c r="C19" s="73"/>
      <c r="D19" s="200">
        <f>SUM(D14:D18)</f>
        <v>13394</v>
      </c>
      <c r="E19" s="200">
        <f>SUM(E14:E18)</f>
        <v>0</v>
      </c>
      <c r="F19" s="200">
        <f>SUM(F14:F18)</f>
        <v>0</v>
      </c>
      <c r="G19" s="200">
        <f>SUM(G14:G18)</f>
        <v>0</v>
      </c>
      <c r="H19" s="200">
        <f t="shared" ref="H19:J19" si="0">SUM(H14:H18)</f>
        <v>0</v>
      </c>
      <c r="I19" s="200">
        <f t="shared" si="0"/>
        <v>0</v>
      </c>
      <c r="J19" s="200">
        <f t="shared" si="0"/>
        <v>0</v>
      </c>
      <c r="K19" s="200">
        <f>SUM(K14:K18)</f>
        <v>53797159.600000009</v>
      </c>
    </row>
    <row r="20" spans="1:11" x14ac:dyDescent="0.45">
      <c r="A20" s="21"/>
      <c r="B20" s="199"/>
      <c r="C20" s="73"/>
      <c r="D20" s="200"/>
      <c r="E20" s="200"/>
      <c r="F20" s="200"/>
      <c r="G20" s="200"/>
      <c r="H20" s="200"/>
    </row>
    <row r="21" spans="1:11" x14ac:dyDescent="0.45">
      <c r="A21" s="21"/>
      <c r="B21" s="1"/>
      <c r="C21" s="1"/>
      <c r="D21" s="1"/>
      <c r="E21" s="1"/>
      <c r="F21" s="1"/>
      <c r="G21" s="1"/>
      <c r="H21" s="7"/>
      <c r="I21" s="1"/>
      <c r="J21" s="1"/>
      <c r="K21" s="1"/>
    </row>
    <row r="22" spans="1:11" x14ac:dyDescent="0.45">
      <c r="A22" s="239" t="s">
        <v>195</v>
      </c>
      <c r="B22" s="1"/>
      <c r="C22" s="1"/>
      <c r="D22" s="1"/>
      <c r="E22" s="1"/>
      <c r="F22" s="1"/>
      <c r="G22" s="1"/>
      <c r="H22" s="7"/>
      <c r="I22" s="1"/>
      <c r="J22" s="1"/>
      <c r="K22" s="1"/>
    </row>
    <row r="23" spans="1:11" x14ac:dyDescent="0.45">
      <c r="A23" s="21"/>
      <c r="B23" s="1"/>
      <c r="C23" s="240" t="s">
        <v>193</v>
      </c>
      <c r="D23" s="240" t="s">
        <v>194</v>
      </c>
      <c r="E23" s="240" t="s">
        <v>12</v>
      </c>
      <c r="F23" s="240" t="s">
        <v>196</v>
      </c>
      <c r="G23" s="242" t="s">
        <v>190</v>
      </c>
      <c r="H23" s="7"/>
      <c r="I23" s="1"/>
      <c r="J23" s="1"/>
      <c r="K23" s="1"/>
    </row>
    <row r="24" spans="1:11" x14ac:dyDescent="0.45">
      <c r="A24" s="21"/>
      <c r="B24" s="199" t="str">
        <f>B14</f>
        <v>First</v>
      </c>
      <c r="C24" s="73">
        <f>C14</f>
        <v>2000</v>
      </c>
      <c r="D24" s="2">
        <f>ExBA2!D24</f>
        <v>13394</v>
      </c>
      <c r="E24" s="2">
        <f>ExBA2!E24</f>
        <v>23558519.300000001</v>
      </c>
      <c r="F24" s="202">
        <f>Rates!F9</f>
        <v>30.06</v>
      </c>
      <c r="G24" s="203">
        <f>ROUND(D24*F24,2)</f>
        <v>402623.64</v>
      </c>
      <c r="H24" s="7"/>
      <c r="I24" s="158"/>
      <c r="J24" s="1"/>
      <c r="K24" s="1"/>
    </row>
    <row r="25" spans="1:11" x14ac:dyDescent="0.45">
      <c r="A25" s="21"/>
      <c r="B25" s="199" t="str">
        <f t="shared" ref="B25:C28" si="1">B15</f>
        <v>Next</v>
      </c>
      <c r="C25" s="73">
        <f t="shared" si="1"/>
        <v>1000</v>
      </c>
      <c r="D25" s="2"/>
      <c r="E25" s="2">
        <f>ExBA2!E25</f>
        <v>8138967.4000000004</v>
      </c>
      <c r="F25" s="273">
        <f>Rates!F10</f>
        <v>1.0279999999999999E-2</v>
      </c>
      <c r="G25" s="203">
        <f>ROUND(E25*F25,2)</f>
        <v>83668.58</v>
      </c>
      <c r="H25" s="7"/>
      <c r="I25" s="158"/>
      <c r="J25" s="1"/>
      <c r="K25" s="1"/>
    </row>
    <row r="26" spans="1:11" x14ac:dyDescent="0.45">
      <c r="A26" s="21"/>
      <c r="B26" s="199" t="str">
        <f t="shared" si="1"/>
        <v>Next</v>
      </c>
      <c r="C26" s="73">
        <f t="shared" si="1"/>
        <v>2000</v>
      </c>
      <c r="D26" s="2"/>
      <c r="E26" s="2">
        <f>ExBA2!E26</f>
        <v>8710398.1999999993</v>
      </c>
      <c r="F26" s="273">
        <f>Rates!F11</f>
        <v>9.6100000000000005E-3</v>
      </c>
      <c r="G26" s="203">
        <f t="shared" ref="G26:G28" si="2">ROUND(E26*F26,2)</f>
        <v>83706.929999999993</v>
      </c>
      <c r="H26" s="7"/>
      <c r="I26" s="158"/>
      <c r="J26" s="1"/>
      <c r="K26" s="1"/>
    </row>
    <row r="27" spans="1:11" x14ac:dyDescent="0.45">
      <c r="A27" s="21"/>
      <c r="B27" s="199" t="str">
        <f t="shared" si="1"/>
        <v>Next</v>
      </c>
      <c r="C27" s="73">
        <f t="shared" si="1"/>
        <v>5000</v>
      </c>
      <c r="D27" s="2"/>
      <c r="E27" s="2">
        <f>ExBA2!E27</f>
        <v>5560499.2000000002</v>
      </c>
      <c r="F27" s="273">
        <f>Rates!F12</f>
        <v>8.9200000000000008E-3</v>
      </c>
      <c r="G27" s="203">
        <f t="shared" si="2"/>
        <v>49599.65</v>
      </c>
      <c r="H27" s="7"/>
      <c r="I27" s="158"/>
      <c r="J27" s="1"/>
      <c r="K27" s="1"/>
    </row>
    <row r="28" spans="1:11" x14ac:dyDescent="0.45">
      <c r="A28" s="21"/>
      <c r="B28" s="199" t="str">
        <f t="shared" si="1"/>
        <v>Over</v>
      </c>
      <c r="C28" s="73">
        <f t="shared" si="1"/>
        <v>10000</v>
      </c>
      <c r="D28" s="30"/>
      <c r="E28" s="2">
        <f>ExBA2!E28</f>
        <v>7828775.5</v>
      </c>
      <c r="F28" s="273">
        <f>Rates!F13</f>
        <v>8.2100000000000003E-3</v>
      </c>
      <c r="G28" s="241">
        <f t="shared" si="2"/>
        <v>64274.25</v>
      </c>
      <c r="H28" s="7"/>
      <c r="I28" s="158"/>
      <c r="J28" s="1"/>
      <c r="K28" s="1"/>
    </row>
    <row r="29" spans="1:11" x14ac:dyDescent="0.45">
      <c r="A29" s="21"/>
      <c r="B29" s="199"/>
      <c r="C29" s="73"/>
      <c r="D29" s="200">
        <f>SUM(D24:D28)</f>
        <v>13394</v>
      </c>
      <c r="E29" s="200">
        <f>SUM(E24:E28)</f>
        <v>53797159.600000009</v>
      </c>
      <c r="F29" s="200"/>
      <c r="G29" s="259">
        <f>SUM(G24:G28)</f>
        <v>683873.05</v>
      </c>
      <c r="H29" s="7"/>
      <c r="I29" s="158"/>
      <c r="J29" s="1"/>
      <c r="K29" s="1"/>
    </row>
  </sheetData>
  <mergeCells count="9">
    <mergeCell ref="D7:E7"/>
    <mergeCell ref="D8:E8"/>
    <mergeCell ref="D10:E10"/>
    <mergeCell ref="F1:H1"/>
    <mergeCell ref="D2:E2"/>
    <mergeCell ref="D3:E3"/>
    <mergeCell ref="D4:E4"/>
    <mergeCell ref="D5:E5"/>
    <mergeCell ref="D6:E6"/>
  </mergeCells>
  <printOptions horizontalCentered="1" verticalCentered="1"/>
  <pageMargins left="0.45" right="0.45" top="0.5" bottom="0.5" header="0.3" footer="0.3"/>
  <pageSetup scale="8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dimension ref="A1:H31"/>
  <sheetViews>
    <sheetView topLeftCell="A6" workbookViewId="0">
      <selection activeCell="G25" sqref="G25"/>
    </sheetView>
  </sheetViews>
  <sheetFormatPr defaultRowHeight="14.25" x14ac:dyDescent="0.45"/>
  <cols>
    <col min="1" max="1" width="20.609375" style="1" customWidth="1"/>
    <col min="2" max="7" width="12.609375" style="15" customWidth="1"/>
    <col min="8" max="8" width="8.88671875" style="22"/>
    <col min="9" max="16384" width="8.88671875" style="1"/>
  </cols>
  <sheetData>
    <row r="1" spans="1:8" x14ac:dyDescent="0.45">
      <c r="A1" s="1" t="s">
        <v>70</v>
      </c>
    </row>
    <row r="2" spans="1:8" x14ac:dyDescent="0.45">
      <c r="B2" s="149"/>
      <c r="C2" s="149"/>
      <c r="D2" s="149"/>
      <c r="E2" s="149"/>
      <c r="F2" s="149"/>
      <c r="G2" s="149" t="s">
        <v>11</v>
      </c>
    </row>
    <row r="3" spans="1:8" x14ac:dyDescent="0.45">
      <c r="B3" s="149" t="s">
        <v>71</v>
      </c>
      <c r="C3" s="149" t="s">
        <v>71</v>
      </c>
      <c r="D3" s="149" t="s">
        <v>72</v>
      </c>
      <c r="E3" s="149" t="s">
        <v>71</v>
      </c>
      <c r="F3" s="149" t="s">
        <v>71</v>
      </c>
      <c r="G3" s="149" t="s">
        <v>71</v>
      </c>
      <c r="H3" s="22" t="s">
        <v>173</v>
      </c>
    </row>
    <row r="4" spans="1:8" x14ac:dyDescent="0.45">
      <c r="A4" s="1" t="s">
        <v>73</v>
      </c>
      <c r="B4" s="149" t="s">
        <v>74</v>
      </c>
      <c r="C4" s="149" t="s">
        <v>75</v>
      </c>
      <c r="D4" s="149" t="s">
        <v>76</v>
      </c>
      <c r="E4" s="149" t="s">
        <v>77</v>
      </c>
      <c r="F4" s="149" t="s">
        <v>78</v>
      </c>
      <c r="G4" s="149" t="s">
        <v>79</v>
      </c>
      <c r="H4" s="22" t="s">
        <v>174</v>
      </c>
    </row>
    <row r="5" spans="1:8" x14ac:dyDescent="0.45">
      <c r="A5" s="1" t="s">
        <v>244</v>
      </c>
      <c r="B5" s="275">
        <v>701.5</v>
      </c>
      <c r="C5" s="275"/>
      <c r="D5" s="275">
        <v>12.25</v>
      </c>
      <c r="E5" s="15">
        <f>B5*D5</f>
        <v>8593.375</v>
      </c>
      <c r="F5" s="15">
        <f>C5*D5*1.5</f>
        <v>0</v>
      </c>
      <c r="G5" s="15">
        <f>E5+F5</f>
        <v>8593.375</v>
      </c>
      <c r="H5" s="22" t="s">
        <v>245</v>
      </c>
    </row>
    <row r="6" spans="1:8" x14ac:dyDescent="0.45">
      <c r="A6" s="1" t="s">
        <v>224</v>
      </c>
      <c r="B6" s="275">
        <v>2030</v>
      </c>
      <c r="C6" s="275">
        <v>0</v>
      </c>
      <c r="D6" s="275">
        <v>25</v>
      </c>
      <c r="E6" s="15">
        <f t="shared" ref="E6:E9" si="0">B6*D6</f>
        <v>50750</v>
      </c>
      <c r="F6" s="15">
        <f t="shared" ref="F6:F9" si="1">C6*D6*1.5</f>
        <v>0</v>
      </c>
      <c r="G6" s="15">
        <f t="shared" ref="G6:G9" si="2">E6+F6</f>
        <v>50750</v>
      </c>
      <c r="H6" s="22" t="s">
        <v>242</v>
      </c>
    </row>
    <row r="7" spans="1:8" x14ac:dyDescent="0.45">
      <c r="A7" s="1" t="s">
        <v>270</v>
      </c>
      <c r="B7" s="275">
        <v>2080</v>
      </c>
      <c r="C7" s="275">
        <v>0</v>
      </c>
      <c r="D7" s="275">
        <v>18</v>
      </c>
      <c r="E7" s="15">
        <f t="shared" ref="E7" si="3">B7*D7</f>
        <v>37440</v>
      </c>
      <c r="F7" s="15">
        <f t="shared" ref="F7" si="4">C7*D7*1.5</f>
        <v>0</v>
      </c>
      <c r="G7" s="15">
        <f t="shared" ref="G7" si="5">E7+F7</f>
        <v>37440</v>
      </c>
      <c r="H7" s="22" t="s">
        <v>242</v>
      </c>
    </row>
    <row r="8" spans="1:8" x14ac:dyDescent="0.45">
      <c r="A8" s="1" t="s">
        <v>246</v>
      </c>
      <c r="B8" s="275">
        <v>2080</v>
      </c>
      <c r="C8" s="275">
        <v>0</v>
      </c>
      <c r="D8" s="275">
        <v>20</v>
      </c>
      <c r="E8" s="15">
        <f t="shared" si="0"/>
        <v>41600</v>
      </c>
      <c r="F8" s="15">
        <f t="shared" si="1"/>
        <v>0</v>
      </c>
      <c r="G8" s="15">
        <f t="shared" si="2"/>
        <v>41600</v>
      </c>
      <c r="H8" s="22" t="s">
        <v>242</v>
      </c>
    </row>
    <row r="9" spans="1:8" x14ac:dyDescent="0.45">
      <c r="A9" s="1" t="s">
        <v>225</v>
      </c>
      <c r="B9" s="219">
        <f>2135-7</f>
        <v>2128</v>
      </c>
      <c r="C9" s="219">
        <v>7</v>
      </c>
      <c r="D9" s="275">
        <v>20</v>
      </c>
      <c r="E9" s="39">
        <f t="shared" si="0"/>
        <v>42560</v>
      </c>
      <c r="F9" s="39">
        <f t="shared" si="1"/>
        <v>210</v>
      </c>
      <c r="G9" s="39">
        <f t="shared" si="2"/>
        <v>42770</v>
      </c>
      <c r="H9" s="22" t="s">
        <v>242</v>
      </c>
    </row>
    <row r="10" spans="1:8" x14ac:dyDescent="0.45">
      <c r="B10" s="15">
        <f>SUM(B5:B9)</f>
        <v>9019.5</v>
      </c>
      <c r="C10" s="15">
        <f>SUM(C5:C9)</f>
        <v>7</v>
      </c>
      <c r="E10" s="15">
        <f>SUM(E5:E9)</f>
        <v>180943.375</v>
      </c>
      <c r="F10" s="15">
        <f>SUM(F5:F9)</f>
        <v>210</v>
      </c>
      <c r="G10" s="15">
        <f>SUM(G5:G9)</f>
        <v>181153.375</v>
      </c>
    </row>
    <row r="12" spans="1:8" x14ac:dyDescent="0.45">
      <c r="A12" s="1" t="s">
        <v>153</v>
      </c>
      <c r="G12" s="15">
        <f>G10</f>
        <v>181153.375</v>
      </c>
    </row>
    <row r="14" spans="1:8" x14ac:dyDescent="0.45">
      <c r="A14" s="1" t="s">
        <v>154</v>
      </c>
      <c r="G14" s="15">
        <f>SUM(G6:G9)</f>
        <v>172560</v>
      </c>
    </row>
    <row r="16" spans="1:8" x14ac:dyDescent="0.45">
      <c r="G16" s="149" t="s">
        <v>30</v>
      </c>
    </row>
    <row r="17" spans="4:8" x14ac:dyDescent="0.45">
      <c r="D17" s="15" t="s">
        <v>80</v>
      </c>
      <c r="G17" s="15">
        <f>G12</f>
        <v>181153.375</v>
      </c>
    </row>
    <row r="18" spans="4:8" x14ac:dyDescent="0.45">
      <c r="D18" s="15" t="s">
        <v>81</v>
      </c>
      <c r="G18" s="219">
        <f>-SAO!D16</f>
        <v>-158125</v>
      </c>
    </row>
    <row r="19" spans="4:8" x14ac:dyDescent="0.45">
      <c r="D19" s="15" t="s">
        <v>82</v>
      </c>
      <c r="G19" s="15">
        <f>G17+G18</f>
        <v>23028.375</v>
      </c>
    </row>
    <row r="20" spans="4:8" x14ac:dyDescent="0.45">
      <c r="G20" s="15" t="s">
        <v>83</v>
      </c>
    </row>
    <row r="21" spans="4:8" x14ac:dyDescent="0.45">
      <c r="D21" s="15" t="s">
        <v>84</v>
      </c>
      <c r="G21" s="15">
        <f>G12</f>
        <v>181153.375</v>
      </c>
    </row>
    <row r="22" spans="4:8" x14ac:dyDescent="0.45">
      <c r="D22" s="15" t="s">
        <v>85</v>
      </c>
      <c r="G22" s="150">
        <v>7.6499999999999999E-2</v>
      </c>
    </row>
    <row r="23" spans="4:8" x14ac:dyDescent="0.45">
      <c r="D23" s="15" t="s">
        <v>86</v>
      </c>
      <c r="G23" s="15">
        <f>G21*G22</f>
        <v>13858.2331875</v>
      </c>
    </row>
    <row r="24" spans="4:8" x14ac:dyDescent="0.45">
      <c r="D24" s="15" t="s">
        <v>87</v>
      </c>
      <c r="G24" s="219">
        <v>-13916.46</v>
      </c>
      <c r="H24" s="239" t="s">
        <v>251</v>
      </c>
    </row>
    <row r="25" spans="4:8" x14ac:dyDescent="0.45">
      <c r="D25" s="15" t="s">
        <v>88</v>
      </c>
      <c r="G25" s="15">
        <f>G23+G24</f>
        <v>-58.226812499999141</v>
      </c>
    </row>
    <row r="27" spans="4:8" x14ac:dyDescent="0.45">
      <c r="D27" s="15" t="s">
        <v>89</v>
      </c>
      <c r="G27" s="275">
        <f>G14</f>
        <v>172560</v>
      </c>
    </row>
    <row r="28" spans="4:8" x14ac:dyDescent="0.45">
      <c r="D28" s="15" t="s">
        <v>90</v>
      </c>
      <c r="G28" s="150">
        <v>0.26790000000000003</v>
      </c>
    </row>
    <row r="29" spans="4:8" x14ac:dyDescent="0.45">
      <c r="D29" s="15" t="s">
        <v>91</v>
      </c>
      <c r="G29" s="15">
        <f>G27*G28</f>
        <v>46228.824000000008</v>
      </c>
    </row>
    <row r="30" spans="4:8" x14ac:dyDescent="0.45">
      <c r="D30" s="15" t="s">
        <v>92</v>
      </c>
      <c r="G30" s="219">
        <v>0</v>
      </c>
    </row>
    <row r="31" spans="4:8" x14ac:dyDescent="0.45">
      <c r="D31" s="15" t="s">
        <v>93</v>
      </c>
      <c r="G31" s="15">
        <f>G29+G30</f>
        <v>46228.824000000008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workbookViewId="0">
      <selection activeCell="H9" sqref="H9"/>
    </sheetView>
  </sheetViews>
  <sheetFormatPr defaultColWidth="8.88671875" defaultRowHeight="14.25" x14ac:dyDescent="0.45"/>
  <cols>
    <col min="1" max="2" width="12.6640625" style="1" customWidth="1"/>
    <col min="3" max="3" width="11.5546875" style="159" bestFit="1" customWidth="1"/>
    <col min="4" max="4" width="9.88671875" style="159" customWidth="1"/>
    <col min="5" max="5" width="9.77734375" style="166" customWidth="1"/>
    <col min="6" max="6" width="9.77734375" style="160" customWidth="1"/>
    <col min="7" max="7" width="11.44140625" style="159" customWidth="1"/>
    <col min="8" max="8" width="10.6640625" style="161" customWidth="1"/>
    <col min="9" max="9" width="10.109375" style="159" customWidth="1"/>
    <col min="10" max="10" width="10.5546875" style="1" customWidth="1"/>
    <col min="11" max="12" width="8.88671875" style="1"/>
    <col min="13" max="13" width="10.109375" style="1" customWidth="1"/>
    <col min="14" max="14" width="9" style="1" bestFit="1" customWidth="1"/>
    <col min="15" max="15" width="9.77734375" style="1" bestFit="1" customWidth="1"/>
    <col min="16" max="16384" width="8.88671875" style="1"/>
  </cols>
  <sheetData>
    <row r="1" spans="1:13" x14ac:dyDescent="0.45">
      <c r="A1" s="1" t="s">
        <v>209</v>
      </c>
    </row>
    <row r="2" spans="1:13" x14ac:dyDescent="0.45">
      <c r="C2" s="162"/>
    </row>
    <row r="3" spans="1:13" x14ac:dyDescent="0.45">
      <c r="D3" s="159" t="s">
        <v>161</v>
      </c>
      <c r="G3" s="159" t="s">
        <v>157</v>
      </c>
      <c r="H3" s="161" t="s">
        <v>158</v>
      </c>
      <c r="I3" s="159" t="s">
        <v>158</v>
      </c>
    </row>
    <row r="4" spans="1:13" x14ac:dyDescent="0.45">
      <c r="C4" s="252" t="s">
        <v>161</v>
      </c>
      <c r="D4" s="159" t="s">
        <v>159</v>
      </c>
      <c r="E4" s="166" t="s">
        <v>159</v>
      </c>
      <c r="F4" s="160" t="s">
        <v>160</v>
      </c>
      <c r="G4" s="159" t="s">
        <v>161</v>
      </c>
      <c r="H4" s="161" t="s">
        <v>162</v>
      </c>
      <c r="I4" s="159" t="s">
        <v>162</v>
      </c>
    </row>
    <row r="5" spans="1:13" x14ac:dyDescent="0.45">
      <c r="B5" s="1" t="s">
        <v>238</v>
      </c>
      <c r="C5" s="159" t="s">
        <v>163</v>
      </c>
      <c r="D5" s="159" t="s">
        <v>164</v>
      </c>
      <c r="E5" s="166" t="s">
        <v>165</v>
      </c>
      <c r="F5" s="160" t="s">
        <v>165</v>
      </c>
      <c r="G5" s="159" t="s">
        <v>163</v>
      </c>
      <c r="H5" s="161" t="s">
        <v>166</v>
      </c>
      <c r="I5" s="159" t="s">
        <v>167</v>
      </c>
      <c r="J5" s="21"/>
    </row>
    <row r="6" spans="1:13" x14ac:dyDescent="0.45">
      <c r="A6" s="1" t="s">
        <v>236</v>
      </c>
      <c r="B6" s="1" t="s">
        <v>272</v>
      </c>
      <c r="C6" s="159">
        <f>1297.01*12</f>
        <v>15564.119999999999</v>
      </c>
      <c r="D6" s="159">
        <v>0</v>
      </c>
      <c r="E6" s="166">
        <v>0</v>
      </c>
      <c r="F6" s="160">
        <f>1-E6</f>
        <v>1</v>
      </c>
      <c r="G6" s="159">
        <f>C6*F6</f>
        <v>15564.119999999999</v>
      </c>
      <c r="H6" s="161">
        <v>0.67</v>
      </c>
      <c r="I6" s="159">
        <f t="shared" ref="I6" si="0">IF(H6&lt;F6,H6*G6,G6)</f>
        <v>10427.9604</v>
      </c>
      <c r="J6" s="21"/>
    </row>
    <row r="7" spans="1:13" x14ac:dyDescent="0.45">
      <c r="A7" s="1" t="s">
        <v>240</v>
      </c>
      <c r="B7" s="1" t="s">
        <v>239</v>
      </c>
      <c r="C7" s="159">
        <f>1880.36*12</f>
        <v>22564.32</v>
      </c>
      <c r="D7" s="159">
        <v>0</v>
      </c>
      <c r="E7" s="166">
        <v>0</v>
      </c>
      <c r="F7" s="160">
        <f>1-E7</f>
        <v>1</v>
      </c>
      <c r="G7" s="159">
        <f>C7*F7</f>
        <v>22564.32</v>
      </c>
      <c r="H7" s="161">
        <v>0.67</v>
      </c>
      <c r="I7" s="159">
        <f t="shared" ref="I7" si="1">IF(H7&lt;F7,H7*G7,G7)</f>
        <v>15118.0944</v>
      </c>
      <c r="J7" s="21"/>
    </row>
    <row r="8" spans="1:13" x14ac:dyDescent="0.45">
      <c r="A8" s="1" t="s">
        <v>271</v>
      </c>
      <c r="B8" s="1" t="s">
        <v>73</v>
      </c>
      <c r="C8" s="159">
        <f>1178.45*12</f>
        <v>14141.400000000001</v>
      </c>
      <c r="D8" s="159">
        <v>0</v>
      </c>
      <c r="E8" s="166">
        <v>0</v>
      </c>
      <c r="F8" s="160">
        <f>1-E8</f>
        <v>1</v>
      </c>
      <c r="G8" s="159">
        <f>C8*F8</f>
        <v>14141.400000000001</v>
      </c>
      <c r="H8" s="161">
        <v>0.78</v>
      </c>
      <c r="I8" s="159">
        <f t="shared" ref="I8" si="2">IF(H8&lt;F8,H8*G8,G8)</f>
        <v>11030.292000000001</v>
      </c>
      <c r="J8" s="21"/>
    </row>
    <row r="9" spans="1:13" ht="16.5" x14ac:dyDescent="0.75">
      <c r="A9" s="1" t="s">
        <v>237</v>
      </c>
      <c r="B9" s="1" t="s">
        <v>239</v>
      </c>
      <c r="C9" s="164">
        <f>1880.36*12</f>
        <v>22564.32</v>
      </c>
      <c r="D9" s="165">
        <v>0</v>
      </c>
      <c r="E9" s="166">
        <f t="shared" ref="E9" si="3">D9/C9</f>
        <v>0</v>
      </c>
      <c r="F9" s="160">
        <f t="shared" ref="F9" si="4">1-E9</f>
        <v>1</v>
      </c>
      <c r="G9" s="253">
        <f t="shared" ref="G9" si="5">C9*F9</f>
        <v>22564.32</v>
      </c>
      <c r="H9" s="161">
        <v>0.67</v>
      </c>
      <c r="I9" s="164">
        <f t="shared" ref="I9" si="6">IF(H9&lt;F9,H9*G9,G9)</f>
        <v>15118.0944</v>
      </c>
    </row>
    <row r="10" spans="1:13" x14ac:dyDescent="0.45">
      <c r="A10" s="156" t="s">
        <v>47</v>
      </c>
      <c r="B10" s="156"/>
      <c r="C10" s="159">
        <f>SUM(C6:C9)</f>
        <v>74834.16</v>
      </c>
      <c r="D10" s="159">
        <f>SUM(D6:D9)</f>
        <v>0</v>
      </c>
      <c r="G10" s="159">
        <f>SUM(G6:G9)</f>
        <v>74834.16</v>
      </c>
      <c r="H10" s="171"/>
      <c r="I10" s="172">
        <f>SUM(I6:I9)</f>
        <v>51694.441200000001</v>
      </c>
      <c r="J10" s="46"/>
    </row>
    <row r="11" spans="1:13" x14ac:dyDescent="0.45">
      <c r="D11" s="163"/>
      <c r="F11" s="161"/>
      <c r="I11" s="173"/>
      <c r="J11" s="158"/>
    </row>
    <row r="12" spans="1:13" x14ac:dyDescent="0.45">
      <c r="J12" s="158"/>
    </row>
    <row r="13" spans="1:13" x14ac:dyDescent="0.45">
      <c r="A13" s="1" t="s">
        <v>202</v>
      </c>
      <c r="C13" s="1"/>
      <c r="J13" s="158"/>
    </row>
    <row r="14" spans="1:13" s="213" customFormat="1" x14ac:dyDescent="0.45">
      <c r="C14" s="214"/>
      <c r="D14" s="214"/>
      <c r="E14" s="215"/>
      <c r="F14" s="216"/>
      <c r="G14" s="214"/>
      <c r="H14" s="217"/>
      <c r="I14" s="214"/>
      <c r="J14" s="218"/>
    </row>
    <row r="15" spans="1:13" s="213" customFormat="1" ht="42.75" x14ac:dyDescent="0.45">
      <c r="A15" s="213" t="s">
        <v>211</v>
      </c>
      <c r="C15" s="214">
        <f>I10</f>
        <v>51694.441200000001</v>
      </c>
      <c r="D15" s="214"/>
      <c r="E15" s="215"/>
      <c r="F15" s="216"/>
      <c r="G15" s="214"/>
      <c r="H15" s="217"/>
      <c r="I15" s="214"/>
      <c r="J15" s="218"/>
    </row>
    <row r="16" spans="1:13" ht="28.5" x14ac:dyDescent="0.45">
      <c r="A16" s="213" t="s">
        <v>212</v>
      </c>
      <c r="B16" s="213"/>
      <c r="C16" s="164">
        <f>-SAO!D19</f>
        <v>-56185</v>
      </c>
      <c r="D16" s="276" t="s">
        <v>255</v>
      </c>
      <c r="F16" s="168"/>
      <c r="I16" s="174"/>
      <c r="J16" s="46"/>
      <c r="L16" s="157"/>
      <c r="M16" s="157"/>
    </row>
    <row r="17" spans="1:12" x14ac:dyDescent="0.45">
      <c r="A17" s="213" t="s">
        <v>36</v>
      </c>
      <c r="B17" s="213"/>
      <c r="C17" s="159">
        <f>SUM(C15:C16)</f>
        <v>-4490.5587999999989</v>
      </c>
      <c r="E17" s="167"/>
      <c r="F17" s="169"/>
      <c r="I17" s="175"/>
      <c r="J17" s="154"/>
      <c r="L17" s="2"/>
    </row>
    <row r="18" spans="1:12" ht="16.5" x14ac:dyDescent="0.75">
      <c r="F18" s="170"/>
      <c r="I18" s="176"/>
      <c r="J18" s="155"/>
    </row>
    <row r="19" spans="1:12" x14ac:dyDescent="0.45">
      <c r="F19" s="169"/>
      <c r="I19" s="175"/>
      <c r="J19" s="154"/>
    </row>
    <row r="24" spans="1:12" x14ac:dyDescent="0.45">
      <c r="A24" s="166"/>
      <c r="B24" s="16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0D3-A7C3-4727-A9D4-F5C014E94ADB}">
  <sheetPr>
    <pageSetUpPr fitToPage="1"/>
  </sheetPr>
  <dimension ref="A1:R57"/>
  <sheetViews>
    <sheetView showGridLines="0" workbookViewId="0">
      <selection sqref="A1:M47"/>
    </sheetView>
  </sheetViews>
  <sheetFormatPr defaultRowHeight="15.4" x14ac:dyDescent="0.45"/>
  <cols>
    <col min="1" max="1" width="2" customWidth="1"/>
    <col min="2" max="2" width="1.88671875" customWidth="1"/>
    <col min="3" max="3" width="1.77734375" customWidth="1"/>
    <col min="4" max="4" width="27.44140625" style="1" customWidth="1"/>
    <col min="5" max="5" width="8.33203125" style="1" customWidth="1"/>
    <col min="6" max="6" width="10.6640625" style="184" customWidth="1"/>
    <col min="7" max="7" width="6.109375" style="1" customWidth="1"/>
    <col min="8" max="8" width="9.33203125" style="180" customWidth="1"/>
    <col min="9" max="9" width="6.109375" customWidth="1"/>
    <col min="10" max="10" width="9.33203125" style="180" customWidth="1"/>
    <col min="11" max="11" width="10.6640625" customWidth="1"/>
    <col min="12" max="12" width="1.88671875" customWidth="1"/>
    <col min="13" max="13" width="2.44140625" customWidth="1"/>
    <col min="15" max="18" width="8.88671875" style="1"/>
  </cols>
  <sheetData>
    <row r="1" spans="1:13" x14ac:dyDescent="0.45">
      <c r="A1" s="1"/>
      <c r="B1" s="1"/>
      <c r="C1" s="3"/>
      <c r="D1" s="3"/>
      <c r="E1" s="3"/>
      <c r="G1" s="133"/>
      <c r="H1" s="19"/>
      <c r="I1" s="133"/>
      <c r="J1" s="19"/>
      <c r="K1" s="3"/>
      <c r="L1" s="3"/>
      <c r="M1" s="3"/>
    </row>
    <row r="2" spans="1:13" x14ac:dyDescent="0.45">
      <c r="A2" s="1"/>
      <c r="B2" s="123"/>
      <c r="C2" s="125"/>
      <c r="D2" s="125"/>
      <c r="E2" s="125"/>
      <c r="F2" s="185"/>
      <c r="G2" s="134"/>
      <c r="H2" s="177"/>
      <c r="I2" s="134"/>
      <c r="J2" s="177"/>
      <c r="K2" s="125"/>
      <c r="L2" s="141"/>
      <c r="M2" s="144"/>
    </row>
    <row r="3" spans="1:13" ht="18" x14ac:dyDescent="0.55000000000000004">
      <c r="A3" s="1"/>
      <c r="B3" s="50"/>
      <c r="C3" s="283" t="s">
        <v>27</v>
      </c>
      <c r="D3" s="283"/>
      <c r="E3" s="283"/>
      <c r="F3" s="283"/>
      <c r="G3" s="283"/>
      <c r="H3" s="283"/>
      <c r="I3" s="283"/>
      <c r="J3" s="283"/>
      <c r="K3" s="283"/>
      <c r="L3" s="142"/>
      <c r="M3" s="144"/>
    </row>
    <row r="4" spans="1:13" ht="18" x14ac:dyDescent="0.55000000000000004">
      <c r="A4" s="1"/>
      <c r="B4" s="50"/>
      <c r="C4" s="284" t="s">
        <v>39</v>
      </c>
      <c r="D4" s="284"/>
      <c r="E4" s="284"/>
      <c r="F4" s="284"/>
      <c r="G4" s="284"/>
      <c r="H4" s="284"/>
      <c r="I4" s="284"/>
      <c r="J4" s="284"/>
      <c r="K4" s="284"/>
      <c r="L4" s="142"/>
      <c r="M4" s="144"/>
    </row>
    <row r="5" spans="1:13" ht="15.75" x14ac:dyDescent="0.45">
      <c r="A5" s="1"/>
      <c r="B5" s="50"/>
      <c r="C5" s="285" t="s">
        <v>213</v>
      </c>
      <c r="D5" s="285"/>
      <c r="E5" s="285"/>
      <c r="F5" s="285"/>
      <c r="G5" s="285"/>
      <c r="H5" s="285"/>
      <c r="I5" s="285"/>
      <c r="J5" s="285"/>
      <c r="K5" s="285"/>
      <c r="L5" s="142"/>
      <c r="M5" s="144"/>
    </row>
    <row r="6" spans="1:13" x14ac:dyDescent="0.45">
      <c r="A6" s="1"/>
      <c r="B6" s="50"/>
      <c r="C6" s="3"/>
      <c r="D6" s="3"/>
      <c r="E6" s="3"/>
      <c r="G6" s="135"/>
      <c r="H6" s="19"/>
      <c r="I6" s="135"/>
      <c r="J6" s="19"/>
      <c r="K6" s="127" t="s">
        <v>40</v>
      </c>
      <c r="L6" s="142"/>
      <c r="M6" s="144"/>
    </row>
    <row r="7" spans="1:13" x14ac:dyDescent="0.45">
      <c r="A7" s="1"/>
      <c r="B7" s="50"/>
      <c r="C7" s="126"/>
      <c r="D7" s="126"/>
      <c r="E7" s="126" t="s">
        <v>41</v>
      </c>
      <c r="F7" s="186" t="s">
        <v>42</v>
      </c>
      <c r="G7" s="286" t="s">
        <v>133</v>
      </c>
      <c r="H7" s="286"/>
      <c r="I7" s="286" t="s">
        <v>32</v>
      </c>
      <c r="J7" s="286"/>
      <c r="K7" s="127" t="s">
        <v>43</v>
      </c>
      <c r="L7" s="142"/>
      <c r="M7" s="144"/>
    </row>
    <row r="8" spans="1:13" ht="17.649999999999999" x14ac:dyDescent="0.75">
      <c r="A8" s="1"/>
      <c r="B8" s="50"/>
      <c r="C8" s="127"/>
      <c r="D8" s="131" t="s">
        <v>112</v>
      </c>
      <c r="E8" s="127" t="s">
        <v>44</v>
      </c>
      <c r="F8" s="187" t="s">
        <v>132</v>
      </c>
      <c r="G8" s="25" t="s">
        <v>45</v>
      </c>
      <c r="H8" s="127" t="s">
        <v>46</v>
      </c>
      <c r="I8" s="25" t="s">
        <v>45</v>
      </c>
      <c r="J8" s="127" t="s">
        <v>46</v>
      </c>
      <c r="K8" s="127" t="s">
        <v>36</v>
      </c>
      <c r="L8" s="142"/>
      <c r="M8" s="144"/>
    </row>
    <row r="9" spans="1:13" x14ac:dyDescent="0.45">
      <c r="A9" s="1"/>
      <c r="B9" s="50"/>
      <c r="C9" s="128" t="s">
        <v>107</v>
      </c>
      <c r="D9" s="3"/>
      <c r="E9" s="132"/>
      <c r="G9" s="135"/>
      <c r="H9" s="179"/>
      <c r="I9" s="135"/>
      <c r="J9" s="179"/>
      <c r="K9" s="2"/>
      <c r="L9" s="142"/>
      <c r="M9" s="144"/>
    </row>
    <row r="10" spans="1:13" x14ac:dyDescent="0.45">
      <c r="A10" s="1"/>
      <c r="B10" s="50"/>
      <c r="C10" s="128"/>
      <c r="D10" s="3" t="s">
        <v>113</v>
      </c>
      <c r="E10" s="132" t="s">
        <v>234</v>
      </c>
      <c r="F10" s="189">
        <v>262161</v>
      </c>
      <c r="G10" s="67" t="s">
        <v>235</v>
      </c>
      <c r="H10" s="151">
        <v>6553</v>
      </c>
      <c r="I10" s="135">
        <v>37.5</v>
      </c>
      <c r="J10" s="151">
        <f>F10/I10</f>
        <v>6990.96</v>
      </c>
      <c r="K10" s="23">
        <f>J10-H10</f>
        <v>437.96000000000004</v>
      </c>
      <c r="L10" s="142"/>
      <c r="M10" s="144"/>
    </row>
    <row r="11" spans="1:13" x14ac:dyDescent="0.45">
      <c r="A11" s="1"/>
      <c r="B11" s="50"/>
      <c r="C11" s="128"/>
      <c r="D11" s="3" t="s">
        <v>114</v>
      </c>
      <c r="E11" s="250"/>
      <c r="F11" s="189"/>
      <c r="G11" s="67"/>
      <c r="H11" s="151"/>
      <c r="I11" s="135">
        <v>10</v>
      </c>
      <c r="J11" s="151">
        <f>F11/I11</f>
        <v>0</v>
      </c>
      <c r="K11" s="23">
        <f>J11-H11</f>
        <v>0</v>
      </c>
      <c r="L11" s="142"/>
      <c r="M11" s="144"/>
    </row>
    <row r="12" spans="1:13" x14ac:dyDescent="0.45">
      <c r="A12" s="1"/>
      <c r="B12" s="50"/>
      <c r="C12" s="3"/>
      <c r="D12" s="3" t="s">
        <v>115</v>
      </c>
      <c r="E12" s="132"/>
      <c r="F12" s="189"/>
      <c r="G12" s="67"/>
      <c r="H12" s="151"/>
      <c r="I12" s="135">
        <v>22.5</v>
      </c>
      <c r="J12" s="151">
        <f>F12/I12</f>
        <v>0</v>
      </c>
      <c r="K12" s="23">
        <f>J12-H12</f>
        <v>0</v>
      </c>
      <c r="L12" s="142"/>
      <c r="M12" s="144"/>
    </row>
    <row r="13" spans="1:13" x14ac:dyDescent="0.45">
      <c r="A13" s="1"/>
      <c r="B13" s="50"/>
      <c r="C13" s="3"/>
      <c r="D13" s="3" t="s">
        <v>116</v>
      </c>
      <c r="E13" s="132"/>
      <c r="F13" s="189"/>
      <c r="G13" s="67"/>
      <c r="H13" s="151"/>
      <c r="I13" s="135">
        <v>12.5</v>
      </c>
      <c r="J13" s="151">
        <f t="shared" ref="J13:J15" si="0">F13/I13</f>
        <v>0</v>
      </c>
      <c r="K13" s="23">
        <f t="shared" ref="K13:K15" si="1">J13-H13</f>
        <v>0</v>
      </c>
      <c r="L13" s="142"/>
      <c r="M13" s="144"/>
    </row>
    <row r="14" spans="1:13" x14ac:dyDescent="0.45">
      <c r="A14" s="1"/>
      <c r="B14" s="50"/>
      <c r="C14" s="3"/>
      <c r="D14" s="3" t="s">
        <v>117</v>
      </c>
      <c r="E14" s="132" t="s">
        <v>234</v>
      </c>
      <c r="F14" s="189">
        <f>29970-4500</f>
        <v>25470</v>
      </c>
      <c r="G14" s="67" t="s">
        <v>235</v>
      </c>
      <c r="H14" s="151">
        <v>1906</v>
      </c>
      <c r="I14" s="135">
        <v>17.5</v>
      </c>
      <c r="J14" s="151">
        <f t="shared" si="0"/>
        <v>1455.4285714285713</v>
      </c>
      <c r="K14" s="23">
        <f t="shared" si="1"/>
        <v>-450.57142857142867</v>
      </c>
      <c r="L14" s="142"/>
      <c r="M14" s="144"/>
    </row>
    <row r="15" spans="1:13" x14ac:dyDescent="0.45">
      <c r="A15" s="1"/>
      <c r="B15" s="50"/>
      <c r="C15" s="3"/>
      <c r="D15" s="3" t="s">
        <v>118</v>
      </c>
      <c r="E15" s="132"/>
      <c r="F15" s="189"/>
      <c r="G15" s="67"/>
      <c r="H15" s="151"/>
      <c r="I15" s="135">
        <v>15</v>
      </c>
      <c r="J15" s="151">
        <f t="shared" si="0"/>
        <v>0</v>
      </c>
      <c r="K15" s="23">
        <f t="shared" si="1"/>
        <v>0</v>
      </c>
      <c r="L15" s="142"/>
      <c r="M15" s="144"/>
    </row>
    <row r="16" spans="1:13" x14ac:dyDescent="0.45">
      <c r="A16" s="1"/>
      <c r="B16" s="50"/>
      <c r="C16" s="3"/>
      <c r="D16" s="3"/>
      <c r="E16" s="132"/>
      <c r="F16" s="189"/>
      <c r="G16" s="67"/>
      <c r="H16" s="151"/>
      <c r="I16" s="135"/>
      <c r="J16" s="151"/>
      <c r="K16" s="23"/>
      <c r="L16" s="142"/>
      <c r="M16" s="144"/>
    </row>
    <row r="17" spans="1:13" x14ac:dyDescent="0.45">
      <c r="A17" s="1"/>
      <c r="B17" s="50"/>
      <c r="C17" s="128" t="s">
        <v>170</v>
      </c>
      <c r="D17" s="3"/>
      <c r="E17" s="132"/>
      <c r="F17" s="189"/>
      <c r="G17" s="67"/>
      <c r="H17" s="151"/>
      <c r="I17" s="135"/>
      <c r="J17" s="151"/>
      <c r="K17" s="23"/>
      <c r="L17" s="142"/>
      <c r="M17" s="144"/>
    </row>
    <row r="18" spans="1:13" x14ac:dyDescent="0.45">
      <c r="A18" s="1"/>
      <c r="B18" s="50"/>
      <c r="C18" s="3"/>
      <c r="D18" s="3" t="s">
        <v>171</v>
      </c>
      <c r="E18" s="132"/>
      <c r="F18" s="189"/>
      <c r="G18" s="67"/>
      <c r="H18" s="151"/>
      <c r="I18" s="135">
        <v>62.5</v>
      </c>
      <c r="J18" s="151">
        <f t="shared" ref="J18:J19" si="2">F18/I18</f>
        <v>0</v>
      </c>
      <c r="K18" s="23">
        <f t="shared" ref="K18:K19" si="3">J18-H18</f>
        <v>0</v>
      </c>
      <c r="L18" s="142"/>
      <c r="M18" s="144"/>
    </row>
    <row r="19" spans="1:13" x14ac:dyDescent="0.45">
      <c r="A19" s="1"/>
      <c r="B19" s="50"/>
      <c r="C19" s="3"/>
      <c r="D19" s="3" t="s">
        <v>172</v>
      </c>
      <c r="E19" s="132"/>
      <c r="F19" s="189"/>
      <c r="G19" s="67"/>
      <c r="H19" s="151"/>
      <c r="I19" s="135">
        <v>62.5</v>
      </c>
      <c r="J19" s="151">
        <f t="shared" si="2"/>
        <v>0</v>
      </c>
      <c r="K19" s="23">
        <f t="shared" si="3"/>
        <v>0</v>
      </c>
      <c r="L19" s="142"/>
      <c r="M19" s="144"/>
    </row>
    <row r="20" spans="1:13" x14ac:dyDescent="0.45">
      <c r="A20" s="1"/>
      <c r="B20" s="50"/>
      <c r="C20" s="127"/>
      <c r="D20" s="127"/>
      <c r="E20" s="127"/>
      <c r="F20" s="188"/>
      <c r="G20" s="25"/>
      <c r="H20" s="178"/>
      <c r="I20" s="25"/>
      <c r="J20" s="178"/>
      <c r="K20" s="127"/>
      <c r="L20" s="142"/>
      <c r="M20" s="144"/>
    </row>
    <row r="21" spans="1:13" x14ac:dyDescent="0.45">
      <c r="A21" s="1"/>
      <c r="B21" s="50"/>
      <c r="C21" s="128" t="s">
        <v>108</v>
      </c>
      <c r="D21" s="3"/>
      <c r="E21" s="132"/>
      <c r="G21" s="136"/>
      <c r="H21" s="179"/>
      <c r="I21" s="136"/>
      <c r="J21" s="179"/>
      <c r="K21" s="2"/>
      <c r="L21" s="142"/>
      <c r="M21" s="144"/>
    </row>
    <row r="22" spans="1:13" x14ac:dyDescent="0.45">
      <c r="A22" s="1"/>
      <c r="B22" s="50"/>
      <c r="C22" s="128"/>
      <c r="D22" s="3" t="s">
        <v>113</v>
      </c>
      <c r="E22" s="132" t="s">
        <v>234</v>
      </c>
      <c r="F22" s="189">
        <v>4815</v>
      </c>
      <c r="G22" s="67" t="s">
        <v>235</v>
      </c>
      <c r="H22" s="151">
        <v>96</v>
      </c>
      <c r="I22" s="135">
        <v>37.5</v>
      </c>
      <c r="J22" s="151">
        <f>F22/I22</f>
        <v>128.4</v>
      </c>
      <c r="K22" s="23">
        <f>J22-H22</f>
        <v>32.400000000000006</v>
      </c>
      <c r="L22" s="142"/>
      <c r="M22" s="144"/>
    </row>
    <row r="23" spans="1:13" x14ac:dyDescent="0.45">
      <c r="A23" s="1"/>
      <c r="B23" s="50"/>
      <c r="C23" s="3"/>
      <c r="D23" s="3" t="s">
        <v>119</v>
      </c>
      <c r="E23" s="132"/>
      <c r="G23" s="136"/>
      <c r="H23" s="151"/>
      <c r="I23" s="135">
        <v>10</v>
      </c>
      <c r="J23" s="179">
        <f>F23/I23</f>
        <v>0</v>
      </c>
      <c r="K23" s="23">
        <f>J23-H23</f>
        <v>0</v>
      </c>
      <c r="L23" s="142"/>
      <c r="M23" s="144"/>
    </row>
    <row r="24" spans="1:13" x14ac:dyDescent="0.45">
      <c r="A24" s="1"/>
      <c r="B24" s="50"/>
      <c r="C24" s="3"/>
      <c r="D24" s="3" t="s">
        <v>120</v>
      </c>
      <c r="E24" s="21"/>
      <c r="G24" s="136"/>
      <c r="H24" s="151"/>
      <c r="I24" s="135">
        <v>20</v>
      </c>
      <c r="J24" s="179">
        <f>F24/I24</f>
        <v>0</v>
      </c>
      <c r="K24" s="23">
        <f>J24-H24</f>
        <v>0</v>
      </c>
      <c r="L24" s="142"/>
      <c r="M24" s="144"/>
    </row>
    <row r="25" spans="1:13" x14ac:dyDescent="0.45">
      <c r="A25" s="1"/>
      <c r="B25" s="50"/>
      <c r="C25" s="127"/>
      <c r="D25" s="127"/>
      <c r="E25" s="127"/>
      <c r="G25" s="136"/>
      <c r="H25" s="179"/>
      <c r="I25" s="136"/>
      <c r="J25" s="179"/>
      <c r="K25" s="2"/>
      <c r="L25" s="142"/>
      <c r="M25" s="144"/>
    </row>
    <row r="26" spans="1:13" x14ac:dyDescent="0.45">
      <c r="A26" s="1"/>
      <c r="B26" s="50"/>
      <c r="C26" s="128" t="s">
        <v>109</v>
      </c>
      <c r="D26" s="3"/>
      <c r="E26" s="132"/>
      <c r="G26" s="135"/>
      <c r="H26" s="179"/>
      <c r="I26" s="135"/>
      <c r="J26" s="179"/>
      <c r="K26" s="2"/>
      <c r="L26" s="142"/>
      <c r="M26" s="144"/>
    </row>
    <row r="27" spans="1:13" x14ac:dyDescent="0.45">
      <c r="A27" s="1"/>
      <c r="B27" s="50"/>
      <c r="C27" s="128"/>
      <c r="D27" s="3" t="s">
        <v>121</v>
      </c>
      <c r="E27" s="21"/>
      <c r="F27" s="189"/>
      <c r="G27" s="67"/>
      <c r="H27" s="151"/>
      <c r="I27" s="135">
        <v>50</v>
      </c>
      <c r="J27" s="179">
        <f>F27/I27</f>
        <v>0</v>
      </c>
      <c r="K27" s="23">
        <f>J27-H27</f>
        <v>0</v>
      </c>
      <c r="L27" s="142"/>
      <c r="M27" s="144"/>
    </row>
    <row r="28" spans="1:13" x14ac:dyDescent="0.45">
      <c r="A28" s="1"/>
      <c r="B28" s="50"/>
      <c r="C28" s="128"/>
      <c r="D28" s="3" t="s">
        <v>122</v>
      </c>
      <c r="E28" s="132" t="s">
        <v>234</v>
      </c>
      <c r="F28" s="189">
        <v>1713948</v>
      </c>
      <c r="G28" s="67" t="s">
        <v>235</v>
      </c>
      <c r="H28" s="151">
        <v>34279</v>
      </c>
      <c r="I28" s="135">
        <v>62.5</v>
      </c>
      <c r="J28" s="151">
        <f t="shared" ref="J28:J35" si="4">F28/I28</f>
        <v>27423.168000000001</v>
      </c>
      <c r="K28" s="23">
        <f t="shared" ref="K28:K35" si="5">J28-H28</f>
        <v>-6855.8319999999985</v>
      </c>
      <c r="L28" s="142"/>
      <c r="M28" s="144"/>
    </row>
    <row r="29" spans="1:13" x14ac:dyDescent="0.45">
      <c r="A29" s="1"/>
      <c r="B29" s="50"/>
      <c r="C29" s="128"/>
      <c r="D29" s="3" t="s">
        <v>123</v>
      </c>
      <c r="E29" s="132"/>
      <c r="F29" s="189"/>
      <c r="G29" s="67"/>
      <c r="H29" s="151"/>
      <c r="I29" s="135">
        <v>45</v>
      </c>
      <c r="J29" s="151">
        <f t="shared" si="4"/>
        <v>0</v>
      </c>
      <c r="K29" s="23">
        <f t="shared" si="5"/>
        <v>0</v>
      </c>
      <c r="L29" s="142"/>
      <c r="M29" s="144"/>
    </row>
    <row r="30" spans="1:13" x14ac:dyDescent="0.45">
      <c r="A30" s="1"/>
      <c r="B30" s="50"/>
      <c r="C30" s="128"/>
      <c r="D30" s="3" t="s">
        <v>124</v>
      </c>
      <c r="E30" s="132"/>
      <c r="F30" s="189"/>
      <c r="G30" s="67"/>
      <c r="H30" s="151"/>
      <c r="I30" s="135">
        <v>15</v>
      </c>
      <c r="J30" s="151">
        <f t="shared" si="4"/>
        <v>0</v>
      </c>
      <c r="K30" s="23">
        <f t="shared" si="5"/>
        <v>0</v>
      </c>
      <c r="L30" s="142"/>
      <c r="M30" s="144"/>
    </row>
    <row r="31" spans="1:13" x14ac:dyDescent="0.45">
      <c r="A31" s="1"/>
      <c r="B31" s="50"/>
      <c r="C31" s="128"/>
      <c r="D31" s="3" t="s">
        <v>125</v>
      </c>
      <c r="E31" s="132"/>
      <c r="F31" s="189"/>
      <c r="G31" s="67"/>
      <c r="H31" s="151"/>
      <c r="I31" s="135">
        <v>20</v>
      </c>
      <c r="J31" s="151">
        <f t="shared" si="4"/>
        <v>0</v>
      </c>
      <c r="K31" s="23">
        <f t="shared" si="5"/>
        <v>0</v>
      </c>
      <c r="L31" s="142"/>
      <c r="M31" s="144"/>
    </row>
    <row r="32" spans="1:13" x14ac:dyDescent="0.45">
      <c r="A32" s="1"/>
      <c r="B32" s="50"/>
      <c r="C32" s="128"/>
      <c r="D32" s="3" t="s">
        <v>126</v>
      </c>
      <c r="E32" s="132"/>
      <c r="F32" s="189"/>
      <c r="G32" s="67"/>
      <c r="H32" s="151"/>
      <c r="I32" s="135">
        <v>37.5</v>
      </c>
      <c r="J32" s="151">
        <f t="shared" si="4"/>
        <v>0</v>
      </c>
      <c r="K32" s="23">
        <f t="shared" si="5"/>
        <v>0</v>
      </c>
      <c r="L32" s="142"/>
      <c r="M32" s="144"/>
    </row>
    <row r="33" spans="1:14" x14ac:dyDescent="0.45">
      <c r="A33" s="1"/>
      <c r="B33" s="50"/>
      <c r="C33" s="128"/>
      <c r="D33" s="3" t="s">
        <v>127</v>
      </c>
      <c r="E33" s="132"/>
      <c r="F33" s="189"/>
      <c r="G33" s="67"/>
      <c r="H33" s="151"/>
      <c r="I33" s="135">
        <v>40</v>
      </c>
      <c r="J33" s="151">
        <f t="shared" si="4"/>
        <v>0</v>
      </c>
      <c r="K33" s="23">
        <f t="shared" si="5"/>
        <v>0</v>
      </c>
      <c r="L33" s="142"/>
      <c r="M33" s="144"/>
    </row>
    <row r="34" spans="1:14" x14ac:dyDescent="0.45">
      <c r="A34" s="1"/>
      <c r="B34" s="50"/>
      <c r="C34" s="128"/>
      <c r="D34" s="3" t="s">
        <v>128</v>
      </c>
      <c r="E34" s="132"/>
      <c r="F34" s="189"/>
      <c r="G34" s="67"/>
      <c r="H34" s="151"/>
      <c r="I34" s="135">
        <v>45</v>
      </c>
      <c r="J34" s="151">
        <f t="shared" si="4"/>
        <v>0</v>
      </c>
      <c r="K34" s="23">
        <f t="shared" si="5"/>
        <v>0</v>
      </c>
      <c r="L34" s="142"/>
      <c r="M34" s="144"/>
    </row>
    <row r="35" spans="1:14" x14ac:dyDescent="0.45">
      <c r="A35" s="1"/>
      <c r="B35" s="50"/>
      <c r="C35" s="128"/>
      <c r="D35" s="3" t="s">
        <v>129</v>
      </c>
      <c r="E35" s="132"/>
      <c r="F35" s="189"/>
      <c r="G35" s="67"/>
      <c r="H35" s="151"/>
      <c r="I35" s="135">
        <v>15</v>
      </c>
      <c r="J35" s="151">
        <f t="shared" si="4"/>
        <v>0</v>
      </c>
      <c r="K35" s="23">
        <f t="shared" si="5"/>
        <v>0</v>
      </c>
      <c r="L35" s="142"/>
      <c r="M35" s="144"/>
    </row>
    <row r="36" spans="1:14" x14ac:dyDescent="0.45">
      <c r="A36" s="1"/>
      <c r="B36" s="50"/>
      <c r="C36" s="128"/>
      <c r="E36" s="132"/>
      <c r="G36" s="136"/>
      <c r="H36" s="179"/>
      <c r="I36" s="136"/>
      <c r="J36" s="179"/>
      <c r="K36" s="23"/>
      <c r="L36" s="142"/>
      <c r="M36" s="144"/>
    </row>
    <row r="37" spans="1:14" x14ac:dyDescent="0.45">
      <c r="A37" s="1"/>
      <c r="B37" s="50"/>
      <c r="C37" s="128" t="s">
        <v>110</v>
      </c>
      <c r="E37" s="132"/>
      <c r="G37" s="135"/>
      <c r="H37" s="179"/>
      <c r="I37" s="140"/>
      <c r="J37" s="179"/>
      <c r="K37" s="2"/>
      <c r="L37" s="142"/>
      <c r="M37" s="144"/>
    </row>
    <row r="38" spans="1:14" x14ac:dyDescent="0.45">
      <c r="A38" s="1"/>
      <c r="B38" s="50"/>
      <c r="C38" s="3"/>
      <c r="D38" s="1" t="s">
        <v>130</v>
      </c>
      <c r="E38" s="132" t="s">
        <v>234</v>
      </c>
      <c r="F38" s="184">
        <v>14575</v>
      </c>
      <c r="G38" s="135" t="s">
        <v>235</v>
      </c>
      <c r="H38" s="179">
        <v>2915</v>
      </c>
      <c r="I38" s="140">
        <v>7</v>
      </c>
      <c r="J38" s="179">
        <f>F38/I38</f>
        <v>2082.1428571428573</v>
      </c>
      <c r="K38" s="2">
        <f>J38-H38</f>
        <v>-832.85714285714266</v>
      </c>
      <c r="L38" s="142"/>
      <c r="M38" s="144"/>
    </row>
    <row r="39" spans="1:14" x14ac:dyDescent="0.45">
      <c r="A39" s="1"/>
      <c r="B39" s="50"/>
      <c r="C39" s="127"/>
      <c r="D39" s="127"/>
      <c r="E39" s="127"/>
      <c r="G39" s="136"/>
      <c r="H39" s="179"/>
      <c r="I39" s="136"/>
      <c r="J39" s="179"/>
      <c r="K39" s="2"/>
      <c r="L39" s="142"/>
      <c r="M39" s="144"/>
    </row>
    <row r="40" spans="1:14" x14ac:dyDescent="0.45">
      <c r="A40" s="1"/>
      <c r="B40" s="50"/>
      <c r="C40" s="128" t="s">
        <v>111</v>
      </c>
      <c r="D40" s="3"/>
      <c r="E40" s="132"/>
      <c r="G40" s="137"/>
      <c r="H40" s="179"/>
      <c r="I40" s="135"/>
      <c r="J40" s="179"/>
      <c r="K40" s="2"/>
      <c r="L40" s="142"/>
      <c r="M40" s="144"/>
    </row>
    <row r="41" spans="1:14" x14ac:dyDescent="0.45">
      <c r="A41" s="1"/>
      <c r="B41" s="50"/>
      <c r="C41" s="128"/>
      <c r="D41" s="1" t="s">
        <v>168</v>
      </c>
      <c r="E41" s="132"/>
      <c r="G41" s="135"/>
      <c r="H41" s="179"/>
      <c r="I41" s="140">
        <v>62.5</v>
      </c>
      <c r="J41" s="179">
        <f>F41/I41</f>
        <v>0</v>
      </c>
      <c r="K41" s="2">
        <f>J41-H41</f>
        <v>0</v>
      </c>
      <c r="L41" s="142"/>
      <c r="M41" s="144"/>
    </row>
    <row r="42" spans="1:14" x14ac:dyDescent="0.45">
      <c r="A42" s="1"/>
      <c r="B42" s="50"/>
      <c r="C42" s="128"/>
      <c r="D42" s="1" t="s">
        <v>169</v>
      </c>
      <c r="E42" s="132"/>
      <c r="G42" s="135"/>
      <c r="H42" s="179"/>
      <c r="I42" s="140">
        <v>27.5</v>
      </c>
      <c r="J42" s="179">
        <f>F42/I42</f>
        <v>0</v>
      </c>
      <c r="K42" s="2">
        <f>J42-H42</f>
        <v>0</v>
      </c>
      <c r="L42" s="142"/>
      <c r="M42" s="144"/>
    </row>
    <row r="43" spans="1:14" x14ac:dyDescent="0.45">
      <c r="A43" s="1"/>
      <c r="B43" s="50"/>
      <c r="C43" s="3"/>
      <c r="D43" s="3"/>
      <c r="E43" s="3"/>
      <c r="G43" s="2"/>
      <c r="H43" s="151"/>
      <c r="I43" s="2"/>
      <c r="J43" s="183"/>
      <c r="K43" s="2"/>
      <c r="L43" s="142"/>
      <c r="M43" s="144"/>
    </row>
    <row r="44" spans="1:14" x14ac:dyDescent="0.45">
      <c r="A44" s="1"/>
      <c r="B44" s="50"/>
      <c r="C44" s="129" t="s">
        <v>65</v>
      </c>
      <c r="F44" s="181">
        <f>SUM(F10:F43)</f>
        <v>2020969</v>
      </c>
      <c r="G44" s="138"/>
      <c r="H44" s="181">
        <f>SUM(H10:H43)</f>
        <v>45749</v>
      </c>
      <c r="I44" s="139"/>
      <c r="J44" s="181">
        <f>SUM(J10:J43)</f>
        <v>38080.099428571426</v>
      </c>
      <c r="K44" s="139">
        <f>SUM(K10:K43)</f>
        <v>-7668.9005714285704</v>
      </c>
      <c r="L44" s="142"/>
      <c r="M44" s="144"/>
      <c r="N44" s="21"/>
    </row>
    <row r="45" spans="1:14" x14ac:dyDescent="0.45">
      <c r="A45" s="1"/>
      <c r="B45" s="124"/>
      <c r="C45" s="130"/>
      <c r="D45" s="130"/>
      <c r="E45" s="130"/>
      <c r="F45" s="190"/>
      <c r="G45" s="130"/>
      <c r="H45" s="182"/>
      <c r="I45" s="130"/>
      <c r="J45" s="182"/>
      <c r="K45" s="130"/>
      <c r="L45" s="143"/>
      <c r="M45" s="145"/>
    </row>
    <row r="46" spans="1:14" x14ac:dyDescent="0.45">
      <c r="A46" s="1"/>
      <c r="B46" s="1"/>
      <c r="C46" s="3"/>
      <c r="D46" s="3"/>
      <c r="E46" s="3"/>
      <c r="G46" s="3"/>
      <c r="H46" s="183"/>
      <c r="I46" s="3"/>
      <c r="J46" s="183"/>
      <c r="K46" s="3"/>
      <c r="L46" s="3"/>
      <c r="M46" s="3"/>
    </row>
    <row r="47" spans="1:14" x14ac:dyDescent="0.45">
      <c r="D47" s="3" t="s">
        <v>131</v>
      </c>
    </row>
    <row r="53" spans="6:7" x14ac:dyDescent="0.45">
      <c r="G53" s="21"/>
    </row>
    <row r="56" spans="6:7" ht="17.649999999999999" x14ac:dyDescent="0.75">
      <c r="F56" s="191"/>
    </row>
    <row r="57" spans="6:7" x14ac:dyDescent="0.45">
      <c r="G57" s="21"/>
    </row>
  </sheetData>
  <mergeCells count="5">
    <mergeCell ref="C3:K3"/>
    <mergeCell ref="C4:K4"/>
    <mergeCell ref="C5:K5"/>
    <mergeCell ref="G7:H7"/>
    <mergeCell ref="I7:J7"/>
  </mergeCells>
  <pageMargins left="0.7" right="0.7" top="0.75" bottom="0.75" header="0.3" footer="0.3"/>
  <pageSetup scale="7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P24"/>
  <sheetViews>
    <sheetView showGridLines="0" workbookViewId="0">
      <selection sqref="A1:O25"/>
    </sheetView>
  </sheetViews>
  <sheetFormatPr defaultRowHeight="15" x14ac:dyDescent="0.4"/>
  <cols>
    <col min="1" max="1" width="1.77734375" customWidth="1"/>
    <col min="2" max="2" width="20.44140625" bestFit="1" customWidth="1"/>
    <col min="3" max="12" width="7.77734375" customWidth="1"/>
    <col min="13" max="13" width="10.6640625" customWidth="1"/>
    <col min="14" max="14" width="0.77734375" customWidth="1"/>
    <col min="15" max="15" width="2.33203125" customWidth="1"/>
    <col min="16" max="16" width="9.6640625" customWidth="1"/>
  </cols>
  <sheetData>
    <row r="1" spans="2:16" ht="15.4" x14ac:dyDescent="0.4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2:16" ht="15.4" x14ac:dyDescent="0.45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18"/>
      <c r="P2" s="18"/>
    </row>
    <row r="3" spans="2:16" ht="18" x14ac:dyDescent="0.55000000000000004">
      <c r="B3" s="78" t="s">
        <v>96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0"/>
      <c r="O3" s="18"/>
      <c r="P3" s="18"/>
    </row>
    <row r="4" spans="2:16" ht="18" x14ac:dyDescent="0.55000000000000004">
      <c r="B4" s="80" t="s">
        <v>97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70"/>
      <c r="O4" s="18"/>
      <c r="P4" s="18"/>
    </row>
    <row r="5" spans="2:16" ht="15.75" x14ac:dyDescent="0.45">
      <c r="B5" s="82" t="s">
        <v>213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0"/>
      <c r="O5" s="18"/>
      <c r="P5" s="18"/>
    </row>
    <row r="6" spans="2:16" ht="15.75" x14ac:dyDescent="0.5">
      <c r="B6" s="83" t="s">
        <v>214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70"/>
      <c r="O6" s="18"/>
      <c r="P6" s="18"/>
    </row>
    <row r="7" spans="2:16" ht="15.4" x14ac:dyDescent="0.45">
      <c r="B7" s="8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70"/>
      <c r="O7" s="18"/>
      <c r="P7" s="18"/>
    </row>
    <row r="8" spans="2:16" ht="15.4" x14ac:dyDescent="0.45">
      <c r="B8" s="86"/>
      <c r="C8" s="87"/>
      <c r="D8" s="88"/>
      <c r="E8" s="87"/>
      <c r="F8" s="89"/>
      <c r="G8" s="87"/>
      <c r="H8" s="89"/>
      <c r="I8" s="87"/>
      <c r="J8" s="89"/>
      <c r="K8" s="87"/>
      <c r="L8" s="89"/>
      <c r="M8" s="88"/>
      <c r="N8" s="77"/>
      <c r="O8" s="18"/>
      <c r="P8" s="18"/>
    </row>
    <row r="9" spans="2:16" ht="16.5" x14ac:dyDescent="0.45">
      <c r="B9" s="90"/>
      <c r="C9" s="287" t="s">
        <v>98</v>
      </c>
      <c r="D9" s="288"/>
      <c r="E9" s="287" t="s">
        <v>99</v>
      </c>
      <c r="F9" s="288"/>
      <c r="G9" s="287" t="s">
        <v>100</v>
      </c>
      <c r="H9" s="288"/>
      <c r="I9" s="287" t="s">
        <v>101</v>
      </c>
      <c r="J9" s="288"/>
      <c r="K9" s="287" t="s">
        <v>215</v>
      </c>
      <c r="L9" s="288"/>
      <c r="M9" s="18"/>
      <c r="N9" s="70"/>
      <c r="O9" s="18"/>
      <c r="P9" s="18"/>
    </row>
    <row r="10" spans="2:16" ht="16.5" x14ac:dyDescent="0.45">
      <c r="B10" s="90"/>
      <c r="C10" s="91"/>
      <c r="D10" s="92" t="s">
        <v>102</v>
      </c>
      <c r="E10" s="93"/>
      <c r="F10" s="92" t="s">
        <v>102</v>
      </c>
      <c r="G10" s="93"/>
      <c r="H10" s="92" t="s">
        <v>102</v>
      </c>
      <c r="I10" s="93"/>
      <c r="J10" s="92" t="s">
        <v>102</v>
      </c>
      <c r="K10" s="93"/>
      <c r="L10" s="92" t="s">
        <v>102</v>
      </c>
      <c r="M10" s="18"/>
      <c r="N10" s="70"/>
      <c r="O10" s="18"/>
      <c r="P10" s="18"/>
    </row>
    <row r="11" spans="2:16" ht="16.5" x14ac:dyDescent="0.45">
      <c r="B11" s="90"/>
      <c r="C11" s="91" t="s">
        <v>103</v>
      </c>
      <c r="D11" s="94" t="s">
        <v>104</v>
      </c>
      <c r="E11" s="91" t="s">
        <v>103</v>
      </c>
      <c r="F11" s="94" t="s">
        <v>104</v>
      </c>
      <c r="G11" s="91" t="s">
        <v>103</v>
      </c>
      <c r="H11" s="94" t="s">
        <v>104</v>
      </c>
      <c r="I11" s="91" t="s">
        <v>103</v>
      </c>
      <c r="J11" s="94" t="s">
        <v>104</v>
      </c>
      <c r="K11" s="91" t="s">
        <v>103</v>
      </c>
      <c r="L11" s="94" t="s">
        <v>104</v>
      </c>
      <c r="M11" s="95" t="s">
        <v>65</v>
      </c>
      <c r="N11" s="70"/>
      <c r="O11" s="18"/>
      <c r="P11" s="18"/>
    </row>
    <row r="12" spans="2:16" ht="15.4" x14ac:dyDescent="0.45">
      <c r="B12" s="96" t="s">
        <v>229</v>
      </c>
      <c r="C12" s="268">
        <v>12000</v>
      </c>
      <c r="D12" s="269">
        <f>6203.44+5910.94</f>
        <v>12114.38</v>
      </c>
      <c r="E12" s="268">
        <v>12000</v>
      </c>
      <c r="F12" s="270">
        <f>5910.94+5618.44</f>
        <v>11529.38</v>
      </c>
      <c r="G12" s="268">
        <v>13000</v>
      </c>
      <c r="H12" s="270">
        <f>5618.44+5301.56</f>
        <v>10920</v>
      </c>
      <c r="I12" s="268">
        <v>13500</v>
      </c>
      <c r="J12" s="270">
        <f>5301.56+4972.5</f>
        <v>10274.060000000001</v>
      </c>
      <c r="K12" s="268">
        <v>14500</v>
      </c>
      <c r="L12" s="270">
        <f>4972.5+4619.06</f>
        <v>9591.5600000000013</v>
      </c>
      <c r="M12" s="100">
        <f t="shared" ref="M12:M17" si="0">SUM(C12:L12)</f>
        <v>119429.37999999999</v>
      </c>
      <c r="N12" s="70"/>
      <c r="O12" s="18"/>
      <c r="P12" s="18"/>
    </row>
    <row r="13" spans="2:16" ht="15.4" x14ac:dyDescent="0.45">
      <c r="B13" s="96" t="s">
        <v>230</v>
      </c>
      <c r="C13" s="268">
        <v>8100</v>
      </c>
      <c r="D13" s="269">
        <f>6849.06+6671.88</f>
        <v>13520.94</v>
      </c>
      <c r="E13" s="268">
        <v>8400</v>
      </c>
      <c r="F13" s="270">
        <f>6671.88+6488.13</f>
        <v>13160.01</v>
      </c>
      <c r="G13" s="268">
        <v>8800</v>
      </c>
      <c r="H13" s="270">
        <f>6488.13+6295.63</f>
        <v>12783.76</v>
      </c>
      <c r="I13" s="268">
        <v>9200</v>
      </c>
      <c r="J13" s="270">
        <f>6295.63+6094.38</f>
        <v>12390.01</v>
      </c>
      <c r="K13" s="268">
        <v>9600</v>
      </c>
      <c r="L13" s="270">
        <f>6094.38+5884.38</f>
        <v>11978.76</v>
      </c>
      <c r="M13" s="100">
        <f t="shared" si="0"/>
        <v>107933.48</v>
      </c>
      <c r="N13" s="70"/>
      <c r="O13" s="18"/>
      <c r="P13" s="18"/>
    </row>
    <row r="14" spans="2:16" ht="15.4" x14ac:dyDescent="0.45">
      <c r="B14" s="96" t="s">
        <v>231</v>
      </c>
      <c r="C14" s="268">
        <f>4995.25+5038.96</f>
        <v>10034.209999999999</v>
      </c>
      <c r="D14" s="269">
        <f>2527.62+2483.91+288.87+283.88</f>
        <v>5584.28</v>
      </c>
      <c r="E14" s="268">
        <f>5083.05+5127.52</f>
        <v>10210.57</v>
      </c>
      <c r="F14" s="269">
        <f>2439.82+2395.35+278.84+273.75</f>
        <v>5387.76</v>
      </c>
      <c r="G14" s="268">
        <f>5172.39+5217.65</f>
        <v>10390.040000000001</v>
      </c>
      <c r="H14" s="269">
        <f>2350.48+2305.22+268.63+263.45</f>
        <v>5187.78</v>
      </c>
      <c r="I14" s="268">
        <f>5263.3+5309.36</f>
        <v>10572.66</v>
      </c>
      <c r="J14" s="269">
        <f>2259.57+2213.51+258.24+252.97</f>
        <v>4984.29</v>
      </c>
      <c r="K14" s="268">
        <f>5388.81+5402.68</f>
        <v>10791.490000000002</v>
      </c>
      <c r="L14" s="270">
        <f>2167.06+2120.19+247.66+242.31</f>
        <v>4777.22</v>
      </c>
      <c r="M14" s="100">
        <f t="shared" si="0"/>
        <v>77920.3</v>
      </c>
      <c r="N14" s="70"/>
      <c r="O14" s="18"/>
      <c r="P14" s="18"/>
    </row>
    <row r="15" spans="2:16" ht="15.4" x14ac:dyDescent="0.45">
      <c r="B15" s="96"/>
      <c r="C15" s="97"/>
      <c r="D15" s="98"/>
      <c r="E15" s="97"/>
      <c r="F15" s="98"/>
      <c r="G15" s="97"/>
      <c r="H15" s="98"/>
      <c r="I15" s="97"/>
      <c r="J15" s="98"/>
      <c r="K15" s="97"/>
      <c r="L15" s="99"/>
      <c r="M15" s="100">
        <f t="shared" si="0"/>
        <v>0</v>
      </c>
      <c r="N15" s="70"/>
      <c r="O15" s="18"/>
      <c r="P15" s="18"/>
    </row>
    <row r="16" spans="2:16" ht="15.4" x14ac:dyDescent="0.45">
      <c r="B16" s="96"/>
      <c r="C16" s="97"/>
      <c r="D16" s="98"/>
      <c r="E16" s="97"/>
      <c r="F16" s="98"/>
      <c r="G16" s="97"/>
      <c r="H16" s="98"/>
      <c r="I16" s="97"/>
      <c r="J16" s="98"/>
      <c r="K16" s="97"/>
      <c r="L16" s="99"/>
      <c r="M16" s="100">
        <f t="shared" si="0"/>
        <v>0</v>
      </c>
      <c r="N16" s="70"/>
      <c r="O16" s="18"/>
      <c r="P16" s="18"/>
    </row>
    <row r="17" spans="2:16" ht="15.4" x14ac:dyDescent="0.45">
      <c r="B17" s="220"/>
      <c r="C17" s="101"/>
      <c r="D17" s="102"/>
      <c r="E17" s="101"/>
      <c r="F17" s="102"/>
      <c r="G17" s="101"/>
      <c r="H17" s="102"/>
      <c r="I17" s="101"/>
      <c r="J17" s="102"/>
      <c r="K17" s="101"/>
      <c r="L17" s="103"/>
      <c r="M17" s="100">
        <f t="shared" si="0"/>
        <v>0</v>
      </c>
      <c r="N17" s="70"/>
      <c r="O17" s="18"/>
      <c r="P17" s="18"/>
    </row>
    <row r="18" spans="2:16" ht="15.4" x14ac:dyDescent="0.45">
      <c r="B18" s="71" t="s">
        <v>65</v>
      </c>
      <c r="C18" s="104">
        <f t="shared" ref="C18:M18" si="1">SUM(C12:C17)</f>
        <v>30134.21</v>
      </c>
      <c r="D18" s="105">
        <f t="shared" si="1"/>
        <v>31219.599999999999</v>
      </c>
      <c r="E18" s="104">
        <f t="shared" si="1"/>
        <v>30610.57</v>
      </c>
      <c r="F18" s="106">
        <f t="shared" si="1"/>
        <v>30077.15</v>
      </c>
      <c r="G18" s="104">
        <f t="shared" si="1"/>
        <v>32190.04</v>
      </c>
      <c r="H18" s="106">
        <f t="shared" si="1"/>
        <v>28891.54</v>
      </c>
      <c r="I18" s="104">
        <f t="shared" si="1"/>
        <v>33272.660000000003</v>
      </c>
      <c r="J18" s="106">
        <f t="shared" si="1"/>
        <v>27648.36</v>
      </c>
      <c r="K18" s="104">
        <f t="shared" si="1"/>
        <v>34891.490000000005</v>
      </c>
      <c r="L18" s="106">
        <f t="shared" si="1"/>
        <v>26347.54</v>
      </c>
      <c r="M18" s="107">
        <f t="shared" si="1"/>
        <v>305283.15999999997</v>
      </c>
      <c r="N18" s="70"/>
      <c r="O18" s="18"/>
      <c r="P18" s="18">
        <f>SUM(C18:L18)</f>
        <v>305283.15999999997</v>
      </c>
    </row>
    <row r="19" spans="2:16" ht="15.4" x14ac:dyDescent="0.45">
      <c r="B19" s="108"/>
      <c r="C19" s="109"/>
      <c r="D19" s="110"/>
      <c r="E19" s="109"/>
      <c r="F19" s="111"/>
      <c r="G19" s="109"/>
      <c r="H19" s="111"/>
      <c r="I19" s="109"/>
      <c r="J19" s="112"/>
      <c r="K19" s="109"/>
      <c r="L19" s="111"/>
      <c r="M19" s="110"/>
      <c r="N19" s="66"/>
      <c r="O19" s="18"/>
      <c r="P19" s="18"/>
    </row>
    <row r="20" spans="2:16" ht="15.4" x14ac:dyDescent="0.45">
      <c r="B20" s="113"/>
      <c r="C20" s="114"/>
      <c r="D20" s="114"/>
      <c r="E20" s="114"/>
      <c r="F20" s="114"/>
      <c r="G20" s="114"/>
      <c r="H20" s="114"/>
      <c r="I20" s="114"/>
      <c r="J20" s="115"/>
      <c r="K20" s="115"/>
      <c r="L20" s="115"/>
      <c r="M20" s="114"/>
      <c r="N20" s="70"/>
      <c r="O20" s="18"/>
      <c r="P20" s="18"/>
    </row>
    <row r="21" spans="2:16" ht="15.4" x14ac:dyDescent="0.45">
      <c r="B21" s="116"/>
      <c r="C21" s="117"/>
      <c r="D21" s="118"/>
      <c r="E21" s="117"/>
      <c r="F21" s="117"/>
      <c r="G21" s="117"/>
      <c r="H21" s="117"/>
      <c r="I21" s="118" t="s">
        <v>105</v>
      </c>
      <c r="J21" s="18"/>
      <c r="K21" s="119"/>
      <c r="L21" s="120"/>
      <c r="M21" s="117">
        <f>M18/5</f>
        <v>61056.631999999998</v>
      </c>
      <c r="N21" s="70"/>
      <c r="O21" s="18"/>
      <c r="P21" s="18"/>
    </row>
    <row r="22" spans="2:16" ht="15.4" x14ac:dyDescent="0.45">
      <c r="B22" s="20"/>
      <c r="C22" s="118"/>
      <c r="D22" s="18"/>
      <c r="E22" s="118"/>
      <c r="F22" s="118"/>
      <c r="G22" s="118"/>
      <c r="H22" s="118"/>
      <c r="I22" s="118"/>
      <c r="J22" s="18"/>
      <c r="K22" s="23"/>
      <c r="L22" s="119"/>
      <c r="M22" s="31"/>
      <c r="N22" s="70"/>
      <c r="O22" s="18"/>
      <c r="P22" s="18"/>
    </row>
    <row r="23" spans="2:16" ht="15.4" x14ac:dyDescent="0.45">
      <c r="B23" s="116"/>
      <c r="C23" s="118"/>
      <c r="D23" s="118"/>
      <c r="E23" s="118"/>
      <c r="F23" s="118"/>
      <c r="G23" s="118"/>
      <c r="H23" s="118"/>
      <c r="I23" s="118" t="s">
        <v>106</v>
      </c>
      <c r="J23" s="18"/>
      <c r="K23" s="119"/>
      <c r="L23" s="118"/>
      <c r="M23" s="117">
        <f>M21*0.2</f>
        <v>12211.3264</v>
      </c>
      <c r="N23" s="70"/>
      <c r="O23" s="18"/>
      <c r="P23" s="18">
        <f>M23+M21</f>
        <v>73267.958400000003</v>
      </c>
    </row>
    <row r="24" spans="2:16" ht="15.4" x14ac:dyDescent="0.45"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66"/>
      <c r="O24" s="18"/>
      <c r="P24" s="18"/>
    </row>
  </sheetData>
  <mergeCells count="5">
    <mergeCell ref="C9:D9"/>
    <mergeCell ref="E9:F9"/>
    <mergeCell ref="G9:H9"/>
    <mergeCell ref="I9:J9"/>
    <mergeCell ref="K9:L9"/>
  </mergeCells>
  <printOptions horizontalCentered="1" verticalCentered="1"/>
  <pageMargins left="0.7" right="0.7" top="0.75" bottom="0.75" header="0.3" footer="0.3"/>
  <pageSetup scale="9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B32F-4CA1-4F84-B54A-FE6CF749D13D}">
  <dimension ref="A1:D6"/>
  <sheetViews>
    <sheetView workbookViewId="0">
      <selection activeCell="G23" sqref="G23"/>
    </sheetView>
  </sheetViews>
  <sheetFormatPr defaultRowHeight="15" x14ac:dyDescent="0.4"/>
  <cols>
    <col min="1" max="1" width="11.21875" customWidth="1"/>
  </cols>
  <sheetData>
    <row r="1" spans="1:4" ht="15.4" x14ac:dyDescent="0.45">
      <c r="A1" s="1" t="s">
        <v>210</v>
      </c>
      <c r="B1" s="1"/>
      <c r="C1" s="1"/>
      <c r="D1" s="1"/>
    </row>
    <row r="2" spans="1:4" ht="15.4" x14ac:dyDescent="0.45">
      <c r="A2" s="1"/>
      <c r="B2" s="1"/>
      <c r="C2" s="1"/>
      <c r="D2" s="1"/>
    </row>
    <row r="3" spans="1:4" ht="15.4" x14ac:dyDescent="0.45">
      <c r="A3" s="1" t="s">
        <v>156</v>
      </c>
      <c r="B3" s="1"/>
      <c r="C3" s="265">
        <f>7*650</f>
        <v>4550</v>
      </c>
      <c r="D3" s="1" t="s">
        <v>241</v>
      </c>
    </row>
    <row r="4" spans="1:4" ht="15.4" x14ac:dyDescent="0.45">
      <c r="A4" s="1"/>
      <c r="B4" s="1"/>
      <c r="C4" s="1"/>
      <c r="D4" s="1"/>
    </row>
    <row r="5" spans="1:4" ht="15.4" x14ac:dyDescent="0.45">
      <c r="A5" s="1" t="s">
        <v>226</v>
      </c>
      <c r="B5" s="153">
        <v>0.3</v>
      </c>
      <c r="C5" s="265">
        <f>B5*C3</f>
        <v>1365</v>
      </c>
      <c r="D5" s="1"/>
    </row>
    <row r="6" spans="1:4" ht="15.4" x14ac:dyDescent="0.45">
      <c r="A6" s="1" t="s">
        <v>155</v>
      </c>
      <c r="B6" s="153">
        <v>0.7</v>
      </c>
      <c r="C6" s="265">
        <f>B6*C3</f>
        <v>3185</v>
      </c>
      <c r="D6" s="1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2889-0321-45D3-A9A4-AE60C9D6113F}">
  <dimension ref="A1:G37"/>
  <sheetViews>
    <sheetView showGridLines="0" topLeftCell="A10" workbookViewId="0">
      <selection activeCell="D36" sqref="D36"/>
    </sheetView>
  </sheetViews>
  <sheetFormatPr defaultRowHeight="13.5" x14ac:dyDescent="0.35"/>
  <cols>
    <col min="1" max="1" width="22.0546875" style="147" customWidth="1"/>
    <col min="2" max="2" width="9.88671875" style="148" bestFit="1" customWidth="1"/>
    <col min="3" max="3" width="9.71875" style="148" bestFit="1" customWidth="1"/>
    <col min="4" max="4" width="9.88671875" style="147" bestFit="1" customWidth="1"/>
    <col min="5" max="16384" width="8.88671875" style="147"/>
  </cols>
  <sheetData>
    <row r="1" spans="1:7" ht="14.25" x14ac:dyDescent="0.45">
      <c r="A1" s="1" t="s">
        <v>134</v>
      </c>
      <c r="B1" s="7"/>
      <c r="C1" s="7"/>
      <c r="D1" s="1"/>
      <c r="E1" s="1"/>
      <c r="F1" s="1"/>
      <c r="G1" s="1"/>
    </row>
    <row r="2" spans="1:7" ht="14.25" x14ac:dyDescent="0.45">
      <c r="A2" s="1" t="s">
        <v>140</v>
      </c>
      <c r="B2" s="7"/>
      <c r="C2" s="7">
        <v>0</v>
      </c>
      <c r="D2" s="1"/>
      <c r="E2" s="1"/>
      <c r="F2" s="1"/>
      <c r="G2" s="1"/>
    </row>
    <row r="3" spans="1:7" ht="14.25" x14ac:dyDescent="0.45">
      <c r="A3" s="1" t="s">
        <v>141</v>
      </c>
      <c r="B3" s="7"/>
      <c r="C3" s="223">
        <v>66792</v>
      </c>
      <c r="D3" s="1"/>
      <c r="E3" s="1"/>
      <c r="F3" s="1"/>
      <c r="G3" s="1"/>
    </row>
    <row r="4" spans="1:7" ht="14.25" x14ac:dyDescent="0.45">
      <c r="A4" s="1" t="s">
        <v>142</v>
      </c>
      <c r="B4" s="7"/>
      <c r="C4" s="221">
        <f>C2+C3</f>
        <v>66792</v>
      </c>
      <c r="D4" s="1"/>
      <c r="E4" s="1"/>
      <c r="F4" s="1"/>
      <c r="G4" s="1"/>
    </row>
    <row r="5" spans="1:7" ht="14.25" x14ac:dyDescent="0.45">
      <c r="A5" s="1"/>
      <c r="B5" s="7"/>
      <c r="C5" s="221"/>
      <c r="D5" s="1"/>
      <c r="E5" s="1"/>
      <c r="F5" s="1"/>
      <c r="G5" s="1"/>
    </row>
    <row r="6" spans="1:7" ht="14.25" x14ac:dyDescent="0.45">
      <c r="A6" s="1" t="s">
        <v>135</v>
      </c>
      <c r="B6" s="7"/>
      <c r="C6" s="221">
        <v>55194</v>
      </c>
      <c r="D6" s="1"/>
      <c r="E6" s="1"/>
      <c r="F6" s="1"/>
      <c r="G6" s="1"/>
    </row>
    <row r="7" spans="1:7" ht="14.25" x14ac:dyDescent="0.45">
      <c r="A7" s="1"/>
      <c r="B7" s="7"/>
      <c r="C7" s="7"/>
      <c r="D7" s="1"/>
      <c r="E7" s="1"/>
      <c r="F7" s="1"/>
      <c r="G7" s="1"/>
    </row>
    <row r="8" spans="1:7" ht="14.25" x14ac:dyDescent="0.45">
      <c r="A8" s="1" t="s">
        <v>136</v>
      </c>
      <c r="B8" s="7"/>
      <c r="C8" s="7"/>
      <c r="D8" s="1"/>
      <c r="E8" s="1"/>
      <c r="F8" s="1"/>
      <c r="G8" s="1"/>
    </row>
    <row r="9" spans="1:7" ht="14.25" x14ac:dyDescent="0.45">
      <c r="A9" s="1" t="s">
        <v>145</v>
      </c>
      <c r="B9" s="221">
        <v>3469</v>
      </c>
      <c r="C9" s="7"/>
      <c r="D9" s="1"/>
      <c r="E9" s="1"/>
      <c r="F9" s="1"/>
      <c r="G9" s="1"/>
    </row>
    <row r="10" spans="1:7" ht="14.25" x14ac:dyDescent="0.45">
      <c r="A10" s="1" t="s">
        <v>146</v>
      </c>
      <c r="B10" s="221">
        <v>0</v>
      </c>
      <c r="C10" s="7"/>
      <c r="D10" s="1"/>
      <c r="E10" s="1"/>
      <c r="F10" s="1"/>
      <c r="G10" s="1"/>
    </row>
    <row r="11" spans="1:7" ht="14.25" x14ac:dyDescent="0.45">
      <c r="A11" s="1" t="s">
        <v>147</v>
      </c>
      <c r="B11" s="221">
        <v>0</v>
      </c>
      <c r="C11" s="7"/>
      <c r="D11" s="1"/>
      <c r="E11" s="1"/>
      <c r="F11" s="1"/>
      <c r="G11" s="1"/>
    </row>
    <row r="12" spans="1:7" ht="14.25" x14ac:dyDescent="0.45">
      <c r="A12" s="1" t="s">
        <v>148</v>
      </c>
      <c r="B12" s="221">
        <v>0</v>
      </c>
      <c r="C12" s="5"/>
      <c r="D12" s="1"/>
      <c r="E12" s="1"/>
      <c r="F12" s="1"/>
      <c r="G12" s="1"/>
    </row>
    <row r="13" spans="1:7" ht="14.25" x14ac:dyDescent="0.45">
      <c r="A13" s="1" t="s">
        <v>143</v>
      </c>
      <c r="B13" s="7"/>
      <c r="C13" s="7">
        <f>SUM(B9:B12)</f>
        <v>3469</v>
      </c>
      <c r="D13" s="1"/>
      <c r="E13" s="1"/>
      <c r="F13" s="1"/>
      <c r="G13" s="1"/>
    </row>
    <row r="14" spans="1:7" ht="14.25" x14ac:dyDescent="0.45">
      <c r="A14" s="1"/>
      <c r="B14" s="7"/>
      <c r="C14" s="7"/>
      <c r="D14" s="1"/>
      <c r="E14" s="1"/>
      <c r="F14" s="1"/>
      <c r="G14" s="1"/>
    </row>
    <row r="15" spans="1:7" ht="14.25" x14ac:dyDescent="0.45">
      <c r="A15" s="1" t="s">
        <v>144</v>
      </c>
      <c r="B15" s="7"/>
      <c r="C15" s="7"/>
      <c r="D15" s="1"/>
      <c r="E15" s="1"/>
      <c r="F15" s="1"/>
      <c r="G15" s="1"/>
    </row>
    <row r="16" spans="1:7" ht="14.25" x14ac:dyDescent="0.45">
      <c r="A16" s="1" t="s">
        <v>184</v>
      </c>
      <c r="B16" s="221">
        <v>0</v>
      </c>
      <c r="C16" s="7"/>
      <c r="D16" s="1"/>
      <c r="E16" s="1"/>
      <c r="F16" s="1"/>
      <c r="G16" s="1"/>
    </row>
    <row r="17" spans="1:7" ht="14.25" x14ac:dyDescent="0.45">
      <c r="A17" s="1" t="s">
        <v>185</v>
      </c>
      <c r="B17" s="221">
        <v>8129</v>
      </c>
      <c r="C17" s="7"/>
      <c r="D17" s="1"/>
      <c r="E17" s="1"/>
      <c r="F17" s="1"/>
      <c r="G17" s="1"/>
    </row>
    <row r="18" spans="1:7" ht="14.25" x14ac:dyDescent="0.45">
      <c r="A18" s="1" t="s">
        <v>149</v>
      </c>
      <c r="B18" s="221">
        <v>0</v>
      </c>
      <c r="C18" s="7"/>
      <c r="D18" s="1"/>
      <c r="E18" s="1"/>
      <c r="F18" s="1"/>
      <c r="G18" s="1"/>
    </row>
    <row r="19" spans="1:7" ht="14.25" x14ac:dyDescent="0.45">
      <c r="A19" s="1" t="s">
        <v>150</v>
      </c>
      <c r="B19" s="221">
        <v>0</v>
      </c>
      <c r="C19" s="7"/>
    </row>
    <row r="20" spans="1:7" ht="14.25" x14ac:dyDescent="0.45">
      <c r="A20" s="1" t="s">
        <v>151</v>
      </c>
      <c r="B20" s="7"/>
      <c r="C20" s="5">
        <f>SUM(B16:B19)</f>
        <v>8129</v>
      </c>
    </row>
    <row r="21" spans="1:7" ht="14.25" x14ac:dyDescent="0.45">
      <c r="A21" s="1" t="s">
        <v>152</v>
      </c>
      <c r="B21" s="7"/>
      <c r="C21" s="7">
        <f>C6+C13+C20</f>
        <v>66792</v>
      </c>
    </row>
    <row r="22" spans="1:7" ht="14.25" x14ac:dyDescent="0.45">
      <c r="A22" s="1"/>
    </row>
    <row r="23" spans="1:7" ht="15.4" customHeight="1" x14ac:dyDescent="0.35"/>
    <row r="24" spans="1:7" ht="14.25" x14ac:dyDescent="0.45">
      <c r="D24" s="47">
        <f>C20/C4</f>
        <v>0.12170619235836627</v>
      </c>
      <c r="E24" s="1" t="s">
        <v>137</v>
      </c>
      <c r="F24" s="1"/>
      <c r="G24" s="1"/>
    </row>
    <row r="25" spans="1:7" ht="14.25" x14ac:dyDescent="0.45">
      <c r="D25" s="47">
        <v>0.15</v>
      </c>
      <c r="E25" s="1" t="s">
        <v>138</v>
      </c>
      <c r="F25" s="1"/>
      <c r="G25" s="1"/>
    </row>
    <row r="26" spans="1:7" ht="14.25" x14ac:dyDescent="0.45">
      <c r="D26" s="47">
        <f>IF(D24&gt;D25,D24-D25,0)</f>
        <v>0</v>
      </c>
      <c r="E26" s="1" t="s">
        <v>139</v>
      </c>
      <c r="F26" s="1"/>
      <c r="G26" s="21"/>
    </row>
    <row r="28" spans="1:7" ht="14.25" x14ac:dyDescent="0.45">
      <c r="A28" s="1" t="s">
        <v>198</v>
      </c>
      <c r="B28" s="7"/>
      <c r="C28" s="7"/>
      <c r="D28" s="22" t="s">
        <v>36</v>
      </c>
    </row>
    <row r="29" spans="1:7" ht="14.25" x14ac:dyDescent="0.45">
      <c r="A29" s="1" t="str">
        <f>SAO!C21</f>
        <v>Purchased Water</v>
      </c>
      <c r="B29" s="207">
        <f>SAO!D21</f>
        <v>208483</v>
      </c>
      <c r="C29" s="194"/>
      <c r="D29" s="158">
        <f>-SAO!D21*$D$26</f>
        <v>0</v>
      </c>
      <c r="F29" s="21"/>
    </row>
    <row r="30" spans="1:7" ht="14.25" x14ac:dyDescent="0.45">
      <c r="A30" s="1" t="str">
        <f>SAO!C22</f>
        <v>Purchased Power</v>
      </c>
      <c r="B30" s="207">
        <f>SAO!D22</f>
        <v>18707</v>
      </c>
      <c r="C30" s="194"/>
      <c r="D30" s="158">
        <f>-SAO!D22*$D$26</f>
        <v>0</v>
      </c>
      <c r="F30" s="21"/>
    </row>
    <row r="31" spans="1:7" ht="14.25" x14ac:dyDescent="0.45">
      <c r="A31" s="1" t="str">
        <f>SAO!C23</f>
        <v>Chemicals</v>
      </c>
      <c r="B31" s="208">
        <f>SAO!D23</f>
        <v>0</v>
      </c>
      <c r="C31" s="195"/>
      <c r="D31" s="196">
        <f>-SAO!D23*$D$26</f>
        <v>0</v>
      </c>
    </row>
    <row r="32" spans="1:7" ht="14.25" x14ac:dyDescent="0.45">
      <c r="A32" s="1" t="s">
        <v>11</v>
      </c>
      <c r="B32" s="207">
        <f>SUM(B29:B31)</f>
        <v>227190</v>
      </c>
      <c r="C32" s="195"/>
      <c r="D32" s="207">
        <f>SUM(D29:D31)</f>
        <v>0</v>
      </c>
    </row>
    <row r="33" spans="1:4" ht="14.25" x14ac:dyDescent="0.45">
      <c r="A33" s="1"/>
      <c r="B33" s="207"/>
      <c r="C33" s="195"/>
      <c r="D33" s="207"/>
    </row>
    <row r="34" spans="1:4" ht="14.25" x14ac:dyDescent="0.45">
      <c r="A34" s="1" t="s">
        <v>199</v>
      </c>
      <c r="B34" s="7"/>
      <c r="C34" s="195"/>
      <c r="D34" s="158"/>
    </row>
    <row r="35" spans="1:4" ht="14.25" x14ac:dyDescent="0.45">
      <c r="A35" s="1" t="s">
        <v>176</v>
      </c>
      <c r="B35" s="7"/>
      <c r="C35" s="195"/>
      <c r="D35" s="210">
        <f>D32</f>
        <v>0</v>
      </c>
    </row>
    <row r="36" spans="1:4" ht="14.25" x14ac:dyDescent="0.45">
      <c r="A36" s="1" t="s">
        <v>179</v>
      </c>
      <c r="B36" s="7"/>
      <c r="C36" s="6"/>
      <c r="D36" s="30">
        <f>IF(D24&gt;D25,ExBA2!F4,0)</f>
        <v>0</v>
      </c>
    </row>
    <row r="37" spans="1:4" ht="14.25" x14ac:dyDescent="0.45">
      <c r="A37" s="1" t="s">
        <v>177</v>
      </c>
      <c r="B37" s="7"/>
      <c r="C37" s="195"/>
      <c r="D37" s="158">
        <f>IF(D24&gt;D25,-D35/D36,0)</f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I14"/>
  <sheetViews>
    <sheetView showGridLines="0" workbookViewId="0">
      <selection activeCell="G22" sqref="G22"/>
    </sheetView>
  </sheetViews>
  <sheetFormatPr defaultColWidth="8.88671875" defaultRowHeight="14.25" x14ac:dyDescent="0.45"/>
  <cols>
    <col min="1" max="1" width="3.0546875" style="26" customWidth="1"/>
    <col min="2" max="2" width="9.6640625" style="26" customWidth="1"/>
    <col min="3" max="3" width="11.109375" style="26" customWidth="1"/>
    <col min="4" max="4" width="8.44140625" style="26" customWidth="1"/>
    <col min="5" max="5" width="13.1640625" style="26" bestFit="1" customWidth="1"/>
    <col min="6" max="6" width="9.6640625" style="26" customWidth="1"/>
    <col min="7" max="7" width="13.1640625" style="26" bestFit="1" customWidth="1"/>
    <col min="8" max="8" width="9.6640625" style="26" customWidth="1"/>
    <col min="9" max="9" width="9.6640625" style="212" customWidth="1"/>
    <col min="10" max="10" width="2.77734375" style="26" customWidth="1"/>
    <col min="11" max="11" width="2.5546875" style="26" customWidth="1"/>
    <col min="12" max="12" width="9.6640625" style="192" customWidth="1"/>
    <col min="13" max="191" width="9.6640625" style="26" customWidth="1"/>
    <col min="192" max="16384" width="8.88671875" style="17"/>
  </cols>
  <sheetData>
    <row r="1" spans="2:14" x14ac:dyDescent="0.45">
      <c r="B1" s="278"/>
      <c r="C1" s="278"/>
      <c r="D1" s="278"/>
      <c r="E1" s="278"/>
      <c r="F1" s="278"/>
      <c r="G1" s="278"/>
      <c r="H1" s="278"/>
      <c r="I1" s="279"/>
      <c r="J1" s="278"/>
    </row>
    <row r="2" spans="2:14" ht="18" customHeight="1" x14ac:dyDescent="0.55000000000000004">
      <c r="B2" s="289"/>
      <c r="C2" s="290"/>
      <c r="D2" s="290"/>
      <c r="E2" s="290"/>
      <c r="F2" s="290"/>
      <c r="G2" s="290"/>
      <c r="H2" s="290"/>
      <c r="I2" s="290"/>
      <c r="J2" s="291"/>
    </row>
    <row r="3" spans="2:14" ht="18" hidden="1" customHeight="1" x14ac:dyDescent="0.55000000000000004">
      <c r="B3" s="289" t="s">
        <v>66</v>
      </c>
      <c r="C3" s="290"/>
      <c r="D3" s="290"/>
      <c r="E3" s="290"/>
      <c r="F3" s="290"/>
      <c r="G3" s="290"/>
      <c r="H3" s="290"/>
      <c r="I3" s="290"/>
      <c r="J3" s="291"/>
    </row>
    <row r="4" spans="2:14" ht="18" hidden="1" customHeight="1" x14ac:dyDescent="0.45">
      <c r="B4" s="229"/>
      <c r="J4" s="230"/>
    </row>
    <row r="5" spans="2:14" ht="21" x14ac:dyDescent="0.65">
      <c r="B5" s="294" t="s">
        <v>48</v>
      </c>
      <c r="C5" s="295"/>
      <c r="D5" s="295"/>
      <c r="E5" s="295"/>
      <c r="F5" s="295"/>
      <c r="G5" s="295"/>
      <c r="H5" s="295"/>
      <c r="I5" s="295"/>
      <c r="J5" s="296"/>
    </row>
    <row r="6" spans="2:14" ht="18" customHeight="1" x14ac:dyDescent="0.45">
      <c r="B6" s="297" t="s">
        <v>216</v>
      </c>
      <c r="C6" s="298"/>
      <c r="D6" s="298"/>
      <c r="E6" s="298"/>
      <c r="F6" s="298"/>
      <c r="G6" s="298"/>
      <c r="H6" s="298"/>
      <c r="I6" s="298"/>
      <c r="J6" s="299"/>
    </row>
    <row r="7" spans="2:14" ht="30.4" customHeight="1" x14ac:dyDescent="0.75">
      <c r="B7" s="300" t="s">
        <v>203</v>
      </c>
      <c r="C7" s="301"/>
      <c r="D7" s="292" t="s">
        <v>49</v>
      </c>
      <c r="E7" s="293"/>
      <c r="F7" s="292" t="s">
        <v>10</v>
      </c>
      <c r="G7" s="293"/>
      <c r="H7" s="292" t="s">
        <v>60</v>
      </c>
      <c r="I7" s="292"/>
      <c r="J7" s="231"/>
    </row>
    <row r="8" spans="2:14" x14ac:dyDescent="0.45">
      <c r="B8" s="232"/>
      <c r="C8" s="27"/>
      <c r="D8" s="28"/>
      <c r="E8" s="28"/>
      <c r="F8" s="29"/>
      <c r="G8" s="28"/>
      <c r="H8" s="28"/>
      <c r="J8" s="233"/>
      <c r="M8" s="193"/>
      <c r="N8" s="193"/>
    </row>
    <row r="9" spans="2:14" x14ac:dyDescent="0.45">
      <c r="B9" s="244" t="s">
        <v>191</v>
      </c>
      <c r="C9" s="245" t="s">
        <v>218</v>
      </c>
      <c r="D9" s="246">
        <v>26.53</v>
      </c>
      <c r="E9" s="246" t="s">
        <v>204</v>
      </c>
      <c r="F9" s="247">
        <f>ROUND(D9*(1+SAO!$G$54),2)</f>
        <v>30.06</v>
      </c>
      <c r="G9" s="246" t="s">
        <v>204</v>
      </c>
      <c r="H9" s="246">
        <f t="shared" ref="H9:H13" si="0">F9-D9</f>
        <v>3.5299999999999976</v>
      </c>
      <c r="I9" s="248">
        <f t="shared" ref="I9:I13" si="1">H9/D9</f>
        <v>0.13305691669807754</v>
      </c>
      <c r="J9" s="249"/>
      <c r="M9" s="193"/>
      <c r="N9" s="193"/>
    </row>
    <row r="10" spans="2:14" x14ac:dyDescent="0.45">
      <c r="B10" s="244" t="s">
        <v>219</v>
      </c>
      <c r="C10" s="245" t="s">
        <v>220</v>
      </c>
      <c r="D10" s="271">
        <v>9.0699999999999999E-3</v>
      </c>
      <c r="E10" s="246" t="s">
        <v>233</v>
      </c>
      <c r="F10" s="272">
        <f>ROUND(D10*(1+SAO!$G$54),5)</f>
        <v>1.0279999999999999E-2</v>
      </c>
      <c r="G10" s="246" t="s">
        <v>233</v>
      </c>
      <c r="H10" s="271">
        <f t="shared" ref="H10:H12" si="2">F10-D10</f>
        <v>1.2099999999999993E-3</v>
      </c>
      <c r="I10" s="248">
        <f t="shared" ref="I10:I12" si="3">H10/D10</f>
        <v>0.13340683572216089</v>
      </c>
      <c r="J10" s="249"/>
      <c r="M10" s="193"/>
      <c r="N10" s="193"/>
    </row>
    <row r="11" spans="2:14" x14ac:dyDescent="0.45">
      <c r="B11" s="244" t="s">
        <v>219</v>
      </c>
      <c r="C11" s="245" t="s">
        <v>218</v>
      </c>
      <c r="D11" s="271">
        <v>8.4799999999999997E-3</v>
      </c>
      <c r="E11" s="246" t="s">
        <v>233</v>
      </c>
      <c r="F11" s="272">
        <f>ROUND(D11*(1+SAO!$G$54),5)</f>
        <v>9.6100000000000005E-3</v>
      </c>
      <c r="G11" s="246" t="s">
        <v>233</v>
      </c>
      <c r="H11" s="271">
        <f t="shared" si="2"/>
        <v>1.1300000000000008E-3</v>
      </c>
      <c r="I11" s="248">
        <f t="shared" si="3"/>
        <v>0.13325471698113217</v>
      </c>
      <c r="J11" s="249"/>
      <c r="M11" s="193"/>
      <c r="N11" s="193"/>
    </row>
    <row r="12" spans="2:14" x14ac:dyDescent="0.45">
      <c r="B12" s="244" t="s">
        <v>219</v>
      </c>
      <c r="C12" s="245" t="s">
        <v>206</v>
      </c>
      <c r="D12" s="271">
        <v>7.8700000000000003E-3</v>
      </c>
      <c r="E12" s="246" t="s">
        <v>233</v>
      </c>
      <c r="F12" s="272">
        <f>ROUND(D12*(1+SAO!$G$54),5)</f>
        <v>8.9200000000000008E-3</v>
      </c>
      <c r="G12" s="246" t="s">
        <v>233</v>
      </c>
      <c r="H12" s="271">
        <f t="shared" si="2"/>
        <v>1.0500000000000006E-3</v>
      </c>
      <c r="I12" s="248">
        <f t="shared" si="3"/>
        <v>0.1334180432020331</v>
      </c>
      <c r="J12" s="249"/>
      <c r="M12" s="193"/>
      <c r="N12" s="193"/>
    </row>
    <row r="13" spans="2:14" x14ac:dyDescent="0.45">
      <c r="B13" s="244" t="s">
        <v>205</v>
      </c>
      <c r="C13" s="245" t="s">
        <v>217</v>
      </c>
      <c r="D13" s="271">
        <v>7.2500000000000004E-3</v>
      </c>
      <c r="E13" s="246" t="s">
        <v>233</v>
      </c>
      <c r="F13" s="272">
        <f>ROUND(D13*(1+SAO!$G$54),5)</f>
        <v>8.2100000000000003E-3</v>
      </c>
      <c r="G13" s="246" t="s">
        <v>233</v>
      </c>
      <c r="H13" s="271">
        <f t="shared" si="0"/>
        <v>9.5999999999999992E-4</v>
      </c>
      <c r="I13" s="248">
        <f t="shared" si="1"/>
        <v>0.13241379310344825</v>
      </c>
      <c r="J13" s="249"/>
      <c r="M13" s="193"/>
      <c r="N13" s="193"/>
    </row>
    <row r="14" spans="2:14" ht="14.65" thickBot="1" x14ac:dyDescent="0.5">
      <c r="B14" s="234"/>
      <c r="C14" s="235"/>
      <c r="D14" s="235"/>
      <c r="E14" s="235"/>
      <c r="F14" s="235"/>
      <c r="G14" s="235"/>
      <c r="H14" s="235"/>
      <c r="I14" s="236"/>
      <c r="J14" s="237"/>
    </row>
  </sheetData>
  <mergeCells count="8">
    <mergeCell ref="B3:J3"/>
    <mergeCell ref="D7:E7"/>
    <mergeCell ref="F7:G7"/>
    <mergeCell ref="B2:J2"/>
    <mergeCell ref="B5:J5"/>
    <mergeCell ref="B6:J6"/>
    <mergeCell ref="B7:C7"/>
    <mergeCell ref="H7:I7"/>
  </mergeCells>
  <printOptions horizontalCentered="1"/>
  <pageMargins left="0.55000000000000004" right="0.55000000000000004" top="1.6" bottom="0.5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27"/>
  <sheetViews>
    <sheetView showGridLines="0" workbookViewId="0">
      <selection activeCell="J27" sqref="A1:J27"/>
    </sheetView>
  </sheetViews>
  <sheetFormatPr defaultColWidth="8.88671875" defaultRowHeight="14.25" x14ac:dyDescent="0.45"/>
  <cols>
    <col min="1" max="1" width="2.609375" style="7" customWidth="1"/>
    <col min="2" max="2" width="1.77734375" style="7" customWidth="1"/>
    <col min="3" max="4" width="9.77734375" style="7" customWidth="1"/>
    <col min="5" max="6" width="9.77734375" style="221" customWidth="1"/>
    <col min="7" max="8" width="9.77734375" style="7" customWidth="1"/>
    <col min="9" max="9" width="1.77734375" style="7" customWidth="1"/>
    <col min="10" max="10" width="2.5" style="7" customWidth="1"/>
    <col min="11" max="16384" width="8.88671875" style="7"/>
  </cols>
  <sheetData>
    <row r="1" spans="2:11" x14ac:dyDescent="0.45">
      <c r="B1" s="8"/>
      <c r="C1" s="9"/>
      <c r="D1" s="9"/>
      <c r="E1" s="222"/>
      <c r="F1" s="222"/>
      <c r="G1" s="9"/>
      <c r="H1" s="9"/>
      <c r="I1" s="10"/>
    </row>
    <row r="2" spans="2:11" ht="18" x14ac:dyDescent="0.55000000000000004">
      <c r="B2" s="302" t="s">
        <v>175</v>
      </c>
      <c r="C2" s="303"/>
      <c r="D2" s="303"/>
      <c r="E2" s="303"/>
      <c r="F2" s="303"/>
      <c r="G2" s="303"/>
      <c r="H2" s="303"/>
      <c r="I2" s="304"/>
    </row>
    <row r="3" spans="2:11" ht="18" x14ac:dyDescent="0.55000000000000004">
      <c r="B3" s="305" t="s">
        <v>178</v>
      </c>
      <c r="C3" s="306"/>
      <c r="D3" s="306"/>
      <c r="E3" s="306"/>
      <c r="F3" s="306"/>
      <c r="G3" s="306"/>
      <c r="H3" s="306"/>
      <c r="I3" s="307"/>
    </row>
    <row r="4" spans="2:11" ht="15.75" x14ac:dyDescent="0.45">
      <c r="B4" s="308" t="s">
        <v>216</v>
      </c>
      <c r="C4" s="285"/>
      <c r="D4" s="285"/>
      <c r="E4" s="285"/>
      <c r="F4" s="285"/>
      <c r="G4" s="285"/>
      <c r="H4" s="285"/>
      <c r="I4" s="309"/>
    </row>
    <row r="5" spans="2:11" x14ac:dyDescent="0.45">
      <c r="B5" s="13"/>
      <c r="C5" s="5"/>
      <c r="D5" s="5"/>
      <c r="E5" s="223"/>
      <c r="F5" s="223"/>
      <c r="G5" s="5"/>
      <c r="H5" s="5"/>
      <c r="I5" s="14"/>
    </row>
    <row r="6" spans="2:11" ht="6" customHeight="1" x14ac:dyDescent="0.45">
      <c r="B6" s="11"/>
      <c r="C6" s="6"/>
      <c r="D6" s="12"/>
      <c r="E6" s="224"/>
      <c r="F6" s="35"/>
      <c r="G6" s="35"/>
      <c r="H6" s="35"/>
      <c r="I6" s="36"/>
      <c r="J6" s="34"/>
      <c r="K6" s="34"/>
    </row>
    <row r="7" spans="2:11" ht="16.5" x14ac:dyDescent="0.75">
      <c r="B7" s="11"/>
      <c r="C7" s="16" t="s">
        <v>12</v>
      </c>
      <c r="D7" s="33" t="s">
        <v>59</v>
      </c>
      <c r="E7" s="225" t="s">
        <v>23</v>
      </c>
      <c r="F7" s="227" t="s">
        <v>10</v>
      </c>
      <c r="G7" s="16"/>
      <c r="H7" s="16"/>
      <c r="I7" s="33"/>
    </row>
    <row r="8" spans="2:11" ht="16.5" x14ac:dyDescent="0.75">
      <c r="B8" s="11"/>
      <c r="C8" s="16" t="s">
        <v>67</v>
      </c>
      <c r="D8" s="33" t="s">
        <v>63</v>
      </c>
      <c r="E8" s="225" t="s">
        <v>61</v>
      </c>
      <c r="F8" s="227" t="s">
        <v>61</v>
      </c>
      <c r="G8" s="16" t="s">
        <v>24</v>
      </c>
      <c r="H8" s="16" t="s">
        <v>62</v>
      </c>
      <c r="I8" s="33"/>
    </row>
    <row r="9" spans="2:11" x14ac:dyDescent="0.45">
      <c r="B9" s="11"/>
      <c r="C9" s="17">
        <v>0</v>
      </c>
      <c r="D9" s="37" t="s">
        <v>64</v>
      </c>
      <c r="E9" s="267">
        <f>Rates!$D$9</f>
        <v>26.53</v>
      </c>
      <c r="F9" s="156">
        <f>Rates!$F$9</f>
        <v>30.06</v>
      </c>
      <c r="G9" s="48">
        <f>F9-E9</f>
        <v>3.5299999999999976</v>
      </c>
      <c r="H9" s="68">
        <f>G9/E9</f>
        <v>0.13305691669807754</v>
      </c>
      <c r="I9" s="40"/>
    </row>
    <row r="10" spans="2:11" x14ac:dyDescent="0.45">
      <c r="B10" s="11"/>
      <c r="C10" s="6">
        <v>2000</v>
      </c>
      <c r="D10" s="37" t="s">
        <v>64</v>
      </c>
      <c r="E10" s="267">
        <f>Rates!$D$9</f>
        <v>26.53</v>
      </c>
      <c r="F10" s="156">
        <f>Rates!$F$9</f>
        <v>30.06</v>
      </c>
      <c r="G10" s="17">
        <f t="shared" ref="G10:G17" si="0">F10-E10</f>
        <v>3.5299999999999976</v>
      </c>
      <c r="H10" s="68">
        <f t="shared" ref="H10:H24" si="1">G10/E10</f>
        <v>0.13305691669807754</v>
      </c>
      <c r="I10" s="40"/>
    </row>
    <row r="11" spans="2:11" x14ac:dyDescent="0.45">
      <c r="B11" s="11"/>
      <c r="C11" s="41">
        <v>4000</v>
      </c>
      <c r="D11" s="42" t="s">
        <v>64</v>
      </c>
      <c r="E11" s="228">
        <f>Rates!$D$9+1000*Rates!$D$10+(Bills!C11-3000)*Rates!$D$11</f>
        <v>44.08</v>
      </c>
      <c r="F11" s="228">
        <f>Rates!$F$9+1000*Rates!$F$10+(Bills!C11-3000)*Rates!$F$11</f>
        <v>49.949999999999996</v>
      </c>
      <c r="G11" s="43">
        <f t="shared" si="0"/>
        <v>5.8699999999999974</v>
      </c>
      <c r="H11" s="69">
        <f t="shared" si="1"/>
        <v>0.1331669691470054</v>
      </c>
      <c r="I11" s="44"/>
    </row>
    <row r="12" spans="2:11" x14ac:dyDescent="0.45">
      <c r="B12" s="11"/>
      <c r="C12" s="6">
        <v>6000</v>
      </c>
      <c r="D12" s="37" t="s">
        <v>64</v>
      </c>
      <c r="E12" s="226">
        <f>Rates!$D$9+1000*Rates!$D$10+(2000*Rates!$D$11)+(Bills!C12-5000)*Rates!$D$12</f>
        <v>60.43</v>
      </c>
      <c r="F12" s="226">
        <f>Rates!$F$9+1000*Rates!$F$10+(2000*Rates!$F$11)+(Bills!C12-5000)*Rates!$F$12</f>
        <v>68.48</v>
      </c>
      <c r="G12" s="17">
        <f t="shared" si="0"/>
        <v>8.0500000000000043</v>
      </c>
      <c r="H12" s="68">
        <f t="shared" si="1"/>
        <v>0.13321198080423638</v>
      </c>
      <c r="I12" s="40"/>
    </row>
    <row r="13" spans="2:11" x14ac:dyDescent="0.45">
      <c r="B13" s="11"/>
      <c r="C13" s="6">
        <v>8000</v>
      </c>
      <c r="D13" s="37" t="s">
        <v>64</v>
      </c>
      <c r="E13" s="226">
        <f>Rates!$D$9+1000*Rates!$D$10+(2000*Rates!$D$11)+(Bills!C13-5000)*Rates!$D$12</f>
        <v>76.17</v>
      </c>
      <c r="F13" s="226">
        <f>Rates!$F$9+1000*Rates!$F$10+(2000*Rates!$F$11)+(Bills!C13-5000)*Rates!$F$12</f>
        <v>86.320000000000007</v>
      </c>
      <c r="G13" s="17">
        <f t="shared" si="0"/>
        <v>10.150000000000006</v>
      </c>
      <c r="H13" s="68">
        <f t="shared" si="1"/>
        <v>0.13325456216358153</v>
      </c>
      <c r="I13" s="40"/>
    </row>
    <row r="14" spans="2:11" x14ac:dyDescent="0.45">
      <c r="B14" s="11"/>
      <c r="C14" s="6">
        <v>10000</v>
      </c>
      <c r="D14" s="37" t="s">
        <v>64</v>
      </c>
      <c r="E14" s="226">
        <f>Rates!$D$9+1000*Rates!$D$10+(2000*Rates!$D$11)+(Bills!C14-5000)*Rates!$D$12</f>
        <v>91.91</v>
      </c>
      <c r="F14" s="226">
        <f>Rates!$F$9+1000*Rates!$F$10+(2000*Rates!$F$11)+(Bills!C14-5000)*Rates!$F$12</f>
        <v>104.16</v>
      </c>
      <c r="G14" s="17">
        <f t="shared" si="0"/>
        <v>12.25</v>
      </c>
      <c r="H14" s="68">
        <f t="shared" si="1"/>
        <v>0.13328255902513328</v>
      </c>
      <c r="I14" s="40"/>
    </row>
    <row r="15" spans="2:11" x14ac:dyDescent="0.45">
      <c r="B15" s="11"/>
      <c r="C15" s="6">
        <v>15000</v>
      </c>
      <c r="D15" s="37" t="s">
        <v>64</v>
      </c>
      <c r="E15" s="226">
        <f>Rates!$D$9+(1000*Rates!$D$10)+(2000*Rates!$D$11)+(5000*Rates!$D$12)+(Bills!C15-10000)*Rates!$D$13</f>
        <v>128.16</v>
      </c>
      <c r="F15" s="226">
        <f>Rates!$F$9+(1000*Rates!$F$10)+(2000*Rates!$F$11)+(5000*Rates!$F$12)+(Bills!C15-10000)*Rates!$F$13</f>
        <v>145.21</v>
      </c>
      <c r="G15" s="17">
        <f t="shared" si="0"/>
        <v>17.050000000000011</v>
      </c>
      <c r="H15" s="68">
        <f t="shared" si="1"/>
        <v>0.13303682896379534</v>
      </c>
      <c r="I15" s="40"/>
    </row>
    <row r="16" spans="2:11" x14ac:dyDescent="0.45">
      <c r="B16" s="11"/>
      <c r="C16" s="6">
        <v>20000</v>
      </c>
      <c r="D16" s="37" t="s">
        <v>64</v>
      </c>
      <c r="E16" s="226">
        <f>Rates!$D$9+(1000*Rates!$D$10)+(2000*Rates!$D$11)+(5000*Rates!$D$12)+(Bills!C16-10000)*Rates!$D$13</f>
        <v>164.41</v>
      </c>
      <c r="F16" s="226">
        <f>Rates!$F$9+(1000*Rates!$F$10)+(2000*Rates!$F$11)+(5000*Rates!$F$12)+(Bills!C16-10000)*Rates!$F$13</f>
        <v>186.26</v>
      </c>
      <c r="G16" s="17">
        <f t="shared" si="0"/>
        <v>21.849999999999994</v>
      </c>
      <c r="H16" s="68">
        <f t="shared" si="1"/>
        <v>0.13289945867039715</v>
      </c>
      <c r="I16" s="40"/>
    </row>
    <row r="17" spans="2:15" x14ac:dyDescent="0.45">
      <c r="B17" s="11"/>
      <c r="C17" s="6">
        <v>25000</v>
      </c>
      <c r="D17" s="38" t="s">
        <v>25</v>
      </c>
      <c r="E17" s="226">
        <f>Rates!$D$9+(1000*Rates!$D$10)+(2000*Rates!$D$11)+(5000*Rates!$D$12)+(Bills!C17-10000)*Rates!$D$13</f>
        <v>200.66</v>
      </c>
      <c r="F17" s="226">
        <f>Rates!$F$9+(1000*Rates!$F$10)+(2000*Rates!$F$11)+(5000*Rates!$F$12)+(Bills!C17-10000)*Rates!$F$13</f>
        <v>227.31</v>
      </c>
      <c r="G17" s="17">
        <f t="shared" si="0"/>
        <v>26.650000000000006</v>
      </c>
      <c r="H17" s="68">
        <f t="shared" si="1"/>
        <v>0.13281172131964519</v>
      </c>
      <c r="I17" s="40"/>
    </row>
    <row r="18" spans="2:15" x14ac:dyDescent="0.45">
      <c r="B18" s="11"/>
      <c r="C18" s="6">
        <v>30000</v>
      </c>
      <c r="D18" s="38" t="s">
        <v>25</v>
      </c>
      <c r="E18" s="226">
        <f>Rates!$D$9+(1000*Rates!$D$10)+(2000*Rates!$D$11)+(5000*Rates!$D$12)+(Bills!C18-10000)*Rates!$D$13</f>
        <v>236.91</v>
      </c>
      <c r="F18" s="226">
        <f>Rates!$F$9+(1000*Rates!$F$10)+(2000*Rates!$F$11)+(5000*Rates!$F$12)+(Bills!C18-10000)*Rates!$F$13</f>
        <v>268.36</v>
      </c>
      <c r="G18" s="17">
        <f t="shared" ref="G18:G24" si="2">F18-E18</f>
        <v>31.450000000000017</v>
      </c>
      <c r="H18" s="68">
        <f t="shared" si="1"/>
        <v>0.13275083364990933</v>
      </c>
      <c r="I18" s="40"/>
      <c r="O18" s="6"/>
    </row>
    <row r="19" spans="2:15" x14ac:dyDescent="0.45">
      <c r="B19" s="11"/>
      <c r="C19" s="6">
        <v>40000</v>
      </c>
      <c r="D19" s="38" t="s">
        <v>25</v>
      </c>
      <c r="E19" s="226">
        <f>Rates!$D$9+(1000*Rates!$D$10)+(2000*Rates!$D$11)+(5000*Rates!$D$12)+(Bills!C19-10000)*Rates!$D$13</f>
        <v>309.40999999999997</v>
      </c>
      <c r="F19" s="226">
        <f>Rates!$F$9+(1000*Rates!$F$10)+(2000*Rates!$F$11)+(5000*Rates!$F$12)+(Bills!C19-10000)*Rates!$F$13</f>
        <v>350.46000000000004</v>
      </c>
      <c r="G19" s="17">
        <f t="shared" si="2"/>
        <v>41.050000000000068</v>
      </c>
      <c r="H19" s="68">
        <f t="shared" si="1"/>
        <v>0.13267185934520562</v>
      </c>
      <c r="I19" s="40"/>
    </row>
    <row r="20" spans="2:15" x14ac:dyDescent="0.45">
      <c r="B20" s="11"/>
      <c r="C20" s="6">
        <v>50000</v>
      </c>
      <c r="D20" s="38" t="s">
        <v>25</v>
      </c>
      <c r="E20" s="226">
        <f>Rates!$D$9+(1000*Rates!$D$10)+(2000*Rates!$D$11)+(5000*Rates!$D$12)+(Bills!C20-10000)*Rates!$D$13</f>
        <v>381.90999999999997</v>
      </c>
      <c r="F20" s="226">
        <f>Rates!$F$9+(1000*Rates!$F$10)+(2000*Rates!$F$11)+(5000*Rates!$F$12)+(Bills!C20-10000)*Rates!$F$13</f>
        <v>432.56000000000006</v>
      </c>
      <c r="G20" s="17">
        <f t="shared" si="2"/>
        <v>50.650000000000091</v>
      </c>
      <c r="H20" s="68">
        <f t="shared" si="1"/>
        <v>0.13262286926239192</v>
      </c>
      <c r="I20" s="40"/>
    </row>
    <row r="21" spans="2:15" x14ac:dyDescent="0.45">
      <c r="B21" s="11"/>
      <c r="C21" s="6">
        <v>75000</v>
      </c>
      <c r="D21" s="38" t="s">
        <v>26</v>
      </c>
      <c r="E21" s="226">
        <f>Rates!$D$9+(1000*Rates!$D$10)+(2000*Rates!$D$11)+(5000*Rates!$D$12)+(Bills!C21-10000)*Rates!$D$13</f>
        <v>563.16</v>
      </c>
      <c r="F21" s="226">
        <f>Rates!$F$9+(1000*Rates!$F$10)+(2000*Rates!$F$11)+(5000*Rates!$F$12)+(Bills!C21-10000)*Rates!$F$13</f>
        <v>637.80999999999995</v>
      </c>
      <c r="G21" s="17">
        <f t="shared" si="2"/>
        <v>74.649999999999977</v>
      </c>
      <c r="H21" s="68">
        <f t="shared" si="1"/>
        <v>0.13255557923147948</v>
      </c>
      <c r="I21" s="40"/>
    </row>
    <row r="22" spans="2:15" x14ac:dyDescent="0.45">
      <c r="B22" s="11"/>
      <c r="C22" s="6">
        <v>100000</v>
      </c>
      <c r="D22" s="38" t="s">
        <v>26</v>
      </c>
      <c r="E22" s="226">
        <f>Rates!$D$9+(1000*Rates!$D$10)+(2000*Rates!$D$11)+(5000*Rates!$D$12)+(Bills!C22-10000)*Rates!$D$13</f>
        <v>744.41</v>
      </c>
      <c r="F22" s="226">
        <f>Rates!$F$9+(1000*Rates!$F$10)+(2000*Rates!$F$11)+(5000*Rates!$F$12)+(Bills!C22-10000)*Rates!$F$13</f>
        <v>843.06</v>
      </c>
      <c r="G22" s="17">
        <f t="shared" si="2"/>
        <v>98.649999999999977</v>
      </c>
      <c r="H22" s="68">
        <f t="shared" si="1"/>
        <v>0.13252105694442576</v>
      </c>
      <c r="I22" s="40"/>
    </row>
    <row r="23" spans="2:15" x14ac:dyDescent="0.45">
      <c r="B23" s="11"/>
      <c r="C23" s="6">
        <v>200000</v>
      </c>
      <c r="D23" s="38" t="s">
        <v>26</v>
      </c>
      <c r="E23" s="226">
        <f>Rates!$D$9+(1000*Rates!$D$10)+(2000*Rates!$D$11)+(5000*Rates!$D$12)+(Bills!C23-10000)*Rates!$D$13</f>
        <v>1469.41</v>
      </c>
      <c r="F23" s="226">
        <f>Rates!$F$9+(1000*Rates!$F$10)+(2000*Rates!$F$11)+(5000*Rates!$F$12)+(Bills!C23-10000)*Rates!$F$13</f>
        <v>1664.0600000000002</v>
      </c>
      <c r="G23" s="17">
        <f t="shared" si="2"/>
        <v>194.65000000000009</v>
      </c>
      <c r="H23" s="68">
        <f t="shared" si="1"/>
        <v>0.13246813346853503</v>
      </c>
      <c r="I23" s="40"/>
    </row>
    <row r="24" spans="2:15" x14ac:dyDescent="0.45">
      <c r="B24" s="11"/>
      <c r="C24" s="6">
        <v>500000</v>
      </c>
      <c r="D24" s="38" t="s">
        <v>26</v>
      </c>
      <c r="E24" s="226">
        <f>Rates!$D$9+(1000*Rates!$D$10)+(2000*Rates!$D$11)+(5000*Rates!$D$12)+(Bills!C24-10000)*Rates!$D$13</f>
        <v>3644.41</v>
      </c>
      <c r="F24" s="226">
        <f>Rates!$F$9+(1000*Rates!$F$10)+(2000*Rates!$F$11)+(5000*Rates!$F$12)+(Bills!C24-10000)*Rates!$F$13</f>
        <v>4127.0600000000004</v>
      </c>
      <c r="G24" s="17">
        <f t="shared" si="2"/>
        <v>482.65000000000055</v>
      </c>
      <c r="H24" s="68">
        <f t="shared" si="1"/>
        <v>0.13243570289841169</v>
      </c>
      <c r="I24" s="40"/>
    </row>
    <row r="25" spans="2:15" ht="6" customHeight="1" x14ac:dyDescent="0.45">
      <c r="B25" s="13"/>
      <c r="C25" s="5"/>
      <c r="D25" s="4"/>
      <c r="E25" s="197"/>
      <c r="F25" s="219"/>
      <c r="G25" s="39"/>
      <c r="H25" s="5"/>
      <c r="I25" s="14"/>
    </row>
    <row r="27" spans="2:15" x14ac:dyDescent="0.45">
      <c r="D27" s="49" t="s">
        <v>68</v>
      </c>
    </row>
  </sheetData>
  <mergeCells count="3">
    <mergeCell ref="B2:I2"/>
    <mergeCell ref="B3:I3"/>
    <mergeCell ref="B4:I4"/>
  </mergeCells>
  <printOptions horizontalCentered="1"/>
  <pageMargins left="0.7" right="0.7" top="1.1000000000000001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SAO</vt:lpstr>
      <vt:lpstr>Wages</vt:lpstr>
      <vt:lpstr>Medical</vt:lpstr>
      <vt:lpstr>Depreciation</vt:lpstr>
      <vt:lpstr>Debt Service</vt:lpstr>
      <vt:lpstr>Capital</vt:lpstr>
      <vt:lpstr>Water Loss</vt:lpstr>
      <vt:lpstr>Rates</vt:lpstr>
      <vt:lpstr>Bills</vt:lpstr>
      <vt:lpstr>ExBA1</vt:lpstr>
      <vt:lpstr>ExBA2</vt:lpstr>
      <vt:lpstr>PrBA</vt:lpstr>
      <vt:lpstr>Bills!Print_Area</vt:lpstr>
      <vt:lpstr>'Debt Service'!Print_Area</vt:lpstr>
      <vt:lpstr>Depreciation!Print_Area</vt:lpstr>
      <vt:lpstr>ExBA1!Print_Area</vt:lpstr>
      <vt:lpstr>ExBA2!Print_Area</vt:lpstr>
      <vt:lpstr>PrBA!Print_Area</vt:lpstr>
      <vt:lpstr>Rates!Print_Area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2023-04-21T22:04:05Z</cp:lastPrinted>
  <dcterms:created xsi:type="dcterms:W3CDTF">2016-05-18T14:12:06Z</dcterms:created>
  <dcterms:modified xsi:type="dcterms:W3CDTF">2023-08-21T14:29:24Z</dcterms:modified>
</cp:coreProperties>
</file>