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Internal\01_Regulatory Services\02_Cases\2023 Cases\2023-00137 Mar-Apr Wind Storms\04_Application Package\"/>
    </mc:Choice>
  </mc:AlternateContent>
  <xr:revisionPtr revIDLastSave="0" documentId="13_ncr:1_{6951121F-022F-41CC-A2C2-D0EF9997C5A5}" xr6:coauthVersionLast="47" xr6:coauthVersionMax="47" xr10:uidLastSave="{00000000-0000-0000-0000-000000000000}"/>
  <bookViews>
    <workbookView xWindow="-120" yWindow="-120" windowWidth="38640" windowHeight="21120" tabRatio="791" xr2:uid="{00000000-000D-0000-FFFF-FFFF00000000}"/>
  </bookViews>
  <sheets>
    <sheet name="Summary" sheetId="1" r:id="rId1"/>
    <sheet name="Exh 3 Feb 10 Ice Storm_D 67%" sheetId="6" state="hidden" r:id="rId2"/>
    <sheet name="Exh 3A Mar 3 Windstorm_Distr" sheetId="7" r:id="rId3"/>
    <sheet name="Exh 3B Mar 3 Windstorm_Trans" sheetId="10" r:id="rId4"/>
    <sheet name="Exh 3C Mar 25 Windstorm_Distr" sheetId="9" r:id="rId5"/>
    <sheet name="Exh 3D Apr 1 Windstorm_Distr" sheetId="8" r:id="rId6"/>
    <sheet name="Exh 3E Apr 1 Windstorm_Trans" sheetId="11" r:id="rId7"/>
  </sheets>
  <definedNames>
    <definedName name="_xlnm.Print_Area" localSheetId="1">'Exh 3 Feb 10 Ice Storm_D 67%'!$B$2:$Q$110</definedName>
    <definedName name="_xlnm.Print_Area" localSheetId="2">'Exh 3A Mar 3 Windstorm_Distr'!$B$2:$Q$180</definedName>
    <definedName name="_xlnm.Print_Area" localSheetId="3">'Exh 3B Mar 3 Windstorm_Trans'!$B$2:$Q$179</definedName>
    <definedName name="_xlnm.Print_Area" localSheetId="4">'Exh 3C Mar 25 Windstorm_Distr'!$B$2:$Q$189</definedName>
    <definedName name="_xlnm.Print_Area" localSheetId="5">'Exh 3D Apr 1 Windstorm_Distr'!$B$2:$Q$108</definedName>
    <definedName name="_xlnm.Print_Area" localSheetId="6">'Exh 3E Apr 1 Windstorm_Trans'!$B$2:$Q$104</definedName>
    <definedName name="_xlnm.Print_Area" localSheetId="0">Summary!$A$1:$I$30</definedName>
    <definedName name="_xlnm.Print_Titles" localSheetId="1">'Exh 3 Feb 10 Ice Storm_D 67%'!$2:$8</definedName>
    <definedName name="_xlnm.Print_Titles" localSheetId="2">'Exh 3A Mar 3 Windstorm_Distr'!$2:$8</definedName>
    <definedName name="_xlnm.Print_Titles" localSheetId="3">'Exh 3B Mar 3 Windstorm_Trans'!$2:$8</definedName>
    <definedName name="_xlnm.Print_Titles" localSheetId="4">'Exh 3C Mar 25 Windstorm_Distr'!$2:$8</definedName>
    <definedName name="_xlnm.Print_Titles" localSheetId="5">'Exh 3D Apr 1 Windstorm_Distr'!$2:$8</definedName>
    <definedName name="_xlnm.Print_Titles" localSheetId="6">'Exh 3E Apr 1 Windstorm_Trans'!$2:$8</definedName>
    <definedName name="TotalOTHours" localSheetId="1">'Exh 3 Feb 10 Ice Storm_D 67%'!$Q$13</definedName>
    <definedName name="TotalOTHours" localSheetId="2">'Exh 3A Mar 3 Windstorm_Distr'!$Q$13</definedName>
    <definedName name="TotalOTHours" localSheetId="3">'Exh 3B Mar 3 Windstorm_Trans'!$Q$13</definedName>
    <definedName name="TotalOTHours" localSheetId="4">'Exh 3C Mar 25 Windstorm_Distr'!$Q$13</definedName>
    <definedName name="TotalOTHours" localSheetId="5">'Exh 3D Apr 1 Windstorm_Distr'!$Q$13</definedName>
    <definedName name="TotalOTHours" localSheetId="6">'Exh 3E Apr 1 Windstorm_Trans'!$Q$13</definedName>
    <definedName name="TotalOTHours" localSheetId="0">#REF!</definedName>
    <definedName name="TotalOTHo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3" i="9" l="1"/>
  <c r="K164" i="7"/>
  <c r="K161" i="7"/>
  <c r="G95" i="8" l="1"/>
  <c r="G96" i="8" s="1"/>
  <c r="K90" i="8"/>
  <c r="H96" i="8"/>
  <c r="I96" i="8"/>
  <c r="I95" i="8"/>
  <c r="O69" i="8"/>
  <c r="I69" i="8"/>
  <c r="G73" i="8"/>
  <c r="Q58" i="8"/>
  <c r="P58" i="8"/>
  <c r="O58" i="8"/>
  <c r="N58" i="8"/>
  <c r="M58" i="8"/>
  <c r="J58" i="8"/>
  <c r="I58" i="8"/>
  <c r="H58" i="8"/>
  <c r="G58" i="8"/>
  <c r="K58" i="8" s="1"/>
  <c r="Q58" i="9"/>
  <c r="P58" i="9"/>
  <c r="O58" i="9"/>
  <c r="N58" i="9"/>
  <c r="M58" i="9"/>
  <c r="J58" i="9"/>
  <c r="I58" i="9"/>
  <c r="H58" i="9"/>
  <c r="G58" i="9"/>
  <c r="K58" i="9" s="1"/>
  <c r="Q63" i="8"/>
  <c r="Q62" i="9"/>
  <c r="G94" i="8" l="1"/>
  <c r="G92" i="11" l="1"/>
  <c r="G30" i="8"/>
  <c r="H30" i="8"/>
  <c r="H31" i="8" s="1"/>
  <c r="I30" i="8"/>
  <c r="I31" i="8" s="1"/>
  <c r="G67" i="8"/>
  <c r="H67" i="8"/>
  <c r="H69" i="8" s="1"/>
  <c r="I67" i="8"/>
  <c r="G31" i="8"/>
  <c r="H24" i="8"/>
  <c r="I24" i="8"/>
  <c r="G24" i="8"/>
  <c r="H21" i="8"/>
  <c r="I21" i="8"/>
  <c r="G21" i="8"/>
  <c r="K89" i="8"/>
  <c r="M63" i="8"/>
  <c r="N63" i="8"/>
  <c r="O63" i="8"/>
  <c r="G63" i="8"/>
  <c r="H63" i="8"/>
  <c r="I63" i="8"/>
  <c r="L69" i="8"/>
  <c r="P69" i="8"/>
  <c r="P65" i="8"/>
  <c r="O65" i="8"/>
  <c r="N65" i="8"/>
  <c r="M65" i="8"/>
  <c r="K65" i="8"/>
  <c r="Q65" i="8" s="1"/>
  <c r="G23" i="8"/>
  <c r="H23" i="8"/>
  <c r="I23" i="8"/>
  <c r="K23" i="8" s="1"/>
  <c r="K24" i="8" s="1"/>
  <c r="K13" i="8"/>
  <c r="K12" i="8"/>
  <c r="P63" i="8"/>
  <c r="K34" i="8"/>
  <c r="K35" i="8"/>
  <c r="K36" i="8"/>
  <c r="K37" i="8"/>
  <c r="K38" i="8"/>
  <c r="K39" i="8"/>
  <c r="K40" i="8"/>
  <c r="K41" i="8"/>
  <c r="K42" i="8"/>
  <c r="K33" i="8"/>
  <c r="K29" i="8"/>
  <c r="K28" i="8"/>
  <c r="K27" i="8"/>
  <c r="K26" i="8"/>
  <c r="K16" i="8"/>
  <c r="K17" i="8"/>
  <c r="K18" i="8"/>
  <c r="K19" i="8"/>
  <c r="K20" i="8"/>
  <c r="K15" i="8"/>
  <c r="K9" i="8"/>
  <c r="G69" i="8" l="1"/>
  <c r="K30" i="8"/>
  <c r="K31" i="8" s="1"/>
  <c r="K63" i="8"/>
  <c r="K21" i="8"/>
  <c r="I92" i="11" l="1"/>
  <c r="H92" i="11"/>
  <c r="K84" i="11"/>
  <c r="K88" i="11" s="1"/>
  <c r="L69" i="11"/>
  <c r="Q66" i="11"/>
  <c r="P66" i="11"/>
  <c r="O66" i="11"/>
  <c r="N66" i="11"/>
  <c r="M66" i="11"/>
  <c r="K66" i="11"/>
  <c r="J66" i="11"/>
  <c r="I66" i="11"/>
  <c r="H66" i="11"/>
  <c r="G66" i="11"/>
  <c r="N65" i="11"/>
  <c r="J65" i="11"/>
  <c r="I65" i="11"/>
  <c r="H65" i="11"/>
  <c r="G65" i="11"/>
  <c r="P63" i="11"/>
  <c r="P65" i="11" s="1"/>
  <c r="O63" i="11"/>
  <c r="O65" i="11" s="1"/>
  <c r="N63" i="11"/>
  <c r="M63" i="11"/>
  <c r="M65" i="11" s="1"/>
  <c r="K63" i="11"/>
  <c r="K65" i="11" s="1"/>
  <c r="Q55" i="11"/>
  <c r="K55" i="11"/>
  <c r="J53" i="11"/>
  <c r="J58" i="11" s="1"/>
  <c r="J69" i="11" s="1"/>
  <c r="I53" i="11"/>
  <c r="I58" i="11" s="1"/>
  <c r="H53" i="11"/>
  <c r="H58" i="11" s="1"/>
  <c r="G53" i="11"/>
  <c r="K53" i="11" s="1"/>
  <c r="P52" i="11"/>
  <c r="Q52" i="11" s="1"/>
  <c r="O52" i="11"/>
  <c r="N52" i="11"/>
  <c r="M52" i="11"/>
  <c r="K52" i="11"/>
  <c r="P49" i="11"/>
  <c r="O49" i="11"/>
  <c r="N49" i="11"/>
  <c r="M49" i="11"/>
  <c r="Q49" i="11" s="1"/>
  <c r="K49" i="11"/>
  <c r="P47" i="11"/>
  <c r="Q47" i="11" s="1"/>
  <c r="O47" i="11"/>
  <c r="N47" i="11"/>
  <c r="M47" i="11"/>
  <c r="K47" i="11"/>
  <c r="P45" i="11"/>
  <c r="O45" i="11"/>
  <c r="N45" i="11"/>
  <c r="M45" i="11"/>
  <c r="Q45" i="11" s="1"/>
  <c r="K45" i="11"/>
  <c r="P43" i="11"/>
  <c r="O43" i="11"/>
  <c r="M43" i="11"/>
  <c r="H43" i="11"/>
  <c r="N43" i="11" s="1"/>
  <c r="Q43" i="11" s="1"/>
  <c r="P41" i="11"/>
  <c r="O41" i="11"/>
  <c r="N41" i="11"/>
  <c r="M41" i="11"/>
  <c r="Q41" i="11" s="1"/>
  <c r="P40" i="11"/>
  <c r="Q40" i="11" s="1"/>
  <c r="O40" i="11"/>
  <c r="N40" i="11"/>
  <c r="M40" i="11"/>
  <c r="P39" i="11"/>
  <c r="O39" i="11"/>
  <c r="N39" i="11"/>
  <c r="M39" i="11"/>
  <c r="Q39" i="11" s="1"/>
  <c r="P38" i="11"/>
  <c r="O38" i="11"/>
  <c r="N38" i="11"/>
  <c r="Q38" i="11" s="1"/>
  <c r="M38" i="11"/>
  <c r="P37" i="11"/>
  <c r="O37" i="11"/>
  <c r="N37" i="11"/>
  <c r="M37" i="11"/>
  <c r="Q37" i="11" s="1"/>
  <c r="P36" i="11"/>
  <c r="O36" i="11"/>
  <c r="N36" i="11"/>
  <c r="M36" i="11"/>
  <c r="Q36" i="11" s="1"/>
  <c r="Q34" i="11"/>
  <c r="P34" i="11"/>
  <c r="O34" i="11"/>
  <c r="N34" i="11"/>
  <c r="M34" i="11"/>
  <c r="P33" i="11"/>
  <c r="P53" i="11" s="1"/>
  <c r="O33" i="11"/>
  <c r="O53" i="11" s="1"/>
  <c r="N33" i="11"/>
  <c r="M33" i="11"/>
  <c r="M53" i="11" s="1"/>
  <c r="O31" i="11"/>
  <c r="P30" i="11"/>
  <c r="O30" i="11"/>
  <c r="N30" i="11"/>
  <c r="M30" i="11"/>
  <c r="Q30" i="11" s="1"/>
  <c r="P29" i="11"/>
  <c r="P31" i="11" s="1"/>
  <c r="O29" i="11"/>
  <c r="N29" i="11"/>
  <c r="M29" i="11"/>
  <c r="Q29" i="11" s="1"/>
  <c r="Q28" i="11"/>
  <c r="P27" i="11"/>
  <c r="O27" i="11"/>
  <c r="N27" i="11"/>
  <c r="N31" i="11" s="1"/>
  <c r="M27" i="11"/>
  <c r="M31" i="11" s="1"/>
  <c r="Q26" i="11"/>
  <c r="P24" i="11"/>
  <c r="T23" i="11"/>
  <c r="O21" i="11"/>
  <c r="Y20" i="11"/>
  <c r="Y23" i="11" s="1"/>
  <c r="Q23" i="11" s="1"/>
  <c r="Q20" i="11"/>
  <c r="P19" i="11"/>
  <c r="O19" i="11"/>
  <c r="N19" i="11"/>
  <c r="M19" i="11"/>
  <c r="Q19" i="11" s="1"/>
  <c r="Q18" i="11"/>
  <c r="Q17" i="11"/>
  <c r="P16" i="11"/>
  <c r="O16" i="11"/>
  <c r="N16" i="11"/>
  <c r="Q16" i="11" s="1"/>
  <c r="M16" i="11"/>
  <c r="Q15" i="11"/>
  <c r="O13" i="11"/>
  <c r="N13" i="11"/>
  <c r="M13" i="11"/>
  <c r="Q13" i="11" s="1"/>
  <c r="T12" i="11"/>
  <c r="P12" i="11"/>
  <c r="P21" i="11" s="1"/>
  <c r="O12" i="11"/>
  <c r="N12" i="11"/>
  <c r="N21" i="11" s="1"/>
  <c r="M12" i="11"/>
  <c r="Q12" i="11" s="1"/>
  <c r="O10" i="11"/>
  <c r="N10" i="11"/>
  <c r="M10" i="11"/>
  <c r="Q10" i="11" s="1"/>
  <c r="Q9" i="11"/>
  <c r="Q21" i="11" s="1"/>
  <c r="K188" i="10"/>
  <c r="I188" i="10"/>
  <c r="H188" i="10"/>
  <c r="I187" i="10"/>
  <c r="H187" i="10"/>
  <c r="K187" i="10" s="1"/>
  <c r="K186" i="10"/>
  <c r="I186" i="10"/>
  <c r="H186" i="10"/>
  <c r="I185" i="10"/>
  <c r="H185" i="10"/>
  <c r="K185" i="10" s="1"/>
  <c r="K184" i="10"/>
  <c r="I183" i="10"/>
  <c r="H183" i="10"/>
  <c r="K183" i="10" s="1"/>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Q128" i="10"/>
  <c r="P128" i="10"/>
  <c r="O128" i="10"/>
  <c r="N128" i="10"/>
  <c r="M128" i="10"/>
  <c r="K128" i="10"/>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Q122" i="10"/>
  <c r="P122" i="10"/>
  <c r="O122" i="10"/>
  <c r="N122" i="10"/>
  <c r="M122" i="10"/>
  <c r="K122" i="10"/>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Q112" i="10"/>
  <c r="P112" i="10"/>
  <c r="O112" i="10"/>
  <c r="N112" i="10"/>
  <c r="M112" i="10"/>
  <c r="K112" i="10"/>
  <c r="O111" i="10"/>
  <c r="N111" i="10"/>
  <c r="M111" i="10"/>
  <c r="K111" i="10"/>
  <c r="Q110" i="10"/>
  <c r="P110" i="10"/>
  <c r="O110" i="10"/>
  <c r="N110" i="10"/>
  <c r="M110" i="10"/>
  <c r="K110" i="10"/>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Q102" i="10"/>
  <c r="P102" i="10"/>
  <c r="O102" i="10"/>
  <c r="N102" i="10"/>
  <c r="M102" i="10"/>
  <c r="K102" i="10"/>
  <c r="O101" i="10"/>
  <c r="N101" i="10"/>
  <c r="M101" i="10"/>
  <c r="K101" i="10"/>
  <c r="Q100" i="10"/>
  <c r="P100" i="10"/>
  <c r="O100" i="10"/>
  <c r="N100" i="10"/>
  <c r="M100" i="10"/>
  <c r="K100" i="10"/>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Q92" i="10"/>
  <c r="P92" i="10"/>
  <c r="O92" i="10"/>
  <c r="N92" i="10"/>
  <c r="M92" i="10"/>
  <c r="K92" i="10"/>
  <c r="O91" i="10"/>
  <c r="N91" i="10"/>
  <c r="M91" i="10"/>
  <c r="K91" i="10"/>
  <c r="P90" i="10"/>
  <c r="O90" i="10"/>
  <c r="N90" i="10"/>
  <c r="M90" i="10"/>
  <c r="K90" i="10"/>
  <c r="Q90" i="10" s="1"/>
  <c r="O89" i="10"/>
  <c r="N89" i="10"/>
  <c r="M89" i="10"/>
  <c r="K89" i="10"/>
  <c r="Q88" i="10"/>
  <c r="P88" i="10"/>
  <c r="O88" i="10"/>
  <c r="N88" i="10"/>
  <c r="M88" i="10"/>
  <c r="K88" i="10"/>
  <c r="O87" i="10"/>
  <c r="N87" i="10"/>
  <c r="M87" i="10"/>
  <c r="K87" i="10"/>
  <c r="P86" i="10"/>
  <c r="O86" i="10"/>
  <c r="N86" i="10"/>
  <c r="M86" i="10"/>
  <c r="K86" i="10"/>
  <c r="Q86" i="10" s="1"/>
  <c r="O85" i="10"/>
  <c r="N85" i="10"/>
  <c r="M85" i="10"/>
  <c r="K85" i="10"/>
  <c r="Q84" i="10"/>
  <c r="P84" i="10"/>
  <c r="O84" i="10"/>
  <c r="N84" i="10"/>
  <c r="M84" i="10"/>
  <c r="K84" i="10"/>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Q74" i="10"/>
  <c r="P74" i="10"/>
  <c r="O74" i="10"/>
  <c r="N74" i="10"/>
  <c r="M74" i="10"/>
  <c r="K74" i="10"/>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P140" i="10"/>
  <c r="K62" i="10"/>
  <c r="H140" i="10"/>
  <c r="G140" i="10"/>
  <c r="Q55" i="10"/>
  <c r="K55" i="10"/>
  <c r="J53" i="10"/>
  <c r="I53" i="10"/>
  <c r="H53" i="10"/>
  <c r="H58" i="10" s="1"/>
  <c r="P52" i="10"/>
  <c r="O52" i="10"/>
  <c r="N52" i="10"/>
  <c r="Q52" i="10" s="1"/>
  <c r="M52" i="10"/>
  <c r="K52" i="10"/>
  <c r="P49" i="10"/>
  <c r="O49" i="10"/>
  <c r="N49" i="10"/>
  <c r="M49" i="10"/>
  <c r="Q49" i="10" s="1"/>
  <c r="K49" i="10"/>
  <c r="P47" i="10"/>
  <c r="O47" i="10"/>
  <c r="N47" i="10"/>
  <c r="Q47" i="10" s="1"/>
  <c r="M47" i="10"/>
  <c r="K47" i="10"/>
  <c r="P45" i="10"/>
  <c r="O45" i="10"/>
  <c r="N45" i="10"/>
  <c r="M45" i="10"/>
  <c r="Q45" i="10" s="1"/>
  <c r="K45" i="10"/>
  <c r="P43" i="10"/>
  <c r="O43" i="10"/>
  <c r="N43" i="10"/>
  <c r="Q43" i="10" s="1"/>
  <c r="M43" i="10"/>
  <c r="H43" i="10"/>
  <c r="K43" i="10" s="1"/>
  <c r="P41" i="10"/>
  <c r="O41" i="10"/>
  <c r="N41" i="10"/>
  <c r="Q41" i="10" s="1"/>
  <c r="M41" i="10"/>
  <c r="K41" i="10"/>
  <c r="P40" i="10"/>
  <c r="O40" i="10"/>
  <c r="N40" i="10"/>
  <c r="M40" i="10"/>
  <c r="K40" i="10"/>
  <c r="P39" i="10"/>
  <c r="O39" i="10"/>
  <c r="N39" i="10"/>
  <c r="M39" i="10"/>
  <c r="K39" i="10"/>
  <c r="P38" i="10"/>
  <c r="O38" i="10"/>
  <c r="N38" i="10"/>
  <c r="M38" i="10"/>
  <c r="K38" i="10"/>
  <c r="P37" i="10"/>
  <c r="O37" i="10"/>
  <c r="N37" i="10"/>
  <c r="G53" i="10"/>
  <c r="P36" i="10"/>
  <c r="O36" i="10"/>
  <c r="N36" i="10"/>
  <c r="Q36" i="10" s="1"/>
  <c r="M36" i="10"/>
  <c r="K36" i="10"/>
  <c r="P34" i="10"/>
  <c r="O34" i="10"/>
  <c r="N34" i="10"/>
  <c r="M34" i="10"/>
  <c r="Q34" i="10" s="1"/>
  <c r="K34" i="10"/>
  <c r="P33" i="10"/>
  <c r="P53" i="10" s="1"/>
  <c r="O33" i="10"/>
  <c r="O53" i="10" s="1"/>
  <c r="N33" i="10"/>
  <c r="N53" i="10" s="1"/>
  <c r="M33" i="10"/>
  <c r="Q33" i="10" s="1"/>
  <c r="K33" i="10"/>
  <c r="J31" i="10"/>
  <c r="K31" i="10"/>
  <c r="P30" i="10"/>
  <c r="O30" i="10"/>
  <c r="N30" i="10"/>
  <c r="M30" i="10"/>
  <c r="Q30" i="10" s="1"/>
  <c r="K30" i="10"/>
  <c r="P29" i="10"/>
  <c r="O29" i="10"/>
  <c r="O31" i="10" s="1"/>
  <c r="N29" i="10"/>
  <c r="Q29" i="10" s="1"/>
  <c r="M29" i="10"/>
  <c r="K29" i="10"/>
  <c r="Q28" i="10"/>
  <c r="K28" i="10"/>
  <c r="P27" i="10"/>
  <c r="P31" i="10" s="1"/>
  <c r="O27" i="10"/>
  <c r="N27" i="10"/>
  <c r="M27" i="10"/>
  <c r="Q27" i="10" s="1"/>
  <c r="K27" i="10"/>
  <c r="Q26" i="10"/>
  <c r="K26" i="10"/>
  <c r="P24" i="10"/>
  <c r="J24" i="10"/>
  <c r="K24" i="10"/>
  <c r="Y23" i="10"/>
  <c r="K23" i="10"/>
  <c r="T23" i="10" s="1"/>
  <c r="J21" i="10"/>
  <c r="J58" i="10" s="1"/>
  <c r="J144" i="10" s="1"/>
  <c r="G58" i="10"/>
  <c r="Y20" i="10"/>
  <c r="Q20" i="10"/>
  <c r="K20" i="10"/>
  <c r="P19" i="10"/>
  <c r="O19" i="10"/>
  <c r="N19" i="10"/>
  <c r="M19" i="10"/>
  <c r="K19" i="10"/>
  <c r="Q18" i="10"/>
  <c r="K18" i="10"/>
  <c r="Q17" i="10"/>
  <c r="K17" i="10"/>
  <c r="P16" i="10"/>
  <c r="O16" i="10"/>
  <c r="N16" i="10"/>
  <c r="M16" i="10"/>
  <c r="Q16" i="10" s="1"/>
  <c r="K16" i="10"/>
  <c r="Q15" i="10"/>
  <c r="K15" i="10"/>
  <c r="O13" i="10"/>
  <c r="N13" i="10"/>
  <c r="M13" i="10"/>
  <c r="Q13" i="10" s="1"/>
  <c r="K13" i="10"/>
  <c r="P12" i="10"/>
  <c r="P21" i="10" s="1"/>
  <c r="O12" i="10"/>
  <c r="N12" i="10"/>
  <c r="M12" i="10"/>
  <c r="M21" i="10" s="1"/>
  <c r="K12" i="10"/>
  <c r="T12" i="10" s="1"/>
  <c r="Q10" i="10"/>
  <c r="K10" i="10"/>
  <c r="Q9" i="10"/>
  <c r="K9" i="10"/>
  <c r="G176" i="9"/>
  <c r="K170" i="9"/>
  <c r="G30" i="9"/>
  <c r="H30" i="9"/>
  <c r="I30" i="9"/>
  <c r="P29" i="9"/>
  <c r="O29" i="9"/>
  <c r="N29" i="9"/>
  <c r="M29" i="9"/>
  <c r="I136" i="9"/>
  <c r="G136" i="9"/>
  <c r="H136" i="9"/>
  <c r="G62" i="9"/>
  <c r="H62" i="9"/>
  <c r="I62" i="9"/>
  <c r="K29" i="9"/>
  <c r="G29" i="9"/>
  <c r="H29" i="9"/>
  <c r="I29" i="9"/>
  <c r="G23" i="9"/>
  <c r="H23" i="9"/>
  <c r="I23" i="9"/>
  <c r="I15" i="7"/>
  <c r="I16" i="7"/>
  <c r="I17" i="7"/>
  <c r="I69" i="11" l="1"/>
  <c r="H69" i="11"/>
  <c r="N21" i="10"/>
  <c r="Q39" i="10"/>
  <c r="O21" i="10"/>
  <c r="Q12" i="10"/>
  <c r="Q21" i="10"/>
  <c r="Q40" i="10"/>
  <c r="N31" i="10"/>
  <c r="Q19" i="10"/>
  <c r="Q38" i="10"/>
  <c r="Q31" i="11"/>
  <c r="P58" i="11"/>
  <c r="P69" i="11" s="1"/>
  <c r="N53" i="11"/>
  <c r="Q53" i="11" s="1"/>
  <c r="G93" i="11"/>
  <c r="H93" i="11"/>
  <c r="I93" i="11"/>
  <c r="M21" i="11"/>
  <c r="G58" i="11"/>
  <c r="Q63" i="11"/>
  <c r="Q65" i="11" s="1"/>
  <c r="Q33" i="11"/>
  <c r="K43" i="11"/>
  <c r="Q27" i="11"/>
  <c r="G144" i="10"/>
  <c r="K53" i="10"/>
  <c r="K161" i="10"/>
  <c r="G166" i="10" s="1"/>
  <c r="P58" i="10"/>
  <c r="P144" i="10" s="1"/>
  <c r="H144" i="10"/>
  <c r="H165" i="10" s="1"/>
  <c r="H167" i="10" s="1"/>
  <c r="Q23" i="10"/>
  <c r="O136" i="10"/>
  <c r="O72" i="10"/>
  <c r="K78" i="10"/>
  <c r="Q78" i="10" s="1"/>
  <c r="K72" i="10"/>
  <c r="Q72" i="10" s="1"/>
  <c r="K96" i="10"/>
  <c r="Q96" i="10" s="1"/>
  <c r="M31" i="10"/>
  <c r="Q31" i="10" s="1"/>
  <c r="K37" i="10"/>
  <c r="M37" i="10"/>
  <c r="Q37" i="10" s="1"/>
  <c r="G165" i="10" l="1"/>
  <c r="G167" i="10"/>
  <c r="K58" i="11"/>
  <c r="K69" i="11" s="1"/>
  <c r="G69" i="11"/>
  <c r="O23" i="10"/>
  <c r="O24" i="10" s="1"/>
  <c r="O58" i="10" s="1"/>
  <c r="M23" i="10"/>
  <c r="M24" i="10" s="1"/>
  <c r="N23" i="10"/>
  <c r="N24" i="10" s="1"/>
  <c r="N58" i="10" s="1"/>
  <c r="I58" i="10"/>
  <c r="K21" i="10"/>
  <c r="K140" i="10"/>
  <c r="M53" i="10"/>
  <c r="Q53" i="10" s="1"/>
  <c r="Q140" i="10"/>
  <c r="O140" i="10"/>
  <c r="N140" i="10"/>
  <c r="M140" i="10"/>
  <c r="O144" i="10" l="1"/>
  <c r="H13" i="1" s="1"/>
  <c r="G79" i="11"/>
  <c r="M23" i="11" s="1"/>
  <c r="M24" i="11" s="1"/>
  <c r="H79" i="11"/>
  <c r="N23" i="11" s="1"/>
  <c r="N24" i="11" s="1"/>
  <c r="N58" i="11" s="1"/>
  <c r="N69" i="11" s="1"/>
  <c r="I79" i="11"/>
  <c r="O23" i="11" s="1"/>
  <c r="O24" i="11" s="1"/>
  <c r="O58" i="11" s="1"/>
  <c r="O69" i="11" s="1"/>
  <c r="H19" i="1" s="1"/>
  <c r="I144" i="10"/>
  <c r="I165" i="10" s="1"/>
  <c r="I167" i="10" s="1"/>
  <c r="K58" i="10"/>
  <c r="K144" i="10" s="1"/>
  <c r="N144" i="10"/>
  <c r="Q24" i="10"/>
  <c r="M58" i="10"/>
  <c r="K154" i="10" l="1"/>
  <c r="K156" i="10" s="1"/>
  <c r="K159" i="10" s="1"/>
  <c r="K163" i="10" s="1"/>
  <c r="I168" i="10"/>
  <c r="Q24" i="11"/>
  <c r="M58" i="11"/>
  <c r="Q58" i="10"/>
  <c r="Q144" i="10" s="1"/>
  <c r="M144" i="10"/>
  <c r="H168" i="10"/>
  <c r="G168" i="10"/>
  <c r="Q58" i="11" l="1"/>
  <c r="Q69" i="11" s="1"/>
  <c r="M69" i="11"/>
  <c r="G137" i="7" l="1"/>
  <c r="H137" i="7"/>
  <c r="I137" i="7"/>
  <c r="G131" i="7"/>
  <c r="H131" i="7"/>
  <c r="I131" i="7"/>
  <c r="G125" i="7"/>
  <c r="H125" i="7"/>
  <c r="I125" i="7"/>
  <c r="G62" i="7"/>
  <c r="H62" i="7"/>
  <c r="I62" i="7"/>
  <c r="G83" i="7"/>
  <c r="H83" i="7"/>
  <c r="I83" i="7"/>
  <c r="I81" i="7"/>
  <c r="G81" i="7"/>
  <c r="H81" i="7"/>
  <c r="G79" i="7"/>
  <c r="H79" i="7"/>
  <c r="I79" i="7"/>
  <c r="G73" i="7"/>
  <c r="H73" i="7"/>
  <c r="I73" i="7"/>
  <c r="G97" i="7"/>
  <c r="H97" i="7"/>
  <c r="I97" i="7"/>
  <c r="G37" i="7"/>
  <c r="I29" i="7"/>
  <c r="K13" i="7"/>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K30" i="9" l="1"/>
  <c r="K28" i="9"/>
  <c r="K27" i="9"/>
  <c r="K26" i="9"/>
  <c r="K20" i="9"/>
  <c r="K17" i="9"/>
  <c r="K16" i="9"/>
  <c r="K18" i="9"/>
  <c r="K19" i="9"/>
  <c r="K15" i="9"/>
  <c r="K10" i="9"/>
  <c r="K13" i="9"/>
  <c r="K12" i="9"/>
  <c r="K31" i="9" l="1"/>
  <c r="K30" i="7"/>
  <c r="K29" i="7"/>
  <c r="K28" i="7"/>
  <c r="K27" i="7"/>
  <c r="K26" i="7"/>
  <c r="K23" i="7"/>
  <c r="K17" i="7"/>
  <c r="K16" i="7"/>
  <c r="K20" i="7"/>
  <c r="K18" i="7"/>
  <c r="K19" i="7"/>
  <c r="K15" i="7"/>
  <c r="O62" i="9" l="1"/>
  <c r="J31" i="9"/>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s="1"/>
  <c r="L154" i="9" l="1"/>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I53" i="9"/>
  <c r="G53" i="9"/>
  <c r="K171" i="9" s="1"/>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L73" i="8"/>
  <c r="Q70" i="8"/>
  <c r="P70" i="8"/>
  <c r="O70" i="8"/>
  <c r="N70" i="8"/>
  <c r="M70" i="8"/>
  <c r="K70" i="8"/>
  <c r="J70" i="8"/>
  <c r="I70" i="8"/>
  <c r="H70" i="8"/>
  <c r="G70" i="8"/>
  <c r="J69" i="8"/>
  <c r="P67" i="8"/>
  <c r="O67" i="8"/>
  <c r="N67" i="8"/>
  <c r="N69" i="8" s="1"/>
  <c r="Q55" i="8"/>
  <c r="K55" i="8"/>
  <c r="J53" i="8"/>
  <c r="I53" i="8"/>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Q131" i="7" s="1"/>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6" i="7"/>
  <c r="K67" i="7"/>
  <c r="K68" i="7"/>
  <c r="K69" i="7"/>
  <c r="K70" i="7"/>
  <c r="K71" i="7"/>
  <c r="K64" i="7"/>
  <c r="J73" i="8" l="1"/>
  <c r="Q49" i="8"/>
  <c r="Q45" i="8"/>
  <c r="M21" i="8"/>
  <c r="P31" i="8"/>
  <c r="Q40" i="8"/>
  <c r="Q29" i="8"/>
  <c r="Q34" i="8"/>
  <c r="Q38" i="8"/>
  <c r="Q41" i="8"/>
  <c r="Q39" i="8"/>
  <c r="Q52" i="8"/>
  <c r="Q47" i="8"/>
  <c r="J154" i="9"/>
  <c r="Q36" i="9"/>
  <c r="I154" i="9"/>
  <c r="I175" i="9" s="1"/>
  <c r="I177" i="9" s="1"/>
  <c r="Q47" i="9"/>
  <c r="N43" i="9"/>
  <c r="Q43" i="9" s="1"/>
  <c r="H53" i="9"/>
  <c r="N53" i="9"/>
  <c r="Q37" i="9"/>
  <c r="Q40" i="9"/>
  <c r="Q49" i="9"/>
  <c r="O53" i="9"/>
  <c r="Q45" i="9"/>
  <c r="Q52" i="9"/>
  <c r="Q38" i="9"/>
  <c r="Q41" i="9"/>
  <c r="Q16" i="9"/>
  <c r="O21" i="9"/>
  <c r="Q29" i="9"/>
  <c r="Q13" i="9"/>
  <c r="N31" i="9"/>
  <c r="N150" i="9"/>
  <c r="M150" i="9"/>
  <c r="P150" i="9"/>
  <c r="K150" i="9"/>
  <c r="Q36" i="8"/>
  <c r="N31" i="8"/>
  <c r="Q33" i="8"/>
  <c r="Q37" i="8"/>
  <c r="N43" i="8"/>
  <c r="O31" i="8"/>
  <c r="N53" i="8"/>
  <c r="P21" i="8"/>
  <c r="O53" i="8"/>
  <c r="Q43" i="8"/>
  <c r="P53" i="9"/>
  <c r="Q33" i="9"/>
  <c r="M21" i="9"/>
  <c r="M53" i="9"/>
  <c r="N21" i="9"/>
  <c r="P31" i="9"/>
  <c r="Q30" i="9"/>
  <c r="Q27" i="9"/>
  <c r="M31" i="9"/>
  <c r="Q39" i="9"/>
  <c r="Q19" i="9"/>
  <c r="O31" i="9"/>
  <c r="Q16" i="8"/>
  <c r="Q30" i="8"/>
  <c r="M31" i="8"/>
  <c r="N21" i="8"/>
  <c r="O21" i="8"/>
  <c r="Q12" i="8"/>
  <c r="Q13" i="8"/>
  <c r="Q10" i="8"/>
  <c r="G154" i="9"/>
  <c r="N23" i="9"/>
  <c r="N24" i="9" s="1"/>
  <c r="M24" i="9"/>
  <c r="O23" i="9"/>
  <c r="O24" i="9" s="1"/>
  <c r="Q150" i="9"/>
  <c r="Q12" i="9"/>
  <c r="Q34" i="9"/>
  <c r="O64" i="9"/>
  <c r="O150" i="9" s="1"/>
  <c r="P21" i="9"/>
  <c r="M53" i="8"/>
  <c r="I73" i="8"/>
  <c r="I94" i="8" s="1"/>
  <c r="K141" i="7"/>
  <c r="P53" i="8"/>
  <c r="Q19" i="8"/>
  <c r="Q27" i="8"/>
  <c r="H53" i="8"/>
  <c r="Q77" i="7"/>
  <c r="P77" i="7"/>
  <c r="P75" i="7"/>
  <c r="Q73" i="7"/>
  <c r="P73" i="7"/>
  <c r="Q70" i="7"/>
  <c r="O70" i="7" s="1"/>
  <c r="P70" i="7"/>
  <c r="Q68" i="7"/>
  <c r="O68" i="7" s="1"/>
  <c r="P68" i="7"/>
  <c r="Q66" i="7"/>
  <c r="O66" i="7" s="1"/>
  <c r="P66" i="7"/>
  <c r="L145" i="7"/>
  <c r="H73" i="8" l="1"/>
  <c r="H94" i="8" s="1"/>
  <c r="G175" i="9"/>
  <c r="G177" i="9" s="1"/>
  <c r="M154" i="9"/>
  <c r="K53" i="9"/>
  <c r="K154" i="9"/>
  <c r="O154" i="9"/>
  <c r="H15" i="1" s="1"/>
  <c r="H154" i="9"/>
  <c r="H175" i="9" s="1"/>
  <c r="H177" i="9" s="1"/>
  <c r="Q53" i="9"/>
  <c r="Q31" i="9"/>
  <c r="Q21" i="8"/>
  <c r="P73" i="8"/>
  <c r="Q31" i="8"/>
  <c r="Q21" i="9"/>
  <c r="N154" i="9"/>
  <c r="Q24" i="9"/>
  <c r="P154" i="9"/>
  <c r="Q53" i="8"/>
  <c r="K67" i="8"/>
  <c r="K69" i="8" s="1"/>
  <c r="M67" i="8"/>
  <c r="M69" i="8" s="1"/>
  <c r="K53" i="8"/>
  <c r="K73" i="8" l="1"/>
  <c r="K85" i="8" s="1"/>
  <c r="K88" i="8" s="1"/>
  <c r="K92" i="8" s="1"/>
  <c r="H97" i="8" s="1"/>
  <c r="K164" i="9"/>
  <c r="K166" i="9" s="1"/>
  <c r="K169" i="9" s="1"/>
  <c r="I178" i="9" s="1"/>
  <c r="Q154" i="9"/>
  <c r="Q67" i="8"/>
  <c r="Q69" i="8" s="1"/>
  <c r="I21" i="7"/>
  <c r="G97" i="8" l="1"/>
  <c r="I97" i="8"/>
  <c r="G178" i="9"/>
  <c r="H178" i="9"/>
  <c r="N23" i="8"/>
  <c r="N24" i="8" s="1"/>
  <c r="N73" i="8" s="1"/>
  <c r="O23" i="8"/>
  <c r="O24" i="8" s="1"/>
  <c r="O73" i="8" s="1"/>
  <c r="H17" i="1" s="1"/>
  <c r="M23" i="8"/>
  <c r="M24" i="8" s="1"/>
  <c r="Q24" i="8" l="1"/>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M73" i="8" l="1"/>
  <c r="Q73" i="8"/>
  <c r="Q40" i="7"/>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G58" i="7" s="1"/>
  <c r="M31" i="7"/>
  <c r="Q12" i="7"/>
  <c r="M21" i="7"/>
  <c r="K24" i="7"/>
  <c r="N31" i="7"/>
  <c r="Q16" i="7"/>
  <c r="O21" i="7"/>
  <c r="K43" i="7"/>
  <c r="O27" i="7"/>
  <c r="O31" i="7" s="1"/>
  <c r="N43" i="7"/>
  <c r="Q27" i="7" l="1"/>
  <c r="K31" i="7"/>
  <c r="P58" i="7"/>
  <c r="P145" i="7" s="1"/>
  <c r="I58" i="7"/>
  <c r="Q31" i="7"/>
  <c r="H58" i="7"/>
  <c r="K58" i="7" s="1"/>
  <c r="Q21" i="7"/>
  <c r="K21" i="7"/>
  <c r="Q43" i="7"/>
  <c r="N53" i="7"/>
  <c r="Q53" i="7" s="1"/>
  <c r="H145" i="7" l="1"/>
  <c r="I145" i="7"/>
  <c r="G145" i="7"/>
  <c r="G166" i="7" s="1"/>
  <c r="G168" i="7" s="1"/>
  <c r="K145" i="7"/>
  <c r="K155" i="7" s="1"/>
  <c r="K157" i="7" s="1"/>
  <c r="K160" i="7" s="1"/>
  <c r="G169" i="7" l="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H11" i="1" s="1"/>
  <c r="H25" i="1" s="1"/>
  <c r="H34" i="1" s="1"/>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M145" i="7" l="1"/>
  <c r="Q58" i="7"/>
  <c r="Q145" i="7" s="1"/>
  <c r="K21" i="6"/>
  <c r="O71" i="6"/>
  <c r="P58" i="6"/>
  <c r="P75" i="6" s="1"/>
  <c r="I58" i="6"/>
  <c r="I75" i="6" s="1"/>
  <c r="I96" i="6" s="1"/>
  <c r="I98" i="6" s="1"/>
  <c r="N31" i="6"/>
  <c r="Q31" i="6" s="1"/>
  <c r="H31" i="6"/>
  <c r="H58" i="6" s="1"/>
  <c r="H75" i="6" s="1"/>
  <c r="H96" i="6" s="1"/>
  <c r="H98" i="6" s="1"/>
  <c r="O58" i="6"/>
  <c r="O75" i="6" s="1"/>
  <c r="Q12" i="6"/>
  <c r="Q21" i="6" s="1"/>
  <c r="Q24" i="6"/>
  <c r="N53" i="6"/>
  <c r="G58" i="6"/>
  <c r="M58" i="6"/>
  <c r="Q27" i="6"/>
  <c r="K31" i="6" l="1"/>
  <c r="G75" i="6"/>
  <c r="G96" i="6" s="1"/>
  <c r="G98" i="6" s="1"/>
  <c r="K58" i="6"/>
  <c r="K75" i="6" s="1"/>
  <c r="M75" i="6"/>
  <c r="Q53" i="6"/>
  <c r="N58" i="6"/>
  <c r="N75" i="6" s="1"/>
  <c r="Q58" i="6" l="1"/>
  <c r="Q75" i="6" s="1"/>
  <c r="H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tc={B47A9263-10B2-4FE2-9D6E-51177670B18E}</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B47A9263-10B2-4FE2-9D6E-51177670B18E}">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sharedStrings.xml><?xml version="1.0" encoding="utf-8"?>
<sst xmlns="http://schemas.openxmlformats.org/spreadsheetml/2006/main" count="1089" uniqueCount="196">
  <si>
    <t>KENTUCKY POWER COMPANY</t>
  </si>
  <si>
    <t>EXPENSE DEFERRAL REQUEST</t>
  </si>
  <si>
    <t>Incremental</t>
  </si>
  <si>
    <t>Major Storms</t>
  </si>
  <si>
    <t>Storm Dates</t>
  </si>
  <si>
    <t>Source</t>
  </si>
  <si>
    <t>O&amp;M</t>
  </si>
  <si>
    <t>BASE CASE STORM EXPENSE</t>
  </si>
  <si>
    <t>MAJOR STORM DEFERRAL REQUEST</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</si>
  <si>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</si>
  <si>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</si>
  <si>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</si>
  <si>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</si>
  <si>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</si>
  <si>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</si>
  <si>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</si>
  <si>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</si>
  <si>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</si>
  <si>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</si>
  <si>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</si>
  <si>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</si>
  <si>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</si>
  <si>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</si>
  <si>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</si>
  <si>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</si>
  <si>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</si>
  <si>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</si>
  <si>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</si>
  <si>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</si>
  <si>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</si>
  <si>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</si>
  <si>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</si>
  <si>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</si>
  <si>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</si>
  <si>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</si>
  <si>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</si>
  <si>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</si>
  <si>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</si>
  <si>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</si>
  <si>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</si>
  <si>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</si>
  <si>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</si>
  <si>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</si>
  <si>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</si>
  <si>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</si>
  <si>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</si>
  <si>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</si>
  <si>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</si>
  <si>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</si>
  <si>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</si>
  <si>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</si>
  <si>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</si>
  <si>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</si>
  <si>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</si>
  <si>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</si>
  <si>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</si>
  <si>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</si>
  <si>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</si>
  <si>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</si>
  <si>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</si>
  <si>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</si>
  <si>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</si>
  <si>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</si>
  <si>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</si>
  <si>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</si>
  <si>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</si>
  <si>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</si>
  <si>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</si>
  <si>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</si>
  <si>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</si>
  <si>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</si>
  <si>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</si>
  <si>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</si>
  <si>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</si>
  <si>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</si>
  <si>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</si>
  <si>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</si>
  <si>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</si>
  <si>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</si>
  <si>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</si>
  <si>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</si>
  <si>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</si>
  <si>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</si>
  <si>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</si>
  <si>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</si>
  <si>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</si>
  <si>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</si>
  <si>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</si>
  <si>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</si>
  <si>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</si>
  <si>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</si>
  <si>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</si>
  <si>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</si>
  <si>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</si>
  <si>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</si>
  <si>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</si>
  <si>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</si>
  <si>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</si>
  <si>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</si>
  <si>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</si>
  <si>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</si>
  <si>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</si>
  <si>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</si>
  <si>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</si>
  <si>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</si>
  <si>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</si>
  <si>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</si>
  <si>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</si>
  <si>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</si>
  <si>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</si>
  <si>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</si>
  <si>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</si>
  <si>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</si>
  <si>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</si>
  <si>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</si>
  <si>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</si>
  <si>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</si>
  <si>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</si>
  <si>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</si>
  <si>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</si>
  <si>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</si>
  <si>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</si>
  <si>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</si>
  <si>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</si>
  <si>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</si>
  <si>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</si>
  <si>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</si>
  <si>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</si>
  <si>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</si>
  <si>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</si>
  <si>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</si>
  <si>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</si>
  <si>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</si>
  <si>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</si>
  <si>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</si>
  <si>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</si>
  <si>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</si>
  <si>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</si>
  <si>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</si>
  <si>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</si>
  <si>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</si>
  <si>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</si>
  <si>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</si>
  <si>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</si>
  <si>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</si>
  <si>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</si>
  <si>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</si>
  <si>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</si>
  <si>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</si>
  <si>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</si>
  <si>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</si>
  <si>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</si>
  <si>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</si>
  <si>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</si>
  <si>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</si>
  <si>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</si>
  <si>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</si>
  <si>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</si>
  <si>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</si>
  <si>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2022 Storms</t>
  </si>
  <si>
    <t>Ice Storm: 07/282021</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</si>
  <si>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</si>
  <si>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</si>
  <si>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</si>
  <si>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</si>
  <si>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</si>
  <si>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</si>
  <si>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</si>
  <si>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</si>
  <si>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</si>
  <si>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</si>
  <si>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</si>
  <si>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03/03/2023 Windstorm TOTAL COST</t>
  </si>
  <si>
    <t>03/03/2023 Windstorm  INCREMENTAL COST</t>
  </si>
  <si>
    <t>Windstorm: 03/03/2023</t>
  </si>
  <si>
    <t>DMS23KK02</t>
  </si>
  <si>
    <t>Tren Services</t>
  </si>
  <si>
    <t>Lee Electrical</t>
  </si>
  <si>
    <t>Imperium</t>
  </si>
  <si>
    <t>LineTec</t>
  </si>
  <si>
    <t>03/25/2023 Windstorm TOTAL COST</t>
  </si>
  <si>
    <t>03/25/2023 Windstorm  INCREMENTAL COST</t>
  </si>
  <si>
    <t>DMS23KK03</t>
  </si>
  <si>
    <t>Windstorm: 03/25/2023</t>
  </si>
  <si>
    <t>2023 Mar Windstorm Distr</t>
  </si>
  <si>
    <t xml:space="preserve">2023 Apr Windstorm Distr </t>
  </si>
  <si>
    <t>2023 Mar Windstorm Trans</t>
  </si>
  <si>
    <t>2023 Apr Windstorm Trans</t>
  </si>
  <si>
    <t>KEPSC2301</t>
  </si>
  <si>
    <t xml:space="preserve">Forestry </t>
  </si>
  <si>
    <t>DMS23KK04</t>
  </si>
  <si>
    <t>Windstorm: 04/01/2023</t>
  </si>
  <si>
    <t>04/01/2023 Windstorm TOTAL COST</t>
  </si>
  <si>
    <t>04/01/2023 Windstorm  INCREMENTAL COST</t>
  </si>
  <si>
    <t>KEPCS2302</t>
  </si>
  <si>
    <t xml:space="preserve">Asplundh Tree Expert LLc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</si>
</sst>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s>
  <fonts count="22"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b/>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CCFFFF"/>
        <bgColor indexed="64"/>
      </patternFill>
    </fill>
  </fills>
  <borders count="28">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23" xfId="0"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42" fontId="3" fillId="4" borderId="7" xfId="2" applyNumberFormat="1" applyFont="1" applyFill="1" applyBorder="1" applyProtection="1"/>
    <xf numFmtId="42" fontId="12" fillId="0" borderId="0" xfId="2" applyNumberFormat="1" applyFont="1" applyFill="1" applyProtection="1"/>
    <xf numFmtId="0" fontId="3" fillId="0" borderId="0" xfId="2" applyFont="1" applyFill="1" applyBorder="1" applyAlignment="1">
      <alignment horizontal="right"/>
    </xf>
    <xf numFmtId="0" fontId="3" fillId="0" borderId="0" xfId="2" applyFont="1" applyFill="1" applyBorder="1"/>
    <xf numFmtId="0" fontId="21" fillId="0" borderId="0" xfId="0" applyFont="1" applyFill="1" applyBorder="1" applyAlignment="1">
      <alignment horizontal="right"/>
    </xf>
    <xf numFmtId="0" fontId="21" fillId="0" borderId="0" xfId="0" applyFont="1" applyFill="1" applyBorder="1"/>
    <xf numFmtId="164" fontId="21" fillId="0" borderId="1" xfId="3" applyNumberFormat="1" applyFont="1" applyFill="1" applyBorder="1"/>
    <xf numFmtId="42" fontId="3" fillId="0" borderId="2" xfId="2" applyNumberFormat="1" applyFont="1" applyFill="1" applyBorder="1"/>
    <xf numFmtId="42" fontId="3" fillId="0" borderId="0" xfId="2" applyNumberFormat="1" applyFont="1" applyFill="1" applyBorder="1"/>
    <xf numFmtId="42" fontId="3" fillId="0" borderId="1" xfId="2" applyNumberFormat="1" applyFont="1" applyFill="1" applyBorder="1"/>
    <xf numFmtId="0" fontId="3" fillId="0" borderId="0" xfId="2" applyFont="1" applyAlignment="1">
      <alignment horizontal="center"/>
    </xf>
    <xf numFmtId="0" fontId="2" fillId="0" borderId="20" xfId="2" applyBorder="1" applyAlignment="1">
      <alignment horizontal="center"/>
    </xf>
    <xf numFmtId="0" fontId="2" fillId="0" borderId="21" xfId="2" applyBorder="1" applyAlignment="1">
      <alignment horizontal="center"/>
    </xf>
    <xf numFmtId="0" fontId="2" fillId="0" borderId="22" xfId="2" applyBorder="1" applyAlignment="1">
      <alignment horizontal="center"/>
    </xf>
    <xf numFmtId="0" fontId="3" fillId="0" borderId="3" xfId="2" applyFont="1" applyFill="1" applyBorder="1" applyAlignment="1" applyProtection="1">
      <alignment horizontal="center"/>
    </xf>
  </cellXfs>
  <cellStyles count="5">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2" dT="2022-08-23T22:26:57.16" personId="{9BE57E42-A58E-48BD-B6A7-48F61D637E9D}" id="{B47A9263-10B2-4FE2-9D6E-51177670B18E}">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tabSelected="1" workbookViewId="0">
      <selection activeCell="K22" sqref="K22"/>
    </sheetView>
  </sheetViews>
  <sheetFormatPr defaultColWidth="9.140625" defaultRowHeight="12.75" x14ac:dyDescent="0.2"/>
  <cols>
    <col min="1" max="1" width="9.140625" style="1"/>
    <col min="2" max="2" width="31.5703125" style="1" bestFit="1" customWidth="1"/>
    <col min="3" max="3" width="7.140625" style="1" customWidth="1"/>
    <col min="4" max="4" width="31.5703125" style="1" customWidth="1"/>
    <col min="5" max="5" width="7.140625" style="1" customWidth="1"/>
    <col min="6" max="6" width="26.28515625" style="1" customWidth="1"/>
    <col min="7" max="7" width="9.140625" style="1"/>
    <col min="8" max="8" width="16.140625" style="1" customWidth="1"/>
    <col min="9" max="9" width="9.140625" style="1"/>
    <col min="10" max="10" width="14.28515625" style="1" bestFit="1" customWidth="1"/>
    <col min="11" max="11" width="14" style="1" customWidth="1"/>
    <col min="12" max="12" width="10.7109375" style="1" bestFit="1" customWidth="1"/>
    <col min="13" max="16384" width="9.140625" style="1"/>
  </cols>
  <sheetData>
    <row r="1" spans="2:9" x14ac:dyDescent="0.2">
      <c r="B1" s="194" t="s">
        <v>0</v>
      </c>
      <c r="C1" s="194"/>
      <c r="D1" s="194"/>
      <c r="E1" s="194"/>
      <c r="F1" s="194"/>
      <c r="G1" s="194"/>
      <c r="H1" s="194"/>
    </row>
    <row r="2" spans="2:9" x14ac:dyDescent="0.2">
      <c r="B2" s="194" t="s">
        <v>159</v>
      </c>
      <c r="C2" s="194"/>
      <c r="D2" s="194"/>
      <c r="E2" s="194"/>
      <c r="F2" s="194"/>
      <c r="G2" s="194"/>
      <c r="H2" s="194"/>
    </row>
    <row r="3" spans="2:9" hidden="1" x14ac:dyDescent="0.2">
      <c r="B3" s="194" t="s">
        <v>1</v>
      </c>
      <c r="C3" s="194"/>
      <c r="D3" s="194"/>
      <c r="E3" s="194"/>
      <c r="F3" s="194"/>
      <c r="G3" s="194"/>
      <c r="H3" s="194"/>
    </row>
    <row r="4" spans="2:9" x14ac:dyDescent="0.2">
      <c r="B4" s="194"/>
      <c r="C4" s="194"/>
      <c r="D4" s="194"/>
      <c r="E4" s="194"/>
      <c r="F4" s="194"/>
      <c r="G4" s="194"/>
      <c r="H4" s="194"/>
    </row>
    <row r="5" spans="2:9" ht="13.5" thickBot="1" x14ac:dyDescent="0.25">
      <c r="B5" s="2"/>
      <c r="C5" s="2"/>
      <c r="D5" s="2"/>
      <c r="E5" s="2"/>
      <c r="F5" s="2"/>
      <c r="G5" s="2"/>
      <c r="H5" s="2"/>
    </row>
    <row r="6" spans="2:9" ht="15" customHeight="1" x14ac:dyDescent="0.2">
      <c r="B6" s="195"/>
      <c r="C6" s="196"/>
      <c r="D6" s="196"/>
      <c r="E6" s="196"/>
      <c r="F6" s="196"/>
      <c r="G6" s="196"/>
      <c r="H6" s="196"/>
      <c r="I6" s="197"/>
    </row>
    <row r="7" spans="2:9" x14ac:dyDescent="0.2">
      <c r="B7" s="110"/>
      <c r="C7" s="111"/>
      <c r="D7" s="111"/>
      <c r="E7" s="111"/>
      <c r="F7" s="111"/>
      <c r="G7" s="111"/>
      <c r="H7" s="112" t="s">
        <v>2</v>
      </c>
      <c r="I7" s="113"/>
    </row>
    <row r="8" spans="2:9" x14ac:dyDescent="0.2">
      <c r="B8" s="114" t="s">
        <v>3</v>
      </c>
      <c r="C8" s="102"/>
      <c r="D8" s="102" t="s">
        <v>4</v>
      </c>
      <c r="E8" s="102"/>
      <c r="F8" s="102" t="s">
        <v>5</v>
      </c>
      <c r="G8" s="111"/>
      <c r="H8" s="102" t="s">
        <v>6</v>
      </c>
      <c r="I8" s="113"/>
    </row>
    <row r="9" spans="2:9" x14ac:dyDescent="0.2">
      <c r="B9" s="110"/>
      <c r="C9" s="111"/>
      <c r="D9" s="111"/>
      <c r="E9" s="111"/>
      <c r="F9" s="111"/>
      <c r="G9" s="111"/>
      <c r="H9" s="111"/>
      <c r="I9" s="113"/>
    </row>
    <row r="10" spans="2:9" x14ac:dyDescent="0.2">
      <c r="B10" s="110"/>
      <c r="C10" s="111"/>
      <c r="D10" s="111"/>
      <c r="E10" s="111"/>
      <c r="F10" s="111"/>
      <c r="G10" s="111"/>
      <c r="H10" s="111"/>
      <c r="I10" s="113"/>
    </row>
    <row r="11" spans="2:9" x14ac:dyDescent="0.2">
      <c r="B11" s="115" t="s">
        <v>184</v>
      </c>
      <c r="C11" s="116"/>
      <c r="D11" s="117">
        <v>44988</v>
      </c>
      <c r="E11" s="116"/>
      <c r="F11" s="116"/>
      <c r="G11" s="111"/>
      <c r="H11" s="118">
        <f>'Exh 3A Mar 3 Windstorm_Distr'!O145</f>
        <v>3278219.7293880451</v>
      </c>
      <c r="I11" s="113"/>
    </row>
    <row r="12" spans="2:9" x14ac:dyDescent="0.2">
      <c r="B12" s="115"/>
      <c r="C12" s="116"/>
      <c r="D12" s="117"/>
      <c r="E12" s="116"/>
      <c r="F12" s="116"/>
      <c r="G12" s="111"/>
      <c r="H12" s="118"/>
      <c r="I12" s="113"/>
    </row>
    <row r="13" spans="2:9" x14ac:dyDescent="0.2">
      <c r="B13" s="115" t="s">
        <v>186</v>
      </c>
      <c r="C13" s="116"/>
      <c r="D13" s="117">
        <v>44988</v>
      </c>
      <c r="E13" s="116"/>
      <c r="F13" s="116"/>
      <c r="G13" s="111"/>
      <c r="H13" s="118">
        <f>'Exh 3B Mar 3 Windstorm_Trans'!O144</f>
        <v>17234.818798475797</v>
      </c>
      <c r="I13" s="113"/>
    </row>
    <row r="14" spans="2:9" x14ac:dyDescent="0.2">
      <c r="B14" s="115"/>
      <c r="C14" s="116"/>
      <c r="D14" s="117"/>
      <c r="E14" s="116"/>
      <c r="F14" s="116"/>
      <c r="G14" s="111"/>
      <c r="H14" s="118"/>
      <c r="I14" s="113"/>
    </row>
    <row r="15" spans="2:9" x14ac:dyDescent="0.2">
      <c r="B15" s="115" t="s">
        <v>184</v>
      </c>
      <c r="C15" s="116"/>
      <c r="D15" s="117">
        <v>45010</v>
      </c>
      <c r="E15" s="116"/>
      <c r="F15" s="116"/>
      <c r="G15" s="111"/>
      <c r="H15" s="118">
        <f>'Exh 3C Mar 25 Windstorm_Distr'!O154</f>
        <v>1028325.7668435914</v>
      </c>
      <c r="I15" s="113"/>
    </row>
    <row r="16" spans="2:9" x14ac:dyDescent="0.2">
      <c r="B16" s="110"/>
      <c r="C16" s="111"/>
      <c r="D16" s="111"/>
      <c r="E16" s="111"/>
      <c r="F16" s="111"/>
      <c r="G16" s="111"/>
      <c r="H16" s="111"/>
      <c r="I16" s="113"/>
    </row>
    <row r="17" spans="2:9" x14ac:dyDescent="0.2">
      <c r="B17" s="115" t="s">
        <v>185</v>
      </c>
      <c r="C17" s="111"/>
      <c r="D17" s="119">
        <v>45017</v>
      </c>
      <c r="E17" s="111"/>
      <c r="F17" s="111"/>
      <c r="G17" s="111"/>
      <c r="H17" s="118">
        <f>'Exh 3D Apr 1 Windstorm_Distr'!O73</f>
        <v>5628835.0360845802</v>
      </c>
      <c r="I17" s="113"/>
    </row>
    <row r="18" spans="2:9" x14ac:dyDescent="0.2">
      <c r="B18" s="110"/>
      <c r="C18" s="111"/>
      <c r="D18" s="111"/>
      <c r="E18" s="111"/>
      <c r="F18" s="111"/>
      <c r="G18" s="111"/>
      <c r="H18" s="111"/>
      <c r="I18" s="113"/>
    </row>
    <row r="19" spans="2:9" x14ac:dyDescent="0.2">
      <c r="B19" s="115" t="s">
        <v>187</v>
      </c>
      <c r="C19" s="111"/>
      <c r="D19" s="119">
        <v>45017</v>
      </c>
      <c r="E19" s="111"/>
      <c r="F19" s="111"/>
      <c r="G19" s="111"/>
      <c r="H19" s="127">
        <f>'Exh 3E Apr 1 Windstorm_Trans'!O69</f>
        <v>14362.348998729833</v>
      </c>
      <c r="I19" s="113"/>
    </row>
    <row r="20" spans="2:9" x14ac:dyDescent="0.2">
      <c r="B20" s="110"/>
      <c r="C20" s="111"/>
      <c r="D20" s="111"/>
      <c r="E20" s="111"/>
      <c r="F20" s="111"/>
      <c r="G20" s="111"/>
      <c r="H20" s="111"/>
      <c r="I20" s="113"/>
    </row>
    <row r="21" spans="2:9" x14ac:dyDescent="0.2">
      <c r="B21" s="110"/>
      <c r="C21" s="111"/>
      <c r="D21" s="111"/>
      <c r="E21" s="111"/>
      <c r="F21" s="111"/>
      <c r="G21" s="111"/>
      <c r="H21" s="111"/>
      <c r="I21" s="113"/>
    </row>
    <row r="22" spans="2:9" x14ac:dyDescent="0.2">
      <c r="B22" s="110"/>
      <c r="C22" s="111"/>
      <c r="D22" s="111"/>
      <c r="E22" s="111"/>
      <c r="F22" s="111"/>
      <c r="G22" s="111"/>
      <c r="H22" s="111"/>
      <c r="I22" s="113"/>
    </row>
    <row r="23" spans="2:9" x14ac:dyDescent="0.2">
      <c r="B23" s="110"/>
      <c r="C23" s="111"/>
      <c r="D23" s="111"/>
      <c r="E23" s="111"/>
      <c r="F23" s="111"/>
      <c r="G23" s="111"/>
      <c r="H23" s="111"/>
      <c r="I23" s="113"/>
    </row>
    <row r="24" spans="2:9" x14ac:dyDescent="0.2">
      <c r="B24" s="110"/>
      <c r="C24" s="111"/>
      <c r="D24" s="111"/>
      <c r="E24" s="111"/>
      <c r="F24" s="111"/>
      <c r="G24" s="111"/>
      <c r="H24" s="111"/>
      <c r="I24" s="113"/>
    </row>
    <row r="25" spans="2:9" x14ac:dyDescent="0.2">
      <c r="B25" s="115"/>
      <c r="C25" s="116"/>
      <c r="D25" s="116"/>
      <c r="E25" s="111"/>
      <c r="F25" s="186" t="s">
        <v>89</v>
      </c>
      <c r="G25" s="187"/>
      <c r="H25" s="192">
        <f>SUM(H11:H19)</f>
        <v>9966977.7001134232</v>
      </c>
      <c r="I25" s="113"/>
    </row>
    <row r="26" spans="2:9" ht="15" x14ac:dyDescent="0.25">
      <c r="B26" s="120"/>
      <c r="C26" s="121"/>
      <c r="D26" s="121"/>
      <c r="E26" s="121"/>
      <c r="F26" s="188"/>
      <c r="G26" s="189"/>
      <c r="H26" s="189"/>
      <c r="I26" s="113"/>
    </row>
    <row r="27" spans="2:9" ht="15" hidden="1" x14ac:dyDescent="0.25">
      <c r="B27" s="110" t="s">
        <v>7</v>
      </c>
      <c r="C27" s="111"/>
      <c r="D27" s="111"/>
      <c r="E27" s="111"/>
      <c r="F27" s="186"/>
      <c r="G27" s="187"/>
      <c r="H27" s="190">
        <v>2116867</v>
      </c>
      <c r="I27" s="113"/>
    </row>
    <row r="28" spans="2:9" hidden="1" x14ac:dyDescent="0.2">
      <c r="B28" s="110"/>
      <c r="C28" s="111"/>
      <c r="D28" s="111"/>
      <c r="E28" s="111"/>
      <c r="F28" s="186"/>
      <c r="G28" s="187"/>
      <c r="H28" s="187"/>
      <c r="I28" s="113"/>
    </row>
    <row r="29" spans="2:9" ht="13.5" hidden="1" thickBot="1" x14ac:dyDescent="0.25">
      <c r="B29" s="110" t="s">
        <v>8</v>
      </c>
      <c r="C29" s="111"/>
      <c r="D29" s="111"/>
      <c r="E29" s="111"/>
      <c r="F29" s="186"/>
      <c r="G29" s="187"/>
      <c r="H29" s="191">
        <f>+H25-H27</f>
        <v>7850110.7001134232</v>
      </c>
      <c r="I29" s="113"/>
    </row>
    <row r="30" spans="2:9" ht="15" x14ac:dyDescent="0.25">
      <c r="B30" s="110"/>
      <c r="C30" s="111"/>
      <c r="D30" s="111"/>
      <c r="E30" s="111"/>
      <c r="F30" s="188"/>
      <c r="G30" s="189"/>
      <c r="H30" s="189"/>
      <c r="I30" s="113"/>
    </row>
    <row r="31" spans="2:9" x14ac:dyDescent="0.2">
      <c r="B31" s="110"/>
      <c r="C31" s="111"/>
      <c r="D31" s="111"/>
      <c r="E31" s="111"/>
      <c r="F31" s="186"/>
      <c r="G31" s="187"/>
      <c r="H31" s="192"/>
      <c r="I31" s="113"/>
    </row>
    <row r="32" spans="2:9" x14ac:dyDescent="0.2">
      <c r="B32" s="110"/>
      <c r="C32" s="111"/>
      <c r="D32" s="111"/>
      <c r="E32" s="111"/>
      <c r="F32" s="186" t="s">
        <v>9</v>
      </c>
      <c r="G32" s="187"/>
      <c r="H32" s="193">
        <v>1012476</v>
      </c>
      <c r="I32" s="113"/>
    </row>
    <row r="33" spans="2:10" x14ac:dyDescent="0.2">
      <c r="B33" s="110"/>
      <c r="C33" s="111"/>
      <c r="D33" s="111"/>
      <c r="E33" s="111"/>
      <c r="F33" s="186"/>
      <c r="G33" s="187"/>
      <c r="H33" s="187"/>
      <c r="I33" s="113"/>
    </row>
    <row r="34" spans="2:10" x14ac:dyDescent="0.2">
      <c r="B34" s="110"/>
      <c r="C34" s="111"/>
      <c r="D34" s="111"/>
      <c r="E34" s="111"/>
      <c r="F34" s="186" t="s">
        <v>10</v>
      </c>
      <c r="G34" s="187"/>
      <c r="H34" s="192">
        <f>H25-H32</f>
        <v>8954501.7001134232</v>
      </c>
      <c r="I34" s="113"/>
      <c r="J34" s="130"/>
    </row>
    <row r="35" spans="2:10" x14ac:dyDescent="0.2">
      <c r="B35" s="122"/>
      <c r="C35" s="123"/>
      <c r="D35" s="123"/>
      <c r="E35" s="123"/>
      <c r="F35" s="123"/>
      <c r="G35" s="123"/>
      <c r="H35" s="111"/>
      <c r="I35" s="113"/>
    </row>
    <row r="36" spans="2:10" ht="13.5" thickBot="1" x14ac:dyDescent="0.25">
      <c r="B36" s="124"/>
      <c r="C36" s="125"/>
      <c r="D36" s="125"/>
      <c r="E36" s="125"/>
      <c r="F36" s="125"/>
      <c r="G36" s="125"/>
      <c r="H36" s="125"/>
      <c r="I36" s="126"/>
    </row>
    <row r="39" spans="2:10" x14ac:dyDescent="0.2">
      <c r="H39" s="129"/>
    </row>
    <row r="40" spans="2:10" x14ac:dyDescent="0.2">
      <c r="H40" s="118"/>
      <c r="I40" s="130"/>
    </row>
    <row r="41" spans="2:10" x14ac:dyDescent="0.2">
      <c r="H41" s="118"/>
      <c r="I41" s="130"/>
    </row>
    <row r="43" spans="2:10" x14ac:dyDescent="0.2">
      <c r="F43" s="129"/>
    </row>
    <row r="45" spans="2:10" x14ac:dyDescent="0.2">
      <c r="H45" s="129"/>
    </row>
    <row r="46" spans="2:10" x14ac:dyDescent="0.2">
      <c r="H46" s="129"/>
    </row>
  </sheetData>
  <mergeCells count="5">
    <mergeCell ref="B1:H1"/>
    <mergeCell ref="B2:H2"/>
    <mergeCell ref="B3:H3"/>
    <mergeCell ref="B4:H4"/>
    <mergeCell ref="B6:I6"/>
  </mergeCells>
  <pageMargins left="1" right="1" top="1" bottom="1" header="0.5" footer="0.5"/>
  <pageSetup scale="56"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11</v>
      </c>
      <c r="C2" s="4"/>
      <c r="D2" s="4"/>
      <c r="E2" s="4"/>
      <c r="F2" s="4"/>
      <c r="G2" s="198" t="s">
        <v>105</v>
      </c>
      <c r="H2" s="198"/>
      <c r="I2" s="198"/>
      <c r="J2" s="198"/>
      <c r="K2" s="198"/>
      <c r="L2" s="7"/>
      <c r="M2" s="198" t="s">
        <v>106</v>
      </c>
      <c r="N2" s="198"/>
      <c r="O2" s="198"/>
      <c r="P2" s="198"/>
      <c r="Q2" s="198"/>
      <c r="R2" s="8"/>
      <c r="S2" s="8"/>
      <c r="T2" s="8"/>
      <c r="U2" s="8"/>
      <c r="V2" s="8"/>
      <c r="W2" s="8"/>
    </row>
    <row r="3" spans="2:25" ht="19.5" x14ac:dyDescent="0.25">
      <c r="B3" s="6" t="s">
        <v>12</v>
      </c>
      <c r="C3" s="4"/>
      <c r="D3" s="4"/>
      <c r="L3" s="7"/>
    </row>
    <row r="4" spans="2:25" x14ac:dyDescent="0.2">
      <c r="B4" s="4" t="s">
        <v>107</v>
      </c>
      <c r="C4" s="4"/>
      <c r="D4" s="4"/>
      <c r="G4" s="9" t="s">
        <v>13</v>
      </c>
      <c r="H4" s="9" t="s">
        <v>14</v>
      </c>
      <c r="I4" s="9" t="s">
        <v>15</v>
      </c>
      <c r="J4" s="9" t="s">
        <v>16</v>
      </c>
      <c r="K4" s="9" t="s">
        <v>17</v>
      </c>
      <c r="L4" s="7"/>
      <c r="M4" s="9" t="s">
        <v>13</v>
      </c>
      <c r="N4" s="9" t="s">
        <v>14</v>
      </c>
      <c r="O4" s="9" t="s">
        <v>15</v>
      </c>
      <c r="P4" s="9" t="s">
        <v>16</v>
      </c>
      <c r="Q4" s="9" t="s">
        <v>17</v>
      </c>
      <c r="R4" s="9"/>
      <c r="S4" s="9"/>
      <c r="T4" s="9"/>
      <c r="U4" s="9"/>
      <c r="V4" s="9"/>
      <c r="W4" s="9"/>
    </row>
    <row r="5" spans="2:25" ht="15" x14ac:dyDescent="0.2">
      <c r="B5" s="10"/>
      <c r="C5" s="4"/>
      <c r="D5" s="10" t="s">
        <v>18</v>
      </c>
      <c r="G5" s="9" t="s">
        <v>19</v>
      </c>
      <c r="H5" s="9" t="s">
        <v>20</v>
      </c>
      <c r="I5" s="9" t="s">
        <v>21</v>
      </c>
      <c r="J5" s="9" t="s">
        <v>22</v>
      </c>
      <c r="K5" s="9" t="s">
        <v>23</v>
      </c>
      <c r="L5" s="7"/>
      <c r="M5" s="9" t="s">
        <v>19</v>
      </c>
      <c r="N5" s="9" t="s">
        <v>20</v>
      </c>
      <c r="O5" s="9" t="s">
        <v>21</v>
      </c>
      <c r="P5" s="9" t="s">
        <v>22</v>
      </c>
      <c r="Q5" s="9" t="s">
        <v>23</v>
      </c>
      <c r="R5" s="9"/>
      <c r="S5" s="9"/>
      <c r="T5" s="9"/>
      <c r="U5" s="9"/>
      <c r="V5" s="9"/>
      <c r="W5" s="9"/>
    </row>
    <row r="6" spans="2:25" x14ac:dyDescent="0.2">
      <c r="D6" s="11"/>
      <c r="E6" s="12"/>
      <c r="G6" s="9"/>
      <c r="H6" s="9" t="s">
        <v>24</v>
      </c>
      <c r="I6" s="9"/>
      <c r="J6" s="9"/>
      <c r="K6" s="9"/>
      <c r="L6" s="7"/>
      <c r="M6" s="9"/>
      <c r="N6" s="9" t="s">
        <v>24</v>
      </c>
      <c r="O6" s="9"/>
      <c r="P6" s="9"/>
      <c r="Q6" s="9"/>
      <c r="R6" s="9"/>
      <c r="S6" s="9"/>
      <c r="T6" s="9"/>
      <c r="U6" s="9"/>
      <c r="V6" s="9"/>
      <c r="W6" s="9"/>
    </row>
    <row r="7" spans="2:25" ht="13.5" thickBot="1" x14ac:dyDescent="0.25">
      <c r="B7" s="4"/>
      <c r="E7" s="12"/>
      <c r="G7" s="13" t="s">
        <v>25</v>
      </c>
      <c r="H7" s="13" t="s">
        <v>26</v>
      </c>
      <c r="I7" s="13" t="s">
        <v>27</v>
      </c>
      <c r="J7" s="13"/>
      <c r="K7" s="13" t="s">
        <v>28</v>
      </c>
      <c r="L7" s="7"/>
      <c r="M7" s="13" t="s">
        <v>25</v>
      </c>
      <c r="N7" s="13" t="s">
        <v>26</v>
      </c>
      <c r="O7" s="13" t="s">
        <v>27</v>
      </c>
      <c r="P7" s="13"/>
      <c r="Q7" s="13" t="s">
        <v>28</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29</v>
      </c>
      <c r="D9" s="3" t="s">
        <v>30</v>
      </c>
      <c r="E9" s="18" t="s">
        <v>31</v>
      </c>
      <c r="G9" s="106">
        <f>K9*$G$85</f>
        <v>125191.17000000001</v>
      </c>
      <c r="H9" s="106">
        <f>K9*$H$85</f>
        <v>27820.26</v>
      </c>
      <c r="I9" s="106">
        <f>K9*$I$85</f>
        <v>310659.57</v>
      </c>
      <c r="J9" s="20">
        <v>0</v>
      </c>
      <c r="K9" s="19">
        <v>463671</v>
      </c>
      <c r="L9" s="7"/>
      <c r="M9" s="19">
        <v>0</v>
      </c>
      <c r="N9" s="19">
        <v>0</v>
      </c>
      <c r="O9" s="19">
        <v>0</v>
      </c>
      <c r="P9" s="20">
        <v>0</v>
      </c>
      <c r="Q9" s="20">
        <f>SUM(M9:P9)</f>
        <v>0</v>
      </c>
      <c r="R9" s="20"/>
      <c r="S9" s="20"/>
      <c r="T9" s="20"/>
      <c r="U9" s="20"/>
      <c r="V9" s="20"/>
      <c r="W9" s="20"/>
    </row>
    <row r="10" spans="2:25" x14ac:dyDescent="0.2">
      <c r="B10" s="4" t="s">
        <v>32</v>
      </c>
      <c r="E10" s="18" t="s">
        <v>33</v>
      </c>
      <c r="G10" s="105">
        <f>K10*$G$85</f>
        <v>2479.1670000000004</v>
      </c>
      <c r="H10" s="105">
        <f>K10*$H$85</f>
        <v>550.92600000000004</v>
      </c>
      <c r="I10" s="105">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34</v>
      </c>
      <c r="E12" s="18" t="s">
        <v>31</v>
      </c>
      <c r="G12" s="106">
        <f>K12*$G$85</f>
        <v>621998.7300000001</v>
      </c>
      <c r="H12" s="106">
        <f>K12*$H$85</f>
        <v>138221.94</v>
      </c>
      <c r="I12" s="106">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33</v>
      </c>
      <c r="G13" s="105">
        <f>K13*$G$85</f>
        <v>14033.412</v>
      </c>
      <c r="H13" s="105">
        <f>K13*$H$85</f>
        <v>3118.5359999999996</v>
      </c>
      <c r="I13" s="105">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35</v>
      </c>
    </row>
    <row r="15" spans="2:25" x14ac:dyDescent="0.2">
      <c r="D15" s="3" t="s">
        <v>36</v>
      </c>
      <c r="E15" s="18" t="s">
        <v>37</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38</v>
      </c>
      <c r="E16" s="18" t="s">
        <v>39</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40</v>
      </c>
    </row>
    <row r="17" spans="2:25" x14ac:dyDescent="0.2">
      <c r="D17" s="28"/>
      <c r="E17" s="18" t="s">
        <v>41</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42</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43</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44</v>
      </c>
    </row>
    <row r="20" spans="2:25" x14ac:dyDescent="0.2">
      <c r="E20" s="18" t="s">
        <v>45</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46</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47</v>
      </c>
    </row>
    <row r="23" spans="2:25" x14ac:dyDescent="0.2">
      <c r="B23" s="4" t="s">
        <v>48</v>
      </c>
      <c r="E23" s="18" t="s">
        <v>49</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50</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51</v>
      </c>
      <c r="E26" s="18" t="s">
        <v>52</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53</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54</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55</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56</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57</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58</v>
      </c>
      <c r="D33" s="4" t="s">
        <v>59</v>
      </c>
      <c r="E33" s="3" t="s">
        <v>60</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61</v>
      </c>
      <c r="D34" s="4" t="s">
        <v>62</v>
      </c>
      <c r="E34" s="3" t="s">
        <v>63</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64</v>
      </c>
      <c r="E36" s="3" t="s">
        <v>65</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66</v>
      </c>
      <c r="E37" s="3" t="s">
        <v>67</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68</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69</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70</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71</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72</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73</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74</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75</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76</v>
      </c>
      <c r="G50" s="12"/>
      <c r="H50" s="12"/>
      <c r="I50" s="12"/>
      <c r="J50" s="12"/>
      <c r="L50" s="7"/>
    </row>
    <row r="51" spans="2:23" x14ac:dyDescent="0.2">
      <c r="D51" s="4"/>
      <c r="G51" s="12"/>
      <c r="H51" s="12"/>
      <c r="I51" s="12"/>
      <c r="J51" s="12"/>
      <c r="L51" s="7"/>
    </row>
    <row r="52" spans="2:23" x14ac:dyDescent="0.2">
      <c r="B52" s="4"/>
      <c r="D52" s="4" t="s">
        <v>71</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77</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78</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79</v>
      </c>
      <c r="D56" s="20"/>
      <c r="L56" s="7"/>
    </row>
    <row r="57" spans="2:23" ht="13.5" thickBot="1" x14ac:dyDescent="0.25">
      <c r="K57" s="20"/>
      <c r="L57" s="7"/>
      <c r="Q57" s="45"/>
      <c r="R57" s="46"/>
      <c r="S57" s="46"/>
      <c r="T57" s="46"/>
      <c r="U57" s="46"/>
      <c r="V57" s="46"/>
      <c r="W57" s="46"/>
    </row>
    <row r="58" spans="2:23" x14ac:dyDescent="0.2">
      <c r="B58" s="4" t="s">
        <v>80</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81</v>
      </c>
      <c r="K61" s="12"/>
      <c r="L61" s="7"/>
    </row>
    <row r="62" spans="2:23" x14ac:dyDescent="0.2">
      <c r="D62" s="12" t="s">
        <v>83</v>
      </c>
      <c r="E62" s="43" t="s">
        <v>31</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33</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100</v>
      </c>
      <c r="E65" s="43" t="s">
        <v>31</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82</v>
      </c>
    </row>
    <row r="66" spans="1:25" x14ac:dyDescent="0.2">
      <c r="D66" s="12"/>
      <c r="E66" s="43" t="s">
        <v>33</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101</v>
      </c>
      <c r="E68" s="43" t="s">
        <v>31</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33</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85</v>
      </c>
      <c r="C71" s="3"/>
      <c r="D71" s="3"/>
      <c r="E71" s="43" t="s">
        <v>31</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33</v>
      </c>
      <c r="F72" s="3"/>
      <c r="G72" s="107">
        <f>G63+G66+G69</f>
        <v>0</v>
      </c>
      <c r="H72" s="107">
        <f>H63+H66+H69</f>
        <v>0</v>
      </c>
      <c r="I72" s="107">
        <f t="shared" si="16"/>
        <v>0</v>
      </c>
      <c r="J72" s="107">
        <f t="shared" si="16"/>
        <v>0</v>
      </c>
      <c r="K72" s="107">
        <f t="shared" si="16"/>
        <v>0</v>
      </c>
      <c r="L72" s="7"/>
      <c r="M72" s="107">
        <f t="shared" si="16"/>
        <v>0</v>
      </c>
      <c r="N72" s="107">
        <f t="shared" si="16"/>
        <v>0</v>
      </c>
      <c r="O72" s="107">
        <f t="shared" si="16"/>
        <v>0</v>
      </c>
      <c r="P72" s="107">
        <f t="shared" si="16"/>
        <v>0</v>
      </c>
      <c r="Q72" s="107">
        <f t="shared" si="16"/>
        <v>0</v>
      </c>
      <c r="R72" s="53"/>
      <c r="S72" s="53"/>
      <c r="T72" s="53"/>
      <c r="U72" s="53"/>
      <c r="V72" s="53"/>
      <c r="W72" s="53"/>
      <c r="X72" s="3"/>
    </row>
    <row r="73" spans="1:25" s="5" customFormat="1" x14ac:dyDescent="0.2">
      <c r="A73" s="3"/>
      <c r="B73" s="3"/>
      <c r="C73" s="3"/>
      <c r="D73" s="3"/>
      <c r="E73" s="3"/>
      <c r="F73" s="3"/>
      <c r="G73" s="3"/>
      <c r="H73" s="3" t="s">
        <v>102</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86</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4">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3" t="s">
        <v>99</v>
      </c>
      <c r="F87" s="52"/>
      <c r="G87" s="52"/>
      <c r="H87" s="52"/>
      <c r="I87" s="52"/>
      <c r="J87" s="52"/>
      <c r="K87" s="73">
        <f>K85</f>
        <v>59438733</v>
      </c>
      <c r="L87" s="7"/>
      <c r="M87" s="74"/>
      <c r="N87" s="69"/>
      <c r="O87" s="69"/>
      <c r="P87" s="69"/>
      <c r="Q87" s="69"/>
      <c r="R87" s="26"/>
      <c r="S87" s="26"/>
      <c r="T87" s="26"/>
      <c r="U87" s="26"/>
    </row>
    <row r="88" spans="5:25" x14ac:dyDescent="0.2">
      <c r="E88" s="70" t="s">
        <v>88</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89</v>
      </c>
      <c r="F90" s="52"/>
      <c r="G90" s="52"/>
      <c r="H90" s="52"/>
      <c r="I90" s="52"/>
      <c r="J90" s="52"/>
      <c r="K90" s="75">
        <f>SUM(K87:K89)</f>
        <v>59438733</v>
      </c>
      <c r="L90" s="7"/>
      <c r="M90" s="74"/>
      <c r="N90" s="26"/>
      <c r="O90" s="26"/>
      <c r="P90" s="26"/>
      <c r="Q90" s="26"/>
      <c r="R90" s="26"/>
      <c r="S90" s="26"/>
      <c r="T90" s="26"/>
      <c r="U90" s="26"/>
    </row>
    <row r="91" spans="5:25" x14ac:dyDescent="0.2">
      <c r="E91" s="70" t="s">
        <v>103</v>
      </c>
      <c r="F91" s="52"/>
      <c r="G91" s="52"/>
      <c r="H91" s="52"/>
      <c r="I91" s="52"/>
      <c r="J91" s="52"/>
      <c r="K91" s="73">
        <f>K65</f>
        <v>4250000</v>
      </c>
      <c r="L91" s="7"/>
      <c r="M91" s="74"/>
      <c r="N91" s="26"/>
      <c r="O91" s="76"/>
      <c r="P91" s="76"/>
      <c r="Q91" s="69"/>
      <c r="R91" s="26"/>
      <c r="S91" s="26"/>
      <c r="T91" s="26"/>
      <c r="U91" s="26"/>
    </row>
    <row r="92" spans="5:25" x14ac:dyDescent="0.2">
      <c r="E92" s="70" t="s">
        <v>91</v>
      </c>
      <c r="F92" s="52"/>
      <c r="G92" s="52"/>
      <c r="H92" s="52"/>
      <c r="I92" s="52"/>
      <c r="J92" s="52"/>
      <c r="K92" s="73">
        <v>1298986</v>
      </c>
      <c r="L92" s="7"/>
      <c r="M92" s="74"/>
      <c r="N92" s="109"/>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92</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93</v>
      </c>
      <c r="K95" s="73"/>
      <c r="L95" s="7"/>
      <c r="M95" s="74"/>
      <c r="N95" s="26"/>
      <c r="O95" s="26"/>
      <c r="P95" s="26"/>
      <c r="Q95" s="69"/>
      <c r="R95" s="26"/>
      <c r="S95" s="26"/>
      <c r="T95" s="26"/>
      <c r="U95" s="26"/>
    </row>
    <row r="96" spans="5:25" x14ac:dyDescent="0.2">
      <c r="E96" s="79" t="s">
        <v>104</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94</v>
      </c>
      <c r="F97" s="52"/>
      <c r="G97" s="81">
        <v>0</v>
      </c>
      <c r="H97" s="82">
        <v>0</v>
      </c>
      <c r="I97" s="82">
        <v>0</v>
      </c>
      <c r="K97" s="71"/>
      <c r="L97" s="7"/>
      <c r="M97" s="61"/>
      <c r="N97" s="26"/>
      <c r="O97" s="26"/>
      <c r="P97" s="26"/>
      <c r="Q97" s="26"/>
      <c r="R97" s="26"/>
      <c r="S97" s="26"/>
      <c r="T97" s="26"/>
      <c r="U97" s="26"/>
    </row>
    <row r="98" spans="5:21" ht="13.5" thickBot="1" x14ac:dyDescent="0.25">
      <c r="E98" s="70" t="s">
        <v>95</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96</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97</v>
      </c>
      <c r="H100" s="89" t="s">
        <v>98</v>
      </c>
      <c r="I100" s="89" t="s">
        <v>6</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0"/>
  <sheetViews>
    <sheetView zoomScale="90" zoomScaleNormal="90" workbookViewId="0">
      <pane xSplit="1" ySplit="8" topLeftCell="B51" activePane="bottomRight" state="frozen"/>
      <selection pane="topRight" activeCell="B1" sqref="B1"/>
      <selection pane="bottomLeft" activeCell="A9" sqref="A9"/>
      <selection pane="bottomRight" activeCell="P153" sqref="P15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11</v>
      </c>
      <c r="C2" s="132"/>
      <c r="D2" s="132"/>
      <c r="E2" s="132"/>
      <c r="F2" s="132"/>
      <c r="G2" s="198" t="s">
        <v>172</v>
      </c>
      <c r="H2" s="198"/>
      <c r="I2" s="198"/>
      <c r="J2" s="198"/>
      <c r="K2" s="198"/>
      <c r="M2" s="198" t="s">
        <v>173</v>
      </c>
      <c r="N2" s="198"/>
      <c r="O2" s="198"/>
      <c r="P2" s="198"/>
      <c r="Q2" s="198"/>
      <c r="R2" s="8"/>
      <c r="S2" s="8"/>
      <c r="T2" s="8"/>
      <c r="U2" s="8"/>
      <c r="V2" s="8"/>
      <c r="W2" s="8"/>
    </row>
    <row r="3" spans="2:25" ht="19.5" x14ac:dyDescent="0.25">
      <c r="B3" s="134" t="s">
        <v>12</v>
      </c>
      <c r="C3" s="132"/>
      <c r="D3" s="132"/>
    </row>
    <row r="4" spans="2:25" x14ac:dyDescent="0.2">
      <c r="B4" s="132" t="s">
        <v>174</v>
      </c>
      <c r="C4" s="132"/>
      <c r="D4" s="132"/>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5"/>
      <c r="C5" s="132"/>
      <c r="D5" s="135"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175</v>
      </c>
      <c r="D6" s="11"/>
      <c r="G6" s="16"/>
      <c r="H6" s="16" t="s">
        <v>24</v>
      </c>
      <c r="I6" s="16"/>
      <c r="J6" s="16"/>
      <c r="K6" s="16"/>
      <c r="M6" s="16"/>
      <c r="N6" s="16" t="s">
        <v>24</v>
      </c>
      <c r="O6" s="16"/>
      <c r="P6" s="16"/>
      <c r="Q6" s="16"/>
      <c r="R6" s="16"/>
      <c r="S6" s="16"/>
      <c r="T6" s="16"/>
      <c r="U6" s="16"/>
      <c r="V6" s="16"/>
      <c r="W6" s="16"/>
    </row>
    <row r="7" spans="2:25" ht="13.5" thickBot="1" x14ac:dyDescent="0.25">
      <c r="B7" s="132"/>
      <c r="G7" s="131" t="s">
        <v>25</v>
      </c>
      <c r="H7" s="131" t="s">
        <v>26</v>
      </c>
      <c r="I7" s="131" t="s">
        <v>27</v>
      </c>
      <c r="J7" s="131"/>
      <c r="K7" s="131" t="s">
        <v>28</v>
      </c>
      <c r="M7" s="131" t="s">
        <v>25</v>
      </c>
      <c r="N7" s="131" t="s">
        <v>26</v>
      </c>
      <c r="O7" s="131" t="s">
        <v>27</v>
      </c>
      <c r="P7" s="131"/>
      <c r="Q7" s="131" t="s">
        <v>28</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29</v>
      </c>
      <c r="D9" s="12" t="s">
        <v>30</v>
      </c>
      <c r="E9" s="18" t="s">
        <v>31</v>
      </c>
      <c r="G9" s="106">
        <v>18879</v>
      </c>
      <c r="H9" s="106">
        <v>2436</v>
      </c>
      <c r="I9" s="106">
        <v>39586</v>
      </c>
      <c r="J9" s="19">
        <v>0</v>
      </c>
      <c r="K9" s="19">
        <f>I9+H9+G9</f>
        <v>60901</v>
      </c>
      <c r="M9" s="19">
        <v>0</v>
      </c>
      <c r="N9" s="19">
        <v>0</v>
      </c>
      <c r="O9" s="19">
        <v>0</v>
      </c>
      <c r="P9" s="19">
        <v>0</v>
      </c>
      <c r="Q9" s="19">
        <f>SUM(M9:P9)</f>
        <v>0</v>
      </c>
      <c r="R9" s="19"/>
      <c r="S9" s="19"/>
      <c r="T9" s="19"/>
      <c r="U9" s="19"/>
      <c r="V9" s="19"/>
      <c r="W9" s="19"/>
    </row>
    <row r="10" spans="2:25" x14ac:dyDescent="0.2">
      <c r="B10" s="132" t="s">
        <v>32</v>
      </c>
      <c r="E10" s="18" t="s">
        <v>33</v>
      </c>
      <c r="G10" s="105">
        <v>341.9</v>
      </c>
      <c r="H10" s="105">
        <v>44.1</v>
      </c>
      <c r="I10" s="105">
        <v>716.9</v>
      </c>
      <c r="J10" s="21"/>
      <c r="K10" s="21">
        <f>G10+H10+I10</f>
        <v>1102.9000000000001</v>
      </c>
      <c r="M10" s="21"/>
      <c r="N10" s="21"/>
      <c r="O10" s="21"/>
      <c r="P10" s="21">
        <v>0</v>
      </c>
      <c r="Q10" s="21">
        <f>SUM(M10:P10)</f>
        <v>0</v>
      </c>
      <c r="R10" s="51"/>
      <c r="S10" s="51"/>
      <c r="T10" s="51"/>
      <c r="U10" s="51"/>
      <c r="V10" s="51"/>
      <c r="W10" s="51"/>
    </row>
    <row r="11" spans="2:25" x14ac:dyDescent="0.2">
      <c r="E11" s="18"/>
    </row>
    <row r="12" spans="2:25" ht="13.5" thickBot="1" x14ac:dyDescent="0.25">
      <c r="D12" s="12" t="s">
        <v>34</v>
      </c>
      <c r="E12" s="18" t="s">
        <v>31</v>
      </c>
      <c r="G12" s="106">
        <v>158153</v>
      </c>
      <c r="H12" s="106">
        <v>20407</v>
      </c>
      <c r="I12" s="106">
        <v>331611</v>
      </c>
      <c r="J12" s="19">
        <v>0</v>
      </c>
      <c r="K12" s="19">
        <f>I12+H12+G12</f>
        <v>510171</v>
      </c>
      <c r="M12" s="19">
        <f t="shared" ref="M12:P13" si="0">G12</f>
        <v>158153</v>
      </c>
      <c r="N12" s="19">
        <f t="shared" si="0"/>
        <v>20407</v>
      </c>
      <c r="O12" s="19">
        <f t="shared" si="0"/>
        <v>331611</v>
      </c>
      <c r="P12" s="19">
        <f t="shared" si="0"/>
        <v>0</v>
      </c>
      <c r="Q12" s="19">
        <f>SUM(M12:P12)</f>
        <v>510171</v>
      </c>
      <c r="R12" s="19"/>
      <c r="S12" s="19"/>
      <c r="T12" s="137">
        <f>223294-K12</f>
        <v>-286877</v>
      </c>
      <c r="U12" s="19"/>
      <c r="V12" s="19"/>
      <c r="W12" s="19"/>
    </row>
    <row r="13" spans="2:25" x14ac:dyDescent="0.2">
      <c r="E13" s="18" t="s">
        <v>33</v>
      </c>
      <c r="G13" s="105">
        <v>2408.6</v>
      </c>
      <c r="H13" s="105">
        <v>310.7</v>
      </c>
      <c r="I13" s="105">
        <v>5050.6000000000004</v>
      </c>
      <c r="J13" s="21"/>
      <c r="K13" s="21">
        <f>G13+H13+I13</f>
        <v>7769.9</v>
      </c>
      <c r="M13" s="21">
        <f t="shared" si="0"/>
        <v>2408.6</v>
      </c>
      <c r="N13" s="21">
        <f t="shared" si="0"/>
        <v>310.7</v>
      </c>
      <c r="O13" s="21">
        <f t="shared" si="0"/>
        <v>5050.6000000000004</v>
      </c>
      <c r="P13" s="21">
        <v>0</v>
      </c>
      <c r="Q13" s="21">
        <f>SUM(M13:P13)</f>
        <v>7769.9</v>
      </c>
      <c r="R13" s="51"/>
      <c r="S13" s="51"/>
      <c r="T13" s="138"/>
      <c r="U13" s="51"/>
      <c r="V13" s="51"/>
      <c r="W13" s="51"/>
    </row>
    <row r="14" spans="2:25" x14ac:dyDescent="0.2">
      <c r="T14" s="139"/>
      <c r="Y14" s="27" t="s">
        <v>35</v>
      </c>
    </row>
    <row r="15" spans="2:25" x14ac:dyDescent="0.2">
      <c r="D15" s="12" t="s">
        <v>36</v>
      </c>
      <c r="E15" s="18" t="s">
        <v>37</v>
      </c>
      <c r="G15" s="19">
        <v>7630</v>
      </c>
      <c r="H15" s="19">
        <v>985</v>
      </c>
      <c r="I15" s="19">
        <f>655+15342</f>
        <v>15997</v>
      </c>
      <c r="J15" s="19"/>
      <c r="K15" s="19">
        <f>G15+H15+I15+J15</f>
        <v>24612</v>
      </c>
      <c r="M15" s="19">
        <v>0</v>
      </c>
      <c r="N15" s="19">
        <v>0</v>
      </c>
      <c r="O15" s="19">
        <v>0</v>
      </c>
      <c r="P15" s="19">
        <v>0</v>
      </c>
      <c r="Q15" s="19">
        <f t="shared" ref="Q15:Q20" si="1">SUM(M15:P15)</f>
        <v>0</v>
      </c>
      <c r="R15" s="19"/>
      <c r="S15" s="19"/>
      <c r="T15" s="137"/>
      <c r="U15" s="19"/>
      <c r="V15" s="19"/>
      <c r="W15" s="19"/>
    </row>
    <row r="16" spans="2:25" x14ac:dyDescent="0.2">
      <c r="D16" s="12" t="s">
        <v>38</v>
      </c>
      <c r="E16" s="18" t="s">
        <v>39</v>
      </c>
      <c r="G16" s="19">
        <v>17871</v>
      </c>
      <c r="H16" s="19">
        <v>2306</v>
      </c>
      <c r="I16" s="19">
        <f>2303+35169</f>
        <v>37472</v>
      </c>
      <c r="J16" s="19">
        <v>0</v>
      </c>
      <c r="K16" s="19">
        <f t="shared" ref="K16:K19" si="2">G16+H16+I16+J16</f>
        <v>57649</v>
      </c>
      <c r="M16" s="19">
        <f>G16</f>
        <v>17871</v>
      </c>
      <c r="N16" s="19">
        <f>H16</f>
        <v>2306</v>
      </c>
      <c r="O16" s="19">
        <f>I16</f>
        <v>37472</v>
      </c>
      <c r="P16" s="19">
        <f>J16</f>
        <v>0</v>
      </c>
      <c r="Q16" s="19">
        <f t="shared" si="1"/>
        <v>57649</v>
      </c>
      <c r="R16" s="19"/>
      <c r="S16" s="19"/>
      <c r="T16" s="137"/>
      <c r="U16" s="19"/>
      <c r="V16" s="19"/>
      <c r="W16" s="19"/>
      <c r="Y16" s="5" t="s">
        <v>40</v>
      </c>
    </row>
    <row r="17" spans="2:25" x14ac:dyDescent="0.2">
      <c r="D17" s="140"/>
      <c r="E17" s="18" t="s">
        <v>41</v>
      </c>
      <c r="G17" s="19">
        <v>385</v>
      </c>
      <c r="H17" s="19">
        <v>50</v>
      </c>
      <c r="I17" s="19">
        <f>74+733</f>
        <v>807</v>
      </c>
      <c r="J17" s="19">
        <v>0</v>
      </c>
      <c r="K17" s="19">
        <f t="shared" si="2"/>
        <v>1242</v>
      </c>
      <c r="M17" s="19">
        <v>0</v>
      </c>
      <c r="N17" s="19">
        <v>0</v>
      </c>
      <c r="O17" s="19">
        <v>0</v>
      </c>
      <c r="P17" s="19">
        <v>0</v>
      </c>
      <c r="Q17" s="19">
        <f t="shared" si="1"/>
        <v>0</v>
      </c>
      <c r="R17" s="19"/>
      <c r="S17" s="19"/>
      <c r="T17" s="137"/>
      <c r="U17" s="19"/>
      <c r="V17" s="19"/>
      <c r="W17" s="19"/>
      <c r="Y17" s="29">
        <v>614800</v>
      </c>
    </row>
    <row r="18" spans="2:25" x14ac:dyDescent="0.2">
      <c r="E18" s="18" t="s">
        <v>42</v>
      </c>
      <c r="G18" s="19">
        <v>5400</v>
      </c>
      <c r="H18" s="19">
        <v>678</v>
      </c>
      <c r="I18" s="19">
        <v>11353</v>
      </c>
      <c r="J18" s="19"/>
      <c r="K18" s="19">
        <f t="shared" si="2"/>
        <v>17431</v>
      </c>
      <c r="M18" s="19">
        <v>0</v>
      </c>
      <c r="N18" s="19">
        <v>0</v>
      </c>
      <c r="O18" s="19">
        <v>0</v>
      </c>
      <c r="P18" s="19">
        <v>0</v>
      </c>
      <c r="Q18" s="19">
        <f t="shared" si="1"/>
        <v>0</v>
      </c>
      <c r="R18" s="19"/>
      <c r="S18" s="19"/>
      <c r="T18" s="137"/>
      <c r="U18" s="19"/>
      <c r="V18" s="19"/>
      <c r="W18" s="19"/>
    </row>
    <row r="19" spans="2:25" x14ac:dyDescent="0.2">
      <c r="E19" s="18" t="s">
        <v>43</v>
      </c>
      <c r="G19" s="19">
        <v>191914</v>
      </c>
      <c r="H19" s="19">
        <v>12748</v>
      </c>
      <c r="I19" s="19"/>
      <c r="J19" s="19">
        <v>0</v>
      </c>
      <c r="K19" s="19">
        <f t="shared" si="2"/>
        <v>204662</v>
      </c>
      <c r="M19" s="19">
        <f>G19</f>
        <v>191914</v>
      </c>
      <c r="N19" s="19">
        <f>H19</f>
        <v>12748</v>
      </c>
      <c r="O19" s="19">
        <f>I19</f>
        <v>0</v>
      </c>
      <c r="P19" s="19">
        <f>J19</f>
        <v>0</v>
      </c>
      <c r="Q19" s="19">
        <f t="shared" si="1"/>
        <v>204662</v>
      </c>
      <c r="R19" s="19"/>
      <c r="S19" s="19"/>
      <c r="T19" s="137"/>
      <c r="U19" s="19"/>
      <c r="V19" s="19"/>
      <c r="W19" s="19"/>
      <c r="Y19" s="5" t="s">
        <v>44</v>
      </c>
    </row>
    <row r="20" spans="2:25" x14ac:dyDescent="0.2">
      <c r="E20" s="18" t="s">
        <v>45</v>
      </c>
      <c r="G20" s="31">
        <v>35326</v>
      </c>
      <c r="H20" s="31">
        <v>4453</v>
      </c>
      <c r="I20" s="31">
        <v>72387</v>
      </c>
      <c r="J20" s="31">
        <v>0</v>
      </c>
      <c r="K20" s="31">
        <f>G20+H20+I20+J20</f>
        <v>112166</v>
      </c>
      <c r="M20" s="19">
        <v>0</v>
      </c>
      <c r="N20" s="19">
        <v>0</v>
      </c>
      <c r="O20" s="19">
        <v>0</v>
      </c>
      <c r="P20" s="19">
        <v>0</v>
      </c>
      <c r="Q20" s="19">
        <f t="shared" si="1"/>
        <v>0</v>
      </c>
      <c r="R20" s="19"/>
      <c r="S20" s="19"/>
      <c r="T20" s="137"/>
      <c r="U20" s="19"/>
      <c r="V20" s="19"/>
      <c r="W20" s="19"/>
      <c r="Y20" s="29">
        <f>31030+1679</f>
        <v>32709</v>
      </c>
    </row>
    <row r="21" spans="2:25" x14ac:dyDescent="0.2">
      <c r="D21" s="132" t="s">
        <v>46</v>
      </c>
      <c r="E21" s="18"/>
      <c r="G21" s="32">
        <f>G9+G12+SUM(G15:G20)</f>
        <v>435558</v>
      </c>
      <c r="H21" s="32">
        <f>SUM(H15:H20)+H12+H9</f>
        <v>44063</v>
      </c>
      <c r="I21" s="32">
        <f>SUM(I15:I20)+I12+I9</f>
        <v>509213</v>
      </c>
      <c r="J21" s="32">
        <f>J9+J12+SUM(J15:J20)</f>
        <v>0</v>
      </c>
      <c r="K21" s="32">
        <f>SUM(G21:J21)</f>
        <v>988834</v>
      </c>
      <c r="M21" s="34">
        <f>M9+M12+SUM(M15:M20)</f>
        <v>367938</v>
      </c>
      <c r="N21" s="34">
        <f>N9+N12+SUM(N15:N20)</f>
        <v>35461</v>
      </c>
      <c r="O21" s="34">
        <f>O9+O12+SUM(O15:O20)</f>
        <v>369083</v>
      </c>
      <c r="P21" s="34">
        <f>P9+P12+SUM(P15:P20)</f>
        <v>0</v>
      </c>
      <c r="Q21" s="34">
        <f>Q9+Q12+SUM(Q15:Q20)</f>
        <v>772482</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47</v>
      </c>
    </row>
    <row r="23" spans="2:25" x14ac:dyDescent="0.2">
      <c r="B23" s="132" t="s">
        <v>48</v>
      </c>
      <c r="E23" s="18" t="s">
        <v>49</v>
      </c>
      <c r="G23" s="31">
        <v>38444</v>
      </c>
      <c r="H23" s="31">
        <v>4694</v>
      </c>
      <c r="I23" s="31">
        <v>80611</v>
      </c>
      <c r="J23" s="31">
        <v>0</v>
      </c>
      <c r="K23" s="31">
        <f>G23+H23+I23+J23</f>
        <v>123749</v>
      </c>
      <c r="M23" s="31">
        <f>$Q$23*G$155</f>
        <v>2040.9708404521796</v>
      </c>
      <c r="N23" s="31">
        <f>$Q$23*H$155</f>
        <v>263.351076187378</v>
      </c>
      <c r="O23" s="31">
        <f>$Q$23*I$155</f>
        <v>4279.4549880448922</v>
      </c>
      <c r="P23" s="31">
        <v>0</v>
      </c>
      <c r="Q23" s="31">
        <f>K23*Y23</f>
        <v>6583.7769046844505</v>
      </c>
      <c r="R23" s="39"/>
      <c r="S23" s="39"/>
      <c r="T23" s="40">
        <f>251603.59-K23</f>
        <v>127854.59</v>
      </c>
      <c r="U23" s="39"/>
      <c r="V23" s="39"/>
      <c r="W23" s="39"/>
      <c r="Y23" s="41">
        <f>Y20/Y17</f>
        <v>5.320266753415745E-2</v>
      </c>
    </row>
    <row r="24" spans="2:25" x14ac:dyDescent="0.2">
      <c r="B24" s="132"/>
      <c r="D24" s="132" t="s">
        <v>50</v>
      </c>
      <c r="E24" s="18"/>
      <c r="G24" s="32">
        <f>SUM(G23)</f>
        <v>38444</v>
      </c>
      <c r="H24" s="32">
        <f>SUM(H23)</f>
        <v>4694</v>
      </c>
      <c r="I24" s="32">
        <f>SUM(I23)</f>
        <v>80611</v>
      </c>
      <c r="J24" s="32">
        <f>SUM(J23)</f>
        <v>0</v>
      </c>
      <c r="K24" s="32">
        <f>SUM(G24:J24)</f>
        <v>123749</v>
      </c>
      <c r="M24" s="32">
        <f>SUM(M23)</f>
        <v>2040.9708404521796</v>
      </c>
      <c r="N24" s="32">
        <f>SUM(N23)</f>
        <v>263.351076187378</v>
      </c>
      <c r="O24" s="32">
        <f>SUM(O23)</f>
        <v>4279.4549880448922</v>
      </c>
      <c r="P24" s="32">
        <f>SUM(P23)</f>
        <v>0</v>
      </c>
      <c r="Q24" s="32">
        <f>SUM(M24:P24)</f>
        <v>6583.7769046844496</v>
      </c>
      <c r="R24" s="32"/>
      <c r="S24" s="32"/>
      <c r="T24" s="143"/>
      <c r="U24" s="32"/>
      <c r="V24" s="32"/>
      <c r="W24" s="32"/>
    </row>
    <row r="25" spans="2:25" x14ac:dyDescent="0.2">
      <c r="B25" s="132"/>
    </row>
    <row r="26" spans="2:25" x14ac:dyDescent="0.2">
      <c r="B26" s="132" t="s">
        <v>51</v>
      </c>
      <c r="E26" s="18" t="s">
        <v>52</v>
      </c>
      <c r="G26" s="19">
        <v>1010</v>
      </c>
      <c r="H26" s="19">
        <v>113</v>
      </c>
      <c r="I26" s="19">
        <v>2119</v>
      </c>
      <c r="J26" s="19"/>
      <c r="K26" s="19">
        <f>G26+H26+I26+J26</f>
        <v>3242</v>
      </c>
      <c r="M26" s="39">
        <v>0</v>
      </c>
      <c r="N26" s="39">
        <v>0</v>
      </c>
      <c r="O26" s="39">
        <v>0</v>
      </c>
      <c r="P26" s="19">
        <v>0</v>
      </c>
      <c r="Q26" s="19">
        <f t="shared" ref="Q26:Q31" si="3">SUM(M26:P26)</f>
        <v>0</v>
      </c>
      <c r="R26" s="19"/>
      <c r="S26" s="19"/>
      <c r="T26" s="19"/>
      <c r="U26" s="19"/>
      <c r="V26" s="19"/>
      <c r="W26" s="19"/>
    </row>
    <row r="27" spans="2:25" x14ac:dyDescent="0.2">
      <c r="B27" s="132"/>
      <c r="E27" s="18" t="s">
        <v>53</v>
      </c>
      <c r="G27" s="19">
        <v>2977</v>
      </c>
      <c r="H27" s="19">
        <v>384</v>
      </c>
      <c r="I27" s="19">
        <v>6244</v>
      </c>
      <c r="J27" s="19"/>
      <c r="K27" s="19">
        <f t="shared" ref="K27:K29" si="4">G27+H27+I27+J27</f>
        <v>9605</v>
      </c>
      <c r="M27" s="19">
        <f>G27</f>
        <v>2977</v>
      </c>
      <c r="N27" s="19">
        <f>H27</f>
        <v>384</v>
      </c>
      <c r="O27" s="19">
        <f>I27</f>
        <v>6244</v>
      </c>
      <c r="P27" s="19">
        <f>J27</f>
        <v>0</v>
      </c>
      <c r="Q27" s="19">
        <f>SUM(M27:P27)</f>
        <v>9605</v>
      </c>
      <c r="R27" s="19"/>
      <c r="S27" s="19"/>
      <c r="T27" s="19"/>
      <c r="U27" s="19"/>
      <c r="V27" s="19"/>
      <c r="W27" s="19"/>
    </row>
    <row r="28" spans="2:25" x14ac:dyDescent="0.2">
      <c r="B28" s="132"/>
      <c r="E28" s="12" t="s">
        <v>54</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2"/>
      <c r="E29" s="18" t="s">
        <v>55</v>
      </c>
      <c r="G29" s="19">
        <v>30118</v>
      </c>
      <c r="H29" s="19">
        <v>3824</v>
      </c>
      <c r="I29" s="19">
        <f>62144-83</f>
        <v>62061</v>
      </c>
      <c r="J29" s="19"/>
      <c r="K29" s="19">
        <f t="shared" si="4"/>
        <v>96003</v>
      </c>
      <c r="M29" s="19">
        <f t="shared" ref="M29:O30" si="5">G29</f>
        <v>30118</v>
      </c>
      <c r="N29" s="19">
        <f t="shared" si="5"/>
        <v>3824</v>
      </c>
      <c r="O29" s="19">
        <f t="shared" si="5"/>
        <v>62061</v>
      </c>
      <c r="P29" s="19">
        <f>J29</f>
        <v>0</v>
      </c>
      <c r="Q29" s="19">
        <f>SUM(M29:P29)</f>
        <v>96003</v>
      </c>
      <c r="R29" s="19"/>
      <c r="S29" s="19"/>
      <c r="T29" s="19"/>
      <c r="U29" s="19"/>
      <c r="V29" s="19"/>
      <c r="W29" s="19"/>
    </row>
    <row r="30" spans="2:25" x14ac:dyDescent="0.2">
      <c r="B30" s="132"/>
      <c r="E30" s="18" t="s">
        <v>56</v>
      </c>
      <c r="G30" s="31">
        <v>34361</v>
      </c>
      <c r="H30" s="31">
        <v>4397</v>
      </c>
      <c r="I30" s="31">
        <v>77047</v>
      </c>
      <c r="J30" s="31"/>
      <c r="K30" s="31">
        <f>G30+H30+I30+J30</f>
        <v>115805</v>
      </c>
      <c r="M30" s="31">
        <f t="shared" si="5"/>
        <v>34361</v>
      </c>
      <c r="N30" s="31">
        <f t="shared" si="5"/>
        <v>4397</v>
      </c>
      <c r="O30" s="31">
        <f t="shared" si="5"/>
        <v>77047</v>
      </c>
      <c r="P30" s="31">
        <f>J30</f>
        <v>0</v>
      </c>
      <c r="Q30" s="31">
        <f t="shared" si="3"/>
        <v>115805</v>
      </c>
      <c r="R30" s="39"/>
      <c r="S30" s="39"/>
      <c r="T30" s="39"/>
      <c r="U30" s="39"/>
      <c r="V30" s="39"/>
      <c r="W30" s="39"/>
    </row>
    <row r="31" spans="2:25" x14ac:dyDescent="0.2">
      <c r="B31" s="132"/>
      <c r="D31" s="132" t="s">
        <v>57</v>
      </c>
      <c r="G31" s="32">
        <f>SUM(G26:G30)</f>
        <v>68466</v>
      </c>
      <c r="H31" s="32">
        <f>SUM(H26:H30)</f>
        <v>8718</v>
      </c>
      <c r="I31" s="32">
        <f>SUM(I26:I30)</f>
        <v>147471</v>
      </c>
      <c r="J31" s="32">
        <f>SUM(J26:J30)</f>
        <v>0</v>
      </c>
      <c r="K31" s="32">
        <f>SUM(G31:J31)</f>
        <v>224655</v>
      </c>
      <c r="M31" s="32">
        <f>SUM(M26:M30)</f>
        <v>67456</v>
      </c>
      <c r="N31" s="32">
        <f>SUM(N26:N30)</f>
        <v>8605</v>
      </c>
      <c r="O31" s="32">
        <f>SUM(O26:O30)</f>
        <v>145352</v>
      </c>
      <c r="P31" s="32">
        <f>SUM(P26:P30)</f>
        <v>0</v>
      </c>
      <c r="Q31" s="32">
        <f t="shared" si="3"/>
        <v>221413</v>
      </c>
      <c r="R31" s="32"/>
      <c r="S31" s="32"/>
      <c r="T31" s="32"/>
      <c r="U31" s="32"/>
      <c r="V31" s="32"/>
      <c r="W31" s="32"/>
    </row>
    <row r="32" spans="2:25" x14ac:dyDescent="0.2">
      <c r="B32" s="132"/>
    </row>
    <row r="33" spans="2:23" x14ac:dyDescent="0.2">
      <c r="B33" s="132" t="s">
        <v>58</v>
      </c>
      <c r="D33" s="132" t="s">
        <v>59</v>
      </c>
      <c r="E33" s="12" t="s">
        <v>60</v>
      </c>
      <c r="G33" s="19">
        <v>18268</v>
      </c>
      <c r="H33" s="19">
        <v>0</v>
      </c>
      <c r="I33" s="19">
        <v>0</v>
      </c>
      <c r="J33" s="19">
        <v>0</v>
      </c>
      <c r="K33" s="19">
        <f>SUM(G33:J33)</f>
        <v>18268</v>
      </c>
      <c r="M33" s="19">
        <f t="shared" ref="M33:P34" si="6">G33</f>
        <v>18268</v>
      </c>
      <c r="N33" s="19">
        <f t="shared" si="6"/>
        <v>0</v>
      </c>
      <c r="O33" s="19">
        <f t="shared" si="6"/>
        <v>0</v>
      </c>
      <c r="P33" s="19">
        <f t="shared" si="6"/>
        <v>0</v>
      </c>
      <c r="Q33" s="19">
        <f>SUM(M33:P33)</f>
        <v>18268</v>
      </c>
      <c r="R33" s="19"/>
      <c r="S33" s="19"/>
      <c r="T33" s="19"/>
      <c r="U33" s="19"/>
      <c r="V33" s="19"/>
      <c r="W33" s="19"/>
    </row>
    <row r="34" spans="2:23" x14ac:dyDescent="0.2">
      <c r="B34" s="132" t="s">
        <v>61</v>
      </c>
      <c r="D34" s="132" t="s">
        <v>62</v>
      </c>
      <c r="E34" s="12" t="s">
        <v>63</v>
      </c>
      <c r="G34" s="19"/>
      <c r="H34" s="19">
        <v>0</v>
      </c>
      <c r="I34" s="19">
        <v>0</v>
      </c>
      <c r="J34" s="19">
        <v>0</v>
      </c>
      <c r="K34" s="19">
        <f>SUM(G34:J34)</f>
        <v>0</v>
      </c>
      <c r="M34" s="19">
        <f t="shared" si="6"/>
        <v>0</v>
      </c>
      <c r="N34" s="19">
        <f t="shared" si="6"/>
        <v>0</v>
      </c>
      <c r="O34" s="19">
        <f t="shared" si="6"/>
        <v>0</v>
      </c>
      <c r="P34" s="19">
        <f t="shared" si="6"/>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64</v>
      </c>
      <c r="E36" s="12" t="s">
        <v>65</v>
      </c>
      <c r="G36" s="19">
        <v>12727</v>
      </c>
      <c r="H36" s="19"/>
      <c r="I36" s="19">
        <v>0</v>
      </c>
      <c r="J36" s="19">
        <v>0</v>
      </c>
      <c r="K36" s="19">
        <f t="shared" ref="K36:K41" si="7">SUM(G36:J36)</f>
        <v>12727</v>
      </c>
      <c r="M36" s="19">
        <f t="shared" ref="M36:P41" si="8">G36</f>
        <v>12727</v>
      </c>
      <c r="N36" s="19">
        <f t="shared" si="8"/>
        <v>0</v>
      </c>
      <c r="O36" s="19">
        <f t="shared" si="8"/>
        <v>0</v>
      </c>
      <c r="P36" s="19">
        <f t="shared" si="8"/>
        <v>0</v>
      </c>
      <c r="Q36" s="19">
        <f t="shared" ref="Q36:Q41" si="9">SUM(M36:P36)</f>
        <v>12727</v>
      </c>
      <c r="R36" s="19"/>
      <c r="S36" s="19"/>
      <c r="T36" s="19"/>
      <c r="U36" s="19"/>
      <c r="V36" s="19"/>
      <c r="W36" s="19"/>
    </row>
    <row r="37" spans="2:23" x14ac:dyDescent="0.2">
      <c r="D37" s="132" t="s">
        <v>66</v>
      </c>
      <c r="E37" s="12" t="s">
        <v>67</v>
      </c>
      <c r="G37" s="19">
        <f>8092+557</f>
        <v>8649</v>
      </c>
      <c r="H37" s="19">
        <v>0</v>
      </c>
      <c r="I37" s="19">
        <v>0</v>
      </c>
      <c r="J37" s="19">
        <v>0</v>
      </c>
      <c r="K37" s="19">
        <f t="shared" si="7"/>
        <v>8649</v>
      </c>
      <c r="M37" s="19">
        <f t="shared" si="8"/>
        <v>8649</v>
      </c>
      <c r="N37" s="19">
        <f t="shared" si="8"/>
        <v>0</v>
      </c>
      <c r="O37" s="19">
        <f t="shared" si="8"/>
        <v>0</v>
      </c>
      <c r="P37" s="19">
        <f t="shared" si="8"/>
        <v>0</v>
      </c>
      <c r="Q37" s="19">
        <f t="shared" si="9"/>
        <v>8649</v>
      </c>
      <c r="R37" s="19"/>
      <c r="S37" s="19"/>
      <c r="T37" s="19"/>
      <c r="U37" s="19"/>
      <c r="V37" s="19"/>
      <c r="W37" s="19"/>
    </row>
    <row r="38" spans="2:23" x14ac:dyDescent="0.2">
      <c r="D38" s="132"/>
      <c r="E38" s="12" t="s">
        <v>68</v>
      </c>
      <c r="G38" s="19">
        <v>155</v>
      </c>
      <c r="H38" s="19">
        <v>0</v>
      </c>
      <c r="I38" s="19">
        <v>0</v>
      </c>
      <c r="J38" s="19">
        <v>0</v>
      </c>
      <c r="K38" s="19">
        <f t="shared" si="7"/>
        <v>155</v>
      </c>
      <c r="M38" s="19">
        <f t="shared" si="8"/>
        <v>155</v>
      </c>
      <c r="N38" s="19">
        <f t="shared" si="8"/>
        <v>0</v>
      </c>
      <c r="O38" s="19">
        <f t="shared" si="8"/>
        <v>0</v>
      </c>
      <c r="P38" s="19">
        <f t="shared" si="8"/>
        <v>0</v>
      </c>
      <c r="Q38" s="19">
        <f t="shared" si="9"/>
        <v>155</v>
      </c>
      <c r="R38" s="19"/>
      <c r="S38" s="19"/>
      <c r="T38" s="19"/>
      <c r="U38" s="19"/>
      <c r="V38" s="19"/>
      <c r="W38" s="19"/>
    </row>
    <row r="39" spans="2:23" x14ac:dyDescent="0.2">
      <c r="D39" s="132"/>
      <c r="E39" s="12" t="s">
        <v>69</v>
      </c>
      <c r="G39" s="19">
        <v>42523</v>
      </c>
      <c r="H39" s="19">
        <v>0</v>
      </c>
      <c r="I39" s="19"/>
      <c r="J39" s="19">
        <v>0</v>
      </c>
      <c r="K39" s="19">
        <f t="shared" si="7"/>
        <v>42523</v>
      </c>
      <c r="M39" s="19">
        <f t="shared" si="8"/>
        <v>42523</v>
      </c>
      <c r="N39" s="19">
        <f t="shared" si="8"/>
        <v>0</v>
      </c>
      <c r="O39" s="19">
        <f t="shared" si="8"/>
        <v>0</v>
      </c>
      <c r="P39" s="19">
        <f t="shared" si="8"/>
        <v>0</v>
      </c>
      <c r="Q39" s="19">
        <f t="shared" si="9"/>
        <v>42523</v>
      </c>
      <c r="R39" s="19"/>
      <c r="S39" s="19"/>
      <c r="T39" s="19"/>
      <c r="U39" s="19"/>
      <c r="V39" s="19"/>
      <c r="W39" s="19"/>
    </row>
    <row r="40" spans="2:23" x14ac:dyDescent="0.2">
      <c r="D40" s="132"/>
      <c r="E40" s="12" t="s">
        <v>70</v>
      </c>
      <c r="G40" s="19">
        <v>3403</v>
      </c>
      <c r="H40" s="19">
        <v>0</v>
      </c>
      <c r="I40" s="19"/>
      <c r="J40" s="19">
        <v>0</v>
      </c>
      <c r="K40" s="19">
        <f t="shared" si="7"/>
        <v>3403</v>
      </c>
      <c r="M40" s="19">
        <f t="shared" si="8"/>
        <v>3403</v>
      </c>
      <c r="N40" s="19">
        <f t="shared" si="8"/>
        <v>0</v>
      </c>
      <c r="O40" s="19">
        <f t="shared" si="8"/>
        <v>0</v>
      </c>
      <c r="P40" s="19">
        <f t="shared" si="8"/>
        <v>0</v>
      </c>
      <c r="Q40" s="19">
        <f t="shared" si="9"/>
        <v>3403</v>
      </c>
      <c r="R40" s="19"/>
      <c r="S40" s="19"/>
      <c r="T40" s="19"/>
      <c r="U40" s="19"/>
      <c r="V40" s="19"/>
      <c r="W40" s="19"/>
    </row>
    <row r="41" spans="2:23" x14ac:dyDescent="0.2">
      <c r="D41" s="132"/>
      <c r="E41" s="12" t="s">
        <v>71</v>
      </c>
      <c r="G41" s="19">
        <v>20726</v>
      </c>
      <c r="H41" s="19">
        <v>0</v>
      </c>
      <c r="I41" s="19"/>
      <c r="J41" s="19">
        <v>0</v>
      </c>
      <c r="K41" s="19">
        <f t="shared" si="7"/>
        <v>20726</v>
      </c>
      <c r="M41" s="19">
        <f t="shared" si="8"/>
        <v>20726</v>
      </c>
      <c r="N41" s="19">
        <f t="shared" si="8"/>
        <v>0</v>
      </c>
      <c r="O41" s="19">
        <f t="shared" si="8"/>
        <v>0</v>
      </c>
      <c r="P41" s="19">
        <f t="shared" si="8"/>
        <v>0</v>
      </c>
      <c r="Q41" s="19">
        <f t="shared" si="9"/>
        <v>20726</v>
      </c>
      <c r="R41" s="19"/>
      <c r="S41" s="19"/>
      <c r="T41" s="19"/>
      <c r="U41" s="19"/>
      <c r="V41" s="19"/>
      <c r="W41" s="19"/>
    </row>
    <row r="42" spans="2:23" x14ac:dyDescent="0.2">
      <c r="D42" s="132"/>
      <c r="Q42" s="19"/>
      <c r="R42" s="19"/>
      <c r="S42" s="19"/>
      <c r="T42" s="19"/>
      <c r="U42" s="19"/>
      <c r="V42" s="19"/>
      <c r="W42" s="19"/>
    </row>
    <row r="43" spans="2:23" x14ac:dyDescent="0.2">
      <c r="D43" s="132"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76</v>
      </c>
    </row>
    <row r="51" spans="2:25" x14ac:dyDescent="0.2">
      <c r="D51" s="132"/>
    </row>
    <row r="52" spans="2:25" x14ac:dyDescent="0.2">
      <c r="B52" s="132"/>
      <c r="D52" s="132"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77</v>
      </c>
      <c r="G53" s="32">
        <f>SUM(G33:G52)</f>
        <v>106451</v>
      </c>
      <c r="H53" s="32">
        <f>SUM(H33:H52)</f>
        <v>0</v>
      </c>
      <c r="I53" s="32">
        <f>SUM(I33:I52)</f>
        <v>0</v>
      </c>
      <c r="J53" s="32">
        <f>SUM(J33:J52)</f>
        <v>0</v>
      </c>
      <c r="K53" s="32">
        <f>SUM(G53:J53)</f>
        <v>106451</v>
      </c>
      <c r="M53" s="32">
        <f>SUM(M33:M52)</f>
        <v>106451</v>
      </c>
      <c r="N53" s="32">
        <f>SUM(N33:N52)</f>
        <v>0</v>
      </c>
      <c r="O53" s="32">
        <f>SUM(O33:O52)</f>
        <v>0</v>
      </c>
      <c r="P53" s="32">
        <f>SUM(P33:P52)</f>
        <v>0</v>
      </c>
      <c r="Q53" s="32">
        <f>SUM(M53:P53)</f>
        <v>106451</v>
      </c>
      <c r="R53" s="32"/>
      <c r="S53" s="32"/>
      <c r="T53" s="32"/>
      <c r="U53" s="32"/>
      <c r="V53" s="32"/>
      <c r="W53" s="32"/>
    </row>
    <row r="54" spans="2:25" x14ac:dyDescent="0.2">
      <c r="B54" s="132"/>
      <c r="G54" s="19"/>
    </row>
    <row r="55" spans="2:25" x14ac:dyDescent="0.2">
      <c r="B55" s="132" t="s">
        <v>78</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79</v>
      </c>
      <c r="D56" s="19"/>
    </row>
    <row r="57" spans="2:25" ht="13.5" thickBot="1" x14ac:dyDescent="0.25">
      <c r="K57" s="19"/>
      <c r="Q57" s="144"/>
      <c r="R57" s="145"/>
      <c r="S57" s="145"/>
      <c r="T57" s="145"/>
      <c r="U57" s="145"/>
      <c r="V57" s="145"/>
      <c r="W57" s="145"/>
    </row>
    <row r="58" spans="2:25" x14ac:dyDescent="0.2">
      <c r="B58" s="132" t="s">
        <v>80</v>
      </c>
      <c r="E58" s="19"/>
      <c r="G58" s="146">
        <f>G21+G24+G31+G53+G55</f>
        <v>648919</v>
      </c>
      <c r="H58" s="146">
        <f>H21+H24+H31+H53+H55</f>
        <v>57475</v>
      </c>
      <c r="I58" s="146">
        <f>I21+I24+I31+I53+I55</f>
        <v>737295</v>
      </c>
      <c r="J58" s="146">
        <f>J21+J24+J31+J53+J55</f>
        <v>0</v>
      </c>
      <c r="K58" s="146">
        <f>SUM(G58:J58)</f>
        <v>1443689</v>
      </c>
      <c r="L58" s="147"/>
      <c r="M58" s="146">
        <f>M21+M24+M31+M53+M55</f>
        <v>543885.97084045224</v>
      </c>
      <c r="N58" s="146">
        <f>N21+N24+N31+N53+N55</f>
        <v>44329.351076187377</v>
      </c>
      <c r="O58" s="146">
        <f>O21+O24+O31+O53+O55</f>
        <v>518714.45498804492</v>
      </c>
      <c r="P58" s="146">
        <f>P21+P24+P31+P53+P55</f>
        <v>0</v>
      </c>
      <c r="Q58" s="146">
        <f>SUM(M58:P58)</f>
        <v>1106929.7769046845</v>
      </c>
      <c r="R58" s="141"/>
      <c r="S58" s="141"/>
      <c r="T58" s="141"/>
      <c r="U58" s="141"/>
      <c r="V58" s="141"/>
      <c r="W58" s="141"/>
    </row>
    <row r="61" spans="2:25" ht="14.25" x14ac:dyDescent="0.2">
      <c r="B61" s="136" t="s">
        <v>81</v>
      </c>
    </row>
    <row r="62" spans="2:25" x14ac:dyDescent="0.2">
      <c r="D62" s="12" t="s">
        <v>83</v>
      </c>
      <c r="E62" s="18" t="s">
        <v>31</v>
      </c>
      <c r="G62" s="19">
        <f>668430*0.31</f>
        <v>207213.3</v>
      </c>
      <c r="H62" s="19">
        <f>668430*0.04</f>
        <v>26737.200000000001</v>
      </c>
      <c r="I62" s="19">
        <f>668430*0.65</f>
        <v>434479.5</v>
      </c>
      <c r="J62" s="19"/>
      <c r="K62" s="19">
        <f>G62+H62+I62+J62</f>
        <v>668430</v>
      </c>
      <c r="M62" s="19">
        <f>$G$155*Q62</f>
        <v>173701.23856</v>
      </c>
      <c r="N62" s="19">
        <f>$H$155*Q62</f>
        <v>22413.063040000001</v>
      </c>
      <c r="O62" s="19">
        <f>$I$155*Q62</f>
        <v>364212.27439999994</v>
      </c>
      <c r="P62" s="19">
        <f t="shared" ref="P62" si="10">J62</f>
        <v>0</v>
      </c>
      <c r="Q62" s="19">
        <f>K62-((((44*118.12)*8)*2.6))</f>
        <v>560326.576</v>
      </c>
      <c r="R62" s="19"/>
      <c r="S62" s="19"/>
      <c r="T62" s="19"/>
      <c r="U62" s="19"/>
      <c r="V62" s="19"/>
      <c r="W62" s="19"/>
    </row>
    <row r="63" spans="2:25" ht="12.75" customHeight="1" x14ac:dyDescent="0.2">
      <c r="E63" s="18"/>
      <c r="G63" s="19"/>
      <c r="H63" s="19"/>
      <c r="I63" s="19"/>
    </row>
    <row r="64" spans="2:25" hidden="1" x14ac:dyDescent="0.2">
      <c r="D64" s="12" t="s">
        <v>108</v>
      </c>
      <c r="E64" s="18" t="s">
        <v>31</v>
      </c>
      <c r="G64" s="19"/>
      <c r="H64" s="19"/>
      <c r="I64" s="19"/>
      <c r="J64" s="19">
        <v>0</v>
      </c>
      <c r="K64" s="19">
        <f>I64</f>
        <v>0</v>
      </c>
      <c r="M64" s="19">
        <f>G64</f>
        <v>0</v>
      </c>
      <c r="N64" s="19">
        <f>H64</f>
        <v>0</v>
      </c>
      <c r="O64" s="19">
        <f>Q64</f>
        <v>0</v>
      </c>
      <c r="P64" s="19">
        <f t="shared" ref="P64" si="11">J64</f>
        <v>0</v>
      </c>
      <c r="Q64" s="19">
        <f>K64</f>
        <v>0</v>
      </c>
      <c r="R64" s="19"/>
      <c r="S64" s="19"/>
      <c r="T64" s="19"/>
      <c r="U64" s="19"/>
      <c r="V64" s="19"/>
      <c r="W64" s="19"/>
      <c r="Y64" s="5" t="s">
        <v>82</v>
      </c>
    </row>
    <row r="65" spans="4:25" ht="12.75" hidden="1" customHeight="1" x14ac:dyDescent="0.2">
      <c r="E65" s="18"/>
      <c r="G65" s="19"/>
      <c r="H65" s="19"/>
      <c r="I65" s="19"/>
      <c r="K65" s="19">
        <f t="shared" ref="K65:K71" si="12">I65</f>
        <v>0</v>
      </c>
      <c r="M65" s="19">
        <f t="shared" ref="M65:M118" si="13">G65</f>
        <v>0</v>
      </c>
      <c r="N65" s="19">
        <f t="shared" ref="N65:N118" si="14">H65</f>
        <v>0</v>
      </c>
    </row>
    <row r="66" spans="4:25" x14ac:dyDescent="0.2">
      <c r="D66" s="12" t="s">
        <v>109</v>
      </c>
      <c r="E66" s="18" t="s">
        <v>31</v>
      </c>
      <c r="G66" s="19"/>
      <c r="H66" s="19"/>
      <c r="I66" s="19">
        <v>1273900</v>
      </c>
      <c r="J66" s="19">
        <v>0</v>
      </c>
      <c r="K66" s="19">
        <f t="shared" si="12"/>
        <v>1273900</v>
      </c>
      <c r="M66" s="19">
        <f t="shared" si="13"/>
        <v>0</v>
      </c>
      <c r="N66" s="19">
        <f t="shared" si="14"/>
        <v>0</v>
      </c>
      <c r="O66" s="19">
        <f t="shared" ref="O66" si="15">Q66</f>
        <v>1273900</v>
      </c>
      <c r="P66" s="19">
        <f t="shared" ref="P66" si="16">J66</f>
        <v>0</v>
      </c>
      <c r="Q66" s="19">
        <f t="shared" ref="Q66" si="17">K66</f>
        <v>1273900</v>
      </c>
      <c r="R66" s="19"/>
      <c r="S66" s="19"/>
      <c r="T66" s="19"/>
      <c r="U66" s="19"/>
      <c r="V66" s="19"/>
      <c r="W66" s="19"/>
      <c r="Y66" s="5" t="s">
        <v>82</v>
      </c>
    </row>
    <row r="67" spans="4:25" ht="12.75" hidden="1" customHeight="1" x14ac:dyDescent="0.2">
      <c r="E67" s="18"/>
      <c r="G67" s="19"/>
      <c r="H67" s="19"/>
      <c r="I67" s="19"/>
      <c r="K67" s="19">
        <f t="shared" si="12"/>
        <v>0</v>
      </c>
      <c r="M67" s="19">
        <f t="shared" si="13"/>
        <v>0</v>
      </c>
      <c r="N67" s="19">
        <f t="shared" si="14"/>
        <v>0</v>
      </c>
    </row>
    <row r="68" spans="4:25" hidden="1" x14ac:dyDescent="0.2">
      <c r="D68" s="12" t="s">
        <v>111</v>
      </c>
      <c r="E68" s="18" t="s">
        <v>31</v>
      </c>
      <c r="G68" s="19"/>
      <c r="H68" s="19"/>
      <c r="I68" s="19"/>
      <c r="J68" s="19">
        <v>0</v>
      </c>
      <c r="K68" s="19">
        <f t="shared" si="12"/>
        <v>0</v>
      </c>
      <c r="M68" s="19">
        <f t="shared" si="13"/>
        <v>0</v>
      </c>
      <c r="N68" s="19">
        <f t="shared" si="14"/>
        <v>0</v>
      </c>
      <c r="O68" s="19">
        <f t="shared" ref="O68" si="18">Q68</f>
        <v>0</v>
      </c>
      <c r="P68" s="19">
        <f t="shared" ref="P68" si="19">J68</f>
        <v>0</v>
      </c>
      <c r="Q68" s="19">
        <f t="shared" ref="Q68" si="20">K68</f>
        <v>0</v>
      </c>
      <c r="R68" s="19"/>
      <c r="S68" s="19"/>
      <c r="T68" s="19"/>
      <c r="U68" s="19"/>
      <c r="V68" s="19"/>
      <c r="W68" s="19"/>
      <c r="Y68" s="5" t="s">
        <v>82</v>
      </c>
    </row>
    <row r="69" spans="4:25" ht="12.75" hidden="1" customHeight="1" x14ac:dyDescent="0.2">
      <c r="E69" s="18"/>
      <c r="G69" s="19"/>
      <c r="H69" s="19"/>
      <c r="I69" s="19"/>
      <c r="K69" s="19">
        <f t="shared" si="12"/>
        <v>0</v>
      </c>
      <c r="M69" s="19">
        <f t="shared" si="13"/>
        <v>0</v>
      </c>
      <c r="N69" s="19">
        <f t="shared" si="14"/>
        <v>0</v>
      </c>
    </row>
    <row r="70" spans="4:25" hidden="1" x14ac:dyDescent="0.2">
      <c r="D70" s="12" t="s">
        <v>113</v>
      </c>
      <c r="E70" s="18" t="s">
        <v>31</v>
      </c>
      <c r="G70" s="19"/>
      <c r="H70" s="19"/>
      <c r="I70" s="19"/>
      <c r="J70" s="19">
        <v>0</v>
      </c>
      <c r="K70" s="19">
        <f t="shared" si="12"/>
        <v>0</v>
      </c>
      <c r="M70" s="19">
        <f t="shared" si="13"/>
        <v>0</v>
      </c>
      <c r="N70" s="19">
        <f t="shared" si="14"/>
        <v>0</v>
      </c>
      <c r="O70" s="19">
        <f t="shared" ref="O70" si="21">Q70</f>
        <v>0</v>
      </c>
      <c r="P70" s="19">
        <f t="shared" ref="P70" si="22">J70</f>
        <v>0</v>
      </c>
      <c r="Q70" s="19">
        <f t="shared" ref="Q70" si="23">K70</f>
        <v>0</v>
      </c>
      <c r="R70" s="19"/>
      <c r="S70" s="19"/>
      <c r="T70" s="19"/>
      <c r="U70" s="19"/>
      <c r="V70" s="19"/>
      <c r="W70" s="19"/>
      <c r="Y70" s="5" t="s">
        <v>82</v>
      </c>
    </row>
    <row r="71" spans="4:25" ht="12.75" hidden="1" customHeight="1" x14ac:dyDescent="0.2">
      <c r="E71" s="18"/>
      <c r="G71" s="19"/>
      <c r="H71" s="19"/>
      <c r="I71" s="19"/>
      <c r="K71" s="19">
        <f t="shared" si="12"/>
        <v>0</v>
      </c>
      <c r="M71" s="19">
        <f t="shared" si="13"/>
        <v>0</v>
      </c>
      <c r="N71" s="19">
        <f t="shared" si="14"/>
        <v>0</v>
      </c>
    </row>
    <row r="72" spans="4:25" ht="12.75" customHeight="1" x14ac:dyDescent="0.2">
      <c r="E72" s="18"/>
      <c r="G72" s="19"/>
      <c r="H72" s="19"/>
      <c r="I72" s="19"/>
      <c r="K72" s="19"/>
      <c r="M72" s="19"/>
      <c r="N72" s="19"/>
    </row>
    <row r="73" spans="4:25" x14ac:dyDescent="0.2">
      <c r="D73" s="12" t="s">
        <v>176</v>
      </c>
      <c r="E73" s="18" t="s">
        <v>31</v>
      </c>
      <c r="G73" s="19">
        <f>131580*0.31</f>
        <v>40789.800000000003</v>
      </c>
      <c r="H73" s="19">
        <f>131580*0.04</f>
        <v>5263.2</v>
      </c>
      <c r="I73" s="19">
        <f>131580*0.65</f>
        <v>85527</v>
      </c>
      <c r="J73" s="19">
        <v>0</v>
      </c>
      <c r="K73" s="19">
        <f>I73+H73+G73</f>
        <v>131580</v>
      </c>
      <c r="M73" s="19">
        <f t="shared" si="13"/>
        <v>40789.800000000003</v>
      </c>
      <c r="N73" s="19">
        <f t="shared" si="14"/>
        <v>5263.2</v>
      </c>
      <c r="O73" s="19">
        <f>I73</f>
        <v>85527</v>
      </c>
      <c r="P73" s="19">
        <f t="shared" ref="P73" si="24">J73</f>
        <v>0</v>
      </c>
      <c r="Q73" s="19">
        <f t="shared" ref="Q73" si="25">K73</f>
        <v>131580</v>
      </c>
      <c r="R73" s="19"/>
      <c r="S73" s="19"/>
      <c r="T73" s="19"/>
      <c r="U73" s="19"/>
      <c r="V73" s="19"/>
      <c r="W73" s="19"/>
      <c r="Y73" s="5" t="s">
        <v>82</v>
      </c>
    </row>
    <row r="74" spans="4:25" ht="12.75" hidden="1" customHeight="1" x14ac:dyDescent="0.2">
      <c r="E74" s="18"/>
      <c r="G74" s="19"/>
      <c r="H74" s="19"/>
      <c r="I74" s="19"/>
      <c r="K74" s="19">
        <f t="shared" ref="K74:K135" si="26">I74+H74+G74</f>
        <v>0</v>
      </c>
      <c r="M74" s="19">
        <f t="shared" si="13"/>
        <v>0</v>
      </c>
      <c r="N74" s="19">
        <f t="shared" si="14"/>
        <v>0</v>
      </c>
      <c r="O74" s="19">
        <f t="shared" ref="O74:O135" si="27">I74</f>
        <v>0</v>
      </c>
    </row>
    <row r="75" spans="4:25" hidden="1" x14ac:dyDescent="0.2">
      <c r="D75" s="12" t="s">
        <v>116</v>
      </c>
      <c r="E75" s="18" t="s">
        <v>31</v>
      </c>
      <c r="G75" s="19"/>
      <c r="H75" s="19"/>
      <c r="I75" s="19"/>
      <c r="J75" s="19">
        <v>0</v>
      </c>
      <c r="K75" s="19">
        <f t="shared" si="26"/>
        <v>0</v>
      </c>
      <c r="M75" s="19">
        <f t="shared" si="13"/>
        <v>0</v>
      </c>
      <c r="N75" s="19">
        <f t="shared" si="14"/>
        <v>0</v>
      </c>
      <c r="O75" s="19">
        <f t="shared" si="27"/>
        <v>0</v>
      </c>
      <c r="P75" s="19">
        <f t="shared" ref="P75" si="28">J75</f>
        <v>0</v>
      </c>
      <c r="Q75" s="19">
        <f>K75</f>
        <v>0</v>
      </c>
      <c r="R75" s="19"/>
      <c r="S75" s="19"/>
      <c r="T75" s="19"/>
      <c r="U75" s="19"/>
      <c r="V75" s="19"/>
      <c r="W75" s="19"/>
      <c r="Y75" s="5" t="s">
        <v>82</v>
      </c>
    </row>
    <row r="76" spans="4:25" ht="12.75" hidden="1" customHeight="1" x14ac:dyDescent="0.2">
      <c r="E76" s="18"/>
      <c r="G76" s="19"/>
      <c r="H76" s="19"/>
      <c r="I76" s="19"/>
      <c r="K76" s="19">
        <f t="shared" si="26"/>
        <v>0</v>
      </c>
      <c r="M76" s="19">
        <f t="shared" si="13"/>
        <v>0</v>
      </c>
      <c r="N76" s="19">
        <f t="shared" si="14"/>
        <v>0</v>
      </c>
      <c r="O76" s="19">
        <f t="shared" si="27"/>
        <v>0</v>
      </c>
    </row>
    <row r="77" spans="4:25" hidden="1" x14ac:dyDescent="0.2">
      <c r="D77" s="12" t="s">
        <v>117</v>
      </c>
      <c r="E77" s="18" t="s">
        <v>31</v>
      </c>
      <c r="G77" s="19"/>
      <c r="H77" s="19"/>
      <c r="I77" s="19"/>
      <c r="J77" s="19">
        <v>0</v>
      </c>
      <c r="K77" s="19">
        <f t="shared" si="26"/>
        <v>0</v>
      </c>
      <c r="M77" s="19">
        <f t="shared" si="13"/>
        <v>0</v>
      </c>
      <c r="N77" s="19">
        <f t="shared" si="14"/>
        <v>0</v>
      </c>
      <c r="O77" s="19">
        <f t="shared" si="27"/>
        <v>0</v>
      </c>
      <c r="P77" s="19">
        <f t="shared" ref="P77" si="29">J77</f>
        <v>0</v>
      </c>
      <c r="Q77" s="19">
        <f t="shared" ref="Q77" si="30">K77</f>
        <v>0</v>
      </c>
      <c r="R77" s="19"/>
      <c r="S77" s="19"/>
      <c r="T77" s="19"/>
      <c r="U77" s="19"/>
      <c r="V77" s="19"/>
      <c r="W77" s="19"/>
      <c r="Y77" s="5" t="s">
        <v>82</v>
      </c>
    </row>
    <row r="78" spans="4:25" ht="12.75" customHeight="1" x14ac:dyDescent="0.2">
      <c r="E78" s="18"/>
      <c r="G78" s="19"/>
      <c r="H78" s="19"/>
      <c r="I78" s="19"/>
      <c r="K78" s="19">
        <f t="shared" si="26"/>
        <v>0</v>
      </c>
      <c r="M78" s="19">
        <f t="shared" si="13"/>
        <v>0</v>
      </c>
      <c r="N78" s="19">
        <f t="shared" si="14"/>
        <v>0</v>
      </c>
      <c r="O78" s="19">
        <f t="shared" si="27"/>
        <v>0</v>
      </c>
    </row>
    <row r="79" spans="4:25" x14ac:dyDescent="0.2">
      <c r="D79" s="12" t="s">
        <v>177</v>
      </c>
      <c r="E79" s="18" t="s">
        <v>31</v>
      </c>
      <c r="G79" s="19">
        <f>342450*0.31</f>
        <v>106159.5</v>
      </c>
      <c r="H79" s="19">
        <f>342450*0.04</f>
        <v>13698</v>
      </c>
      <c r="I79" s="19">
        <f>342450*0.65</f>
        <v>222592.5</v>
      </c>
      <c r="J79" s="19">
        <v>0</v>
      </c>
      <c r="K79" s="19">
        <f t="shared" si="26"/>
        <v>342450</v>
      </c>
      <c r="M79" s="19">
        <f t="shared" si="13"/>
        <v>106159.5</v>
      </c>
      <c r="N79" s="19">
        <f t="shared" si="14"/>
        <v>13698</v>
      </c>
      <c r="O79" s="19">
        <f t="shared" si="27"/>
        <v>222592.5</v>
      </c>
      <c r="P79" s="19">
        <f t="shared" ref="P79" si="31">J79</f>
        <v>0</v>
      </c>
      <c r="Q79" s="19">
        <f t="shared" ref="Q79" si="32">K79</f>
        <v>342450</v>
      </c>
      <c r="R79" s="19"/>
      <c r="S79" s="19"/>
      <c r="T79" s="19"/>
      <c r="U79" s="19"/>
      <c r="V79" s="19"/>
      <c r="W79" s="19"/>
      <c r="Y79" s="5" t="s">
        <v>82</v>
      </c>
    </row>
    <row r="80" spans="4:25" ht="12.75" customHeight="1" x14ac:dyDescent="0.2">
      <c r="E80" s="18"/>
      <c r="G80" s="19"/>
      <c r="H80" s="19"/>
      <c r="I80" s="19"/>
      <c r="K80" s="19">
        <f t="shared" si="26"/>
        <v>0</v>
      </c>
      <c r="M80" s="19">
        <f t="shared" si="13"/>
        <v>0</v>
      </c>
      <c r="N80" s="19">
        <f t="shared" si="14"/>
        <v>0</v>
      </c>
      <c r="O80" s="19">
        <f t="shared" si="27"/>
        <v>0</v>
      </c>
    </row>
    <row r="81" spans="4:25" x14ac:dyDescent="0.2">
      <c r="D81" s="12" t="s">
        <v>178</v>
      </c>
      <c r="E81" s="18" t="s">
        <v>31</v>
      </c>
      <c r="G81" s="19">
        <f>297000*0.31</f>
        <v>92070</v>
      </c>
      <c r="H81" s="19">
        <f>297000*0.04</f>
        <v>11880</v>
      </c>
      <c r="I81" s="19">
        <f>297000*0.65</f>
        <v>193050</v>
      </c>
      <c r="J81" s="19">
        <v>0</v>
      </c>
      <c r="K81" s="19">
        <f t="shared" si="26"/>
        <v>297000</v>
      </c>
      <c r="M81" s="19">
        <f t="shared" si="13"/>
        <v>92070</v>
      </c>
      <c r="N81" s="19">
        <f t="shared" si="14"/>
        <v>11880</v>
      </c>
      <c r="O81" s="19">
        <f t="shared" si="27"/>
        <v>193050</v>
      </c>
      <c r="P81" s="19">
        <f t="shared" ref="P81" si="33">J81</f>
        <v>0</v>
      </c>
      <c r="Q81" s="19">
        <f t="shared" ref="Q81" si="34">K81</f>
        <v>297000</v>
      </c>
      <c r="R81" s="19"/>
      <c r="S81" s="19"/>
      <c r="T81" s="19"/>
      <c r="U81" s="19"/>
      <c r="V81" s="19"/>
      <c r="W81" s="19"/>
      <c r="Y81" s="5" t="s">
        <v>82</v>
      </c>
    </row>
    <row r="82" spans="4:25" ht="12.75" customHeight="1" x14ac:dyDescent="0.2">
      <c r="E82" s="18"/>
      <c r="G82" s="19"/>
      <c r="H82" s="19"/>
      <c r="I82" s="19"/>
      <c r="K82" s="19">
        <f t="shared" si="26"/>
        <v>0</v>
      </c>
      <c r="M82" s="19">
        <f t="shared" si="13"/>
        <v>0</v>
      </c>
      <c r="N82" s="19">
        <f t="shared" si="14"/>
        <v>0</v>
      </c>
      <c r="O82" s="19">
        <f t="shared" si="27"/>
        <v>0</v>
      </c>
    </row>
    <row r="83" spans="4:25" x14ac:dyDescent="0.2">
      <c r="D83" s="12" t="s">
        <v>179</v>
      </c>
      <c r="E83" s="18" t="s">
        <v>31</v>
      </c>
      <c r="G83" s="19">
        <f>275000*0.31</f>
        <v>85250</v>
      </c>
      <c r="H83" s="19">
        <f>275000*0.04</f>
        <v>11000</v>
      </c>
      <c r="I83" s="19">
        <f>275000*0.65</f>
        <v>178750</v>
      </c>
      <c r="J83" s="19">
        <v>0</v>
      </c>
      <c r="K83" s="19">
        <f t="shared" si="26"/>
        <v>275000</v>
      </c>
      <c r="M83" s="19">
        <f t="shared" si="13"/>
        <v>85250</v>
      </c>
      <c r="N83" s="19">
        <f t="shared" si="14"/>
        <v>11000</v>
      </c>
      <c r="O83" s="19">
        <f t="shared" si="27"/>
        <v>178750</v>
      </c>
      <c r="P83" s="19">
        <f t="shared" ref="P83" si="35">J83</f>
        <v>0</v>
      </c>
      <c r="Q83" s="19">
        <f t="shared" ref="Q83" si="36">K83</f>
        <v>275000</v>
      </c>
      <c r="R83" s="19"/>
      <c r="S83" s="19"/>
      <c r="T83" s="19"/>
      <c r="U83" s="19"/>
      <c r="V83" s="19"/>
      <c r="W83" s="19"/>
      <c r="Y83" s="5" t="s">
        <v>82</v>
      </c>
    </row>
    <row r="84" spans="4:25" ht="12.75" hidden="1" customHeight="1" x14ac:dyDescent="0.2">
      <c r="E84" s="18"/>
      <c r="G84" s="19"/>
      <c r="H84" s="19"/>
      <c r="I84" s="19"/>
      <c r="K84" s="19">
        <f t="shared" si="26"/>
        <v>0</v>
      </c>
      <c r="M84" s="19">
        <f t="shared" si="13"/>
        <v>0</v>
      </c>
      <c r="N84" s="19">
        <f t="shared" si="14"/>
        <v>0</v>
      </c>
      <c r="O84" s="19">
        <f t="shared" si="27"/>
        <v>0</v>
      </c>
    </row>
    <row r="85" spans="4:25" hidden="1" x14ac:dyDescent="0.2">
      <c r="D85" s="12" t="s">
        <v>120</v>
      </c>
      <c r="E85" s="18" t="s">
        <v>31</v>
      </c>
      <c r="G85" s="19"/>
      <c r="H85" s="19"/>
      <c r="I85" s="19"/>
      <c r="J85" s="19">
        <v>0</v>
      </c>
      <c r="K85" s="19">
        <f t="shared" si="26"/>
        <v>0</v>
      </c>
      <c r="M85" s="19">
        <f t="shared" si="13"/>
        <v>0</v>
      </c>
      <c r="N85" s="19">
        <f t="shared" si="14"/>
        <v>0</v>
      </c>
      <c r="O85" s="19">
        <f t="shared" si="27"/>
        <v>0</v>
      </c>
      <c r="P85" s="19">
        <f t="shared" ref="P85" si="37">J85</f>
        <v>0</v>
      </c>
      <c r="Q85" s="19">
        <f t="shared" ref="Q85" si="38">K85</f>
        <v>0</v>
      </c>
      <c r="R85" s="19"/>
      <c r="S85" s="19"/>
      <c r="T85" s="19"/>
      <c r="U85" s="19"/>
      <c r="V85" s="19"/>
      <c r="W85" s="19"/>
      <c r="Y85" s="5" t="s">
        <v>82</v>
      </c>
    </row>
    <row r="86" spans="4:25" ht="12.75" hidden="1" customHeight="1" x14ac:dyDescent="0.2">
      <c r="E86" s="18"/>
      <c r="G86" s="19"/>
      <c r="H86" s="19"/>
      <c r="I86" s="19"/>
      <c r="K86" s="19">
        <f t="shared" si="26"/>
        <v>0</v>
      </c>
      <c r="M86" s="19">
        <f t="shared" si="13"/>
        <v>0</v>
      </c>
      <c r="N86" s="19">
        <f t="shared" si="14"/>
        <v>0</v>
      </c>
      <c r="O86" s="19">
        <f t="shared" si="27"/>
        <v>0</v>
      </c>
    </row>
    <row r="87" spans="4:25" hidden="1" x14ac:dyDescent="0.2">
      <c r="D87" s="12" t="s">
        <v>121</v>
      </c>
      <c r="E87" s="18" t="s">
        <v>31</v>
      </c>
      <c r="G87" s="19"/>
      <c r="H87" s="19"/>
      <c r="I87" s="19"/>
      <c r="J87" s="19">
        <v>0</v>
      </c>
      <c r="K87" s="19">
        <f t="shared" si="26"/>
        <v>0</v>
      </c>
      <c r="M87" s="19">
        <f t="shared" si="13"/>
        <v>0</v>
      </c>
      <c r="N87" s="19">
        <f t="shared" si="14"/>
        <v>0</v>
      </c>
      <c r="O87" s="19">
        <f t="shared" si="27"/>
        <v>0</v>
      </c>
      <c r="P87" s="19">
        <f t="shared" ref="P87" si="39">J87</f>
        <v>0</v>
      </c>
      <c r="Q87" s="19">
        <f t="shared" ref="Q87" si="40">K87</f>
        <v>0</v>
      </c>
      <c r="R87" s="19"/>
      <c r="S87" s="19"/>
      <c r="T87" s="19"/>
      <c r="U87" s="19"/>
      <c r="V87" s="19"/>
      <c r="W87" s="19"/>
      <c r="Y87" s="5" t="s">
        <v>82</v>
      </c>
    </row>
    <row r="88" spans="4:25" ht="12.75" hidden="1" customHeight="1" x14ac:dyDescent="0.2">
      <c r="E88" s="18"/>
      <c r="G88" s="19"/>
      <c r="H88" s="19"/>
      <c r="I88" s="19"/>
      <c r="K88" s="19">
        <f t="shared" si="26"/>
        <v>0</v>
      </c>
      <c r="M88" s="19">
        <f t="shared" si="13"/>
        <v>0</v>
      </c>
      <c r="N88" s="19">
        <f t="shared" si="14"/>
        <v>0</v>
      </c>
      <c r="O88" s="19">
        <f t="shared" si="27"/>
        <v>0</v>
      </c>
    </row>
    <row r="89" spans="4:25" hidden="1" x14ac:dyDescent="0.2">
      <c r="D89" s="12" t="s">
        <v>122</v>
      </c>
      <c r="E89" s="18" t="s">
        <v>31</v>
      </c>
      <c r="G89" s="19"/>
      <c r="H89" s="19"/>
      <c r="I89" s="19"/>
      <c r="J89" s="19">
        <v>0</v>
      </c>
      <c r="K89" s="19">
        <f t="shared" si="26"/>
        <v>0</v>
      </c>
      <c r="M89" s="19">
        <f t="shared" si="13"/>
        <v>0</v>
      </c>
      <c r="N89" s="19">
        <f t="shared" si="14"/>
        <v>0</v>
      </c>
      <c r="O89" s="19">
        <f t="shared" si="27"/>
        <v>0</v>
      </c>
      <c r="P89" s="19">
        <f t="shared" ref="P89" si="41">J89</f>
        <v>0</v>
      </c>
      <c r="Q89" s="19">
        <f t="shared" ref="Q89" si="42">K89</f>
        <v>0</v>
      </c>
      <c r="R89" s="19"/>
      <c r="S89" s="19"/>
      <c r="T89" s="19"/>
      <c r="U89" s="19"/>
      <c r="V89" s="19"/>
      <c r="W89" s="19"/>
      <c r="Y89" s="5" t="s">
        <v>82</v>
      </c>
    </row>
    <row r="90" spans="4:25" ht="12.75" hidden="1" customHeight="1" x14ac:dyDescent="0.2">
      <c r="E90" s="18"/>
      <c r="G90" s="19"/>
      <c r="H90" s="19"/>
      <c r="I90" s="19"/>
      <c r="K90" s="19">
        <f t="shared" si="26"/>
        <v>0</v>
      </c>
      <c r="M90" s="19">
        <f t="shared" si="13"/>
        <v>0</v>
      </c>
      <c r="N90" s="19">
        <f t="shared" si="14"/>
        <v>0</v>
      </c>
      <c r="O90" s="19">
        <f t="shared" si="27"/>
        <v>0</v>
      </c>
    </row>
    <row r="91" spans="4:25" hidden="1" x14ac:dyDescent="0.2">
      <c r="D91" s="12" t="s">
        <v>123</v>
      </c>
      <c r="E91" s="18" t="s">
        <v>31</v>
      </c>
      <c r="G91" s="19"/>
      <c r="H91" s="19"/>
      <c r="I91" s="19"/>
      <c r="J91" s="19">
        <v>0</v>
      </c>
      <c r="K91" s="19">
        <f t="shared" si="26"/>
        <v>0</v>
      </c>
      <c r="M91" s="19">
        <f t="shared" si="13"/>
        <v>0</v>
      </c>
      <c r="N91" s="19">
        <f t="shared" si="14"/>
        <v>0</v>
      </c>
      <c r="O91" s="19">
        <f t="shared" si="27"/>
        <v>0</v>
      </c>
      <c r="P91" s="19">
        <f t="shared" ref="P91" si="43">J91</f>
        <v>0</v>
      </c>
      <c r="Q91" s="19">
        <f t="shared" ref="Q91" si="44">K91</f>
        <v>0</v>
      </c>
      <c r="R91" s="19"/>
      <c r="S91" s="19"/>
      <c r="T91" s="19"/>
      <c r="U91" s="19"/>
      <c r="V91" s="19"/>
      <c r="W91" s="19"/>
      <c r="Y91" s="5" t="s">
        <v>82</v>
      </c>
    </row>
    <row r="92" spans="4:25" ht="12.75" hidden="1" customHeight="1" x14ac:dyDescent="0.2">
      <c r="E92" s="18"/>
      <c r="G92" s="19"/>
      <c r="H92" s="19"/>
      <c r="I92" s="19"/>
      <c r="K92" s="19">
        <f t="shared" si="26"/>
        <v>0</v>
      </c>
      <c r="M92" s="19">
        <f t="shared" si="13"/>
        <v>0</v>
      </c>
      <c r="N92" s="19">
        <f t="shared" si="14"/>
        <v>0</v>
      </c>
      <c r="O92" s="19">
        <f t="shared" si="27"/>
        <v>0</v>
      </c>
    </row>
    <row r="93" spans="4:25" hidden="1" x14ac:dyDescent="0.2">
      <c r="D93" s="12" t="s">
        <v>124</v>
      </c>
      <c r="E93" s="18" t="s">
        <v>31</v>
      </c>
      <c r="G93" s="19"/>
      <c r="H93" s="19"/>
      <c r="I93" s="19"/>
      <c r="J93" s="19">
        <v>0</v>
      </c>
      <c r="K93" s="19">
        <f t="shared" si="26"/>
        <v>0</v>
      </c>
      <c r="M93" s="19">
        <f t="shared" si="13"/>
        <v>0</v>
      </c>
      <c r="N93" s="19">
        <f t="shared" si="14"/>
        <v>0</v>
      </c>
      <c r="O93" s="19">
        <f t="shared" si="27"/>
        <v>0</v>
      </c>
      <c r="P93" s="19">
        <f t="shared" ref="P93" si="45">J93</f>
        <v>0</v>
      </c>
      <c r="Q93" s="19">
        <f t="shared" ref="Q93" si="46">K93</f>
        <v>0</v>
      </c>
      <c r="R93" s="19"/>
      <c r="S93" s="19"/>
      <c r="T93" s="19"/>
      <c r="U93" s="19"/>
      <c r="V93" s="19"/>
      <c r="W93" s="19"/>
      <c r="Y93" s="5" t="s">
        <v>82</v>
      </c>
    </row>
    <row r="94" spans="4:25" ht="12.75" hidden="1" customHeight="1" x14ac:dyDescent="0.2">
      <c r="E94" s="18"/>
      <c r="G94" s="19"/>
      <c r="H94" s="19"/>
      <c r="I94" s="19"/>
      <c r="K94" s="19">
        <f t="shared" si="26"/>
        <v>0</v>
      </c>
      <c r="M94" s="19">
        <f t="shared" si="13"/>
        <v>0</v>
      </c>
      <c r="N94" s="19">
        <f t="shared" si="14"/>
        <v>0</v>
      </c>
      <c r="O94" s="19">
        <f t="shared" si="27"/>
        <v>0</v>
      </c>
    </row>
    <row r="95" spans="4:25" hidden="1" x14ac:dyDescent="0.2">
      <c r="D95" s="12" t="s">
        <v>125</v>
      </c>
      <c r="E95" s="18" t="s">
        <v>31</v>
      </c>
      <c r="G95" s="19"/>
      <c r="H95" s="19"/>
      <c r="I95" s="19"/>
      <c r="J95" s="19">
        <v>0</v>
      </c>
      <c r="K95" s="19">
        <f t="shared" si="26"/>
        <v>0</v>
      </c>
      <c r="M95" s="19">
        <f t="shared" si="13"/>
        <v>0</v>
      </c>
      <c r="N95" s="19">
        <f t="shared" si="14"/>
        <v>0</v>
      </c>
      <c r="O95" s="19">
        <f t="shared" si="27"/>
        <v>0</v>
      </c>
      <c r="P95" s="19">
        <f t="shared" ref="P95" si="47">J95</f>
        <v>0</v>
      </c>
      <c r="Q95" s="19">
        <f t="shared" ref="Q95" si="48">K95</f>
        <v>0</v>
      </c>
      <c r="R95" s="19"/>
      <c r="S95" s="19"/>
      <c r="T95" s="19"/>
      <c r="U95" s="19"/>
      <c r="V95" s="19"/>
      <c r="W95" s="19"/>
      <c r="Y95" s="5" t="s">
        <v>82</v>
      </c>
    </row>
    <row r="96" spans="4:25" ht="12.75" customHeight="1" x14ac:dyDescent="0.2">
      <c r="E96" s="18"/>
      <c r="G96" s="19"/>
      <c r="H96" s="19"/>
      <c r="I96" s="19"/>
      <c r="K96" s="19">
        <f t="shared" si="26"/>
        <v>0</v>
      </c>
      <c r="M96" s="19">
        <f t="shared" si="13"/>
        <v>0</v>
      </c>
      <c r="N96" s="19">
        <f t="shared" si="14"/>
        <v>0</v>
      </c>
      <c r="O96" s="19">
        <f t="shared" si="27"/>
        <v>0</v>
      </c>
    </row>
    <row r="97" spans="4:25" x14ac:dyDescent="0.2">
      <c r="D97" s="12" t="s">
        <v>126</v>
      </c>
      <c r="E97" s="18" t="s">
        <v>31</v>
      </c>
      <c r="G97" s="19">
        <f>290590*0.31</f>
        <v>90082.9</v>
      </c>
      <c r="H97" s="19">
        <f>209590*0.04</f>
        <v>8383.6</v>
      </c>
      <c r="I97" s="19">
        <f>209590*0.65</f>
        <v>136233.5</v>
      </c>
      <c r="J97" s="19">
        <v>0</v>
      </c>
      <c r="K97" s="19">
        <f t="shared" si="26"/>
        <v>234700</v>
      </c>
      <c r="M97" s="19">
        <f t="shared" si="13"/>
        <v>90082.9</v>
      </c>
      <c r="N97" s="19">
        <f t="shared" si="14"/>
        <v>8383.6</v>
      </c>
      <c r="O97" s="19">
        <f t="shared" si="27"/>
        <v>136233.5</v>
      </c>
      <c r="P97" s="19">
        <f t="shared" ref="P97" si="49">J97</f>
        <v>0</v>
      </c>
      <c r="Q97" s="19">
        <f t="shared" ref="Q97" si="50">K97</f>
        <v>234700</v>
      </c>
      <c r="R97" s="19"/>
      <c r="S97" s="19"/>
      <c r="T97" s="19"/>
      <c r="U97" s="19"/>
      <c r="V97" s="19"/>
      <c r="W97" s="19"/>
      <c r="Y97" s="5" t="s">
        <v>82</v>
      </c>
    </row>
    <row r="98" spans="4:25" ht="12.75" hidden="1" customHeight="1" x14ac:dyDescent="0.2">
      <c r="E98" s="18"/>
      <c r="G98" s="19"/>
      <c r="H98" s="19"/>
      <c r="I98" s="19"/>
      <c r="K98" s="19">
        <f t="shared" si="26"/>
        <v>0</v>
      </c>
      <c r="M98" s="19">
        <f t="shared" si="13"/>
        <v>0</v>
      </c>
      <c r="N98" s="19">
        <f t="shared" si="14"/>
        <v>0</v>
      </c>
      <c r="O98" s="19">
        <f t="shared" si="27"/>
        <v>0</v>
      </c>
    </row>
    <row r="99" spans="4:25" hidden="1" x14ac:dyDescent="0.2">
      <c r="D99" s="12" t="s">
        <v>127</v>
      </c>
      <c r="E99" s="18" t="s">
        <v>31</v>
      </c>
      <c r="G99" s="19"/>
      <c r="H99" s="19"/>
      <c r="I99" s="19"/>
      <c r="J99" s="19">
        <v>0</v>
      </c>
      <c r="K99" s="19">
        <f t="shared" si="26"/>
        <v>0</v>
      </c>
      <c r="M99" s="19">
        <f t="shared" si="13"/>
        <v>0</v>
      </c>
      <c r="N99" s="19">
        <f t="shared" si="14"/>
        <v>0</v>
      </c>
      <c r="O99" s="19">
        <f t="shared" si="27"/>
        <v>0</v>
      </c>
      <c r="P99" s="19">
        <f t="shared" ref="P99" si="51">J99</f>
        <v>0</v>
      </c>
      <c r="Q99" s="19">
        <f t="shared" ref="Q99" si="52">K99</f>
        <v>0</v>
      </c>
      <c r="R99" s="19"/>
      <c r="S99" s="19"/>
      <c r="T99" s="19"/>
      <c r="U99" s="19"/>
      <c r="V99" s="19"/>
      <c r="W99" s="19"/>
      <c r="Y99" s="5" t="s">
        <v>82</v>
      </c>
    </row>
    <row r="100" spans="4:25" ht="12.75" customHeight="1" x14ac:dyDescent="0.2">
      <c r="E100" s="18"/>
      <c r="G100" s="19"/>
      <c r="H100" s="19"/>
      <c r="I100" s="19"/>
      <c r="K100" s="19">
        <f t="shared" si="26"/>
        <v>0</v>
      </c>
      <c r="M100" s="19">
        <f t="shared" si="13"/>
        <v>0</v>
      </c>
      <c r="N100" s="19">
        <f t="shared" si="14"/>
        <v>0</v>
      </c>
      <c r="O100" s="19">
        <f t="shared" si="27"/>
        <v>0</v>
      </c>
    </row>
    <row r="101" spans="4:25" hidden="1" x14ac:dyDescent="0.2">
      <c r="D101" s="12" t="s">
        <v>128</v>
      </c>
      <c r="E101" s="18" t="s">
        <v>31</v>
      </c>
      <c r="G101" s="19"/>
      <c r="H101" s="19"/>
      <c r="I101" s="19"/>
      <c r="J101" s="19">
        <v>0</v>
      </c>
      <c r="K101" s="19">
        <f t="shared" si="26"/>
        <v>0</v>
      </c>
      <c r="M101" s="19">
        <f t="shared" si="13"/>
        <v>0</v>
      </c>
      <c r="N101" s="19">
        <f t="shared" si="14"/>
        <v>0</v>
      </c>
      <c r="O101" s="19">
        <f t="shared" si="27"/>
        <v>0</v>
      </c>
      <c r="P101" s="19">
        <f t="shared" ref="P101" si="53">J101</f>
        <v>0</v>
      </c>
      <c r="Q101" s="19">
        <f t="shared" ref="Q101" si="54">K101</f>
        <v>0</v>
      </c>
      <c r="R101" s="19"/>
      <c r="S101" s="19"/>
      <c r="T101" s="19"/>
      <c r="U101" s="19"/>
      <c r="V101" s="19"/>
      <c r="W101" s="19"/>
      <c r="Y101" s="5" t="s">
        <v>82</v>
      </c>
    </row>
    <row r="102" spans="4:25" ht="12.75" hidden="1" customHeight="1" x14ac:dyDescent="0.2">
      <c r="E102" s="18"/>
      <c r="G102" s="19"/>
      <c r="H102" s="19"/>
      <c r="I102" s="19"/>
      <c r="K102" s="19">
        <f t="shared" si="26"/>
        <v>0</v>
      </c>
      <c r="M102" s="19">
        <f t="shared" si="13"/>
        <v>0</v>
      </c>
      <c r="N102" s="19">
        <f t="shared" si="14"/>
        <v>0</v>
      </c>
      <c r="O102" s="19">
        <f t="shared" si="27"/>
        <v>0</v>
      </c>
    </row>
    <row r="103" spans="4:25" hidden="1" x14ac:dyDescent="0.2">
      <c r="D103" s="12" t="s">
        <v>129</v>
      </c>
      <c r="E103" s="18" t="s">
        <v>31</v>
      </c>
      <c r="G103" s="19"/>
      <c r="H103" s="19"/>
      <c r="I103" s="19"/>
      <c r="J103" s="19">
        <v>0</v>
      </c>
      <c r="K103" s="19">
        <f t="shared" si="26"/>
        <v>0</v>
      </c>
      <c r="M103" s="19">
        <f t="shared" si="13"/>
        <v>0</v>
      </c>
      <c r="N103" s="19">
        <f t="shared" si="14"/>
        <v>0</v>
      </c>
      <c r="O103" s="19">
        <f t="shared" si="27"/>
        <v>0</v>
      </c>
      <c r="P103" s="19">
        <f t="shared" ref="P103" si="55">J103</f>
        <v>0</v>
      </c>
      <c r="Q103" s="19">
        <f t="shared" ref="Q103" si="56">K103</f>
        <v>0</v>
      </c>
      <c r="R103" s="19"/>
      <c r="S103" s="19"/>
      <c r="T103" s="19"/>
      <c r="U103" s="19"/>
      <c r="V103" s="19"/>
      <c r="W103" s="19"/>
      <c r="Y103" s="5" t="s">
        <v>82</v>
      </c>
    </row>
    <row r="104" spans="4:25" ht="12.75" hidden="1" customHeight="1" x14ac:dyDescent="0.2">
      <c r="E104" s="18"/>
      <c r="G104" s="19"/>
      <c r="H104" s="19"/>
      <c r="I104" s="19"/>
      <c r="K104" s="19">
        <f t="shared" si="26"/>
        <v>0</v>
      </c>
      <c r="M104" s="19">
        <f t="shared" si="13"/>
        <v>0</v>
      </c>
      <c r="N104" s="19">
        <f t="shared" si="14"/>
        <v>0</v>
      </c>
      <c r="O104" s="19">
        <f t="shared" si="27"/>
        <v>0</v>
      </c>
    </row>
    <row r="105" spans="4:25" hidden="1" x14ac:dyDescent="0.2">
      <c r="D105" s="12" t="s">
        <v>130</v>
      </c>
      <c r="E105" s="18" t="s">
        <v>31</v>
      </c>
      <c r="G105" s="19"/>
      <c r="H105" s="19"/>
      <c r="I105" s="19"/>
      <c r="J105" s="19">
        <v>0</v>
      </c>
      <c r="K105" s="19">
        <f t="shared" si="26"/>
        <v>0</v>
      </c>
      <c r="M105" s="19">
        <f t="shared" si="13"/>
        <v>0</v>
      </c>
      <c r="N105" s="19">
        <f t="shared" si="14"/>
        <v>0</v>
      </c>
      <c r="O105" s="19">
        <f t="shared" si="27"/>
        <v>0</v>
      </c>
      <c r="P105" s="19">
        <f t="shared" ref="P105" si="57">J105</f>
        <v>0</v>
      </c>
      <c r="Q105" s="19">
        <f t="shared" ref="Q105" si="58">K105</f>
        <v>0</v>
      </c>
      <c r="R105" s="19"/>
      <c r="S105" s="19"/>
      <c r="T105" s="19"/>
      <c r="U105" s="19"/>
      <c r="V105" s="19"/>
      <c r="W105" s="19"/>
      <c r="Y105" s="5" t="s">
        <v>82</v>
      </c>
    </row>
    <row r="106" spans="4:25" ht="12.75" hidden="1" customHeight="1" x14ac:dyDescent="0.2">
      <c r="E106" s="18"/>
      <c r="G106" s="19"/>
      <c r="H106" s="19"/>
      <c r="I106" s="19"/>
      <c r="K106" s="19">
        <f t="shared" si="26"/>
        <v>0</v>
      </c>
      <c r="M106" s="19">
        <f t="shared" si="13"/>
        <v>0</v>
      </c>
      <c r="N106" s="19">
        <f t="shared" si="14"/>
        <v>0</v>
      </c>
      <c r="O106" s="19">
        <f t="shared" si="27"/>
        <v>0</v>
      </c>
    </row>
    <row r="107" spans="4:25" hidden="1" x14ac:dyDescent="0.2">
      <c r="D107" s="12" t="s">
        <v>131</v>
      </c>
      <c r="E107" s="18" t="s">
        <v>31</v>
      </c>
      <c r="G107" s="19"/>
      <c r="H107" s="19"/>
      <c r="I107" s="19"/>
      <c r="J107" s="19">
        <v>0</v>
      </c>
      <c r="K107" s="19">
        <f t="shared" si="26"/>
        <v>0</v>
      </c>
      <c r="M107" s="19">
        <f t="shared" si="13"/>
        <v>0</v>
      </c>
      <c r="N107" s="19">
        <f t="shared" si="14"/>
        <v>0</v>
      </c>
      <c r="O107" s="19">
        <f t="shared" si="27"/>
        <v>0</v>
      </c>
      <c r="P107" s="19">
        <f t="shared" ref="P107" si="59">J107</f>
        <v>0</v>
      </c>
      <c r="Q107" s="19">
        <f t="shared" ref="Q107" si="60">K107</f>
        <v>0</v>
      </c>
      <c r="R107" s="19"/>
      <c r="S107" s="19"/>
      <c r="T107" s="19"/>
      <c r="U107" s="19"/>
      <c r="V107" s="19"/>
      <c r="W107" s="19"/>
      <c r="Y107" s="5" t="s">
        <v>82</v>
      </c>
    </row>
    <row r="108" spans="4:25" ht="12.75" hidden="1" customHeight="1" x14ac:dyDescent="0.2">
      <c r="E108" s="18"/>
      <c r="G108" s="19"/>
      <c r="H108" s="19"/>
      <c r="I108" s="19"/>
      <c r="K108" s="19">
        <f t="shared" si="26"/>
        <v>0</v>
      </c>
      <c r="M108" s="19">
        <f t="shared" si="13"/>
        <v>0</v>
      </c>
      <c r="N108" s="19">
        <f t="shared" si="14"/>
        <v>0</v>
      </c>
      <c r="O108" s="19">
        <f t="shared" si="27"/>
        <v>0</v>
      </c>
    </row>
    <row r="109" spans="4:25" hidden="1" x14ac:dyDescent="0.2">
      <c r="D109" s="12" t="s">
        <v>132</v>
      </c>
      <c r="E109" s="18" t="s">
        <v>31</v>
      </c>
      <c r="G109" s="19"/>
      <c r="H109" s="19"/>
      <c r="I109" s="19"/>
      <c r="J109" s="19">
        <v>0</v>
      </c>
      <c r="K109" s="19">
        <f t="shared" si="26"/>
        <v>0</v>
      </c>
      <c r="M109" s="19">
        <f t="shared" si="13"/>
        <v>0</v>
      </c>
      <c r="N109" s="19">
        <f t="shared" si="14"/>
        <v>0</v>
      </c>
      <c r="O109" s="19">
        <f t="shared" si="27"/>
        <v>0</v>
      </c>
      <c r="P109" s="19">
        <f t="shared" ref="P109" si="61">J109</f>
        <v>0</v>
      </c>
      <c r="Q109" s="19">
        <f t="shared" ref="Q109" si="62">K109</f>
        <v>0</v>
      </c>
      <c r="R109" s="19"/>
      <c r="S109" s="19"/>
      <c r="T109" s="19"/>
      <c r="U109" s="19"/>
      <c r="V109" s="19"/>
      <c r="W109" s="19"/>
      <c r="Y109" s="5" t="s">
        <v>82</v>
      </c>
    </row>
    <row r="110" spans="4:25" ht="12.75" hidden="1" customHeight="1" x14ac:dyDescent="0.2">
      <c r="E110" s="18"/>
      <c r="G110" s="19"/>
      <c r="H110" s="19"/>
      <c r="I110" s="19"/>
      <c r="K110" s="19">
        <f t="shared" si="26"/>
        <v>0</v>
      </c>
      <c r="M110" s="19">
        <f t="shared" si="13"/>
        <v>0</v>
      </c>
      <c r="N110" s="19">
        <f t="shared" si="14"/>
        <v>0</v>
      </c>
      <c r="O110" s="19">
        <f t="shared" si="27"/>
        <v>0</v>
      </c>
    </row>
    <row r="111" spans="4:25" hidden="1" x14ac:dyDescent="0.2">
      <c r="D111" s="12" t="s">
        <v>133</v>
      </c>
      <c r="E111" s="18" t="s">
        <v>31</v>
      </c>
      <c r="G111" s="19"/>
      <c r="H111" s="19"/>
      <c r="I111" s="19"/>
      <c r="J111" s="19">
        <v>0</v>
      </c>
      <c r="K111" s="19">
        <f t="shared" si="26"/>
        <v>0</v>
      </c>
      <c r="M111" s="19">
        <f t="shared" si="13"/>
        <v>0</v>
      </c>
      <c r="N111" s="19">
        <f t="shared" si="14"/>
        <v>0</v>
      </c>
      <c r="O111" s="19">
        <f t="shared" si="27"/>
        <v>0</v>
      </c>
      <c r="P111" s="19">
        <f t="shared" ref="P111" si="63">J111</f>
        <v>0</v>
      </c>
      <c r="Q111" s="19">
        <f t="shared" ref="Q111" si="64">K111</f>
        <v>0</v>
      </c>
      <c r="R111" s="19"/>
      <c r="S111" s="19"/>
      <c r="T111" s="19"/>
      <c r="U111" s="19"/>
      <c r="V111" s="19"/>
      <c r="W111" s="19"/>
      <c r="Y111" s="5" t="s">
        <v>82</v>
      </c>
    </row>
    <row r="112" spans="4:25" ht="12.75" hidden="1" customHeight="1" x14ac:dyDescent="0.2">
      <c r="E112" s="18"/>
      <c r="G112" s="19"/>
      <c r="H112" s="19"/>
      <c r="I112" s="19"/>
      <c r="K112" s="19">
        <f t="shared" si="26"/>
        <v>0</v>
      </c>
      <c r="M112" s="19">
        <f t="shared" si="13"/>
        <v>0</v>
      </c>
      <c r="N112" s="19">
        <f t="shared" si="14"/>
        <v>0</v>
      </c>
      <c r="O112" s="19">
        <f t="shared" si="27"/>
        <v>0</v>
      </c>
    </row>
    <row r="113" spans="4:25" hidden="1" x14ac:dyDescent="0.2">
      <c r="D113" s="12" t="s">
        <v>134</v>
      </c>
      <c r="E113" s="18" t="s">
        <v>31</v>
      </c>
      <c r="G113" s="19"/>
      <c r="H113" s="19"/>
      <c r="I113" s="19"/>
      <c r="J113" s="19">
        <v>0</v>
      </c>
      <c r="K113" s="19">
        <f t="shared" si="26"/>
        <v>0</v>
      </c>
      <c r="M113" s="19">
        <f t="shared" si="13"/>
        <v>0</v>
      </c>
      <c r="N113" s="19">
        <f t="shared" si="14"/>
        <v>0</v>
      </c>
      <c r="O113" s="19">
        <f t="shared" si="27"/>
        <v>0</v>
      </c>
      <c r="P113" s="19">
        <f t="shared" ref="P113" si="65">J113</f>
        <v>0</v>
      </c>
      <c r="Q113" s="19">
        <f t="shared" ref="Q113" si="66">K113</f>
        <v>0</v>
      </c>
      <c r="R113" s="19"/>
      <c r="S113" s="19"/>
      <c r="T113" s="19"/>
      <c r="U113" s="19"/>
      <c r="V113" s="19"/>
      <c r="W113" s="19"/>
      <c r="Y113" s="5" t="s">
        <v>82</v>
      </c>
    </row>
    <row r="114" spans="4:25" ht="12.75" hidden="1" customHeight="1" x14ac:dyDescent="0.2">
      <c r="E114" s="18"/>
      <c r="G114" s="19"/>
      <c r="H114" s="19"/>
      <c r="I114" s="19"/>
      <c r="K114" s="19">
        <f t="shared" si="26"/>
        <v>0</v>
      </c>
      <c r="M114" s="19">
        <f t="shared" si="13"/>
        <v>0</v>
      </c>
      <c r="N114" s="19">
        <f t="shared" si="14"/>
        <v>0</v>
      </c>
      <c r="O114" s="19">
        <f t="shared" si="27"/>
        <v>0</v>
      </c>
    </row>
    <row r="115" spans="4:25" hidden="1" x14ac:dyDescent="0.2">
      <c r="D115" s="12" t="s">
        <v>135</v>
      </c>
      <c r="E115" s="18" t="s">
        <v>31</v>
      </c>
      <c r="G115" s="19"/>
      <c r="H115" s="19"/>
      <c r="I115" s="19"/>
      <c r="J115" s="19">
        <v>0</v>
      </c>
      <c r="K115" s="19">
        <f t="shared" si="26"/>
        <v>0</v>
      </c>
      <c r="M115" s="19">
        <f t="shared" si="13"/>
        <v>0</v>
      </c>
      <c r="N115" s="19">
        <f t="shared" si="14"/>
        <v>0</v>
      </c>
      <c r="O115" s="19">
        <f t="shared" si="27"/>
        <v>0</v>
      </c>
      <c r="P115" s="19">
        <f t="shared" ref="P115" si="67">J115</f>
        <v>0</v>
      </c>
      <c r="Q115" s="19">
        <f t="shared" ref="Q115" si="68">K115</f>
        <v>0</v>
      </c>
      <c r="R115" s="19"/>
      <c r="S115" s="19"/>
      <c r="T115" s="19"/>
      <c r="U115" s="19"/>
      <c r="V115" s="19"/>
      <c r="W115" s="19"/>
      <c r="Y115" s="5" t="s">
        <v>82</v>
      </c>
    </row>
    <row r="116" spans="4:25" ht="12.75" hidden="1" customHeight="1" x14ac:dyDescent="0.2">
      <c r="E116" s="18"/>
      <c r="G116" s="19"/>
      <c r="H116" s="19"/>
      <c r="I116" s="19"/>
      <c r="K116" s="19">
        <f t="shared" si="26"/>
        <v>0</v>
      </c>
      <c r="M116" s="19">
        <f t="shared" si="13"/>
        <v>0</v>
      </c>
      <c r="N116" s="19">
        <f t="shared" si="14"/>
        <v>0</v>
      </c>
      <c r="O116" s="19">
        <f t="shared" si="27"/>
        <v>0</v>
      </c>
    </row>
    <row r="117" spans="4:25" hidden="1" x14ac:dyDescent="0.2">
      <c r="D117" s="12" t="s">
        <v>137</v>
      </c>
      <c r="E117" s="18" t="s">
        <v>31</v>
      </c>
      <c r="G117" s="19"/>
      <c r="H117" s="19"/>
      <c r="I117" s="19"/>
      <c r="J117" s="19">
        <v>0</v>
      </c>
      <c r="K117" s="19">
        <f t="shared" si="26"/>
        <v>0</v>
      </c>
      <c r="M117" s="19">
        <f t="shared" si="13"/>
        <v>0</v>
      </c>
      <c r="N117" s="19">
        <f t="shared" si="14"/>
        <v>0</v>
      </c>
      <c r="O117" s="19">
        <f t="shared" si="27"/>
        <v>0</v>
      </c>
      <c r="P117" s="19">
        <f t="shared" ref="P117" si="69">J117</f>
        <v>0</v>
      </c>
      <c r="Q117" s="19">
        <f t="shared" ref="Q117" si="70">K117</f>
        <v>0</v>
      </c>
      <c r="R117" s="19"/>
      <c r="S117" s="19"/>
      <c r="T117" s="19"/>
      <c r="U117" s="19"/>
      <c r="V117" s="19"/>
      <c r="W117" s="19"/>
      <c r="Y117" s="5" t="s">
        <v>82</v>
      </c>
    </row>
    <row r="118" spans="4:25" ht="12.75" hidden="1" customHeight="1" x14ac:dyDescent="0.2">
      <c r="E118" s="18"/>
      <c r="G118" s="19"/>
      <c r="H118" s="19"/>
      <c r="I118" s="19"/>
      <c r="K118" s="19">
        <f t="shared" si="26"/>
        <v>0</v>
      </c>
      <c r="M118" s="19">
        <f t="shared" si="13"/>
        <v>0</v>
      </c>
      <c r="N118" s="19">
        <f t="shared" si="14"/>
        <v>0</v>
      </c>
      <c r="O118" s="19">
        <f t="shared" si="27"/>
        <v>0</v>
      </c>
    </row>
    <row r="119" spans="4:25" hidden="1" x14ac:dyDescent="0.2">
      <c r="D119" s="12" t="s">
        <v>140</v>
      </c>
      <c r="E119" s="18" t="s">
        <v>31</v>
      </c>
      <c r="G119" s="19"/>
      <c r="H119" s="19"/>
      <c r="I119" s="19"/>
      <c r="J119" s="19">
        <v>0</v>
      </c>
      <c r="K119" s="19">
        <f t="shared" si="26"/>
        <v>0</v>
      </c>
      <c r="M119" s="19">
        <f t="shared" ref="M119:M139" si="71">G119</f>
        <v>0</v>
      </c>
      <c r="N119" s="19">
        <f t="shared" ref="N119:N139" si="72">H119</f>
        <v>0</v>
      </c>
      <c r="O119" s="19">
        <f t="shared" si="27"/>
        <v>0</v>
      </c>
      <c r="P119" s="19">
        <f t="shared" ref="P119" si="73">J119</f>
        <v>0</v>
      </c>
      <c r="Q119" s="19">
        <f t="shared" ref="Q119" si="74">K119</f>
        <v>0</v>
      </c>
      <c r="R119" s="19"/>
      <c r="S119" s="19"/>
      <c r="T119" s="19"/>
      <c r="U119" s="19"/>
      <c r="V119" s="19"/>
      <c r="W119" s="19"/>
      <c r="Y119" s="5" t="s">
        <v>82</v>
      </c>
    </row>
    <row r="120" spans="4:25" ht="12.75" hidden="1" customHeight="1" x14ac:dyDescent="0.2">
      <c r="E120" s="18"/>
      <c r="G120" s="19"/>
      <c r="H120" s="19"/>
      <c r="I120" s="19"/>
      <c r="K120" s="19">
        <f t="shared" si="26"/>
        <v>0</v>
      </c>
      <c r="M120" s="19">
        <f t="shared" si="71"/>
        <v>0</v>
      </c>
      <c r="N120" s="19">
        <f t="shared" si="72"/>
        <v>0</v>
      </c>
      <c r="O120" s="19">
        <f t="shared" si="27"/>
        <v>0</v>
      </c>
    </row>
    <row r="121" spans="4:25" hidden="1" x14ac:dyDescent="0.2">
      <c r="D121" s="12" t="s">
        <v>141</v>
      </c>
      <c r="E121" s="18" t="s">
        <v>31</v>
      </c>
      <c r="G121" s="19"/>
      <c r="H121" s="19"/>
      <c r="I121" s="19"/>
      <c r="J121" s="19">
        <v>0</v>
      </c>
      <c r="K121" s="19">
        <f t="shared" si="26"/>
        <v>0</v>
      </c>
      <c r="M121" s="19">
        <f t="shared" si="71"/>
        <v>0</v>
      </c>
      <c r="N121" s="19">
        <f t="shared" si="72"/>
        <v>0</v>
      </c>
      <c r="O121" s="19">
        <f t="shared" si="27"/>
        <v>0</v>
      </c>
      <c r="P121" s="19">
        <f t="shared" ref="P121" si="75">J121</f>
        <v>0</v>
      </c>
      <c r="Q121" s="19">
        <f t="shared" ref="Q121" si="76">K121</f>
        <v>0</v>
      </c>
      <c r="R121" s="19"/>
      <c r="S121" s="19"/>
      <c r="T121" s="19"/>
      <c r="U121" s="19"/>
      <c r="V121" s="19"/>
      <c r="W121" s="19"/>
      <c r="Y121" s="5" t="s">
        <v>82</v>
      </c>
    </row>
    <row r="122" spans="4:25" ht="12.75" hidden="1" customHeight="1" x14ac:dyDescent="0.2">
      <c r="E122" s="18"/>
      <c r="G122" s="19"/>
      <c r="H122" s="19"/>
      <c r="I122" s="19"/>
      <c r="K122" s="19">
        <f t="shared" si="26"/>
        <v>0</v>
      </c>
      <c r="M122" s="19">
        <f t="shared" si="71"/>
        <v>0</v>
      </c>
      <c r="N122" s="19">
        <f t="shared" si="72"/>
        <v>0</v>
      </c>
      <c r="O122" s="19">
        <f t="shared" si="27"/>
        <v>0</v>
      </c>
    </row>
    <row r="123" spans="4:25" hidden="1" x14ac:dyDescent="0.2">
      <c r="D123" s="12" t="s">
        <v>162</v>
      </c>
      <c r="E123" s="18" t="s">
        <v>31</v>
      </c>
      <c r="G123" s="19"/>
      <c r="H123" s="19"/>
      <c r="I123" s="19"/>
      <c r="J123" s="19">
        <v>0</v>
      </c>
      <c r="K123" s="19">
        <f>I123+H123+G123</f>
        <v>0</v>
      </c>
      <c r="M123" s="19">
        <f t="shared" ref="M123:O126" si="77">G123</f>
        <v>0</v>
      </c>
      <c r="N123" s="19">
        <f t="shared" si="77"/>
        <v>0</v>
      </c>
      <c r="O123" s="19">
        <f t="shared" si="77"/>
        <v>0</v>
      </c>
      <c r="P123" s="19">
        <f t="shared" ref="P123" si="78">J123</f>
        <v>0</v>
      </c>
      <c r="Q123" s="19">
        <f t="shared" ref="Q123" si="79">K123</f>
        <v>0</v>
      </c>
      <c r="R123" s="19"/>
      <c r="S123" s="19"/>
      <c r="T123" s="19"/>
      <c r="U123" s="19"/>
      <c r="V123" s="19"/>
      <c r="W123" s="19"/>
      <c r="Y123" s="5" t="s">
        <v>82</v>
      </c>
    </row>
    <row r="124" spans="4:25" ht="12.75" hidden="1" customHeight="1" x14ac:dyDescent="0.2">
      <c r="E124" s="18"/>
      <c r="G124" s="19"/>
      <c r="H124" s="19"/>
      <c r="I124" s="19"/>
      <c r="K124" s="19">
        <f>I124+H124+G124</f>
        <v>0</v>
      </c>
      <c r="M124" s="19">
        <f t="shared" si="77"/>
        <v>0</v>
      </c>
      <c r="N124" s="19">
        <f t="shared" si="77"/>
        <v>0</v>
      </c>
      <c r="O124" s="19">
        <f t="shared" si="77"/>
        <v>0</v>
      </c>
    </row>
    <row r="125" spans="4:25" x14ac:dyDescent="0.2">
      <c r="D125" s="12" t="s">
        <v>163</v>
      </c>
      <c r="E125" s="18" t="s">
        <v>31</v>
      </c>
      <c r="G125" s="19">
        <f>370000*0.31</f>
        <v>114700</v>
      </c>
      <c r="H125" s="19">
        <f>370000*0.04</f>
        <v>14800</v>
      </c>
      <c r="I125" s="19">
        <f>370000*0.65</f>
        <v>240500</v>
      </c>
      <c r="J125" s="19">
        <v>0</v>
      </c>
      <c r="K125" s="19">
        <f>I125+H125+G125</f>
        <v>370000</v>
      </c>
      <c r="M125" s="19">
        <f t="shared" si="77"/>
        <v>114700</v>
      </c>
      <c r="N125" s="19">
        <f t="shared" si="77"/>
        <v>14800</v>
      </c>
      <c r="O125" s="19">
        <f t="shared" si="77"/>
        <v>240500</v>
      </c>
      <c r="P125" s="19">
        <f t="shared" ref="P125" si="80">J125</f>
        <v>0</v>
      </c>
      <c r="Q125" s="19">
        <f t="shared" ref="Q125" si="81">K125</f>
        <v>370000</v>
      </c>
      <c r="R125" s="19"/>
      <c r="S125" s="19"/>
      <c r="T125" s="19"/>
      <c r="U125" s="19"/>
      <c r="V125" s="19"/>
      <c r="W125" s="19"/>
      <c r="Y125" s="5" t="s">
        <v>82</v>
      </c>
    </row>
    <row r="126" spans="4:25" ht="12.75" customHeight="1" x14ac:dyDescent="0.2">
      <c r="E126" s="18"/>
      <c r="G126" s="19"/>
      <c r="H126" s="19"/>
      <c r="I126" s="19"/>
      <c r="K126" s="19">
        <f>I126+H126+G126</f>
        <v>0</v>
      </c>
      <c r="M126" s="19">
        <f t="shared" si="77"/>
        <v>0</v>
      </c>
      <c r="N126" s="19">
        <f t="shared" si="77"/>
        <v>0</v>
      </c>
      <c r="O126" s="19">
        <f t="shared" si="77"/>
        <v>0</v>
      </c>
    </row>
    <row r="127" spans="4:25" hidden="1" x14ac:dyDescent="0.2">
      <c r="D127" s="12" t="s">
        <v>142</v>
      </c>
      <c r="E127" s="18" t="s">
        <v>31</v>
      </c>
      <c r="G127" s="19"/>
      <c r="H127" s="19"/>
      <c r="I127" s="19"/>
      <c r="J127" s="19">
        <v>0</v>
      </c>
      <c r="K127" s="19">
        <f t="shared" si="26"/>
        <v>0</v>
      </c>
      <c r="M127" s="19">
        <f t="shared" si="71"/>
        <v>0</v>
      </c>
      <c r="N127" s="19">
        <f t="shared" si="72"/>
        <v>0</v>
      </c>
      <c r="O127" s="19">
        <f t="shared" si="27"/>
        <v>0</v>
      </c>
      <c r="P127" s="19">
        <f t="shared" ref="P127" si="82">J127</f>
        <v>0</v>
      </c>
      <c r="Q127" s="19">
        <f t="shared" ref="Q127" si="83">K127</f>
        <v>0</v>
      </c>
      <c r="R127" s="19"/>
      <c r="S127" s="19"/>
      <c r="T127" s="19"/>
      <c r="U127" s="19"/>
      <c r="V127" s="19"/>
      <c r="W127" s="19"/>
      <c r="Y127" s="5" t="s">
        <v>82</v>
      </c>
    </row>
    <row r="128" spans="4:25" ht="12.75" hidden="1" customHeight="1" x14ac:dyDescent="0.2">
      <c r="E128" s="18"/>
      <c r="G128" s="19"/>
      <c r="H128" s="19"/>
      <c r="I128" s="19"/>
      <c r="K128" s="19">
        <f t="shared" si="26"/>
        <v>0</v>
      </c>
      <c r="M128" s="19">
        <f t="shared" si="71"/>
        <v>0</v>
      </c>
      <c r="N128" s="19">
        <f t="shared" si="72"/>
        <v>0</v>
      </c>
      <c r="O128" s="19">
        <f t="shared" si="27"/>
        <v>0</v>
      </c>
    </row>
    <row r="129" spans="1:25" hidden="1" x14ac:dyDescent="0.2">
      <c r="D129" s="12" t="s">
        <v>164</v>
      </c>
      <c r="E129" s="18" t="s">
        <v>31</v>
      </c>
      <c r="G129" s="19"/>
      <c r="H129" s="19"/>
      <c r="I129" s="19"/>
      <c r="J129" s="19">
        <v>0</v>
      </c>
      <c r="K129" s="19">
        <f>I129+H129+G129</f>
        <v>0</v>
      </c>
      <c r="M129" s="19">
        <f t="shared" ref="M129:O130" si="84">G129</f>
        <v>0</v>
      </c>
      <c r="N129" s="19">
        <f t="shared" si="84"/>
        <v>0</v>
      </c>
      <c r="O129" s="19">
        <f t="shared" si="84"/>
        <v>0</v>
      </c>
      <c r="P129" s="19">
        <f t="shared" ref="P129" si="85">J129</f>
        <v>0</v>
      </c>
      <c r="Q129" s="19">
        <f t="shared" ref="Q129" si="86">K129</f>
        <v>0</v>
      </c>
      <c r="R129" s="19"/>
      <c r="S129" s="19"/>
      <c r="T129" s="19"/>
      <c r="U129" s="19"/>
      <c r="V129" s="19"/>
      <c r="W129" s="19"/>
      <c r="Y129" s="5" t="s">
        <v>82</v>
      </c>
    </row>
    <row r="130" spans="1:25" ht="12.75" hidden="1" customHeight="1" x14ac:dyDescent="0.2">
      <c r="E130" s="18"/>
      <c r="G130" s="19"/>
      <c r="H130" s="19"/>
      <c r="I130" s="19"/>
      <c r="K130" s="19">
        <f>I130+H130+G130</f>
        <v>0</v>
      </c>
      <c r="M130" s="19">
        <f t="shared" si="84"/>
        <v>0</v>
      </c>
      <c r="N130" s="19">
        <f t="shared" si="84"/>
        <v>0</v>
      </c>
      <c r="O130" s="19">
        <f t="shared" si="84"/>
        <v>0</v>
      </c>
    </row>
    <row r="131" spans="1:25" x14ac:dyDescent="0.2">
      <c r="D131" s="12" t="s">
        <v>143</v>
      </c>
      <c r="E131" s="18" t="s">
        <v>31</v>
      </c>
      <c r="G131" s="19">
        <f>68000*0.31</f>
        <v>21080</v>
      </c>
      <c r="H131" s="19">
        <f>68000*0.04</f>
        <v>2720</v>
      </c>
      <c r="I131" s="19">
        <f>68000*0.65</f>
        <v>44200</v>
      </c>
      <c r="J131" s="19">
        <v>0</v>
      </c>
      <c r="K131" s="19">
        <f t="shared" si="26"/>
        <v>68000</v>
      </c>
      <c r="M131" s="19">
        <f t="shared" si="71"/>
        <v>21080</v>
      </c>
      <c r="N131" s="19">
        <f t="shared" si="72"/>
        <v>2720</v>
      </c>
      <c r="O131" s="19">
        <f t="shared" si="27"/>
        <v>44200</v>
      </c>
      <c r="P131" s="19">
        <f t="shared" ref="P131" si="87">J131</f>
        <v>0</v>
      </c>
      <c r="Q131" s="19">
        <f t="shared" ref="Q131" si="88">K131</f>
        <v>68000</v>
      </c>
      <c r="R131" s="19"/>
      <c r="S131" s="19"/>
      <c r="T131" s="19"/>
      <c r="U131" s="19"/>
      <c r="V131" s="19"/>
      <c r="W131" s="19"/>
      <c r="Y131" s="5" t="s">
        <v>82</v>
      </c>
    </row>
    <row r="132" spans="1:25" ht="12.75" hidden="1" customHeight="1" x14ac:dyDescent="0.2">
      <c r="E132" s="18"/>
      <c r="G132" s="19"/>
      <c r="H132" s="19"/>
      <c r="I132" s="19"/>
      <c r="K132" s="19">
        <f t="shared" si="26"/>
        <v>0</v>
      </c>
      <c r="M132" s="19">
        <f t="shared" si="71"/>
        <v>0</v>
      </c>
      <c r="N132" s="19">
        <f t="shared" si="72"/>
        <v>0</v>
      </c>
      <c r="O132" s="19">
        <f t="shared" si="27"/>
        <v>0</v>
      </c>
    </row>
    <row r="133" spans="1:25" hidden="1" x14ac:dyDescent="0.2">
      <c r="D133" s="12" t="s">
        <v>165</v>
      </c>
      <c r="E133" s="18" t="s">
        <v>31</v>
      </c>
      <c r="G133" s="19"/>
      <c r="H133" s="19"/>
      <c r="I133" s="19"/>
      <c r="J133" s="19">
        <v>0</v>
      </c>
      <c r="K133" s="19">
        <f t="shared" si="26"/>
        <v>0</v>
      </c>
      <c r="M133" s="19">
        <f t="shared" si="71"/>
        <v>0</v>
      </c>
      <c r="N133" s="19">
        <f t="shared" si="72"/>
        <v>0</v>
      </c>
      <c r="O133" s="19">
        <f t="shared" si="27"/>
        <v>0</v>
      </c>
      <c r="P133" s="19">
        <f t="shared" ref="P133" si="89">J133</f>
        <v>0</v>
      </c>
      <c r="Q133" s="19">
        <f t="shared" ref="Q133" si="90">K133</f>
        <v>0</v>
      </c>
      <c r="R133" s="19"/>
      <c r="S133" s="19"/>
      <c r="T133" s="19"/>
      <c r="U133" s="19"/>
      <c r="V133" s="19"/>
      <c r="W133" s="19"/>
      <c r="Y133" s="5" t="s">
        <v>82</v>
      </c>
    </row>
    <row r="134" spans="1:25" ht="12.75" hidden="1" customHeight="1" x14ac:dyDescent="0.2">
      <c r="E134" s="18"/>
      <c r="G134" s="19"/>
      <c r="H134" s="19"/>
      <c r="I134" s="19"/>
      <c r="K134" s="19">
        <f t="shared" si="26"/>
        <v>0</v>
      </c>
      <c r="M134" s="19">
        <f t="shared" si="71"/>
        <v>0</v>
      </c>
      <c r="N134" s="19">
        <f t="shared" si="72"/>
        <v>0</v>
      </c>
      <c r="O134" s="19">
        <f t="shared" si="27"/>
        <v>0</v>
      </c>
    </row>
    <row r="135" spans="1:25" hidden="1" x14ac:dyDescent="0.2">
      <c r="D135" s="12" t="s">
        <v>146</v>
      </c>
      <c r="E135" s="18" t="s">
        <v>31</v>
      </c>
      <c r="G135" s="19"/>
      <c r="H135" s="19"/>
      <c r="I135" s="19"/>
      <c r="J135" s="19">
        <v>0</v>
      </c>
      <c r="K135" s="19">
        <f t="shared" si="26"/>
        <v>0</v>
      </c>
      <c r="M135" s="19">
        <f t="shared" si="71"/>
        <v>0</v>
      </c>
      <c r="N135" s="19">
        <f t="shared" si="72"/>
        <v>0</v>
      </c>
      <c r="O135" s="19">
        <f t="shared" si="27"/>
        <v>0</v>
      </c>
      <c r="P135" s="19">
        <f t="shared" ref="P135" si="91">J135</f>
        <v>0</v>
      </c>
      <c r="Q135" s="19">
        <f t="shared" ref="Q135" si="92">K135</f>
        <v>0</v>
      </c>
      <c r="R135" s="19"/>
      <c r="S135" s="19"/>
      <c r="T135" s="19"/>
      <c r="U135" s="19"/>
      <c r="V135" s="19"/>
      <c r="W135" s="19"/>
      <c r="Y135" s="5" t="s">
        <v>82</v>
      </c>
    </row>
    <row r="136" spans="1:25" ht="12.75" customHeight="1" x14ac:dyDescent="0.2">
      <c r="E136" s="18"/>
      <c r="G136" s="19"/>
      <c r="H136" s="19"/>
      <c r="I136" s="19"/>
      <c r="K136" s="19">
        <f t="shared" ref="K136:K139" si="93">I136+H136+G136</f>
        <v>0</v>
      </c>
      <c r="M136" s="19">
        <f t="shared" si="71"/>
        <v>0</v>
      </c>
      <c r="N136" s="19">
        <f t="shared" si="72"/>
        <v>0</v>
      </c>
      <c r="O136" s="19">
        <f t="shared" ref="O136:O139" si="94">I136</f>
        <v>0</v>
      </c>
    </row>
    <row r="137" spans="1:25" x14ac:dyDescent="0.2">
      <c r="D137" s="12" t="s">
        <v>147</v>
      </c>
      <c r="E137" s="18" t="s">
        <v>31</v>
      </c>
      <c r="G137" s="19">
        <f>31600*0.31</f>
        <v>9796</v>
      </c>
      <c r="H137" s="19">
        <f>31600*0.04</f>
        <v>1264</v>
      </c>
      <c r="I137" s="19">
        <f>31600*0.65</f>
        <v>20540</v>
      </c>
      <c r="J137" s="19">
        <v>0</v>
      </c>
      <c r="K137" s="19">
        <f t="shared" si="93"/>
        <v>31600</v>
      </c>
      <c r="M137" s="19">
        <f t="shared" si="71"/>
        <v>9796</v>
      </c>
      <c r="N137" s="19">
        <f t="shared" si="72"/>
        <v>1264</v>
      </c>
      <c r="O137" s="19">
        <f t="shared" si="94"/>
        <v>20540</v>
      </c>
      <c r="P137" s="19">
        <f t="shared" ref="P137" si="95">J137</f>
        <v>0</v>
      </c>
      <c r="Q137" s="19">
        <f t="shared" ref="Q137" si="96">K137</f>
        <v>31600</v>
      </c>
      <c r="R137" s="19"/>
      <c r="S137" s="19"/>
      <c r="T137" s="19"/>
      <c r="U137" s="19"/>
      <c r="V137" s="19"/>
      <c r="W137" s="19"/>
      <c r="Y137" s="5" t="s">
        <v>82</v>
      </c>
    </row>
    <row r="138" spans="1:25" ht="12.75" customHeight="1" x14ac:dyDescent="0.2">
      <c r="E138" s="18"/>
      <c r="G138" s="19"/>
      <c r="H138" s="19"/>
      <c r="I138" s="19"/>
      <c r="K138" s="19">
        <f t="shared" si="93"/>
        <v>0</v>
      </c>
      <c r="M138" s="19">
        <f t="shared" si="71"/>
        <v>0</v>
      </c>
      <c r="N138" s="19">
        <f t="shared" si="72"/>
        <v>0</v>
      </c>
      <c r="O138" s="19">
        <f t="shared" si="94"/>
        <v>0</v>
      </c>
    </row>
    <row r="139" spans="1:25" x14ac:dyDescent="0.2">
      <c r="D139" s="12" t="s">
        <v>101</v>
      </c>
      <c r="E139" s="18" t="s">
        <v>31</v>
      </c>
      <c r="G139" s="19"/>
      <c r="H139" s="19"/>
      <c r="I139" s="19"/>
      <c r="J139" s="19">
        <v>0</v>
      </c>
      <c r="K139" s="19">
        <f t="shared" si="93"/>
        <v>0</v>
      </c>
      <c r="M139" s="19">
        <f t="shared" si="71"/>
        <v>0</v>
      </c>
      <c r="N139" s="19">
        <f t="shared" si="72"/>
        <v>0</v>
      </c>
      <c r="O139" s="19">
        <f t="shared" si="94"/>
        <v>0</v>
      </c>
      <c r="P139" s="19">
        <f t="shared" ref="P139" si="97">J139</f>
        <v>0</v>
      </c>
      <c r="Q139" s="19">
        <f>K139</f>
        <v>0</v>
      </c>
      <c r="R139" s="19"/>
      <c r="S139" s="19"/>
      <c r="T139" s="19"/>
      <c r="U139" s="19"/>
      <c r="V139" s="19"/>
      <c r="W139" s="19"/>
    </row>
    <row r="140" spans="1:25" s="5" customFormat="1" ht="13.5" thickBot="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94"/>
    </row>
    <row r="141" spans="1:25" s="5" customFormat="1" ht="13.5" thickBot="1" x14ac:dyDescent="0.25">
      <c r="A141" s="12"/>
      <c r="B141" s="132" t="s">
        <v>85</v>
      </c>
      <c r="C141" s="12"/>
      <c r="D141" s="12"/>
      <c r="E141" s="18" t="s">
        <v>31</v>
      </c>
      <c r="F141" s="12"/>
      <c r="G141" s="146">
        <f>SUM(G62:G139)</f>
        <v>767141.5</v>
      </c>
      <c r="H141" s="146">
        <f>SUM(H62:H139)</f>
        <v>95746</v>
      </c>
      <c r="I141" s="146">
        <f>SUM(I62:I139)</f>
        <v>2829772.5</v>
      </c>
      <c r="J141" s="146">
        <f>J62+J64+J139</f>
        <v>0</v>
      </c>
      <c r="K141" s="146">
        <f>SUM(K62:K139)</f>
        <v>3692660</v>
      </c>
      <c r="L141" s="12"/>
      <c r="M141" s="146">
        <f>SUM(M62:M139)</f>
        <v>733629.43856000004</v>
      </c>
      <c r="N141" s="146">
        <f>SUM(N62:N139)</f>
        <v>91421.863040000011</v>
      </c>
      <c r="O141" s="146">
        <f>SUM(O62:O139)</f>
        <v>2759505.2744</v>
      </c>
      <c r="P141" s="146">
        <f>SUM(P62:P139)</f>
        <v>0</v>
      </c>
      <c r="Q141" s="146">
        <f>SUM(Q62:Q139)</f>
        <v>3584556.5759999999</v>
      </c>
      <c r="R141" s="141"/>
      <c r="S141" s="141"/>
      <c r="T141" s="141"/>
      <c r="U141" s="141"/>
      <c r="V141" s="141"/>
      <c r="W141" s="141"/>
      <c r="X141" s="145"/>
    </row>
    <row r="142" spans="1:25" s="5" customFormat="1" x14ac:dyDescent="0.2">
      <c r="A142" s="12"/>
      <c r="B142" s="132"/>
      <c r="C142" s="12"/>
      <c r="D142" s="12"/>
      <c r="E142" s="18" t="s">
        <v>33</v>
      </c>
      <c r="F142" s="12"/>
      <c r="G142" s="148"/>
      <c r="H142" s="148"/>
      <c r="I142" s="148"/>
      <c r="J142" s="148"/>
      <c r="K142" s="148"/>
      <c r="L142" s="12"/>
      <c r="M142" s="148"/>
      <c r="N142" s="148"/>
      <c r="O142" s="148"/>
      <c r="P142" s="148"/>
      <c r="Q142" s="148"/>
      <c r="R142" s="149"/>
      <c r="S142" s="149"/>
      <c r="T142" s="149"/>
      <c r="U142" s="149"/>
      <c r="V142" s="149"/>
      <c r="W142" s="149"/>
      <c r="X142" s="12"/>
    </row>
    <row r="143" spans="1:25" s="5" customFormat="1" x14ac:dyDescent="0.2">
      <c r="A143" s="12"/>
      <c r="B143" s="12"/>
      <c r="C143" s="12"/>
      <c r="D143" s="12"/>
      <c r="E143" s="12"/>
      <c r="F143" s="12"/>
      <c r="G143" s="12"/>
      <c r="H143" s="12"/>
      <c r="I143" s="12"/>
      <c r="J143" s="12"/>
      <c r="K143" s="19"/>
      <c r="L143" s="12"/>
      <c r="M143" s="12"/>
      <c r="N143" s="12"/>
      <c r="O143" s="12"/>
      <c r="P143" s="12"/>
      <c r="Q143" s="12"/>
      <c r="R143" s="12"/>
      <c r="S143" s="12"/>
      <c r="T143" s="12"/>
      <c r="U143" s="12"/>
      <c r="V143" s="12"/>
      <c r="W143" s="12"/>
      <c r="X143" s="19"/>
    </row>
    <row r="144" spans="1:25" s="5" customFormat="1" ht="13.5" thickBot="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row>
    <row r="145" spans="1:24" s="5" customFormat="1" ht="15" thickBot="1" x14ac:dyDescent="0.25">
      <c r="A145" s="12"/>
      <c r="B145" s="136" t="s">
        <v>86</v>
      </c>
      <c r="C145" s="12"/>
      <c r="D145" s="12"/>
      <c r="E145" s="12"/>
      <c r="F145" s="12"/>
      <c r="G145" s="56">
        <f t="shared" ref="G145:Q145" si="98">G58+G141</f>
        <v>1416060.5</v>
      </c>
      <c r="H145" s="56">
        <f t="shared" si="98"/>
        <v>153221</v>
      </c>
      <c r="I145" s="56">
        <f t="shared" si="98"/>
        <v>3567067.5</v>
      </c>
      <c r="J145" s="56">
        <f t="shared" si="98"/>
        <v>0</v>
      </c>
      <c r="K145" s="56">
        <f t="shared" si="98"/>
        <v>5136349</v>
      </c>
      <c r="L145" s="56">
        <f t="shared" si="98"/>
        <v>0</v>
      </c>
      <c r="M145" s="56">
        <f t="shared" si="98"/>
        <v>1277515.4094004524</v>
      </c>
      <c r="N145" s="56">
        <f t="shared" si="98"/>
        <v>135751.21411618739</v>
      </c>
      <c r="O145" s="184">
        <f t="shared" si="98"/>
        <v>3278219.7293880451</v>
      </c>
      <c r="P145" s="56">
        <f t="shared" si="98"/>
        <v>0</v>
      </c>
      <c r="Q145" s="56">
        <f t="shared" si="98"/>
        <v>4691486.3529046848</v>
      </c>
      <c r="R145" s="141"/>
      <c r="S145" s="141"/>
      <c r="T145" s="141"/>
      <c r="U145" s="141"/>
      <c r="V145" s="141"/>
      <c r="W145" s="141"/>
      <c r="X145" s="12"/>
    </row>
    <row r="146" spans="1:24" s="5" customFormat="1" ht="13.5" thickTop="1" x14ac:dyDescent="0.2">
      <c r="A146" s="12"/>
      <c r="B146" s="12"/>
      <c r="C146" s="12"/>
      <c r="D146" s="12"/>
      <c r="E146" s="12"/>
      <c r="F146" s="12"/>
      <c r="G146" s="12"/>
      <c r="H146" s="12"/>
      <c r="I146" s="57"/>
      <c r="J146" s="12"/>
      <c r="K146" s="12"/>
      <c r="L146" s="12"/>
      <c r="M146" s="12"/>
      <c r="N146" s="12"/>
      <c r="O146" s="58"/>
      <c r="P146" s="12"/>
      <c r="Q146" s="12"/>
      <c r="R146" s="12"/>
      <c r="S146" s="12"/>
      <c r="T146" s="12"/>
      <c r="U146" s="12"/>
      <c r="V146" s="12"/>
      <c r="W146" s="12"/>
      <c r="X146" s="12"/>
    </row>
    <row r="147" spans="1:24" x14ac:dyDescent="0.2">
      <c r="I147" s="57"/>
      <c r="K147" s="19"/>
      <c r="O147" s="185"/>
      <c r="Q147" s="19"/>
    </row>
    <row r="148" spans="1:24" x14ac:dyDescent="0.2">
      <c r="G148" s="140"/>
      <c r="H148" s="140"/>
      <c r="I148" s="140"/>
      <c r="J148" s="19"/>
      <c r="K148" s="19"/>
      <c r="O148" s="58"/>
    </row>
    <row r="149" spans="1:24" x14ac:dyDescent="0.2">
      <c r="G149" s="57"/>
      <c r="H149" s="57"/>
      <c r="I149" s="57"/>
      <c r="K149" s="140"/>
      <c r="O149" s="59"/>
      <c r="Q149" s="19"/>
    </row>
    <row r="150" spans="1:24" x14ac:dyDescent="0.2">
      <c r="G150" s="60"/>
      <c r="H150" s="60"/>
      <c r="I150" s="60"/>
      <c r="K150" s="19"/>
      <c r="O150" s="58"/>
    </row>
    <row r="151" spans="1:24" x14ac:dyDescent="0.2">
      <c r="G151" s="57"/>
      <c r="H151" s="57"/>
      <c r="I151" s="57"/>
      <c r="J151" s="19"/>
      <c r="K151" s="19"/>
      <c r="M151" s="150"/>
      <c r="N151" s="150"/>
      <c r="O151" s="62"/>
      <c r="P151" s="150"/>
      <c r="Q151" s="150"/>
      <c r="R151" s="150"/>
      <c r="S151" s="150"/>
      <c r="T151" s="150"/>
      <c r="U151" s="150"/>
    </row>
    <row r="152" spans="1:24" x14ac:dyDescent="0.2">
      <c r="G152" s="57"/>
      <c r="H152" s="57"/>
      <c r="I152" s="57"/>
      <c r="K152" s="19"/>
      <c r="M152" s="150"/>
      <c r="N152" s="150"/>
      <c r="O152" s="62"/>
      <c r="P152" s="150"/>
      <c r="Q152" s="150"/>
      <c r="R152" s="150"/>
      <c r="S152" s="150"/>
      <c r="T152" s="150"/>
      <c r="U152" s="150"/>
    </row>
    <row r="153" spans="1:24" x14ac:dyDescent="0.2">
      <c r="G153" s="151"/>
      <c r="I153" s="57"/>
      <c r="M153" s="150"/>
      <c r="N153" s="150"/>
      <c r="O153" s="62"/>
      <c r="P153" s="150"/>
      <c r="Q153" s="150"/>
      <c r="R153" s="150"/>
      <c r="S153" s="150"/>
      <c r="T153" s="150"/>
      <c r="U153" s="150"/>
    </row>
    <row r="154" spans="1:24" ht="13.5" thickBot="1" x14ac:dyDescent="0.25">
      <c r="M154" s="150"/>
      <c r="N154" s="150"/>
      <c r="O154" s="150"/>
      <c r="P154" s="150"/>
      <c r="Q154" s="150"/>
      <c r="R154" s="150"/>
      <c r="S154" s="150"/>
      <c r="T154" s="150"/>
      <c r="U154" s="150"/>
    </row>
    <row r="155" spans="1:24" x14ac:dyDescent="0.2">
      <c r="E155" s="152"/>
      <c r="F155" s="153"/>
      <c r="G155" s="154">
        <f>I189</f>
        <v>0.31</v>
      </c>
      <c r="H155" s="154">
        <f>J189</f>
        <v>0.04</v>
      </c>
      <c r="I155" s="154">
        <f>H189</f>
        <v>0.64999999999999991</v>
      </c>
      <c r="J155" s="153"/>
      <c r="K155" s="155">
        <f>K145</f>
        <v>5136349</v>
      </c>
      <c r="M155" s="156"/>
      <c r="N155" s="157"/>
      <c r="O155" s="157"/>
      <c r="P155" s="157"/>
      <c r="Q155" s="158"/>
      <c r="R155" s="139"/>
      <c r="S155" s="139"/>
      <c r="T155" s="139"/>
      <c r="U155" s="139"/>
    </row>
    <row r="156" spans="1:24" x14ac:dyDescent="0.2">
      <c r="E156" s="128"/>
      <c r="F156" s="94"/>
      <c r="G156" s="94"/>
      <c r="H156" s="94"/>
      <c r="I156" s="94"/>
      <c r="J156" s="94"/>
      <c r="K156" s="159"/>
      <c r="M156" s="72"/>
      <c r="N156" s="139"/>
      <c r="O156" s="139"/>
      <c r="P156" s="139"/>
      <c r="Q156" s="139"/>
      <c r="R156" s="139"/>
      <c r="S156" s="139"/>
      <c r="T156" s="139"/>
      <c r="U156" s="139"/>
    </row>
    <row r="157" spans="1:24" x14ac:dyDescent="0.2">
      <c r="E157" s="160" t="s">
        <v>99</v>
      </c>
      <c r="F157" s="94"/>
      <c r="G157" s="94"/>
      <c r="H157" s="94"/>
      <c r="I157" s="94"/>
      <c r="J157" s="94"/>
      <c r="K157" s="161">
        <f>K155</f>
        <v>5136349</v>
      </c>
      <c r="M157" s="74"/>
      <c r="N157" s="158"/>
      <c r="O157" s="158"/>
      <c r="P157" s="158"/>
      <c r="Q157" s="158"/>
      <c r="R157" s="139"/>
      <c r="S157" s="139"/>
      <c r="T157" s="139"/>
      <c r="U157" s="139"/>
    </row>
    <row r="158" spans="1:24" x14ac:dyDescent="0.2">
      <c r="E158" s="128" t="s">
        <v>88</v>
      </c>
      <c r="F158" s="94"/>
      <c r="G158" s="94"/>
      <c r="H158" s="94"/>
      <c r="I158" s="94"/>
      <c r="J158" s="94"/>
      <c r="K158" s="161">
        <v>0</v>
      </c>
      <c r="M158" s="150"/>
      <c r="N158" s="139"/>
      <c r="O158" s="139"/>
      <c r="P158" s="139"/>
      <c r="Q158" s="139"/>
      <c r="R158" s="139"/>
      <c r="S158" s="139"/>
      <c r="T158" s="139"/>
      <c r="U158" s="139"/>
    </row>
    <row r="159" spans="1:24" x14ac:dyDescent="0.2">
      <c r="E159" s="128"/>
      <c r="F159" s="94"/>
      <c r="G159" s="94"/>
      <c r="H159" s="94"/>
      <c r="I159" s="94"/>
      <c r="J159" s="94"/>
      <c r="K159" s="161"/>
      <c r="M159" s="74"/>
      <c r="N159" s="139"/>
      <c r="O159" s="139"/>
      <c r="P159" s="139"/>
      <c r="Q159" s="139"/>
      <c r="R159" s="139"/>
      <c r="S159" s="139"/>
      <c r="T159" s="139"/>
      <c r="U159" s="139"/>
    </row>
    <row r="160" spans="1:24" x14ac:dyDescent="0.2">
      <c r="E160" s="128" t="s">
        <v>89</v>
      </c>
      <c r="F160" s="94"/>
      <c r="G160" s="94"/>
      <c r="H160" s="94"/>
      <c r="I160" s="94"/>
      <c r="J160" s="94"/>
      <c r="K160" s="162">
        <f>SUM(K157:K159)</f>
        <v>5136349</v>
      </c>
      <c r="M160" s="74"/>
      <c r="N160" s="139"/>
      <c r="O160" s="139"/>
      <c r="P160" s="139"/>
      <c r="Q160" s="139"/>
      <c r="R160" s="139"/>
      <c r="S160" s="139"/>
      <c r="T160" s="139"/>
      <c r="U160" s="139"/>
    </row>
    <row r="161" spans="5:25" x14ac:dyDescent="0.2">
      <c r="E161" s="128" t="s">
        <v>103</v>
      </c>
      <c r="F161" s="94"/>
      <c r="G161" s="94"/>
      <c r="H161" s="94"/>
      <c r="I161" s="94"/>
      <c r="J161" s="94"/>
      <c r="K161" s="161">
        <f>I68+I66+I70</f>
        <v>1273900</v>
      </c>
      <c r="M161" s="74"/>
      <c r="N161" s="139"/>
      <c r="O161" s="163"/>
      <c r="P161" s="163"/>
      <c r="Q161" s="158"/>
      <c r="R161" s="139"/>
      <c r="S161" s="139"/>
      <c r="T161" s="139"/>
      <c r="U161" s="139"/>
    </row>
    <row r="162" spans="5:25" x14ac:dyDescent="0.2">
      <c r="E162" s="128" t="s">
        <v>91</v>
      </c>
      <c r="F162" s="94"/>
      <c r="G162" s="94"/>
      <c r="H162" s="94"/>
      <c r="I162" s="94"/>
      <c r="J162" s="94"/>
      <c r="K162" s="161">
        <f>G53</f>
        <v>106451</v>
      </c>
      <c r="M162" s="74"/>
      <c r="N162" s="164"/>
      <c r="O162" s="163"/>
      <c r="P162" s="163"/>
      <c r="Q162" s="158"/>
      <c r="R162" s="139"/>
      <c r="S162" s="139"/>
      <c r="T162" s="139"/>
      <c r="U162" s="139"/>
    </row>
    <row r="163" spans="5:25" x14ac:dyDescent="0.2">
      <c r="E163" s="128"/>
      <c r="F163" s="94"/>
      <c r="G163" s="94"/>
      <c r="H163" s="94"/>
      <c r="I163" s="94"/>
      <c r="J163" s="94"/>
      <c r="K163" s="161"/>
      <c r="M163" s="74"/>
      <c r="N163" s="139"/>
      <c r="O163" s="163"/>
      <c r="P163" s="163"/>
      <c r="Q163" s="158"/>
      <c r="R163" s="139"/>
      <c r="S163" s="139"/>
      <c r="T163" s="139"/>
      <c r="U163" s="139"/>
    </row>
    <row r="164" spans="5:25" ht="13.5" thickBot="1" x14ac:dyDescent="0.25">
      <c r="E164" s="128" t="s">
        <v>92</v>
      </c>
      <c r="F164" s="94"/>
      <c r="G164" s="94"/>
      <c r="H164" s="94"/>
      <c r="I164" s="94"/>
      <c r="J164" s="94"/>
      <c r="K164" s="165">
        <f>K160-K161-K162-K163</f>
        <v>3755998</v>
      </c>
      <c r="M164" s="74"/>
      <c r="N164" s="139"/>
      <c r="O164" s="139"/>
      <c r="P164" s="139"/>
      <c r="Q164" s="139"/>
      <c r="R164" s="139"/>
      <c r="S164" s="139"/>
      <c r="T164" s="139"/>
      <c r="U164" s="139"/>
    </row>
    <row r="165" spans="5:25" ht="13.5" thickTop="1" x14ac:dyDescent="0.2">
      <c r="E165" s="128"/>
      <c r="F165" s="94"/>
      <c r="G165" s="94"/>
      <c r="H165" s="94"/>
      <c r="I165" s="94"/>
      <c r="J165" s="166" t="s">
        <v>93</v>
      </c>
      <c r="K165" s="161"/>
      <c r="M165" s="74"/>
      <c r="N165" s="139"/>
      <c r="O165" s="139"/>
      <c r="P165" s="139"/>
      <c r="Q165" s="158"/>
      <c r="R165" s="139"/>
      <c r="S165" s="139"/>
      <c r="T165" s="139"/>
      <c r="U165" s="139"/>
    </row>
    <row r="166" spans="5:25" x14ac:dyDescent="0.2">
      <c r="E166" s="128" t="s">
        <v>104</v>
      </c>
      <c r="F166" s="94"/>
      <c r="G166" s="86">
        <f>G145</f>
        <v>1416060.5</v>
      </c>
      <c r="H166" s="86">
        <f>H145</f>
        <v>153221</v>
      </c>
      <c r="I166" s="86">
        <f>I145</f>
        <v>3567067.5</v>
      </c>
      <c r="J166" s="86"/>
      <c r="K166" s="161"/>
      <c r="M166" s="74"/>
      <c r="N166" s="139"/>
      <c r="O166" s="139"/>
      <c r="P166" s="139"/>
      <c r="Q166" s="139"/>
      <c r="R166" s="139"/>
      <c r="S166" s="139"/>
      <c r="T166" s="139"/>
      <c r="U166" s="139">
        <v>0</v>
      </c>
      <c r="Y166" s="5">
        <v>900323.36</v>
      </c>
    </row>
    <row r="167" spans="5:25" x14ac:dyDescent="0.2">
      <c r="E167" s="128" t="s">
        <v>94</v>
      </c>
      <c r="F167" s="94"/>
      <c r="G167" s="86">
        <f>K162</f>
        <v>106451</v>
      </c>
      <c r="H167" s="167">
        <v>0</v>
      </c>
      <c r="I167" s="167">
        <f>K161</f>
        <v>1273900</v>
      </c>
      <c r="K167" s="159"/>
      <c r="M167" s="150"/>
      <c r="N167" s="139"/>
      <c r="O167" s="139"/>
      <c r="P167" s="139"/>
      <c r="Q167" s="139"/>
      <c r="R167" s="139"/>
      <c r="S167" s="139"/>
      <c r="T167" s="139"/>
      <c r="U167" s="139"/>
    </row>
    <row r="168" spans="5:25" ht="13.5" thickBot="1" x14ac:dyDescent="0.25">
      <c r="E168" s="128" t="s">
        <v>95</v>
      </c>
      <c r="F168" s="94"/>
      <c r="G168" s="168">
        <f>G166-G167</f>
        <v>1309609.5</v>
      </c>
      <c r="H168" s="168">
        <f>H166-H167</f>
        <v>153221</v>
      </c>
      <c r="I168" s="168">
        <f>I166-I167</f>
        <v>2293167.5</v>
      </c>
      <c r="J168" s="84"/>
      <c r="K168" s="161"/>
      <c r="M168" s="150"/>
      <c r="N168" s="139"/>
      <c r="O168" s="139"/>
      <c r="P168" s="137"/>
      <c r="Q168" s="139"/>
      <c r="R168" s="139"/>
      <c r="S168" s="139"/>
      <c r="T168" s="139"/>
      <c r="U168" s="139"/>
    </row>
    <row r="169" spans="5:25" ht="14.25" thickTop="1" thickBot="1" x14ac:dyDescent="0.25">
      <c r="E169" s="128" t="s">
        <v>96</v>
      </c>
      <c r="F169" s="94"/>
      <c r="G169" s="169">
        <f>G168/$K$164</f>
        <v>0.34867151153967602</v>
      </c>
      <c r="H169" s="169">
        <f t="shared" ref="H169:I169" si="99">H168/$K$164</f>
        <v>4.0793685193655588E-2</v>
      </c>
      <c r="I169" s="169">
        <f t="shared" si="99"/>
        <v>0.61053480326666842</v>
      </c>
      <c r="J169" s="86"/>
      <c r="K169" s="161"/>
      <c r="M169" s="150"/>
      <c r="N169" s="139"/>
      <c r="O169" s="139"/>
      <c r="P169" s="139"/>
      <c r="Q169" s="139"/>
      <c r="R169" s="139"/>
      <c r="S169" s="139"/>
      <c r="T169" s="139"/>
      <c r="U169" s="139"/>
    </row>
    <row r="170" spans="5:25" ht="14.25" thickTop="1" thickBot="1" x14ac:dyDescent="0.25">
      <c r="E170" s="170"/>
      <c r="F170" s="171"/>
      <c r="G170" s="172" t="s">
        <v>97</v>
      </c>
      <c r="H170" s="172" t="s">
        <v>98</v>
      </c>
      <c r="I170" s="172" t="s">
        <v>6</v>
      </c>
      <c r="J170" s="171"/>
      <c r="K170" s="173"/>
      <c r="M170" s="150"/>
      <c r="N170" s="174"/>
      <c r="O170" s="174"/>
      <c r="P170" s="174"/>
      <c r="Q170" s="139"/>
      <c r="R170" s="139"/>
      <c r="S170" s="139"/>
      <c r="T170" s="139"/>
      <c r="U170" s="139"/>
    </row>
    <row r="171" spans="5:25" x14ac:dyDescent="0.2">
      <c r="J171" s="153"/>
      <c r="K171" s="175"/>
      <c r="M171" s="150"/>
      <c r="N171" s="174"/>
      <c r="O171" s="174"/>
      <c r="P171" s="174"/>
      <c r="Q171" s="139"/>
      <c r="R171" s="139"/>
      <c r="S171" s="139"/>
      <c r="T171" s="139"/>
      <c r="U171" s="139"/>
    </row>
    <row r="172" spans="5:25" x14ac:dyDescent="0.2">
      <c r="J172" s="86"/>
      <c r="K172" s="86"/>
      <c r="M172" s="150"/>
      <c r="N172" s="139"/>
      <c r="O172" s="139"/>
      <c r="P172" s="139"/>
      <c r="Q172" s="139"/>
      <c r="R172" s="139"/>
      <c r="S172" s="139"/>
      <c r="T172" s="139"/>
      <c r="U172" s="139"/>
    </row>
    <row r="173" spans="5:25" x14ac:dyDescent="0.2">
      <c r="E173" s="93"/>
      <c r="F173" s="94"/>
      <c r="G173" s="86"/>
      <c r="H173" s="86"/>
      <c r="I173" s="95"/>
      <c r="J173" s="176"/>
      <c r="K173" s="95"/>
      <c r="M173" s="150"/>
      <c r="N173" s="139"/>
      <c r="O173" s="139"/>
      <c r="P173" s="139"/>
      <c r="Q173" s="139"/>
      <c r="R173" s="139"/>
      <c r="S173" s="139"/>
      <c r="T173" s="139"/>
      <c r="U173" s="139"/>
    </row>
    <row r="174" spans="5:25" x14ac:dyDescent="0.2">
      <c r="E174" s="94"/>
      <c r="F174" s="94"/>
      <c r="G174" s="94"/>
      <c r="H174" s="94"/>
      <c r="I174" s="95"/>
      <c r="J174" s="176"/>
      <c r="K174" s="176"/>
      <c r="M174" s="177"/>
      <c r="N174" s="178"/>
      <c r="O174" s="178"/>
      <c r="P174" s="178"/>
      <c r="Q174" s="139"/>
      <c r="R174" s="139"/>
      <c r="S174" s="139"/>
      <c r="T174" s="139"/>
      <c r="U174" s="139"/>
    </row>
    <row r="175" spans="5:25" x14ac:dyDescent="0.2">
      <c r="E175" s="94"/>
      <c r="F175" s="94"/>
      <c r="G175" s="94"/>
      <c r="H175" s="86"/>
      <c r="I175" s="86"/>
      <c r="J175" s="94"/>
      <c r="K175" s="94"/>
      <c r="M175" s="150"/>
      <c r="N175" s="139"/>
      <c r="O175" s="139"/>
      <c r="P175" s="139"/>
      <c r="Q175" s="139"/>
      <c r="R175" s="139"/>
      <c r="S175" s="139"/>
      <c r="T175" s="139"/>
      <c r="U175" s="139"/>
    </row>
    <row r="176" spans="5:25" x14ac:dyDescent="0.2">
      <c r="E176" s="94"/>
      <c r="F176" s="94"/>
      <c r="G176" s="100"/>
      <c r="H176" s="100"/>
      <c r="I176" s="100"/>
      <c r="M176" s="150"/>
      <c r="N176" s="150"/>
      <c r="O176" s="150"/>
      <c r="P176" s="150"/>
      <c r="Q176" s="150"/>
      <c r="R176" s="150"/>
      <c r="S176" s="150"/>
      <c r="T176" s="150"/>
      <c r="U176" s="150"/>
    </row>
    <row r="177" spans="5:21" x14ac:dyDescent="0.2">
      <c r="E177" s="94"/>
      <c r="F177" s="94"/>
      <c r="G177" s="86"/>
      <c r="H177" s="86"/>
      <c r="I177" s="86"/>
      <c r="M177" s="150"/>
      <c r="N177" s="150"/>
      <c r="O177" s="150"/>
      <c r="P177" s="150"/>
      <c r="Q177" s="150"/>
      <c r="R177" s="150"/>
      <c r="S177" s="150"/>
      <c r="T177" s="150"/>
      <c r="U177" s="150"/>
    </row>
    <row r="178" spans="5:21" x14ac:dyDescent="0.2">
      <c r="E178" s="94"/>
      <c r="F178" s="94"/>
      <c r="G178" s="100"/>
      <c r="H178" s="100"/>
      <c r="I178" s="100"/>
      <c r="M178" s="150"/>
      <c r="N178" s="150"/>
      <c r="O178" s="150"/>
      <c r="P178" s="150"/>
      <c r="Q178" s="150"/>
      <c r="R178" s="150"/>
      <c r="S178" s="150"/>
      <c r="T178" s="150"/>
      <c r="U178" s="150"/>
    </row>
    <row r="179" spans="5:21" x14ac:dyDescent="0.2">
      <c r="E179" s="94"/>
      <c r="F179" s="94"/>
      <c r="G179" s="101"/>
      <c r="H179" s="101"/>
      <c r="I179" s="101"/>
      <c r="J179" s="94"/>
      <c r="M179" s="150"/>
      <c r="N179" s="150"/>
      <c r="O179" s="150"/>
      <c r="P179" s="150"/>
      <c r="Q179" s="150"/>
      <c r="R179" s="150"/>
      <c r="S179" s="150"/>
      <c r="T179" s="150"/>
      <c r="U179" s="150"/>
    </row>
    <row r="180" spans="5:21" x14ac:dyDescent="0.2">
      <c r="G180" s="86"/>
      <c r="H180" s="86"/>
      <c r="I180" s="86"/>
      <c r="J180" s="94"/>
      <c r="M180" s="150"/>
      <c r="N180" s="150"/>
      <c r="O180" s="150"/>
      <c r="P180" s="150"/>
      <c r="Q180" s="150"/>
      <c r="R180" s="150"/>
      <c r="S180" s="150"/>
      <c r="T180" s="150"/>
      <c r="U180" s="150"/>
    </row>
    <row r="181" spans="5:21" ht="13.5" thickBot="1" x14ac:dyDescent="0.25">
      <c r="G181" s="179" t="s">
        <v>149</v>
      </c>
      <c r="H181" s="179" t="s">
        <v>6</v>
      </c>
      <c r="I181" s="179" t="s">
        <v>97</v>
      </c>
      <c r="J181" s="179" t="s">
        <v>98</v>
      </c>
      <c r="K181" s="179" t="s">
        <v>150</v>
      </c>
      <c r="M181" s="150"/>
      <c r="N181" s="150"/>
      <c r="O181" s="150"/>
      <c r="P181" s="150"/>
      <c r="Q181" s="150"/>
      <c r="R181" s="150"/>
      <c r="S181" s="150"/>
      <c r="T181" s="150"/>
      <c r="U181" s="150"/>
    </row>
    <row r="182" spans="5:21" ht="15" x14ac:dyDescent="0.25">
      <c r="G182" s="133" t="s">
        <v>151</v>
      </c>
      <c r="H182" s="180">
        <v>0.7</v>
      </c>
      <c r="I182" s="180">
        <v>0.25</v>
      </c>
      <c r="J182" s="180">
        <v>0.05</v>
      </c>
      <c r="K182" s="180">
        <f t="shared" ref="K182:K189" si="100">SUM(H182:J182)</f>
        <v>1</v>
      </c>
    </row>
    <row r="183" spans="5:21" ht="15" x14ac:dyDescent="0.25">
      <c r="G183" s="133" t="s">
        <v>152</v>
      </c>
      <c r="H183" s="180">
        <v>0.55000000000000004</v>
      </c>
      <c r="I183" s="180">
        <v>0.4</v>
      </c>
      <c r="J183" s="180">
        <v>0.05</v>
      </c>
      <c r="K183" s="180">
        <f t="shared" si="100"/>
        <v>1</v>
      </c>
    </row>
    <row r="184" spans="5:21" ht="15" x14ac:dyDescent="0.25">
      <c r="G184" s="133" t="s">
        <v>153</v>
      </c>
      <c r="H184" s="180">
        <f>68%-5%</f>
        <v>0.63</v>
      </c>
      <c r="I184" s="180">
        <f>27%+5%</f>
        <v>0.32</v>
      </c>
      <c r="J184" s="180">
        <v>0.05</v>
      </c>
      <c r="K184" s="180">
        <f t="shared" si="100"/>
        <v>1</v>
      </c>
    </row>
    <row r="185" spans="5:21" ht="15" x14ac:dyDescent="0.25">
      <c r="G185" s="133" t="s">
        <v>154</v>
      </c>
      <c r="H185" s="180">
        <v>0.45</v>
      </c>
      <c r="I185" s="180">
        <v>0.47</v>
      </c>
      <c r="J185" s="180">
        <v>0.08</v>
      </c>
      <c r="K185" s="180">
        <f t="shared" si="100"/>
        <v>0.99999999999999989</v>
      </c>
    </row>
    <row r="186" spans="5:21" ht="15" x14ac:dyDescent="0.25">
      <c r="G186" s="133" t="s">
        <v>155</v>
      </c>
      <c r="H186" s="180">
        <f>79%-5%</f>
        <v>0.74</v>
      </c>
      <c r="I186" s="180">
        <f>18%+5%</f>
        <v>0.22999999999999998</v>
      </c>
      <c r="J186" s="180">
        <v>0.03</v>
      </c>
      <c r="K186" s="180">
        <f t="shared" si="100"/>
        <v>1</v>
      </c>
    </row>
    <row r="187" spans="5:21" ht="15" x14ac:dyDescent="0.25">
      <c r="G187" s="133" t="s">
        <v>156</v>
      </c>
      <c r="H187" s="180">
        <f>75%-5%</f>
        <v>0.7</v>
      </c>
      <c r="I187" s="180">
        <f>22%+5%</f>
        <v>0.27</v>
      </c>
      <c r="J187" s="180">
        <v>0.03</v>
      </c>
      <c r="K187" s="180">
        <f t="shared" si="100"/>
        <v>1</v>
      </c>
    </row>
    <row r="188" spans="5:21" ht="15" x14ac:dyDescent="0.25">
      <c r="G188" s="133" t="s">
        <v>157</v>
      </c>
      <c r="H188" s="180">
        <f>52%-5%</f>
        <v>0.47000000000000003</v>
      </c>
      <c r="I188" s="180">
        <f>44%+5%</f>
        <v>0.49</v>
      </c>
      <c r="J188" s="180">
        <v>0.04</v>
      </c>
      <c r="K188" s="180">
        <f t="shared" si="100"/>
        <v>1</v>
      </c>
    </row>
    <row r="189" spans="5:21" ht="15" x14ac:dyDescent="0.25">
      <c r="G189" s="133" t="s">
        <v>158</v>
      </c>
      <c r="H189" s="180">
        <f>70%-5%</f>
        <v>0.64999999999999991</v>
      </c>
      <c r="I189" s="180">
        <f>26%+5%</f>
        <v>0.31</v>
      </c>
      <c r="J189" s="180">
        <v>0.04</v>
      </c>
      <c r="K189" s="180">
        <f t="shared" si="100"/>
        <v>1</v>
      </c>
    </row>
    <row r="190" spans="5:21" ht="15" x14ac:dyDescent="0.25">
      <c r="G190" s="133"/>
      <c r="H190" s="133"/>
      <c r="I190" s="133"/>
      <c r="J190" s="133"/>
      <c r="K190" s="133"/>
    </row>
  </sheetData>
  <mergeCells count="2">
    <mergeCell ref="G2:K2"/>
    <mergeCell ref="M2:Q2"/>
  </mergeCells>
  <printOptions horizontalCentered="1"/>
  <pageMargins left="0.25" right="0.25" top="0.25" bottom="0.25" header="0.25" footer="0"/>
  <pageSetup scale="24" orientation="landscape" copies="2" r:id="rId1"/>
  <headerFooter alignWithMargins="0"/>
  <rowBreaks count="1" manualBreakCount="1">
    <brk id="59" min="1"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theme="4" tint="0.39997558519241921"/>
    <pageSetUpPr fitToPage="1"/>
  </sheetPr>
  <dimension ref="A1:Y189"/>
  <sheetViews>
    <sheetView zoomScale="90" zoomScaleNormal="90" workbookViewId="0">
      <pane xSplit="1" ySplit="8" topLeftCell="B120" activePane="bottomRight" state="frozen"/>
      <selection activeCell="G162" sqref="G162"/>
      <selection pane="topRight" activeCell="G162" sqref="G162"/>
      <selection pane="bottomLeft" activeCell="G162" sqref="G162"/>
      <selection pane="bottomRight" activeCell="K144" sqref="K14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11</v>
      </c>
      <c r="C2" s="132"/>
      <c r="D2" s="132"/>
      <c r="E2" s="132"/>
      <c r="F2" s="132"/>
      <c r="G2" s="198" t="s">
        <v>172</v>
      </c>
      <c r="H2" s="198"/>
      <c r="I2" s="198"/>
      <c r="J2" s="198"/>
      <c r="K2" s="198"/>
      <c r="M2" s="198" t="s">
        <v>173</v>
      </c>
      <c r="N2" s="198"/>
      <c r="O2" s="198"/>
      <c r="P2" s="198"/>
      <c r="Q2" s="198"/>
      <c r="R2" s="8"/>
      <c r="S2" s="8"/>
      <c r="T2" s="8"/>
      <c r="U2" s="8"/>
      <c r="V2" s="8"/>
      <c r="W2" s="8"/>
    </row>
    <row r="3" spans="2:25" ht="19.5" x14ac:dyDescent="0.25">
      <c r="B3" s="134" t="s">
        <v>12</v>
      </c>
      <c r="C3" s="132"/>
      <c r="D3" s="132"/>
    </row>
    <row r="4" spans="2:25" x14ac:dyDescent="0.2">
      <c r="B4" s="132" t="s">
        <v>174</v>
      </c>
      <c r="C4" s="132"/>
      <c r="D4" s="132"/>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5"/>
      <c r="C5" s="132"/>
      <c r="D5" s="135"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188</v>
      </c>
      <c r="D6" s="11"/>
      <c r="G6" s="16"/>
      <c r="H6" s="16" t="s">
        <v>24</v>
      </c>
      <c r="I6" s="16"/>
      <c r="J6" s="16"/>
      <c r="K6" s="16"/>
      <c r="M6" s="16"/>
      <c r="N6" s="16" t="s">
        <v>24</v>
      </c>
      <c r="O6" s="16"/>
      <c r="P6" s="16"/>
      <c r="Q6" s="16"/>
      <c r="R6" s="16"/>
      <c r="S6" s="16"/>
      <c r="T6" s="16"/>
      <c r="U6" s="16"/>
      <c r="V6" s="16"/>
      <c r="W6" s="16"/>
    </row>
    <row r="7" spans="2:25" ht="13.5" thickBot="1" x14ac:dyDescent="0.25">
      <c r="B7" s="132"/>
      <c r="G7" s="183" t="s">
        <v>25</v>
      </c>
      <c r="H7" s="183" t="s">
        <v>26</v>
      </c>
      <c r="I7" s="183" t="s">
        <v>27</v>
      </c>
      <c r="J7" s="183"/>
      <c r="K7" s="183" t="s">
        <v>28</v>
      </c>
      <c r="M7" s="183" t="s">
        <v>25</v>
      </c>
      <c r="N7" s="183" t="s">
        <v>26</v>
      </c>
      <c r="O7" s="183" t="s">
        <v>27</v>
      </c>
      <c r="P7" s="183"/>
      <c r="Q7" s="183" t="s">
        <v>28</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29</v>
      </c>
      <c r="D9" s="12" t="s">
        <v>30</v>
      </c>
      <c r="E9" s="18" t="s">
        <v>31</v>
      </c>
      <c r="G9" s="106"/>
      <c r="H9" s="106"/>
      <c r="I9" s="106"/>
      <c r="J9" s="19">
        <v>0</v>
      </c>
      <c r="K9" s="19">
        <f>I9+H9+G9</f>
        <v>0</v>
      </c>
      <c r="M9" s="19">
        <v>0</v>
      </c>
      <c r="N9" s="19">
        <v>0</v>
      </c>
      <c r="O9" s="19">
        <v>0</v>
      </c>
      <c r="P9" s="19">
        <v>0</v>
      </c>
      <c r="Q9" s="19">
        <f>SUM(M9:P9)</f>
        <v>0</v>
      </c>
      <c r="R9" s="19"/>
      <c r="S9" s="19"/>
      <c r="T9" s="19"/>
      <c r="U9" s="19"/>
      <c r="V9" s="19"/>
      <c r="W9" s="19"/>
    </row>
    <row r="10" spans="2:25" x14ac:dyDescent="0.2">
      <c r="B10" s="132" t="s">
        <v>32</v>
      </c>
      <c r="E10" s="18" t="s">
        <v>33</v>
      </c>
      <c r="G10" s="105"/>
      <c r="H10" s="105"/>
      <c r="I10" s="105"/>
      <c r="J10" s="21"/>
      <c r="K10" s="21">
        <f>G10+H10+I10</f>
        <v>0</v>
      </c>
      <c r="M10" s="21"/>
      <c r="N10" s="21"/>
      <c r="O10" s="21"/>
      <c r="P10" s="21">
        <v>0</v>
      </c>
      <c r="Q10" s="21">
        <f>SUM(M10:P10)</f>
        <v>0</v>
      </c>
      <c r="R10" s="51"/>
      <c r="S10" s="51"/>
      <c r="T10" s="51"/>
      <c r="U10" s="51"/>
      <c r="V10" s="51"/>
      <c r="W10" s="51"/>
    </row>
    <row r="11" spans="2:25" x14ac:dyDescent="0.2">
      <c r="E11" s="18"/>
    </row>
    <row r="12" spans="2:25" ht="13.5" thickBot="1" x14ac:dyDescent="0.25">
      <c r="D12" s="12" t="s">
        <v>34</v>
      </c>
      <c r="E12" s="18" t="s">
        <v>31</v>
      </c>
      <c r="G12" s="106"/>
      <c r="H12" s="106"/>
      <c r="I12" s="106"/>
      <c r="J12" s="19">
        <v>0</v>
      </c>
      <c r="K12" s="19">
        <f>I12+H12+G12</f>
        <v>0</v>
      </c>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33</v>
      </c>
      <c r="G13" s="105"/>
      <c r="H13" s="105"/>
      <c r="I13" s="105"/>
      <c r="J13" s="21"/>
      <c r="K13" s="21">
        <f>G13+H13+I13</f>
        <v>0</v>
      </c>
      <c r="M13" s="21">
        <f t="shared" si="0"/>
        <v>0</v>
      </c>
      <c r="N13" s="21">
        <f t="shared" si="0"/>
        <v>0</v>
      </c>
      <c r="O13" s="21">
        <f t="shared" si="0"/>
        <v>0</v>
      </c>
      <c r="P13" s="21">
        <v>0</v>
      </c>
      <c r="Q13" s="21">
        <f>SUM(M13:P13)</f>
        <v>0</v>
      </c>
      <c r="R13" s="51"/>
      <c r="S13" s="51"/>
      <c r="T13" s="138"/>
      <c r="U13" s="51"/>
      <c r="V13" s="51"/>
      <c r="W13" s="51"/>
    </row>
    <row r="14" spans="2:25" x14ac:dyDescent="0.2">
      <c r="T14" s="139"/>
      <c r="Y14" s="27" t="s">
        <v>35</v>
      </c>
    </row>
    <row r="15" spans="2:25" x14ac:dyDescent="0.2">
      <c r="D15" s="12" t="s">
        <v>36</v>
      </c>
      <c r="E15" s="18" t="s">
        <v>37</v>
      </c>
      <c r="G15" s="19"/>
      <c r="H15" s="19"/>
      <c r="I15" s="19"/>
      <c r="J15" s="19"/>
      <c r="K15" s="19">
        <f>G15+H15+I15+J15</f>
        <v>0</v>
      </c>
      <c r="M15" s="19">
        <v>0</v>
      </c>
      <c r="N15" s="19">
        <v>0</v>
      </c>
      <c r="O15" s="19">
        <v>0</v>
      </c>
      <c r="P15" s="19">
        <v>0</v>
      </c>
      <c r="Q15" s="19">
        <f t="shared" ref="Q15:Q20" si="1">SUM(M15:P15)</f>
        <v>0</v>
      </c>
      <c r="R15" s="19"/>
      <c r="S15" s="19"/>
      <c r="T15" s="137"/>
      <c r="U15" s="19"/>
      <c r="V15" s="19"/>
      <c r="W15" s="19"/>
    </row>
    <row r="16" spans="2:25" x14ac:dyDescent="0.2">
      <c r="D16" s="12" t="s">
        <v>38</v>
      </c>
      <c r="E16" s="18" t="s">
        <v>39</v>
      </c>
      <c r="G16" s="19"/>
      <c r="H16" s="19"/>
      <c r="I16" s="19"/>
      <c r="J16" s="19">
        <v>0</v>
      </c>
      <c r="K16" s="19">
        <f t="shared" ref="K16:K19" si="2">G16+H16+I16+J16</f>
        <v>0</v>
      </c>
      <c r="M16" s="19">
        <f>G16</f>
        <v>0</v>
      </c>
      <c r="N16" s="19">
        <f>H16</f>
        <v>0</v>
      </c>
      <c r="O16" s="19">
        <f>I16</f>
        <v>0</v>
      </c>
      <c r="P16" s="19">
        <f>J16</f>
        <v>0</v>
      </c>
      <c r="Q16" s="19">
        <f t="shared" si="1"/>
        <v>0</v>
      </c>
      <c r="R16" s="19"/>
      <c r="S16" s="19"/>
      <c r="T16" s="137"/>
      <c r="U16" s="19"/>
      <c r="V16" s="19"/>
      <c r="W16" s="19"/>
      <c r="Y16" s="5" t="s">
        <v>40</v>
      </c>
    </row>
    <row r="17" spans="2:25" x14ac:dyDescent="0.2">
      <c r="D17" s="140"/>
      <c r="E17" s="18" t="s">
        <v>41</v>
      </c>
      <c r="G17" s="19"/>
      <c r="H17" s="19"/>
      <c r="I17" s="19"/>
      <c r="J17" s="19">
        <v>0</v>
      </c>
      <c r="K17" s="19">
        <f t="shared" si="2"/>
        <v>0</v>
      </c>
      <c r="M17" s="19">
        <v>0</v>
      </c>
      <c r="N17" s="19">
        <v>0</v>
      </c>
      <c r="O17" s="19">
        <v>0</v>
      </c>
      <c r="P17" s="19">
        <v>0</v>
      </c>
      <c r="Q17" s="19">
        <f t="shared" si="1"/>
        <v>0</v>
      </c>
      <c r="R17" s="19"/>
      <c r="S17" s="19"/>
      <c r="T17" s="137"/>
      <c r="U17" s="19"/>
      <c r="V17" s="19"/>
      <c r="W17" s="19"/>
      <c r="Y17" s="29">
        <v>614800</v>
      </c>
    </row>
    <row r="18" spans="2:25" x14ac:dyDescent="0.2">
      <c r="E18" s="18" t="s">
        <v>42</v>
      </c>
      <c r="G18" s="19"/>
      <c r="H18" s="19"/>
      <c r="I18" s="19"/>
      <c r="J18" s="19"/>
      <c r="K18" s="19">
        <f t="shared" si="2"/>
        <v>0</v>
      </c>
      <c r="M18" s="19">
        <v>0</v>
      </c>
      <c r="N18" s="19">
        <v>0</v>
      </c>
      <c r="O18" s="19">
        <v>0</v>
      </c>
      <c r="P18" s="19">
        <v>0</v>
      </c>
      <c r="Q18" s="19">
        <f t="shared" si="1"/>
        <v>0</v>
      </c>
      <c r="R18" s="19"/>
      <c r="S18" s="19"/>
      <c r="T18" s="137"/>
      <c r="U18" s="19"/>
      <c r="V18" s="19"/>
      <c r="W18" s="19"/>
    </row>
    <row r="19" spans="2:25" x14ac:dyDescent="0.2">
      <c r="E19" s="18" t="s">
        <v>43</v>
      </c>
      <c r="G19" s="19"/>
      <c r="H19" s="19"/>
      <c r="I19" s="19"/>
      <c r="J19" s="19">
        <v>0</v>
      </c>
      <c r="K19" s="19">
        <f t="shared" si="2"/>
        <v>0</v>
      </c>
      <c r="M19" s="19">
        <f>G19</f>
        <v>0</v>
      </c>
      <c r="N19" s="19">
        <f>H19</f>
        <v>0</v>
      </c>
      <c r="O19" s="19">
        <f>I19</f>
        <v>0</v>
      </c>
      <c r="P19" s="19">
        <f>J19</f>
        <v>0</v>
      </c>
      <c r="Q19" s="19">
        <f t="shared" si="1"/>
        <v>0</v>
      </c>
      <c r="R19" s="19"/>
      <c r="S19" s="19"/>
      <c r="T19" s="137"/>
      <c r="U19" s="19"/>
      <c r="V19" s="19"/>
      <c r="W19" s="19"/>
      <c r="Y19" s="5" t="s">
        <v>44</v>
      </c>
    </row>
    <row r="20" spans="2:25" x14ac:dyDescent="0.2">
      <c r="E20" s="18" t="s">
        <v>45</v>
      </c>
      <c r="G20" s="31"/>
      <c r="H20" s="31"/>
      <c r="I20" s="31"/>
      <c r="J20" s="31">
        <v>0</v>
      </c>
      <c r="K20" s="31">
        <f>G20+H20+I20+J20</f>
        <v>0</v>
      </c>
      <c r="M20" s="19">
        <v>0</v>
      </c>
      <c r="N20" s="19">
        <v>0</v>
      </c>
      <c r="O20" s="19">
        <v>0</v>
      </c>
      <c r="P20" s="19">
        <v>0</v>
      </c>
      <c r="Q20" s="19">
        <f t="shared" si="1"/>
        <v>0</v>
      </c>
      <c r="R20" s="19"/>
      <c r="S20" s="19"/>
      <c r="T20" s="137"/>
      <c r="U20" s="19"/>
      <c r="V20" s="19"/>
      <c r="W20" s="19"/>
      <c r="Y20" s="29">
        <f>31030+1679</f>
        <v>32709</v>
      </c>
    </row>
    <row r="21" spans="2:25" x14ac:dyDescent="0.2">
      <c r="D21" s="132" t="s">
        <v>46</v>
      </c>
      <c r="E21" s="18"/>
      <c r="G21" s="32"/>
      <c r="H21" s="32"/>
      <c r="I21" s="32"/>
      <c r="J21" s="32">
        <f>J9+J12+SUM(J15:J20)</f>
        <v>0</v>
      </c>
      <c r="K21" s="32">
        <f>SUM(G21:J21)</f>
        <v>0</v>
      </c>
      <c r="M21" s="34">
        <f>M9+M12+SUM(M15:M20)</f>
        <v>0</v>
      </c>
      <c r="N21" s="34">
        <f>N9+N12+SUM(N15:N20)</f>
        <v>0</v>
      </c>
      <c r="O21" s="34">
        <f>O9+O12+SUM(O15:O20)</f>
        <v>0</v>
      </c>
      <c r="P21" s="34">
        <f>P9+P12+SUM(P15:P20)</f>
        <v>0</v>
      </c>
      <c r="Q21" s="34">
        <f>Q9+Q12+SUM(Q15:Q20)</f>
        <v>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47</v>
      </c>
    </row>
    <row r="23" spans="2:25" x14ac:dyDescent="0.2">
      <c r="B23" s="132" t="s">
        <v>48</v>
      </c>
      <c r="E23" s="18" t="s">
        <v>49</v>
      </c>
      <c r="G23" s="31"/>
      <c r="H23" s="31"/>
      <c r="I23" s="31"/>
      <c r="J23" s="31">
        <v>0</v>
      </c>
      <c r="K23" s="31">
        <f>G23+H23+I23+J23</f>
        <v>0</v>
      </c>
      <c r="M23" s="31">
        <f>$Q$23*G$154</f>
        <v>0</v>
      </c>
      <c r="N23" s="31">
        <f>$Q$23*H$154</f>
        <v>0</v>
      </c>
      <c r="O23" s="31">
        <f>$Q$23*I$154</f>
        <v>0</v>
      </c>
      <c r="P23" s="31">
        <v>0</v>
      </c>
      <c r="Q23" s="31">
        <f>K23*Y23</f>
        <v>0</v>
      </c>
      <c r="R23" s="39"/>
      <c r="S23" s="39"/>
      <c r="T23" s="40">
        <f>251603.59-K23</f>
        <v>251603.59</v>
      </c>
      <c r="U23" s="39"/>
      <c r="V23" s="39"/>
      <c r="W23" s="39"/>
      <c r="Y23" s="41">
        <f>Y20/Y17</f>
        <v>5.320266753415745E-2</v>
      </c>
    </row>
    <row r="24" spans="2:25" x14ac:dyDescent="0.2">
      <c r="B24" s="132"/>
      <c r="D24" s="132" t="s">
        <v>50</v>
      </c>
      <c r="E24" s="18"/>
      <c r="G24" s="32"/>
      <c r="H24" s="32"/>
      <c r="I24" s="32"/>
      <c r="J24" s="32">
        <f>SUM(J23)</f>
        <v>0</v>
      </c>
      <c r="K24" s="32">
        <f>SUM(G24:J24)</f>
        <v>0</v>
      </c>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51</v>
      </c>
      <c r="E26" s="18" t="s">
        <v>52</v>
      </c>
      <c r="G26" s="19"/>
      <c r="H26" s="19"/>
      <c r="I26" s="19"/>
      <c r="J26" s="19"/>
      <c r="K26" s="19">
        <f>G26+H26+I26+J26</f>
        <v>0</v>
      </c>
      <c r="M26" s="39">
        <v>0</v>
      </c>
      <c r="N26" s="39">
        <v>0</v>
      </c>
      <c r="O26" s="39">
        <v>0</v>
      </c>
      <c r="P26" s="19">
        <v>0</v>
      </c>
      <c r="Q26" s="19">
        <f t="shared" ref="Q26:Q31" si="3">SUM(M26:P26)</f>
        <v>0</v>
      </c>
      <c r="R26" s="19"/>
      <c r="S26" s="19"/>
      <c r="T26" s="19"/>
      <c r="U26" s="19"/>
      <c r="V26" s="19"/>
      <c r="W26" s="19"/>
    </row>
    <row r="27" spans="2:25" x14ac:dyDescent="0.2">
      <c r="B27" s="132"/>
      <c r="E27" s="18" t="s">
        <v>53</v>
      </c>
      <c r="G27" s="19"/>
      <c r="H27" s="19"/>
      <c r="I27" s="19"/>
      <c r="J27" s="19"/>
      <c r="K27" s="19">
        <f t="shared" ref="K27:K29" si="4">G27+H27+I27+J27</f>
        <v>0</v>
      </c>
      <c r="M27" s="19">
        <f>G27</f>
        <v>0</v>
      </c>
      <c r="N27" s="19">
        <f>H27</f>
        <v>0</v>
      </c>
      <c r="O27" s="19">
        <f>I27</f>
        <v>0</v>
      </c>
      <c r="P27" s="19">
        <f>J27</f>
        <v>0</v>
      </c>
      <c r="Q27" s="19">
        <f>SUM(M27:P27)</f>
        <v>0</v>
      </c>
      <c r="R27" s="19"/>
      <c r="S27" s="19"/>
      <c r="T27" s="19"/>
      <c r="U27" s="19"/>
      <c r="V27" s="19"/>
      <c r="W27" s="19"/>
    </row>
    <row r="28" spans="2:25" x14ac:dyDescent="0.2">
      <c r="B28" s="132"/>
      <c r="E28" s="12" t="s">
        <v>54</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2"/>
      <c r="E29" s="18" t="s">
        <v>55</v>
      </c>
      <c r="G29" s="19"/>
      <c r="H29" s="19"/>
      <c r="I29" s="19"/>
      <c r="J29" s="19"/>
      <c r="K29" s="19">
        <f t="shared" si="4"/>
        <v>0</v>
      </c>
      <c r="M29" s="19">
        <f t="shared" ref="M29:O30" si="5">G29</f>
        <v>0</v>
      </c>
      <c r="N29" s="19">
        <f t="shared" si="5"/>
        <v>0</v>
      </c>
      <c r="O29" s="19">
        <f t="shared" si="5"/>
        <v>0</v>
      </c>
      <c r="P29" s="19">
        <f>J29</f>
        <v>0</v>
      </c>
      <c r="Q29" s="19">
        <f>SUM(M29:P29)</f>
        <v>0</v>
      </c>
      <c r="R29" s="19"/>
      <c r="S29" s="19"/>
      <c r="T29" s="19"/>
      <c r="U29" s="19"/>
      <c r="V29" s="19"/>
      <c r="W29" s="19"/>
    </row>
    <row r="30" spans="2:25" x14ac:dyDescent="0.2">
      <c r="B30" s="132"/>
      <c r="E30" s="18" t="s">
        <v>56</v>
      </c>
      <c r="G30" s="31"/>
      <c r="H30" s="31"/>
      <c r="I30" s="31"/>
      <c r="J30" s="31"/>
      <c r="K30" s="31">
        <f>G30+H30+I30+J30</f>
        <v>0</v>
      </c>
      <c r="M30" s="31">
        <f t="shared" si="5"/>
        <v>0</v>
      </c>
      <c r="N30" s="31">
        <f t="shared" si="5"/>
        <v>0</v>
      </c>
      <c r="O30" s="31">
        <f t="shared" si="5"/>
        <v>0</v>
      </c>
      <c r="P30" s="31">
        <f>J30</f>
        <v>0</v>
      </c>
      <c r="Q30" s="31">
        <f t="shared" si="3"/>
        <v>0</v>
      </c>
      <c r="R30" s="39"/>
      <c r="S30" s="39"/>
      <c r="T30" s="39"/>
      <c r="U30" s="39"/>
      <c r="V30" s="39"/>
      <c r="W30" s="39"/>
    </row>
    <row r="31" spans="2:25" x14ac:dyDescent="0.2">
      <c r="B31" s="132"/>
      <c r="D31" s="132" t="s">
        <v>57</v>
      </c>
      <c r="G31" s="32"/>
      <c r="H31" s="32"/>
      <c r="I31" s="32"/>
      <c r="J31" s="32">
        <f>SUM(J26:J30)</f>
        <v>0</v>
      </c>
      <c r="K31" s="32">
        <f>SUM(G31:J31)</f>
        <v>0</v>
      </c>
      <c r="M31" s="32">
        <f>SUM(M26:M30)</f>
        <v>0</v>
      </c>
      <c r="N31" s="32">
        <f>SUM(N26:N30)</f>
        <v>0</v>
      </c>
      <c r="O31" s="32">
        <f>SUM(O26:O30)</f>
        <v>0</v>
      </c>
      <c r="P31" s="32">
        <f>SUM(P26:P30)</f>
        <v>0</v>
      </c>
      <c r="Q31" s="32">
        <f t="shared" si="3"/>
        <v>0</v>
      </c>
      <c r="R31" s="32"/>
      <c r="S31" s="32"/>
      <c r="T31" s="32"/>
      <c r="U31" s="32"/>
      <c r="V31" s="32"/>
      <c r="W31" s="32"/>
    </row>
    <row r="32" spans="2:25" x14ac:dyDescent="0.2">
      <c r="B32" s="132"/>
    </row>
    <row r="33" spans="2:23" x14ac:dyDescent="0.2">
      <c r="B33" s="132" t="s">
        <v>58</v>
      </c>
      <c r="D33" s="132" t="s">
        <v>59</v>
      </c>
      <c r="E33" s="12" t="s">
        <v>60</v>
      </c>
      <c r="G33" s="19"/>
      <c r="H33" s="19"/>
      <c r="I33" s="19"/>
      <c r="J33" s="19">
        <v>0</v>
      </c>
      <c r="K33" s="19">
        <f>SUM(G33:J33)</f>
        <v>0</v>
      </c>
      <c r="M33" s="19">
        <f t="shared" ref="M33:P34" si="6">G33</f>
        <v>0</v>
      </c>
      <c r="N33" s="19">
        <f t="shared" si="6"/>
        <v>0</v>
      </c>
      <c r="O33" s="19">
        <f t="shared" si="6"/>
        <v>0</v>
      </c>
      <c r="P33" s="19">
        <f t="shared" si="6"/>
        <v>0</v>
      </c>
      <c r="Q33" s="19">
        <f>SUM(M33:P33)</f>
        <v>0</v>
      </c>
      <c r="R33" s="19"/>
      <c r="S33" s="19"/>
      <c r="T33" s="19"/>
      <c r="U33" s="19"/>
      <c r="V33" s="19"/>
      <c r="W33" s="19"/>
    </row>
    <row r="34" spans="2:23" x14ac:dyDescent="0.2">
      <c r="B34" s="132" t="s">
        <v>61</v>
      </c>
      <c r="D34" s="132" t="s">
        <v>62</v>
      </c>
      <c r="E34" s="12" t="s">
        <v>63</v>
      </c>
      <c r="G34" s="19"/>
      <c r="H34" s="19"/>
      <c r="I34" s="19"/>
      <c r="J34" s="19">
        <v>0</v>
      </c>
      <c r="K34" s="19">
        <f>SUM(G34:J34)</f>
        <v>0</v>
      </c>
      <c r="M34" s="19">
        <f t="shared" si="6"/>
        <v>0</v>
      </c>
      <c r="N34" s="19">
        <f t="shared" si="6"/>
        <v>0</v>
      </c>
      <c r="O34" s="19">
        <f t="shared" si="6"/>
        <v>0</v>
      </c>
      <c r="P34" s="19">
        <f t="shared" si="6"/>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64</v>
      </c>
      <c r="E36" s="12" t="s">
        <v>65</v>
      </c>
      <c r="G36" s="19"/>
      <c r="H36" s="19"/>
      <c r="I36" s="19"/>
      <c r="J36" s="19">
        <v>0</v>
      </c>
      <c r="K36" s="19">
        <f t="shared" ref="K36:K41" si="7">SUM(G36:J36)</f>
        <v>0</v>
      </c>
      <c r="M36" s="19">
        <f t="shared" ref="M36:P41" si="8">G36</f>
        <v>0</v>
      </c>
      <c r="N36" s="19">
        <f t="shared" si="8"/>
        <v>0</v>
      </c>
      <c r="O36" s="19">
        <f t="shared" si="8"/>
        <v>0</v>
      </c>
      <c r="P36" s="19">
        <f t="shared" si="8"/>
        <v>0</v>
      </c>
      <c r="Q36" s="19">
        <f t="shared" ref="Q36:Q41" si="9">SUM(M36:P36)</f>
        <v>0</v>
      </c>
      <c r="R36" s="19"/>
      <c r="S36" s="19"/>
      <c r="T36" s="19"/>
      <c r="U36" s="19"/>
      <c r="V36" s="19"/>
      <c r="W36" s="19"/>
    </row>
    <row r="37" spans="2:23" x14ac:dyDescent="0.2">
      <c r="D37" s="132" t="s">
        <v>66</v>
      </c>
      <c r="E37" s="12" t="s">
        <v>67</v>
      </c>
      <c r="G37" s="19"/>
      <c r="H37" s="19"/>
      <c r="I37" s="19"/>
      <c r="J37" s="19">
        <v>0</v>
      </c>
      <c r="K37" s="19">
        <f t="shared" si="7"/>
        <v>0</v>
      </c>
      <c r="M37" s="19">
        <f t="shared" si="8"/>
        <v>0</v>
      </c>
      <c r="N37" s="19">
        <f t="shared" si="8"/>
        <v>0</v>
      </c>
      <c r="O37" s="19">
        <f t="shared" si="8"/>
        <v>0</v>
      </c>
      <c r="P37" s="19">
        <f t="shared" si="8"/>
        <v>0</v>
      </c>
      <c r="Q37" s="19">
        <f t="shared" si="9"/>
        <v>0</v>
      </c>
      <c r="R37" s="19"/>
      <c r="S37" s="19"/>
      <c r="T37" s="19"/>
      <c r="U37" s="19"/>
      <c r="V37" s="19"/>
      <c r="W37" s="19"/>
    </row>
    <row r="38" spans="2:23" x14ac:dyDescent="0.2">
      <c r="D38" s="132"/>
      <c r="E38" s="12" t="s">
        <v>68</v>
      </c>
      <c r="G38" s="19"/>
      <c r="H38" s="19"/>
      <c r="I38" s="19"/>
      <c r="J38" s="19">
        <v>0</v>
      </c>
      <c r="K38" s="19">
        <f t="shared" si="7"/>
        <v>0</v>
      </c>
      <c r="M38" s="19">
        <f t="shared" si="8"/>
        <v>0</v>
      </c>
      <c r="N38" s="19">
        <f t="shared" si="8"/>
        <v>0</v>
      </c>
      <c r="O38" s="19">
        <f t="shared" si="8"/>
        <v>0</v>
      </c>
      <c r="P38" s="19">
        <f t="shared" si="8"/>
        <v>0</v>
      </c>
      <c r="Q38" s="19">
        <f t="shared" si="9"/>
        <v>0</v>
      </c>
      <c r="R38" s="19"/>
      <c r="S38" s="19"/>
      <c r="T38" s="19"/>
      <c r="U38" s="19"/>
      <c r="V38" s="19"/>
      <c r="W38" s="19"/>
    </row>
    <row r="39" spans="2:23" x14ac:dyDescent="0.2">
      <c r="D39" s="132"/>
      <c r="E39" s="12" t="s">
        <v>69</v>
      </c>
      <c r="G39" s="19"/>
      <c r="H39" s="19"/>
      <c r="I39" s="19"/>
      <c r="J39" s="19">
        <v>0</v>
      </c>
      <c r="K39" s="19">
        <f t="shared" si="7"/>
        <v>0</v>
      </c>
      <c r="M39" s="19">
        <f t="shared" si="8"/>
        <v>0</v>
      </c>
      <c r="N39" s="19">
        <f t="shared" si="8"/>
        <v>0</v>
      </c>
      <c r="O39" s="19">
        <f t="shared" si="8"/>
        <v>0</v>
      </c>
      <c r="P39" s="19">
        <f t="shared" si="8"/>
        <v>0</v>
      </c>
      <c r="Q39" s="19">
        <f t="shared" si="9"/>
        <v>0</v>
      </c>
      <c r="R39" s="19"/>
      <c r="S39" s="19"/>
      <c r="T39" s="19"/>
      <c r="U39" s="19"/>
      <c r="V39" s="19"/>
      <c r="W39" s="19"/>
    </row>
    <row r="40" spans="2:23" x14ac:dyDescent="0.2">
      <c r="D40" s="132"/>
      <c r="E40" s="12" t="s">
        <v>70</v>
      </c>
      <c r="G40" s="19"/>
      <c r="H40" s="19"/>
      <c r="I40" s="19"/>
      <c r="J40" s="19">
        <v>0</v>
      </c>
      <c r="K40" s="19">
        <f t="shared" si="7"/>
        <v>0</v>
      </c>
      <c r="M40" s="19">
        <f t="shared" si="8"/>
        <v>0</v>
      </c>
      <c r="N40" s="19">
        <f t="shared" si="8"/>
        <v>0</v>
      </c>
      <c r="O40" s="19">
        <f t="shared" si="8"/>
        <v>0</v>
      </c>
      <c r="P40" s="19">
        <f t="shared" si="8"/>
        <v>0</v>
      </c>
      <c r="Q40" s="19">
        <f t="shared" si="9"/>
        <v>0</v>
      </c>
      <c r="R40" s="19"/>
      <c r="S40" s="19"/>
      <c r="T40" s="19"/>
      <c r="U40" s="19"/>
      <c r="V40" s="19"/>
      <c r="W40" s="19"/>
    </row>
    <row r="41" spans="2:23" x14ac:dyDescent="0.2">
      <c r="D41" s="132"/>
      <c r="E41" s="12" t="s">
        <v>71</v>
      </c>
      <c r="G41" s="19"/>
      <c r="H41" s="19"/>
      <c r="I41" s="19"/>
      <c r="J41" s="19">
        <v>0</v>
      </c>
      <c r="K41" s="19">
        <f t="shared" si="7"/>
        <v>0</v>
      </c>
      <c r="M41" s="19">
        <f t="shared" si="8"/>
        <v>0</v>
      </c>
      <c r="N41" s="19">
        <f t="shared" si="8"/>
        <v>0</v>
      </c>
      <c r="O41" s="19">
        <f t="shared" si="8"/>
        <v>0</v>
      </c>
      <c r="P41" s="19">
        <f t="shared" si="8"/>
        <v>0</v>
      </c>
      <c r="Q41" s="19">
        <f t="shared" si="9"/>
        <v>0</v>
      </c>
      <c r="R41" s="19"/>
      <c r="S41" s="19"/>
      <c r="T41" s="19"/>
      <c r="U41" s="19"/>
      <c r="V41" s="19"/>
      <c r="W41" s="19"/>
    </row>
    <row r="42" spans="2:23" x14ac:dyDescent="0.2">
      <c r="D42" s="132"/>
      <c r="Q42" s="19"/>
      <c r="R42" s="19"/>
      <c r="S42" s="19"/>
      <c r="T42" s="19"/>
      <c r="U42" s="19"/>
      <c r="V42" s="19"/>
      <c r="W42" s="19"/>
    </row>
    <row r="43" spans="2:23" x14ac:dyDescent="0.2">
      <c r="D43" s="132"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76</v>
      </c>
    </row>
    <row r="51" spans="2:25" x14ac:dyDescent="0.2">
      <c r="D51" s="132"/>
    </row>
    <row r="52" spans="2:25" x14ac:dyDescent="0.2">
      <c r="B52" s="132"/>
      <c r="D52" s="132"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77</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2:25" x14ac:dyDescent="0.2">
      <c r="B54" s="132"/>
      <c r="G54" s="19"/>
    </row>
    <row r="55" spans="2:25" x14ac:dyDescent="0.2">
      <c r="B55" s="132" t="s">
        <v>78</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79</v>
      </c>
      <c r="D56" s="19"/>
    </row>
    <row r="57" spans="2:25" ht="13.5" thickBot="1" x14ac:dyDescent="0.25">
      <c r="K57" s="19"/>
      <c r="Q57" s="144"/>
      <c r="R57" s="145"/>
      <c r="S57" s="145"/>
      <c r="T57" s="145"/>
      <c r="U57" s="145"/>
      <c r="V57" s="145"/>
      <c r="W57" s="145"/>
    </row>
    <row r="58" spans="2:25" x14ac:dyDescent="0.2">
      <c r="B58" s="132" t="s">
        <v>80</v>
      </c>
      <c r="E58" s="19"/>
      <c r="G58" s="146">
        <f>G21+G24+G31+G53+G55</f>
        <v>0</v>
      </c>
      <c r="H58" s="146">
        <f>H21+H24+H31+H53+H55</f>
        <v>0</v>
      </c>
      <c r="I58" s="146">
        <f>I21+I24+I31+I53+I55</f>
        <v>0</v>
      </c>
      <c r="J58" s="146">
        <f>J21+J24+J31+J53+J55</f>
        <v>0</v>
      </c>
      <c r="K58" s="146">
        <f>SUM(G58:J58)</f>
        <v>0</v>
      </c>
      <c r="L58" s="147"/>
      <c r="M58" s="146">
        <f>M21+M24+M31+M53+M55</f>
        <v>0</v>
      </c>
      <c r="N58" s="146">
        <f>N21+N24+N31+N53+N55</f>
        <v>0</v>
      </c>
      <c r="O58" s="146">
        <f>O21+O24+O31+O53+O55</f>
        <v>0</v>
      </c>
      <c r="P58" s="146">
        <f>P21+P24+P31+P53+P55</f>
        <v>0</v>
      </c>
      <c r="Q58" s="146">
        <f>SUM(M58:P58)</f>
        <v>0</v>
      </c>
      <c r="R58" s="141"/>
      <c r="S58" s="141"/>
      <c r="T58" s="141"/>
      <c r="U58" s="141"/>
      <c r="V58" s="141"/>
      <c r="W58" s="141"/>
    </row>
    <row r="61" spans="2:25" ht="14.25" x14ac:dyDescent="0.2">
      <c r="B61" s="136" t="s">
        <v>81</v>
      </c>
    </row>
    <row r="62" spans="2:25" x14ac:dyDescent="0.2">
      <c r="D62" s="12" t="s">
        <v>83</v>
      </c>
      <c r="E62" s="18" t="s">
        <v>31</v>
      </c>
      <c r="G62" s="19"/>
      <c r="H62" s="19"/>
      <c r="I62" s="19"/>
      <c r="J62" s="19"/>
      <c r="K62" s="19">
        <f>G62+H62+I62+J62</f>
        <v>0</v>
      </c>
      <c r="M62" s="19"/>
      <c r="N62" s="19"/>
      <c r="O62" s="19"/>
      <c r="P62" s="19"/>
      <c r="Q62" s="19"/>
      <c r="R62" s="19"/>
      <c r="S62" s="19"/>
      <c r="T62" s="19"/>
      <c r="U62" s="19"/>
      <c r="V62" s="19"/>
      <c r="W62" s="19"/>
    </row>
    <row r="63" spans="2:25" ht="12.75" customHeight="1" x14ac:dyDescent="0.2">
      <c r="E63" s="18"/>
      <c r="G63" s="19"/>
      <c r="H63" s="19"/>
      <c r="I63" s="19"/>
    </row>
    <row r="64" spans="2:25" x14ac:dyDescent="0.2">
      <c r="D64" s="12" t="s">
        <v>108</v>
      </c>
      <c r="E64" s="18" t="s">
        <v>31</v>
      </c>
      <c r="G64" s="19"/>
      <c r="H64" s="19"/>
      <c r="I64" s="19"/>
      <c r="J64" s="19">
        <v>0</v>
      </c>
      <c r="K64" s="19">
        <f>I64</f>
        <v>0</v>
      </c>
      <c r="M64" s="19">
        <f>G64</f>
        <v>0</v>
      </c>
      <c r="N64" s="19">
        <f>H64</f>
        <v>0</v>
      </c>
      <c r="O64" s="19">
        <f>Q64</f>
        <v>0</v>
      </c>
      <c r="P64" s="19">
        <f t="shared" ref="P64" si="10">J64</f>
        <v>0</v>
      </c>
      <c r="Q64" s="19">
        <f>K64</f>
        <v>0</v>
      </c>
      <c r="R64" s="19"/>
      <c r="S64" s="19"/>
      <c r="T64" s="19"/>
      <c r="U64" s="19"/>
      <c r="V64" s="19"/>
      <c r="W64" s="19"/>
      <c r="Y64" s="5" t="s">
        <v>82</v>
      </c>
    </row>
    <row r="65" spans="4:25" ht="12.75" customHeight="1" x14ac:dyDescent="0.2">
      <c r="E65" s="18"/>
      <c r="G65" s="19"/>
      <c r="H65" s="19"/>
      <c r="I65" s="19"/>
      <c r="K65" s="19">
        <f t="shared" ref="K65:K71" si="11">I65</f>
        <v>0</v>
      </c>
      <c r="M65" s="19">
        <f t="shared" ref="M65:Q117" si="12">G65</f>
        <v>0</v>
      </c>
      <c r="N65" s="19">
        <f t="shared" si="12"/>
        <v>0</v>
      </c>
    </row>
    <row r="66" spans="4:25" x14ac:dyDescent="0.2">
      <c r="D66" s="12" t="s">
        <v>109</v>
      </c>
      <c r="E66" s="18" t="s">
        <v>31</v>
      </c>
      <c r="G66" s="19"/>
      <c r="H66" s="19"/>
      <c r="I66" s="19"/>
      <c r="J66" s="19">
        <v>0</v>
      </c>
      <c r="K66" s="19">
        <f t="shared" si="11"/>
        <v>0</v>
      </c>
      <c r="M66" s="19">
        <f t="shared" si="12"/>
        <v>0</v>
      </c>
      <c r="N66" s="19">
        <f t="shared" si="12"/>
        <v>0</v>
      </c>
      <c r="O66" s="19">
        <f t="shared" ref="O66" si="13">Q66</f>
        <v>0</v>
      </c>
      <c r="P66" s="19">
        <f t="shared" ref="P66:Q66" si="14">J66</f>
        <v>0</v>
      </c>
      <c r="Q66" s="19">
        <f t="shared" si="14"/>
        <v>0</v>
      </c>
      <c r="R66" s="19"/>
      <c r="S66" s="19"/>
      <c r="T66" s="19"/>
      <c r="U66" s="19"/>
      <c r="V66" s="19"/>
      <c r="W66" s="19"/>
      <c r="Y66" s="5" t="s">
        <v>82</v>
      </c>
    </row>
    <row r="67" spans="4:25" ht="12.75" customHeight="1" x14ac:dyDescent="0.2">
      <c r="E67" s="18"/>
      <c r="G67" s="19"/>
      <c r="H67" s="19"/>
      <c r="I67" s="19"/>
      <c r="K67" s="19">
        <f t="shared" si="11"/>
        <v>0</v>
      </c>
      <c r="M67" s="19">
        <f t="shared" si="12"/>
        <v>0</v>
      </c>
      <c r="N67" s="19">
        <f t="shared" si="12"/>
        <v>0</v>
      </c>
    </row>
    <row r="68" spans="4:25" x14ac:dyDescent="0.2">
      <c r="D68" s="12" t="s">
        <v>111</v>
      </c>
      <c r="E68" s="18" t="s">
        <v>31</v>
      </c>
      <c r="G68" s="19"/>
      <c r="H68" s="19"/>
      <c r="I68" s="19"/>
      <c r="J68" s="19">
        <v>0</v>
      </c>
      <c r="K68" s="19">
        <f t="shared" si="11"/>
        <v>0</v>
      </c>
      <c r="M68" s="19">
        <f t="shared" si="12"/>
        <v>0</v>
      </c>
      <c r="N68" s="19">
        <f t="shared" si="12"/>
        <v>0</v>
      </c>
      <c r="O68" s="19">
        <f t="shared" ref="O68" si="15">Q68</f>
        <v>0</v>
      </c>
      <c r="P68" s="19">
        <f t="shared" ref="P68:Q68" si="16">J68</f>
        <v>0</v>
      </c>
      <c r="Q68" s="19">
        <f t="shared" si="16"/>
        <v>0</v>
      </c>
      <c r="R68" s="19"/>
      <c r="S68" s="19"/>
      <c r="T68" s="19"/>
      <c r="U68" s="19"/>
      <c r="V68" s="19"/>
      <c r="W68" s="19"/>
      <c r="Y68" s="5" t="s">
        <v>82</v>
      </c>
    </row>
    <row r="69" spans="4:25" ht="12.75" customHeight="1" x14ac:dyDescent="0.2">
      <c r="E69" s="18"/>
      <c r="G69" s="19"/>
      <c r="H69" s="19"/>
      <c r="I69" s="19"/>
      <c r="K69" s="19">
        <f t="shared" si="11"/>
        <v>0</v>
      </c>
      <c r="M69" s="19">
        <f t="shared" si="12"/>
        <v>0</v>
      </c>
      <c r="N69" s="19">
        <f t="shared" si="12"/>
        <v>0</v>
      </c>
    </row>
    <row r="70" spans="4:25" x14ac:dyDescent="0.2">
      <c r="D70" s="12" t="s">
        <v>113</v>
      </c>
      <c r="E70" s="18" t="s">
        <v>31</v>
      </c>
      <c r="G70" s="19"/>
      <c r="H70" s="19"/>
      <c r="I70" s="19"/>
      <c r="J70" s="19">
        <v>0</v>
      </c>
      <c r="K70" s="19">
        <f t="shared" si="11"/>
        <v>0</v>
      </c>
      <c r="M70" s="19">
        <f t="shared" si="12"/>
        <v>0</v>
      </c>
      <c r="N70" s="19">
        <f t="shared" si="12"/>
        <v>0</v>
      </c>
      <c r="O70" s="19">
        <f t="shared" ref="O70" si="17">Q70</f>
        <v>0</v>
      </c>
      <c r="P70" s="19">
        <f t="shared" ref="P70:Q70" si="18">J70</f>
        <v>0</v>
      </c>
      <c r="Q70" s="19">
        <f t="shared" si="18"/>
        <v>0</v>
      </c>
      <c r="R70" s="19"/>
      <c r="S70" s="19"/>
      <c r="T70" s="19"/>
      <c r="U70" s="19"/>
      <c r="V70" s="19"/>
      <c r="W70" s="19"/>
      <c r="Y70" s="5" t="s">
        <v>82</v>
      </c>
    </row>
    <row r="71" spans="4:25" ht="12.75" customHeight="1" x14ac:dyDescent="0.2">
      <c r="E71" s="18"/>
      <c r="G71" s="19"/>
      <c r="H71" s="19"/>
      <c r="I71" s="19"/>
      <c r="K71" s="19">
        <f t="shared" si="11"/>
        <v>0</v>
      </c>
      <c r="M71" s="19">
        <f t="shared" si="12"/>
        <v>0</v>
      </c>
      <c r="N71" s="19">
        <f t="shared" si="12"/>
        <v>0</v>
      </c>
    </row>
    <row r="72" spans="4:25" x14ac:dyDescent="0.2">
      <c r="D72" s="12" t="s">
        <v>176</v>
      </c>
      <c r="E72" s="18" t="s">
        <v>31</v>
      </c>
      <c r="G72" s="19"/>
      <c r="H72" s="19"/>
      <c r="I72" s="19"/>
      <c r="J72" s="19">
        <v>0</v>
      </c>
      <c r="K72" s="19">
        <f>I72+H72+G72</f>
        <v>0</v>
      </c>
      <c r="M72" s="19">
        <f t="shared" si="12"/>
        <v>0</v>
      </c>
      <c r="N72" s="19">
        <f t="shared" si="12"/>
        <v>0</v>
      </c>
      <c r="O72" s="19">
        <f>I72</f>
        <v>0</v>
      </c>
      <c r="P72" s="19">
        <f t="shared" ref="P72:Q72" si="19">J72</f>
        <v>0</v>
      </c>
      <c r="Q72" s="19">
        <f t="shared" si="19"/>
        <v>0</v>
      </c>
      <c r="R72" s="19"/>
      <c r="S72" s="19"/>
      <c r="T72" s="19"/>
      <c r="U72" s="19"/>
      <c r="V72" s="19"/>
      <c r="W72" s="19"/>
      <c r="Y72" s="5" t="s">
        <v>82</v>
      </c>
    </row>
    <row r="73" spans="4:25" ht="12.75" customHeight="1" x14ac:dyDescent="0.2">
      <c r="E73" s="18"/>
      <c r="G73" s="19"/>
      <c r="H73" s="19"/>
      <c r="I73" s="19"/>
      <c r="K73" s="19">
        <f t="shared" ref="K73:K136" si="20">I73+H73+G73</f>
        <v>0</v>
      </c>
      <c r="M73" s="19">
        <f t="shared" si="12"/>
        <v>0</v>
      </c>
      <c r="N73" s="19">
        <f t="shared" si="12"/>
        <v>0</v>
      </c>
      <c r="O73" s="19">
        <f t="shared" si="12"/>
        <v>0</v>
      </c>
    </row>
    <row r="74" spans="4:25" x14ac:dyDescent="0.2">
      <c r="D74" s="12" t="s">
        <v>116</v>
      </c>
      <c r="E74" s="18" t="s">
        <v>31</v>
      </c>
      <c r="G74" s="19"/>
      <c r="H74" s="19"/>
      <c r="I74" s="19"/>
      <c r="J74" s="19">
        <v>0</v>
      </c>
      <c r="K74" s="19">
        <f t="shared" si="20"/>
        <v>0</v>
      </c>
      <c r="M74" s="19">
        <f t="shared" si="12"/>
        <v>0</v>
      </c>
      <c r="N74" s="19">
        <f t="shared" si="12"/>
        <v>0</v>
      </c>
      <c r="O74" s="19">
        <f t="shared" si="12"/>
        <v>0</v>
      </c>
      <c r="P74" s="19">
        <f t="shared" si="12"/>
        <v>0</v>
      </c>
      <c r="Q74" s="19">
        <f>K74</f>
        <v>0</v>
      </c>
      <c r="R74" s="19"/>
      <c r="S74" s="19"/>
      <c r="T74" s="19"/>
      <c r="U74" s="19"/>
      <c r="V74" s="19"/>
      <c r="W74" s="19"/>
      <c r="Y74" s="5" t="s">
        <v>82</v>
      </c>
    </row>
    <row r="75" spans="4:25" ht="12.75" customHeight="1" x14ac:dyDescent="0.2">
      <c r="E75" s="18"/>
      <c r="G75" s="19"/>
      <c r="H75" s="19"/>
      <c r="I75" s="19"/>
      <c r="K75" s="19">
        <f t="shared" si="20"/>
        <v>0</v>
      </c>
      <c r="M75" s="19">
        <f t="shared" si="12"/>
        <v>0</v>
      </c>
      <c r="N75" s="19">
        <f t="shared" si="12"/>
        <v>0</v>
      </c>
      <c r="O75" s="19">
        <f t="shared" si="12"/>
        <v>0</v>
      </c>
    </row>
    <row r="76" spans="4:25" x14ac:dyDescent="0.2">
      <c r="D76" s="12" t="s">
        <v>117</v>
      </c>
      <c r="E76" s="18" t="s">
        <v>31</v>
      </c>
      <c r="G76" s="19"/>
      <c r="H76" s="19"/>
      <c r="I76" s="19"/>
      <c r="J76" s="19">
        <v>0</v>
      </c>
      <c r="K76" s="19">
        <f t="shared" si="20"/>
        <v>0</v>
      </c>
      <c r="M76" s="19">
        <f t="shared" si="12"/>
        <v>0</v>
      </c>
      <c r="N76" s="19">
        <f t="shared" si="12"/>
        <v>0</v>
      </c>
      <c r="O76" s="19">
        <f t="shared" si="12"/>
        <v>0</v>
      </c>
      <c r="P76" s="19">
        <f t="shared" si="12"/>
        <v>0</v>
      </c>
      <c r="Q76" s="19">
        <f t="shared" si="12"/>
        <v>0</v>
      </c>
      <c r="R76" s="19"/>
      <c r="S76" s="19"/>
      <c r="T76" s="19"/>
      <c r="U76" s="19"/>
      <c r="V76" s="19"/>
      <c r="W76" s="19"/>
      <c r="Y76" s="5" t="s">
        <v>82</v>
      </c>
    </row>
    <row r="77" spans="4:25" ht="12.75" customHeight="1" x14ac:dyDescent="0.2">
      <c r="E77" s="18"/>
      <c r="G77" s="19"/>
      <c r="H77" s="19"/>
      <c r="I77" s="19"/>
      <c r="K77" s="19">
        <f t="shared" si="20"/>
        <v>0</v>
      </c>
      <c r="M77" s="19">
        <f t="shared" si="12"/>
        <v>0</v>
      </c>
      <c r="N77" s="19">
        <f t="shared" si="12"/>
        <v>0</v>
      </c>
      <c r="O77" s="19">
        <f t="shared" si="12"/>
        <v>0</v>
      </c>
    </row>
    <row r="78" spans="4:25" x14ac:dyDescent="0.2">
      <c r="D78" s="12" t="s">
        <v>177</v>
      </c>
      <c r="E78" s="18" t="s">
        <v>31</v>
      </c>
      <c r="G78" s="19"/>
      <c r="H78" s="19"/>
      <c r="I78" s="19"/>
      <c r="J78" s="19">
        <v>0</v>
      </c>
      <c r="K78" s="19">
        <f t="shared" si="20"/>
        <v>0</v>
      </c>
      <c r="M78" s="19">
        <f t="shared" si="12"/>
        <v>0</v>
      </c>
      <c r="N78" s="19">
        <f t="shared" si="12"/>
        <v>0</v>
      </c>
      <c r="O78" s="19">
        <f t="shared" si="12"/>
        <v>0</v>
      </c>
      <c r="P78" s="19">
        <f t="shared" si="12"/>
        <v>0</v>
      </c>
      <c r="Q78" s="19">
        <f t="shared" si="12"/>
        <v>0</v>
      </c>
      <c r="R78" s="19"/>
      <c r="S78" s="19"/>
      <c r="T78" s="19"/>
      <c r="U78" s="19"/>
      <c r="V78" s="19"/>
      <c r="W78" s="19"/>
      <c r="Y78" s="5" t="s">
        <v>82</v>
      </c>
    </row>
    <row r="79" spans="4:25" ht="12.75" customHeight="1" x14ac:dyDescent="0.2">
      <c r="E79" s="18"/>
      <c r="G79" s="19"/>
      <c r="H79" s="19"/>
      <c r="I79" s="19"/>
      <c r="K79" s="19">
        <f t="shared" si="20"/>
        <v>0</v>
      </c>
      <c r="M79" s="19">
        <f t="shared" si="12"/>
        <v>0</v>
      </c>
      <c r="N79" s="19">
        <f t="shared" si="12"/>
        <v>0</v>
      </c>
      <c r="O79" s="19">
        <f t="shared" si="12"/>
        <v>0</v>
      </c>
    </row>
    <row r="80" spans="4:25" x14ac:dyDescent="0.2">
      <c r="D80" s="12" t="s">
        <v>178</v>
      </c>
      <c r="E80" s="18" t="s">
        <v>31</v>
      </c>
      <c r="G80" s="19"/>
      <c r="H80" s="19"/>
      <c r="I80" s="19"/>
      <c r="J80" s="19">
        <v>0</v>
      </c>
      <c r="K80" s="19">
        <f t="shared" si="20"/>
        <v>0</v>
      </c>
      <c r="M80" s="19">
        <f t="shared" si="12"/>
        <v>0</v>
      </c>
      <c r="N80" s="19">
        <f t="shared" si="12"/>
        <v>0</v>
      </c>
      <c r="O80" s="19">
        <f t="shared" si="12"/>
        <v>0</v>
      </c>
      <c r="P80" s="19">
        <f t="shared" si="12"/>
        <v>0</v>
      </c>
      <c r="Q80" s="19">
        <f t="shared" si="12"/>
        <v>0</v>
      </c>
      <c r="R80" s="19"/>
      <c r="S80" s="19"/>
      <c r="T80" s="19"/>
      <c r="U80" s="19"/>
      <c r="V80" s="19"/>
      <c r="W80" s="19"/>
      <c r="Y80" s="5" t="s">
        <v>82</v>
      </c>
    </row>
    <row r="81" spans="4:25" ht="12.75" customHeight="1" x14ac:dyDescent="0.2">
      <c r="E81" s="18"/>
      <c r="G81" s="19"/>
      <c r="H81" s="19"/>
      <c r="I81" s="19"/>
      <c r="K81" s="19">
        <f t="shared" si="20"/>
        <v>0</v>
      </c>
      <c r="M81" s="19">
        <f t="shared" si="12"/>
        <v>0</v>
      </c>
      <c r="N81" s="19">
        <f t="shared" si="12"/>
        <v>0</v>
      </c>
      <c r="O81" s="19">
        <f t="shared" si="12"/>
        <v>0</v>
      </c>
    </row>
    <row r="82" spans="4:25" x14ac:dyDescent="0.2">
      <c r="D82" s="12" t="s">
        <v>179</v>
      </c>
      <c r="E82" s="18" t="s">
        <v>31</v>
      </c>
      <c r="G82" s="19"/>
      <c r="H82" s="19"/>
      <c r="I82" s="19"/>
      <c r="J82" s="19">
        <v>0</v>
      </c>
      <c r="K82" s="19">
        <f t="shared" si="20"/>
        <v>0</v>
      </c>
      <c r="M82" s="19">
        <f t="shared" si="12"/>
        <v>0</v>
      </c>
      <c r="N82" s="19">
        <f t="shared" si="12"/>
        <v>0</v>
      </c>
      <c r="O82" s="19">
        <f t="shared" si="12"/>
        <v>0</v>
      </c>
      <c r="P82" s="19">
        <f t="shared" si="12"/>
        <v>0</v>
      </c>
      <c r="Q82" s="19">
        <f t="shared" si="12"/>
        <v>0</v>
      </c>
      <c r="R82" s="19"/>
      <c r="S82" s="19"/>
      <c r="T82" s="19"/>
      <c r="U82" s="19"/>
      <c r="V82" s="19"/>
      <c r="W82" s="19"/>
      <c r="Y82" s="5" t="s">
        <v>82</v>
      </c>
    </row>
    <row r="83" spans="4:25" ht="12.75" customHeight="1" x14ac:dyDescent="0.2">
      <c r="E83" s="18"/>
      <c r="G83" s="19"/>
      <c r="H83" s="19"/>
      <c r="I83" s="19"/>
      <c r="K83" s="19">
        <f t="shared" si="20"/>
        <v>0</v>
      </c>
      <c r="M83" s="19">
        <f t="shared" si="12"/>
        <v>0</v>
      </c>
      <c r="N83" s="19">
        <f t="shared" si="12"/>
        <v>0</v>
      </c>
      <c r="O83" s="19">
        <f t="shared" si="12"/>
        <v>0</v>
      </c>
    </row>
    <row r="84" spans="4:25" x14ac:dyDescent="0.2">
      <c r="D84" s="12" t="s">
        <v>120</v>
      </c>
      <c r="E84" s="18" t="s">
        <v>31</v>
      </c>
      <c r="G84" s="19"/>
      <c r="H84" s="19"/>
      <c r="I84" s="19"/>
      <c r="J84" s="19">
        <v>0</v>
      </c>
      <c r="K84" s="19">
        <f t="shared" si="20"/>
        <v>0</v>
      </c>
      <c r="M84" s="19">
        <f t="shared" si="12"/>
        <v>0</v>
      </c>
      <c r="N84" s="19">
        <f t="shared" si="12"/>
        <v>0</v>
      </c>
      <c r="O84" s="19">
        <f t="shared" si="12"/>
        <v>0</v>
      </c>
      <c r="P84" s="19">
        <f t="shared" si="12"/>
        <v>0</v>
      </c>
      <c r="Q84" s="19">
        <f t="shared" si="12"/>
        <v>0</v>
      </c>
      <c r="R84" s="19"/>
      <c r="S84" s="19"/>
      <c r="T84" s="19"/>
      <c r="U84" s="19"/>
      <c r="V84" s="19"/>
      <c r="W84" s="19"/>
      <c r="Y84" s="5" t="s">
        <v>82</v>
      </c>
    </row>
    <row r="85" spans="4:25" ht="12.75" customHeight="1" x14ac:dyDescent="0.2">
      <c r="E85" s="18"/>
      <c r="G85" s="19"/>
      <c r="H85" s="19"/>
      <c r="I85" s="19"/>
      <c r="K85" s="19">
        <f t="shared" si="20"/>
        <v>0</v>
      </c>
      <c r="M85" s="19">
        <f t="shared" si="12"/>
        <v>0</v>
      </c>
      <c r="N85" s="19">
        <f t="shared" si="12"/>
        <v>0</v>
      </c>
      <c r="O85" s="19">
        <f t="shared" si="12"/>
        <v>0</v>
      </c>
    </row>
    <row r="86" spans="4:25" x14ac:dyDescent="0.2">
      <c r="D86" s="12" t="s">
        <v>121</v>
      </c>
      <c r="E86" s="18" t="s">
        <v>31</v>
      </c>
      <c r="G86" s="19"/>
      <c r="H86" s="19"/>
      <c r="I86" s="19"/>
      <c r="J86" s="19">
        <v>0</v>
      </c>
      <c r="K86" s="19">
        <f t="shared" si="20"/>
        <v>0</v>
      </c>
      <c r="M86" s="19">
        <f t="shared" si="12"/>
        <v>0</v>
      </c>
      <c r="N86" s="19">
        <f t="shared" si="12"/>
        <v>0</v>
      </c>
      <c r="O86" s="19">
        <f t="shared" si="12"/>
        <v>0</v>
      </c>
      <c r="P86" s="19">
        <f t="shared" si="12"/>
        <v>0</v>
      </c>
      <c r="Q86" s="19">
        <f t="shared" si="12"/>
        <v>0</v>
      </c>
      <c r="R86" s="19"/>
      <c r="S86" s="19"/>
      <c r="T86" s="19"/>
      <c r="U86" s="19"/>
      <c r="V86" s="19"/>
      <c r="W86" s="19"/>
      <c r="Y86" s="5" t="s">
        <v>82</v>
      </c>
    </row>
    <row r="87" spans="4:25" ht="12.75" customHeight="1" x14ac:dyDescent="0.2">
      <c r="E87" s="18"/>
      <c r="G87" s="19"/>
      <c r="H87" s="19"/>
      <c r="I87" s="19"/>
      <c r="K87" s="19">
        <f t="shared" si="20"/>
        <v>0</v>
      </c>
      <c r="M87" s="19">
        <f t="shared" si="12"/>
        <v>0</v>
      </c>
      <c r="N87" s="19">
        <f t="shared" si="12"/>
        <v>0</v>
      </c>
      <c r="O87" s="19">
        <f t="shared" si="12"/>
        <v>0</v>
      </c>
    </row>
    <row r="88" spans="4:25" x14ac:dyDescent="0.2">
      <c r="D88" s="12" t="s">
        <v>122</v>
      </c>
      <c r="E88" s="18" t="s">
        <v>31</v>
      </c>
      <c r="G88" s="19"/>
      <c r="H88" s="19"/>
      <c r="I88" s="19"/>
      <c r="J88" s="19">
        <v>0</v>
      </c>
      <c r="K88" s="19">
        <f t="shared" si="20"/>
        <v>0</v>
      </c>
      <c r="M88" s="19">
        <f t="shared" si="12"/>
        <v>0</v>
      </c>
      <c r="N88" s="19">
        <f t="shared" si="12"/>
        <v>0</v>
      </c>
      <c r="O88" s="19">
        <f t="shared" si="12"/>
        <v>0</v>
      </c>
      <c r="P88" s="19">
        <f t="shared" si="12"/>
        <v>0</v>
      </c>
      <c r="Q88" s="19">
        <f t="shared" si="12"/>
        <v>0</v>
      </c>
      <c r="R88" s="19"/>
      <c r="S88" s="19"/>
      <c r="T88" s="19"/>
      <c r="U88" s="19"/>
      <c r="V88" s="19"/>
      <c r="W88" s="19"/>
      <c r="Y88" s="5" t="s">
        <v>82</v>
      </c>
    </row>
    <row r="89" spans="4:25" ht="12.75" customHeight="1" x14ac:dyDescent="0.2">
      <c r="E89" s="18"/>
      <c r="G89" s="19"/>
      <c r="H89" s="19"/>
      <c r="I89" s="19"/>
      <c r="K89" s="19">
        <f t="shared" si="20"/>
        <v>0</v>
      </c>
      <c r="M89" s="19">
        <f t="shared" si="12"/>
        <v>0</v>
      </c>
      <c r="N89" s="19">
        <f t="shared" si="12"/>
        <v>0</v>
      </c>
      <c r="O89" s="19">
        <f t="shared" si="12"/>
        <v>0</v>
      </c>
    </row>
    <row r="90" spans="4:25" x14ac:dyDescent="0.2">
      <c r="D90" s="12" t="s">
        <v>123</v>
      </c>
      <c r="E90" s="18" t="s">
        <v>31</v>
      </c>
      <c r="G90" s="19"/>
      <c r="H90" s="19"/>
      <c r="I90" s="19"/>
      <c r="J90" s="19">
        <v>0</v>
      </c>
      <c r="K90" s="19">
        <f t="shared" si="20"/>
        <v>0</v>
      </c>
      <c r="M90" s="19">
        <f t="shared" si="12"/>
        <v>0</v>
      </c>
      <c r="N90" s="19">
        <f t="shared" si="12"/>
        <v>0</v>
      </c>
      <c r="O90" s="19">
        <f t="shared" si="12"/>
        <v>0</v>
      </c>
      <c r="P90" s="19">
        <f t="shared" si="12"/>
        <v>0</v>
      </c>
      <c r="Q90" s="19">
        <f t="shared" si="12"/>
        <v>0</v>
      </c>
      <c r="R90" s="19"/>
      <c r="S90" s="19"/>
      <c r="T90" s="19"/>
      <c r="U90" s="19"/>
      <c r="V90" s="19"/>
      <c r="W90" s="19"/>
      <c r="Y90" s="5" t="s">
        <v>82</v>
      </c>
    </row>
    <row r="91" spans="4:25" ht="12.75" customHeight="1" x14ac:dyDescent="0.2">
      <c r="E91" s="18"/>
      <c r="G91" s="19"/>
      <c r="H91" s="19"/>
      <c r="I91" s="19"/>
      <c r="K91" s="19">
        <f t="shared" si="20"/>
        <v>0</v>
      </c>
      <c r="M91" s="19">
        <f t="shared" si="12"/>
        <v>0</v>
      </c>
      <c r="N91" s="19">
        <f t="shared" si="12"/>
        <v>0</v>
      </c>
      <c r="O91" s="19">
        <f t="shared" si="12"/>
        <v>0</v>
      </c>
    </row>
    <row r="92" spans="4:25" x14ac:dyDescent="0.2">
      <c r="D92" s="12" t="s">
        <v>124</v>
      </c>
      <c r="E92" s="18" t="s">
        <v>31</v>
      </c>
      <c r="G92" s="19"/>
      <c r="H92" s="19"/>
      <c r="I92" s="19"/>
      <c r="J92" s="19">
        <v>0</v>
      </c>
      <c r="K92" s="19">
        <f t="shared" si="20"/>
        <v>0</v>
      </c>
      <c r="M92" s="19">
        <f t="shared" si="12"/>
        <v>0</v>
      </c>
      <c r="N92" s="19">
        <f t="shared" si="12"/>
        <v>0</v>
      </c>
      <c r="O92" s="19">
        <f t="shared" si="12"/>
        <v>0</v>
      </c>
      <c r="P92" s="19">
        <f t="shared" si="12"/>
        <v>0</v>
      </c>
      <c r="Q92" s="19">
        <f t="shared" si="12"/>
        <v>0</v>
      </c>
      <c r="R92" s="19"/>
      <c r="S92" s="19"/>
      <c r="T92" s="19"/>
      <c r="U92" s="19"/>
      <c r="V92" s="19"/>
      <c r="W92" s="19"/>
      <c r="Y92" s="5" t="s">
        <v>82</v>
      </c>
    </row>
    <row r="93" spans="4:25" ht="12.75" customHeight="1" x14ac:dyDescent="0.2">
      <c r="E93" s="18"/>
      <c r="G93" s="19"/>
      <c r="H93" s="19"/>
      <c r="I93" s="19"/>
      <c r="K93" s="19">
        <f t="shared" si="20"/>
        <v>0</v>
      </c>
      <c r="M93" s="19">
        <f t="shared" si="12"/>
        <v>0</v>
      </c>
      <c r="N93" s="19">
        <f t="shared" si="12"/>
        <v>0</v>
      </c>
      <c r="O93" s="19">
        <f t="shared" si="12"/>
        <v>0</v>
      </c>
    </row>
    <row r="94" spans="4:25" x14ac:dyDescent="0.2">
      <c r="D94" s="12" t="s">
        <v>125</v>
      </c>
      <c r="E94" s="18" t="s">
        <v>31</v>
      </c>
      <c r="G94" s="19"/>
      <c r="H94" s="19"/>
      <c r="I94" s="19"/>
      <c r="J94" s="19">
        <v>0</v>
      </c>
      <c r="K94" s="19">
        <f t="shared" si="20"/>
        <v>0</v>
      </c>
      <c r="M94" s="19">
        <f t="shared" si="12"/>
        <v>0</v>
      </c>
      <c r="N94" s="19">
        <f t="shared" si="12"/>
        <v>0</v>
      </c>
      <c r="O94" s="19">
        <f t="shared" si="12"/>
        <v>0</v>
      </c>
      <c r="P94" s="19">
        <f t="shared" si="12"/>
        <v>0</v>
      </c>
      <c r="Q94" s="19">
        <f t="shared" si="12"/>
        <v>0</v>
      </c>
      <c r="R94" s="19"/>
      <c r="S94" s="19"/>
      <c r="T94" s="19"/>
      <c r="U94" s="19"/>
      <c r="V94" s="19"/>
      <c r="W94" s="19"/>
      <c r="Y94" s="5" t="s">
        <v>82</v>
      </c>
    </row>
    <row r="95" spans="4:25" ht="12.75" customHeight="1" x14ac:dyDescent="0.2">
      <c r="E95" s="18"/>
      <c r="G95" s="19"/>
      <c r="H95" s="19"/>
      <c r="I95" s="19"/>
      <c r="K95" s="19">
        <f t="shared" si="20"/>
        <v>0</v>
      </c>
      <c r="M95" s="19">
        <f t="shared" si="12"/>
        <v>0</v>
      </c>
      <c r="N95" s="19">
        <f t="shared" si="12"/>
        <v>0</v>
      </c>
      <c r="O95" s="19">
        <f t="shared" si="12"/>
        <v>0</v>
      </c>
    </row>
    <row r="96" spans="4:25" x14ac:dyDescent="0.2">
      <c r="D96" s="12" t="s">
        <v>126</v>
      </c>
      <c r="E96" s="18" t="s">
        <v>31</v>
      </c>
      <c r="G96" s="19"/>
      <c r="H96" s="19"/>
      <c r="I96" s="19"/>
      <c r="J96" s="19">
        <v>0</v>
      </c>
      <c r="K96" s="19">
        <f t="shared" si="20"/>
        <v>0</v>
      </c>
      <c r="M96" s="19">
        <f t="shared" si="12"/>
        <v>0</v>
      </c>
      <c r="N96" s="19">
        <f t="shared" si="12"/>
        <v>0</v>
      </c>
      <c r="O96" s="19">
        <f t="shared" si="12"/>
        <v>0</v>
      </c>
      <c r="P96" s="19">
        <f t="shared" si="12"/>
        <v>0</v>
      </c>
      <c r="Q96" s="19">
        <f t="shared" si="12"/>
        <v>0</v>
      </c>
      <c r="R96" s="19"/>
      <c r="S96" s="19"/>
      <c r="T96" s="19"/>
      <c r="U96" s="19"/>
      <c r="V96" s="19"/>
      <c r="W96" s="19"/>
      <c r="Y96" s="5" t="s">
        <v>82</v>
      </c>
    </row>
    <row r="97" spans="4:25" ht="12.75" customHeight="1" x14ac:dyDescent="0.2">
      <c r="E97" s="18"/>
      <c r="G97" s="19"/>
      <c r="H97" s="19"/>
      <c r="I97" s="19"/>
      <c r="K97" s="19">
        <f t="shared" si="20"/>
        <v>0</v>
      </c>
      <c r="M97" s="19">
        <f t="shared" si="12"/>
        <v>0</v>
      </c>
      <c r="N97" s="19">
        <f t="shared" si="12"/>
        <v>0</v>
      </c>
      <c r="O97" s="19">
        <f t="shared" si="12"/>
        <v>0</v>
      </c>
    </row>
    <row r="98" spans="4:25" x14ac:dyDescent="0.2">
      <c r="D98" s="12" t="s">
        <v>127</v>
      </c>
      <c r="E98" s="18" t="s">
        <v>31</v>
      </c>
      <c r="G98" s="19"/>
      <c r="H98" s="19"/>
      <c r="I98" s="19"/>
      <c r="J98" s="19">
        <v>0</v>
      </c>
      <c r="K98" s="19">
        <f t="shared" si="20"/>
        <v>0</v>
      </c>
      <c r="M98" s="19">
        <f t="shared" si="12"/>
        <v>0</v>
      </c>
      <c r="N98" s="19">
        <f t="shared" si="12"/>
        <v>0</v>
      </c>
      <c r="O98" s="19">
        <f t="shared" si="12"/>
        <v>0</v>
      </c>
      <c r="P98" s="19">
        <f t="shared" si="12"/>
        <v>0</v>
      </c>
      <c r="Q98" s="19">
        <f t="shared" si="12"/>
        <v>0</v>
      </c>
      <c r="R98" s="19"/>
      <c r="S98" s="19"/>
      <c r="T98" s="19"/>
      <c r="U98" s="19"/>
      <c r="V98" s="19"/>
      <c r="W98" s="19"/>
      <c r="Y98" s="5" t="s">
        <v>82</v>
      </c>
    </row>
    <row r="99" spans="4:25" ht="12.75" customHeight="1" x14ac:dyDescent="0.2">
      <c r="E99" s="18"/>
      <c r="G99" s="19"/>
      <c r="H99" s="19"/>
      <c r="I99" s="19"/>
      <c r="K99" s="19">
        <f t="shared" si="20"/>
        <v>0</v>
      </c>
      <c r="M99" s="19">
        <f t="shared" si="12"/>
        <v>0</v>
      </c>
      <c r="N99" s="19">
        <f t="shared" si="12"/>
        <v>0</v>
      </c>
      <c r="O99" s="19">
        <f t="shared" si="12"/>
        <v>0</v>
      </c>
    </row>
    <row r="100" spans="4:25" x14ac:dyDescent="0.2">
      <c r="D100" s="12" t="s">
        <v>128</v>
      </c>
      <c r="E100" s="18" t="s">
        <v>31</v>
      </c>
      <c r="G100" s="19"/>
      <c r="H100" s="19"/>
      <c r="I100" s="19"/>
      <c r="J100" s="19">
        <v>0</v>
      </c>
      <c r="K100" s="19">
        <f t="shared" si="20"/>
        <v>0</v>
      </c>
      <c r="M100" s="19">
        <f t="shared" si="12"/>
        <v>0</v>
      </c>
      <c r="N100" s="19">
        <f t="shared" si="12"/>
        <v>0</v>
      </c>
      <c r="O100" s="19">
        <f t="shared" si="12"/>
        <v>0</v>
      </c>
      <c r="P100" s="19">
        <f t="shared" si="12"/>
        <v>0</v>
      </c>
      <c r="Q100" s="19">
        <f t="shared" si="12"/>
        <v>0</v>
      </c>
      <c r="R100" s="19"/>
      <c r="S100" s="19"/>
      <c r="T100" s="19"/>
      <c r="U100" s="19"/>
      <c r="V100" s="19"/>
      <c r="W100" s="19"/>
      <c r="Y100" s="5" t="s">
        <v>82</v>
      </c>
    </row>
    <row r="101" spans="4:25" ht="12.75" customHeight="1" x14ac:dyDescent="0.2">
      <c r="E101" s="18"/>
      <c r="G101" s="19"/>
      <c r="H101" s="19"/>
      <c r="I101" s="19"/>
      <c r="K101" s="19">
        <f t="shared" si="20"/>
        <v>0</v>
      </c>
      <c r="M101" s="19">
        <f t="shared" si="12"/>
        <v>0</v>
      </c>
      <c r="N101" s="19">
        <f t="shared" si="12"/>
        <v>0</v>
      </c>
      <c r="O101" s="19">
        <f t="shared" si="12"/>
        <v>0</v>
      </c>
    </row>
    <row r="102" spans="4:25" x14ac:dyDescent="0.2">
      <c r="D102" s="12" t="s">
        <v>129</v>
      </c>
      <c r="E102" s="18" t="s">
        <v>31</v>
      </c>
      <c r="G102" s="19"/>
      <c r="H102" s="19"/>
      <c r="I102" s="19"/>
      <c r="J102" s="19">
        <v>0</v>
      </c>
      <c r="K102" s="19">
        <f t="shared" si="20"/>
        <v>0</v>
      </c>
      <c r="M102" s="19">
        <f t="shared" si="12"/>
        <v>0</v>
      </c>
      <c r="N102" s="19">
        <f t="shared" si="12"/>
        <v>0</v>
      </c>
      <c r="O102" s="19">
        <f t="shared" si="12"/>
        <v>0</v>
      </c>
      <c r="P102" s="19">
        <f t="shared" si="12"/>
        <v>0</v>
      </c>
      <c r="Q102" s="19">
        <f t="shared" si="12"/>
        <v>0</v>
      </c>
      <c r="R102" s="19"/>
      <c r="S102" s="19"/>
      <c r="T102" s="19"/>
      <c r="U102" s="19"/>
      <c r="V102" s="19"/>
      <c r="W102" s="19"/>
      <c r="Y102" s="5" t="s">
        <v>82</v>
      </c>
    </row>
    <row r="103" spans="4:25" ht="12.75" customHeight="1" x14ac:dyDescent="0.2">
      <c r="E103" s="18"/>
      <c r="G103" s="19"/>
      <c r="H103" s="19"/>
      <c r="I103" s="19"/>
      <c r="K103" s="19">
        <f t="shared" si="20"/>
        <v>0</v>
      </c>
      <c r="M103" s="19">
        <f t="shared" si="12"/>
        <v>0</v>
      </c>
      <c r="N103" s="19">
        <f t="shared" si="12"/>
        <v>0</v>
      </c>
      <c r="O103" s="19">
        <f t="shared" si="12"/>
        <v>0</v>
      </c>
    </row>
    <row r="104" spans="4:25" x14ac:dyDescent="0.2">
      <c r="D104" s="12" t="s">
        <v>130</v>
      </c>
      <c r="E104" s="18" t="s">
        <v>31</v>
      </c>
      <c r="G104" s="19"/>
      <c r="H104" s="19"/>
      <c r="I104" s="19"/>
      <c r="J104" s="19">
        <v>0</v>
      </c>
      <c r="K104" s="19">
        <f t="shared" si="20"/>
        <v>0</v>
      </c>
      <c r="M104" s="19">
        <f t="shared" si="12"/>
        <v>0</v>
      </c>
      <c r="N104" s="19">
        <f t="shared" si="12"/>
        <v>0</v>
      </c>
      <c r="O104" s="19">
        <f t="shared" si="12"/>
        <v>0</v>
      </c>
      <c r="P104" s="19">
        <f t="shared" si="12"/>
        <v>0</v>
      </c>
      <c r="Q104" s="19">
        <f t="shared" si="12"/>
        <v>0</v>
      </c>
      <c r="R104" s="19"/>
      <c r="S104" s="19"/>
      <c r="T104" s="19"/>
      <c r="U104" s="19"/>
      <c r="V104" s="19"/>
      <c r="W104" s="19"/>
      <c r="Y104" s="5" t="s">
        <v>82</v>
      </c>
    </row>
    <row r="105" spans="4:25" ht="12.75" customHeight="1" x14ac:dyDescent="0.2">
      <c r="E105" s="18"/>
      <c r="G105" s="19"/>
      <c r="H105" s="19"/>
      <c r="I105" s="19"/>
      <c r="K105" s="19">
        <f t="shared" si="20"/>
        <v>0</v>
      </c>
      <c r="M105" s="19">
        <f t="shared" si="12"/>
        <v>0</v>
      </c>
      <c r="N105" s="19">
        <f t="shared" si="12"/>
        <v>0</v>
      </c>
      <c r="O105" s="19">
        <f t="shared" si="12"/>
        <v>0</v>
      </c>
    </row>
    <row r="106" spans="4:25" x14ac:dyDescent="0.2">
      <c r="D106" s="12" t="s">
        <v>131</v>
      </c>
      <c r="E106" s="18" t="s">
        <v>31</v>
      </c>
      <c r="G106" s="19"/>
      <c r="H106" s="19"/>
      <c r="I106" s="19"/>
      <c r="J106" s="19">
        <v>0</v>
      </c>
      <c r="K106" s="19">
        <f t="shared" si="20"/>
        <v>0</v>
      </c>
      <c r="M106" s="19">
        <f t="shared" si="12"/>
        <v>0</v>
      </c>
      <c r="N106" s="19">
        <f t="shared" si="12"/>
        <v>0</v>
      </c>
      <c r="O106" s="19">
        <f t="shared" si="12"/>
        <v>0</v>
      </c>
      <c r="P106" s="19">
        <f t="shared" si="12"/>
        <v>0</v>
      </c>
      <c r="Q106" s="19">
        <f t="shared" si="12"/>
        <v>0</v>
      </c>
      <c r="R106" s="19"/>
      <c r="S106" s="19"/>
      <c r="T106" s="19"/>
      <c r="U106" s="19"/>
      <c r="V106" s="19"/>
      <c r="W106" s="19"/>
      <c r="Y106" s="5" t="s">
        <v>82</v>
      </c>
    </row>
    <row r="107" spans="4:25" ht="12.75" customHeight="1" x14ac:dyDescent="0.2">
      <c r="E107" s="18"/>
      <c r="G107" s="19"/>
      <c r="H107" s="19"/>
      <c r="I107" s="19"/>
      <c r="K107" s="19">
        <f t="shared" si="20"/>
        <v>0</v>
      </c>
      <c r="M107" s="19">
        <f t="shared" si="12"/>
        <v>0</v>
      </c>
      <c r="N107" s="19">
        <f t="shared" si="12"/>
        <v>0</v>
      </c>
      <c r="O107" s="19">
        <f t="shared" si="12"/>
        <v>0</v>
      </c>
    </row>
    <row r="108" spans="4:25" x14ac:dyDescent="0.2">
      <c r="D108" s="12" t="s">
        <v>132</v>
      </c>
      <c r="E108" s="18" t="s">
        <v>31</v>
      </c>
      <c r="G108" s="19"/>
      <c r="H108" s="19"/>
      <c r="I108" s="19"/>
      <c r="J108" s="19">
        <v>0</v>
      </c>
      <c r="K108" s="19">
        <f t="shared" si="20"/>
        <v>0</v>
      </c>
      <c r="M108" s="19">
        <f t="shared" si="12"/>
        <v>0</v>
      </c>
      <c r="N108" s="19">
        <f t="shared" si="12"/>
        <v>0</v>
      </c>
      <c r="O108" s="19">
        <f t="shared" si="12"/>
        <v>0</v>
      </c>
      <c r="P108" s="19">
        <f t="shared" si="12"/>
        <v>0</v>
      </c>
      <c r="Q108" s="19">
        <f t="shared" si="12"/>
        <v>0</v>
      </c>
      <c r="R108" s="19"/>
      <c r="S108" s="19"/>
      <c r="T108" s="19"/>
      <c r="U108" s="19"/>
      <c r="V108" s="19"/>
      <c r="W108" s="19"/>
      <c r="Y108" s="5" t="s">
        <v>82</v>
      </c>
    </row>
    <row r="109" spans="4:25" ht="12.75" customHeight="1" x14ac:dyDescent="0.2">
      <c r="E109" s="18"/>
      <c r="G109" s="19"/>
      <c r="H109" s="19"/>
      <c r="I109" s="19"/>
      <c r="K109" s="19">
        <f t="shared" si="20"/>
        <v>0</v>
      </c>
      <c r="M109" s="19">
        <f t="shared" si="12"/>
        <v>0</v>
      </c>
      <c r="N109" s="19">
        <f t="shared" si="12"/>
        <v>0</v>
      </c>
      <c r="O109" s="19">
        <f t="shared" si="12"/>
        <v>0</v>
      </c>
    </row>
    <row r="110" spans="4:25" x14ac:dyDescent="0.2">
      <c r="D110" s="12" t="s">
        <v>133</v>
      </c>
      <c r="E110" s="18" t="s">
        <v>31</v>
      </c>
      <c r="G110" s="19"/>
      <c r="H110" s="19"/>
      <c r="I110" s="19"/>
      <c r="J110" s="19">
        <v>0</v>
      </c>
      <c r="K110" s="19">
        <f t="shared" si="20"/>
        <v>0</v>
      </c>
      <c r="M110" s="19">
        <f t="shared" si="12"/>
        <v>0</v>
      </c>
      <c r="N110" s="19">
        <f t="shared" si="12"/>
        <v>0</v>
      </c>
      <c r="O110" s="19">
        <f t="shared" si="12"/>
        <v>0</v>
      </c>
      <c r="P110" s="19">
        <f t="shared" si="12"/>
        <v>0</v>
      </c>
      <c r="Q110" s="19">
        <f t="shared" si="12"/>
        <v>0</v>
      </c>
      <c r="R110" s="19"/>
      <c r="S110" s="19"/>
      <c r="T110" s="19"/>
      <c r="U110" s="19"/>
      <c r="V110" s="19"/>
      <c r="W110" s="19"/>
      <c r="Y110" s="5" t="s">
        <v>82</v>
      </c>
    </row>
    <row r="111" spans="4:25" ht="12.75" customHeight="1" x14ac:dyDescent="0.2">
      <c r="E111" s="18"/>
      <c r="G111" s="19"/>
      <c r="H111" s="19"/>
      <c r="I111" s="19"/>
      <c r="K111" s="19">
        <f t="shared" si="20"/>
        <v>0</v>
      </c>
      <c r="M111" s="19">
        <f t="shared" si="12"/>
        <v>0</v>
      </c>
      <c r="N111" s="19">
        <f t="shared" si="12"/>
        <v>0</v>
      </c>
      <c r="O111" s="19">
        <f t="shared" si="12"/>
        <v>0</v>
      </c>
    </row>
    <row r="112" spans="4:25" x14ac:dyDescent="0.2">
      <c r="D112" s="12" t="s">
        <v>134</v>
      </c>
      <c r="E112" s="18" t="s">
        <v>31</v>
      </c>
      <c r="G112" s="19"/>
      <c r="H112" s="19"/>
      <c r="I112" s="19"/>
      <c r="J112" s="19">
        <v>0</v>
      </c>
      <c r="K112" s="19">
        <f t="shared" si="20"/>
        <v>0</v>
      </c>
      <c r="M112" s="19">
        <f t="shared" si="12"/>
        <v>0</v>
      </c>
      <c r="N112" s="19">
        <f t="shared" si="12"/>
        <v>0</v>
      </c>
      <c r="O112" s="19">
        <f t="shared" si="12"/>
        <v>0</v>
      </c>
      <c r="P112" s="19">
        <f t="shared" si="12"/>
        <v>0</v>
      </c>
      <c r="Q112" s="19">
        <f t="shared" si="12"/>
        <v>0</v>
      </c>
      <c r="R112" s="19"/>
      <c r="S112" s="19"/>
      <c r="T112" s="19"/>
      <c r="U112" s="19"/>
      <c r="V112" s="19"/>
      <c r="W112" s="19"/>
      <c r="Y112" s="5" t="s">
        <v>82</v>
      </c>
    </row>
    <row r="113" spans="4:25" ht="12.75" customHeight="1" x14ac:dyDescent="0.2">
      <c r="E113" s="18"/>
      <c r="G113" s="19"/>
      <c r="H113" s="19"/>
      <c r="I113" s="19"/>
      <c r="K113" s="19">
        <f t="shared" si="20"/>
        <v>0</v>
      </c>
      <c r="M113" s="19">
        <f t="shared" si="12"/>
        <v>0</v>
      </c>
      <c r="N113" s="19">
        <f t="shared" si="12"/>
        <v>0</v>
      </c>
      <c r="O113" s="19">
        <f t="shared" si="12"/>
        <v>0</v>
      </c>
    </row>
    <row r="114" spans="4:25" x14ac:dyDescent="0.2">
      <c r="D114" s="12" t="s">
        <v>135</v>
      </c>
      <c r="E114" s="18" t="s">
        <v>31</v>
      </c>
      <c r="G114" s="19"/>
      <c r="H114" s="19"/>
      <c r="I114" s="19"/>
      <c r="J114" s="19">
        <v>0</v>
      </c>
      <c r="K114" s="19">
        <f t="shared" si="20"/>
        <v>0</v>
      </c>
      <c r="M114" s="19">
        <f t="shared" si="12"/>
        <v>0</v>
      </c>
      <c r="N114" s="19">
        <f t="shared" si="12"/>
        <v>0</v>
      </c>
      <c r="O114" s="19">
        <f t="shared" si="12"/>
        <v>0</v>
      </c>
      <c r="P114" s="19">
        <f t="shared" si="12"/>
        <v>0</v>
      </c>
      <c r="Q114" s="19">
        <f t="shared" si="12"/>
        <v>0</v>
      </c>
      <c r="R114" s="19"/>
      <c r="S114" s="19"/>
      <c r="T114" s="19"/>
      <c r="U114" s="19"/>
      <c r="V114" s="19"/>
      <c r="W114" s="19"/>
      <c r="Y114" s="5" t="s">
        <v>82</v>
      </c>
    </row>
    <row r="115" spans="4:25" ht="12.75" customHeight="1" x14ac:dyDescent="0.2">
      <c r="E115" s="18"/>
      <c r="G115" s="19"/>
      <c r="H115" s="19"/>
      <c r="I115" s="19"/>
      <c r="K115" s="19">
        <f t="shared" si="20"/>
        <v>0</v>
      </c>
      <c r="M115" s="19">
        <f t="shared" si="12"/>
        <v>0</v>
      </c>
      <c r="N115" s="19">
        <f t="shared" si="12"/>
        <v>0</v>
      </c>
      <c r="O115" s="19">
        <f t="shared" si="12"/>
        <v>0</v>
      </c>
    </row>
    <row r="116" spans="4:25" x14ac:dyDescent="0.2">
      <c r="D116" s="12" t="s">
        <v>137</v>
      </c>
      <c r="E116" s="18" t="s">
        <v>31</v>
      </c>
      <c r="G116" s="19"/>
      <c r="H116" s="19"/>
      <c r="I116" s="19"/>
      <c r="J116" s="19">
        <v>0</v>
      </c>
      <c r="K116" s="19">
        <f t="shared" si="20"/>
        <v>0</v>
      </c>
      <c r="M116" s="19">
        <f t="shared" si="12"/>
        <v>0</v>
      </c>
      <c r="N116" s="19">
        <f t="shared" si="12"/>
        <v>0</v>
      </c>
      <c r="O116" s="19">
        <f t="shared" si="12"/>
        <v>0</v>
      </c>
      <c r="P116" s="19">
        <f t="shared" si="12"/>
        <v>0</v>
      </c>
      <c r="Q116" s="19">
        <f t="shared" si="12"/>
        <v>0</v>
      </c>
      <c r="R116" s="19"/>
      <c r="S116" s="19"/>
      <c r="T116" s="19"/>
      <c r="U116" s="19"/>
      <c r="V116" s="19"/>
      <c r="W116" s="19"/>
      <c r="Y116" s="5" t="s">
        <v>82</v>
      </c>
    </row>
    <row r="117" spans="4:25" ht="12.75" customHeight="1" x14ac:dyDescent="0.2">
      <c r="E117" s="18"/>
      <c r="G117" s="19"/>
      <c r="H117" s="19"/>
      <c r="I117" s="19"/>
      <c r="K117" s="19">
        <f t="shared" si="20"/>
        <v>0</v>
      </c>
      <c r="M117" s="19">
        <f t="shared" si="12"/>
        <v>0</v>
      </c>
      <c r="N117" s="19">
        <f t="shared" si="12"/>
        <v>0</v>
      </c>
      <c r="O117" s="19">
        <f t="shared" si="12"/>
        <v>0</v>
      </c>
    </row>
    <row r="118" spans="4:25" x14ac:dyDescent="0.2">
      <c r="D118" s="12" t="s">
        <v>140</v>
      </c>
      <c r="E118" s="18" t="s">
        <v>31</v>
      </c>
      <c r="G118" s="19"/>
      <c r="H118" s="19"/>
      <c r="I118" s="19"/>
      <c r="J118" s="19">
        <v>0</v>
      </c>
      <c r="K118" s="19">
        <f t="shared" si="20"/>
        <v>0</v>
      </c>
      <c r="M118" s="19">
        <f t="shared" ref="M118:Q138" si="21">G118</f>
        <v>0</v>
      </c>
      <c r="N118" s="19">
        <f t="shared" si="21"/>
        <v>0</v>
      </c>
      <c r="O118" s="19">
        <f t="shared" si="21"/>
        <v>0</v>
      </c>
      <c r="P118" s="19">
        <f t="shared" si="21"/>
        <v>0</v>
      </c>
      <c r="Q118" s="19">
        <f t="shared" si="21"/>
        <v>0</v>
      </c>
      <c r="R118" s="19"/>
      <c r="S118" s="19"/>
      <c r="T118" s="19"/>
      <c r="U118" s="19"/>
      <c r="V118" s="19"/>
      <c r="W118" s="19"/>
      <c r="Y118" s="5" t="s">
        <v>82</v>
      </c>
    </row>
    <row r="119" spans="4:25" ht="12.75" customHeight="1" x14ac:dyDescent="0.2">
      <c r="E119" s="18"/>
      <c r="G119" s="19"/>
      <c r="H119" s="19"/>
      <c r="I119" s="19"/>
      <c r="K119" s="19">
        <f t="shared" si="20"/>
        <v>0</v>
      </c>
      <c r="M119" s="19">
        <f t="shared" si="21"/>
        <v>0</v>
      </c>
      <c r="N119" s="19">
        <f t="shared" si="21"/>
        <v>0</v>
      </c>
      <c r="O119" s="19">
        <f t="shared" si="21"/>
        <v>0</v>
      </c>
    </row>
    <row r="120" spans="4:25" x14ac:dyDescent="0.2">
      <c r="D120" s="12" t="s">
        <v>141</v>
      </c>
      <c r="E120" s="18" t="s">
        <v>31</v>
      </c>
      <c r="G120" s="19"/>
      <c r="H120" s="19"/>
      <c r="I120" s="19"/>
      <c r="J120" s="19">
        <v>0</v>
      </c>
      <c r="K120" s="19">
        <f t="shared" si="20"/>
        <v>0</v>
      </c>
      <c r="M120" s="19">
        <f t="shared" si="21"/>
        <v>0</v>
      </c>
      <c r="N120" s="19">
        <f t="shared" si="21"/>
        <v>0</v>
      </c>
      <c r="O120" s="19">
        <f t="shared" si="21"/>
        <v>0</v>
      </c>
      <c r="P120" s="19">
        <f t="shared" si="21"/>
        <v>0</v>
      </c>
      <c r="Q120" s="19">
        <f t="shared" si="21"/>
        <v>0</v>
      </c>
      <c r="R120" s="19"/>
      <c r="S120" s="19"/>
      <c r="T120" s="19"/>
      <c r="U120" s="19"/>
      <c r="V120" s="19"/>
      <c r="W120" s="19"/>
      <c r="Y120" s="5" t="s">
        <v>82</v>
      </c>
    </row>
    <row r="121" spans="4:25" ht="12.75" customHeight="1" x14ac:dyDescent="0.2">
      <c r="E121" s="18"/>
      <c r="G121" s="19"/>
      <c r="H121" s="19"/>
      <c r="I121" s="19"/>
      <c r="K121" s="19">
        <f t="shared" si="20"/>
        <v>0</v>
      </c>
      <c r="M121" s="19">
        <f t="shared" si="21"/>
        <v>0</v>
      </c>
      <c r="N121" s="19">
        <f t="shared" si="21"/>
        <v>0</v>
      </c>
      <c r="O121" s="19">
        <f t="shared" si="21"/>
        <v>0</v>
      </c>
    </row>
    <row r="122" spans="4:25" x14ac:dyDescent="0.2">
      <c r="D122" s="12" t="s">
        <v>162</v>
      </c>
      <c r="E122" s="18" t="s">
        <v>31</v>
      </c>
      <c r="G122" s="19"/>
      <c r="H122" s="19"/>
      <c r="I122" s="19"/>
      <c r="J122" s="19">
        <v>0</v>
      </c>
      <c r="K122" s="19">
        <f>I122+H122+G122</f>
        <v>0</v>
      </c>
      <c r="M122" s="19">
        <f t="shared" si="21"/>
        <v>0</v>
      </c>
      <c r="N122" s="19">
        <f t="shared" si="21"/>
        <v>0</v>
      </c>
      <c r="O122" s="19">
        <f t="shared" si="21"/>
        <v>0</v>
      </c>
      <c r="P122" s="19">
        <f t="shared" si="21"/>
        <v>0</v>
      </c>
      <c r="Q122" s="19">
        <f t="shared" si="21"/>
        <v>0</v>
      </c>
      <c r="R122" s="19"/>
      <c r="S122" s="19"/>
      <c r="T122" s="19"/>
      <c r="U122" s="19"/>
      <c r="V122" s="19"/>
      <c r="W122" s="19"/>
      <c r="Y122" s="5" t="s">
        <v>82</v>
      </c>
    </row>
    <row r="123" spans="4:25" ht="12.75" customHeight="1" x14ac:dyDescent="0.2">
      <c r="E123" s="18"/>
      <c r="G123" s="19"/>
      <c r="H123" s="19"/>
      <c r="I123" s="19"/>
      <c r="K123" s="19">
        <f>I123+H123+G123</f>
        <v>0</v>
      </c>
      <c r="M123" s="19">
        <f t="shared" si="21"/>
        <v>0</v>
      </c>
      <c r="N123" s="19">
        <f t="shared" si="21"/>
        <v>0</v>
      </c>
      <c r="O123" s="19">
        <f t="shared" si="21"/>
        <v>0</v>
      </c>
    </row>
    <row r="124" spans="4:25" x14ac:dyDescent="0.2">
      <c r="D124" s="12" t="s">
        <v>163</v>
      </c>
      <c r="E124" s="18" t="s">
        <v>31</v>
      </c>
      <c r="G124" s="19"/>
      <c r="H124" s="19"/>
      <c r="I124" s="19"/>
      <c r="J124" s="19">
        <v>0</v>
      </c>
      <c r="K124" s="19">
        <f>I124+H124+G124</f>
        <v>0</v>
      </c>
      <c r="M124" s="19">
        <f t="shared" si="21"/>
        <v>0</v>
      </c>
      <c r="N124" s="19">
        <f t="shared" si="21"/>
        <v>0</v>
      </c>
      <c r="O124" s="19">
        <f t="shared" si="21"/>
        <v>0</v>
      </c>
      <c r="P124" s="19">
        <f t="shared" si="21"/>
        <v>0</v>
      </c>
      <c r="Q124" s="19">
        <f t="shared" si="21"/>
        <v>0</v>
      </c>
      <c r="R124" s="19"/>
      <c r="S124" s="19"/>
      <c r="T124" s="19"/>
      <c r="U124" s="19"/>
      <c r="V124" s="19"/>
      <c r="W124" s="19"/>
      <c r="Y124" s="5" t="s">
        <v>82</v>
      </c>
    </row>
    <row r="125" spans="4:25" ht="12.75" customHeight="1" x14ac:dyDescent="0.2">
      <c r="E125" s="18"/>
      <c r="G125" s="19"/>
      <c r="H125" s="19"/>
      <c r="I125" s="19"/>
      <c r="K125" s="19">
        <f>I125+H125+G125</f>
        <v>0</v>
      </c>
      <c r="M125" s="19">
        <f t="shared" si="21"/>
        <v>0</v>
      </c>
      <c r="N125" s="19">
        <f t="shared" si="21"/>
        <v>0</v>
      </c>
      <c r="O125" s="19">
        <f t="shared" si="21"/>
        <v>0</v>
      </c>
    </row>
    <row r="126" spans="4:25" x14ac:dyDescent="0.2">
      <c r="D126" s="12" t="s">
        <v>142</v>
      </c>
      <c r="E126" s="18" t="s">
        <v>31</v>
      </c>
      <c r="G126" s="19"/>
      <c r="H126" s="19"/>
      <c r="I126" s="19"/>
      <c r="J126" s="19">
        <v>0</v>
      </c>
      <c r="K126" s="19">
        <f t="shared" si="20"/>
        <v>0</v>
      </c>
      <c r="M126" s="19">
        <f t="shared" si="21"/>
        <v>0</v>
      </c>
      <c r="N126" s="19">
        <f t="shared" si="21"/>
        <v>0</v>
      </c>
      <c r="O126" s="19">
        <f t="shared" si="21"/>
        <v>0</v>
      </c>
      <c r="P126" s="19">
        <f t="shared" si="21"/>
        <v>0</v>
      </c>
      <c r="Q126" s="19">
        <f t="shared" si="21"/>
        <v>0</v>
      </c>
      <c r="R126" s="19"/>
      <c r="S126" s="19"/>
      <c r="T126" s="19"/>
      <c r="U126" s="19"/>
      <c r="V126" s="19"/>
      <c r="W126" s="19"/>
      <c r="Y126" s="5" t="s">
        <v>82</v>
      </c>
    </row>
    <row r="127" spans="4:25" ht="12.75" customHeight="1" x14ac:dyDescent="0.2">
      <c r="E127" s="18"/>
      <c r="G127" s="19"/>
      <c r="H127" s="19"/>
      <c r="I127" s="19"/>
      <c r="K127" s="19">
        <f t="shared" si="20"/>
        <v>0</v>
      </c>
      <c r="M127" s="19">
        <f t="shared" si="21"/>
        <v>0</v>
      </c>
      <c r="N127" s="19">
        <f t="shared" si="21"/>
        <v>0</v>
      </c>
      <c r="O127" s="19">
        <f t="shared" si="21"/>
        <v>0</v>
      </c>
    </row>
    <row r="128" spans="4:25" x14ac:dyDescent="0.2">
      <c r="D128" s="12" t="s">
        <v>164</v>
      </c>
      <c r="E128" s="18" t="s">
        <v>31</v>
      </c>
      <c r="G128" s="19"/>
      <c r="H128" s="19"/>
      <c r="I128" s="19"/>
      <c r="J128" s="19">
        <v>0</v>
      </c>
      <c r="K128" s="19">
        <f>I128+H128+G128</f>
        <v>0</v>
      </c>
      <c r="M128" s="19">
        <f t="shared" si="21"/>
        <v>0</v>
      </c>
      <c r="N128" s="19">
        <f t="shared" si="21"/>
        <v>0</v>
      </c>
      <c r="O128" s="19">
        <f t="shared" si="21"/>
        <v>0</v>
      </c>
      <c r="P128" s="19">
        <f t="shared" si="21"/>
        <v>0</v>
      </c>
      <c r="Q128" s="19">
        <f t="shared" si="21"/>
        <v>0</v>
      </c>
      <c r="R128" s="19"/>
      <c r="S128" s="19"/>
      <c r="T128" s="19"/>
      <c r="U128" s="19"/>
      <c r="V128" s="19"/>
      <c r="W128" s="19"/>
      <c r="Y128" s="5" t="s">
        <v>82</v>
      </c>
    </row>
    <row r="129" spans="1:25" ht="12.75" customHeight="1" x14ac:dyDescent="0.2">
      <c r="E129" s="18"/>
      <c r="G129" s="19"/>
      <c r="H129" s="19"/>
      <c r="I129" s="19"/>
      <c r="K129" s="19">
        <f>I129+H129+G129</f>
        <v>0</v>
      </c>
      <c r="M129" s="19">
        <f t="shared" si="21"/>
        <v>0</v>
      </c>
      <c r="N129" s="19">
        <f t="shared" si="21"/>
        <v>0</v>
      </c>
      <c r="O129" s="19">
        <f t="shared" si="21"/>
        <v>0</v>
      </c>
    </row>
    <row r="130" spans="1:25" x14ac:dyDescent="0.2">
      <c r="D130" s="12" t="s">
        <v>143</v>
      </c>
      <c r="E130" s="18" t="s">
        <v>31</v>
      </c>
      <c r="G130" s="19"/>
      <c r="H130" s="19"/>
      <c r="I130" s="19"/>
      <c r="J130" s="19">
        <v>0</v>
      </c>
      <c r="K130" s="19">
        <f t="shared" si="20"/>
        <v>0</v>
      </c>
      <c r="M130" s="19">
        <f t="shared" si="21"/>
        <v>0</v>
      </c>
      <c r="N130" s="19">
        <f t="shared" si="21"/>
        <v>0</v>
      </c>
      <c r="O130" s="19">
        <f t="shared" si="21"/>
        <v>0</v>
      </c>
      <c r="P130" s="19">
        <f t="shared" si="21"/>
        <v>0</v>
      </c>
      <c r="Q130" s="19">
        <f t="shared" si="21"/>
        <v>0</v>
      </c>
      <c r="R130" s="19"/>
      <c r="S130" s="19"/>
      <c r="T130" s="19"/>
      <c r="U130" s="19"/>
      <c r="V130" s="19"/>
      <c r="W130" s="19"/>
      <c r="Y130" s="5" t="s">
        <v>82</v>
      </c>
    </row>
    <row r="131" spans="1:25" ht="12.75" customHeight="1" x14ac:dyDescent="0.2">
      <c r="E131" s="18"/>
      <c r="G131" s="19"/>
      <c r="H131" s="19"/>
      <c r="I131" s="19"/>
      <c r="K131" s="19">
        <f t="shared" si="20"/>
        <v>0</v>
      </c>
      <c r="M131" s="19">
        <f t="shared" si="21"/>
        <v>0</v>
      </c>
      <c r="N131" s="19">
        <f t="shared" si="21"/>
        <v>0</v>
      </c>
      <c r="O131" s="19">
        <f t="shared" si="21"/>
        <v>0</v>
      </c>
    </row>
    <row r="132" spans="1:25" x14ac:dyDescent="0.2">
      <c r="D132" s="12" t="s">
        <v>165</v>
      </c>
      <c r="E132" s="18" t="s">
        <v>31</v>
      </c>
      <c r="G132" s="19"/>
      <c r="H132" s="19"/>
      <c r="I132" s="19"/>
      <c r="J132" s="19">
        <v>0</v>
      </c>
      <c r="K132" s="19">
        <f t="shared" si="20"/>
        <v>0</v>
      </c>
      <c r="M132" s="19">
        <f t="shared" si="21"/>
        <v>0</v>
      </c>
      <c r="N132" s="19">
        <f t="shared" si="21"/>
        <v>0</v>
      </c>
      <c r="O132" s="19">
        <f t="shared" si="21"/>
        <v>0</v>
      </c>
      <c r="P132" s="19">
        <f t="shared" si="21"/>
        <v>0</v>
      </c>
      <c r="Q132" s="19">
        <f t="shared" si="21"/>
        <v>0</v>
      </c>
      <c r="R132" s="19"/>
      <c r="S132" s="19"/>
      <c r="T132" s="19"/>
      <c r="U132" s="19"/>
      <c r="V132" s="19"/>
      <c r="W132" s="19"/>
      <c r="Y132" s="5" t="s">
        <v>82</v>
      </c>
    </row>
    <row r="133" spans="1:25" ht="12.75" customHeight="1" x14ac:dyDescent="0.2">
      <c r="E133" s="18"/>
      <c r="G133" s="19"/>
      <c r="H133" s="19"/>
      <c r="I133" s="19"/>
      <c r="K133" s="19">
        <f t="shared" si="20"/>
        <v>0</v>
      </c>
      <c r="M133" s="19">
        <f t="shared" si="21"/>
        <v>0</v>
      </c>
      <c r="N133" s="19">
        <f t="shared" si="21"/>
        <v>0</v>
      </c>
      <c r="O133" s="19">
        <f t="shared" si="21"/>
        <v>0</v>
      </c>
    </row>
    <row r="134" spans="1:25" x14ac:dyDescent="0.2">
      <c r="D134" s="12" t="s">
        <v>146</v>
      </c>
      <c r="E134" s="18" t="s">
        <v>31</v>
      </c>
      <c r="G134" s="19"/>
      <c r="H134" s="19"/>
      <c r="I134" s="19"/>
      <c r="J134" s="19">
        <v>0</v>
      </c>
      <c r="K134" s="19">
        <f t="shared" si="20"/>
        <v>0</v>
      </c>
      <c r="M134" s="19">
        <f t="shared" si="21"/>
        <v>0</v>
      </c>
      <c r="N134" s="19">
        <f t="shared" si="21"/>
        <v>0</v>
      </c>
      <c r="O134" s="19">
        <f t="shared" si="21"/>
        <v>0</v>
      </c>
      <c r="P134" s="19">
        <f t="shared" si="21"/>
        <v>0</v>
      </c>
      <c r="Q134" s="19">
        <f t="shared" si="21"/>
        <v>0</v>
      </c>
      <c r="R134" s="19"/>
      <c r="S134" s="19"/>
      <c r="T134" s="19"/>
      <c r="U134" s="19"/>
      <c r="V134" s="19"/>
      <c r="W134" s="19"/>
      <c r="Y134" s="5" t="s">
        <v>82</v>
      </c>
    </row>
    <row r="135" spans="1:25" ht="12.75" customHeight="1" x14ac:dyDescent="0.2">
      <c r="E135" s="18"/>
      <c r="G135" s="19"/>
      <c r="H135" s="19"/>
      <c r="I135" s="19"/>
      <c r="K135" s="19">
        <f t="shared" si="20"/>
        <v>0</v>
      </c>
      <c r="M135" s="19">
        <f t="shared" si="21"/>
        <v>0</v>
      </c>
      <c r="N135" s="19">
        <f t="shared" si="21"/>
        <v>0</v>
      </c>
      <c r="O135" s="19">
        <f t="shared" si="21"/>
        <v>0</v>
      </c>
    </row>
    <row r="136" spans="1:25" x14ac:dyDescent="0.2">
      <c r="D136" s="12" t="s">
        <v>147</v>
      </c>
      <c r="E136" s="18" t="s">
        <v>31</v>
      </c>
      <c r="G136" s="19"/>
      <c r="H136" s="19"/>
      <c r="I136" s="19"/>
      <c r="J136" s="19">
        <v>0</v>
      </c>
      <c r="K136" s="19">
        <f t="shared" si="20"/>
        <v>0</v>
      </c>
      <c r="M136" s="19">
        <f t="shared" si="21"/>
        <v>0</v>
      </c>
      <c r="N136" s="19">
        <f t="shared" si="21"/>
        <v>0</v>
      </c>
      <c r="O136" s="19">
        <f t="shared" si="21"/>
        <v>0</v>
      </c>
      <c r="P136" s="19">
        <f t="shared" si="21"/>
        <v>0</v>
      </c>
      <c r="Q136" s="19">
        <f t="shared" si="21"/>
        <v>0</v>
      </c>
      <c r="R136" s="19"/>
      <c r="S136" s="19"/>
      <c r="T136" s="19"/>
      <c r="U136" s="19"/>
      <c r="V136" s="19"/>
      <c r="W136" s="19"/>
      <c r="Y136" s="5" t="s">
        <v>82</v>
      </c>
    </row>
    <row r="137" spans="1:25" ht="12.75" customHeight="1" x14ac:dyDescent="0.2">
      <c r="E137" s="18"/>
      <c r="G137" s="19"/>
      <c r="H137" s="19"/>
      <c r="I137" s="19"/>
      <c r="K137" s="19">
        <f t="shared" ref="K137:K138" si="22">I137+H137+G137</f>
        <v>0</v>
      </c>
      <c r="M137" s="19">
        <f t="shared" si="21"/>
        <v>0</v>
      </c>
      <c r="N137" s="19">
        <f t="shared" si="21"/>
        <v>0</v>
      </c>
      <c r="O137" s="19">
        <f t="shared" si="21"/>
        <v>0</v>
      </c>
    </row>
    <row r="138" spans="1:25" x14ac:dyDescent="0.2">
      <c r="D138" s="12" t="s">
        <v>101</v>
      </c>
      <c r="E138" s="18" t="s">
        <v>31</v>
      </c>
      <c r="G138" s="19">
        <v>280521.03883468907</v>
      </c>
      <c r="H138" s="19">
        <v>2244.1423668351213</v>
      </c>
      <c r="I138" s="19">
        <v>17234.818798475797</v>
      </c>
      <c r="J138" s="19">
        <v>0</v>
      </c>
      <c r="K138" s="19">
        <f t="shared" si="22"/>
        <v>300000</v>
      </c>
      <c r="M138" s="19">
        <f t="shared" si="21"/>
        <v>280521.03883468907</v>
      </c>
      <c r="N138" s="19">
        <f t="shared" si="21"/>
        <v>2244.1423668351213</v>
      </c>
      <c r="O138" s="19">
        <f t="shared" si="21"/>
        <v>17234.818798475797</v>
      </c>
      <c r="P138" s="19">
        <f t="shared" si="21"/>
        <v>0</v>
      </c>
      <c r="Q138" s="19">
        <f>K138</f>
        <v>300000</v>
      </c>
      <c r="R138" s="19"/>
      <c r="S138" s="19"/>
      <c r="T138" s="19"/>
      <c r="U138" s="19"/>
      <c r="V138" s="19"/>
      <c r="W138" s="19"/>
    </row>
    <row r="139" spans="1:25" s="5" customFormat="1" ht="13.5"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94"/>
    </row>
    <row r="140" spans="1:25" s="5" customFormat="1" ht="13.5" thickBot="1" x14ac:dyDescent="0.25">
      <c r="A140" s="12"/>
      <c r="B140" s="132" t="s">
        <v>85</v>
      </c>
      <c r="C140" s="12"/>
      <c r="D140" s="12"/>
      <c r="E140" s="18" t="s">
        <v>31</v>
      </c>
      <c r="F140" s="12"/>
      <c r="G140" s="146">
        <f>SUM(G62:G138)</f>
        <v>280521.03883468907</v>
      </c>
      <c r="H140" s="146">
        <f>SUM(H62:H138)</f>
        <v>2244.1423668351213</v>
      </c>
      <c r="I140" s="146">
        <f>SUM(I62:I138)</f>
        <v>17234.818798475797</v>
      </c>
      <c r="J140" s="146">
        <f>J62+J64+J138</f>
        <v>0</v>
      </c>
      <c r="K140" s="146">
        <f>SUM(K62:K138)</f>
        <v>300000</v>
      </c>
      <c r="L140" s="12"/>
      <c r="M140" s="146">
        <f>SUM(M62:M138)</f>
        <v>280521.03883468907</v>
      </c>
      <c r="N140" s="146">
        <f>SUM(N62:N138)</f>
        <v>2244.1423668351213</v>
      </c>
      <c r="O140" s="146">
        <f>SUM(O62:O138)</f>
        <v>17234.818798475797</v>
      </c>
      <c r="P140" s="146">
        <f>SUM(P62:P138)</f>
        <v>0</v>
      </c>
      <c r="Q140" s="146">
        <f>SUM(Q62:Q138)</f>
        <v>300000</v>
      </c>
      <c r="R140" s="141"/>
      <c r="S140" s="141"/>
      <c r="T140" s="141"/>
      <c r="U140" s="141"/>
      <c r="V140" s="141"/>
      <c r="W140" s="141"/>
      <c r="X140" s="145"/>
    </row>
    <row r="141" spans="1:25" s="5" customFormat="1" x14ac:dyDescent="0.2">
      <c r="A141" s="12"/>
      <c r="B141" s="132"/>
      <c r="C141" s="12"/>
      <c r="D141" s="12"/>
      <c r="E141" s="18" t="s">
        <v>33</v>
      </c>
      <c r="F141" s="12"/>
      <c r="G141" s="148"/>
      <c r="H141" s="148"/>
      <c r="I141" s="148"/>
      <c r="J141" s="148"/>
      <c r="K141" s="148"/>
      <c r="L141" s="12"/>
      <c r="M141" s="148"/>
      <c r="N141" s="148"/>
      <c r="O141" s="148"/>
      <c r="P141" s="148"/>
      <c r="Q141" s="148"/>
      <c r="R141" s="149"/>
      <c r="S141" s="149"/>
      <c r="T141" s="149"/>
      <c r="U141" s="149"/>
      <c r="V141" s="149"/>
      <c r="W141" s="149"/>
      <c r="X141" s="12"/>
    </row>
    <row r="142" spans="1:25" s="5" customFormat="1" x14ac:dyDescent="0.2">
      <c r="A142" s="12"/>
      <c r="B142" s="12"/>
      <c r="C142" s="12"/>
      <c r="D142" s="12"/>
      <c r="E142" s="12"/>
      <c r="F142" s="12"/>
      <c r="G142" s="12"/>
      <c r="H142" s="12"/>
      <c r="I142" s="12"/>
      <c r="J142" s="12"/>
      <c r="K142" s="19"/>
      <c r="L142" s="12"/>
      <c r="M142" s="12"/>
      <c r="N142" s="12"/>
      <c r="O142" s="12"/>
      <c r="P142" s="12"/>
      <c r="Q142" s="12"/>
      <c r="R142" s="12"/>
      <c r="S142" s="12"/>
      <c r="T142" s="12"/>
      <c r="U142" s="12"/>
      <c r="V142" s="12"/>
      <c r="W142" s="12"/>
      <c r="X142" s="19"/>
    </row>
    <row r="143" spans="1:25" s="5" customFormat="1" ht="13.5" thickBo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5" s="5" customFormat="1" ht="15" thickBot="1" x14ac:dyDescent="0.25">
      <c r="A144" s="12"/>
      <c r="B144" s="136" t="s">
        <v>86</v>
      </c>
      <c r="C144" s="12"/>
      <c r="D144" s="12"/>
      <c r="E144" s="12"/>
      <c r="F144" s="12"/>
      <c r="G144" s="56">
        <f t="shared" ref="G144:Q144" si="23">G58+G140</f>
        <v>280521.03883468907</v>
      </c>
      <c r="H144" s="56">
        <f t="shared" si="23"/>
        <v>2244.1423668351213</v>
      </c>
      <c r="I144" s="56">
        <f t="shared" si="23"/>
        <v>17234.818798475797</v>
      </c>
      <c r="J144" s="56">
        <f t="shared" si="23"/>
        <v>0</v>
      </c>
      <c r="K144" s="56">
        <f t="shared" si="23"/>
        <v>300000</v>
      </c>
      <c r="L144" s="56">
        <f t="shared" si="23"/>
        <v>0</v>
      </c>
      <c r="M144" s="56">
        <f t="shared" si="23"/>
        <v>280521.03883468907</v>
      </c>
      <c r="N144" s="56">
        <f t="shared" si="23"/>
        <v>2244.1423668351213</v>
      </c>
      <c r="O144" s="184">
        <f t="shared" si="23"/>
        <v>17234.818798475797</v>
      </c>
      <c r="P144" s="56">
        <f t="shared" si="23"/>
        <v>0</v>
      </c>
      <c r="Q144" s="56">
        <f t="shared" si="23"/>
        <v>300000</v>
      </c>
      <c r="R144" s="141"/>
      <c r="S144" s="141"/>
      <c r="T144" s="141"/>
      <c r="U144" s="141"/>
      <c r="V144" s="141"/>
      <c r="W144" s="141"/>
      <c r="X144" s="12"/>
    </row>
    <row r="145" spans="1:24" s="5" customFormat="1" ht="13.5" thickTop="1" x14ac:dyDescent="0.2">
      <c r="A145" s="12"/>
      <c r="B145" s="12"/>
      <c r="C145" s="12"/>
      <c r="D145" s="12"/>
      <c r="E145" s="12"/>
      <c r="F145" s="12"/>
      <c r="G145" s="12"/>
      <c r="H145" s="12"/>
      <c r="I145" s="57"/>
      <c r="J145" s="12"/>
      <c r="K145" s="12"/>
      <c r="L145" s="12"/>
      <c r="M145" s="12"/>
      <c r="N145" s="12"/>
      <c r="O145" s="58"/>
      <c r="P145" s="12"/>
      <c r="Q145" s="12"/>
      <c r="R145" s="12"/>
      <c r="S145" s="12"/>
      <c r="T145" s="12"/>
      <c r="U145" s="12"/>
      <c r="V145" s="12"/>
      <c r="W145" s="12"/>
      <c r="X145" s="12"/>
    </row>
    <row r="146" spans="1:24" x14ac:dyDescent="0.2">
      <c r="I146" s="57"/>
      <c r="K146" s="19"/>
      <c r="O146" s="58"/>
    </row>
    <row r="147" spans="1:24" x14ac:dyDescent="0.2">
      <c r="G147" s="140"/>
      <c r="H147" s="140"/>
      <c r="I147" s="140"/>
      <c r="J147" s="19"/>
      <c r="K147" s="19"/>
      <c r="O147" s="58"/>
    </row>
    <row r="148" spans="1:24" x14ac:dyDescent="0.2">
      <c r="G148" s="57"/>
      <c r="H148" s="57"/>
      <c r="I148" s="57"/>
      <c r="K148" s="140"/>
      <c r="O148" s="59"/>
    </row>
    <row r="149" spans="1:24" x14ac:dyDescent="0.2">
      <c r="G149" s="57"/>
      <c r="H149" s="57"/>
      <c r="I149" s="57"/>
      <c r="K149" s="19"/>
      <c r="O149" s="58"/>
    </row>
    <row r="150" spans="1:24" x14ac:dyDescent="0.2">
      <c r="G150" s="57"/>
      <c r="H150" s="57"/>
      <c r="I150" s="57"/>
      <c r="J150" s="19"/>
      <c r="K150" s="19"/>
      <c r="M150" s="150"/>
      <c r="N150" s="150"/>
      <c r="O150" s="62"/>
      <c r="P150" s="150"/>
      <c r="Q150" s="150"/>
      <c r="R150" s="150"/>
      <c r="S150" s="150"/>
      <c r="T150" s="150"/>
      <c r="U150" s="150"/>
    </row>
    <row r="151" spans="1:24" x14ac:dyDescent="0.2">
      <c r="G151" s="57"/>
      <c r="H151" s="57"/>
      <c r="I151" s="57"/>
      <c r="K151" s="19"/>
      <c r="M151" s="150"/>
      <c r="N151" s="150"/>
      <c r="O151" s="62"/>
      <c r="P151" s="150"/>
      <c r="Q151" s="150"/>
      <c r="R151" s="150"/>
      <c r="S151" s="150"/>
      <c r="T151" s="150"/>
      <c r="U151" s="150"/>
    </row>
    <row r="152" spans="1:24" x14ac:dyDescent="0.2">
      <c r="G152" s="151"/>
      <c r="I152" s="57"/>
      <c r="M152" s="150"/>
      <c r="N152" s="150"/>
      <c r="O152" s="62"/>
      <c r="P152" s="150"/>
      <c r="Q152" s="150"/>
      <c r="R152" s="150"/>
      <c r="S152" s="150"/>
      <c r="T152" s="150"/>
      <c r="U152" s="150"/>
    </row>
    <row r="153" spans="1:24" ht="13.5" thickBot="1" x14ac:dyDescent="0.25">
      <c r="M153" s="150"/>
      <c r="N153" s="150"/>
      <c r="O153" s="150"/>
      <c r="P153" s="150"/>
      <c r="Q153" s="150"/>
      <c r="R153" s="150"/>
      <c r="S153" s="150"/>
      <c r="T153" s="150"/>
      <c r="U153" s="150"/>
    </row>
    <row r="154" spans="1:24" x14ac:dyDescent="0.2">
      <c r="E154" s="152"/>
      <c r="F154" s="153"/>
      <c r="G154" s="154"/>
      <c r="H154" s="154"/>
      <c r="I154" s="154"/>
      <c r="J154" s="153"/>
      <c r="K154" s="155">
        <f>K144</f>
        <v>300000</v>
      </c>
      <c r="M154" s="156"/>
      <c r="N154" s="157"/>
      <c r="O154" s="157"/>
      <c r="P154" s="157"/>
      <c r="Q154" s="158"/>
      <c r="R154" s="139"/>
      <c r="S154" s="139"/>
      <c r="T154" s="139"/>
      <c r="U154" s="139"/>
    </row>
    <row r="155" spans="1:24" x14ac:dyDescent="0.2">
      <c r="E155" s="128"/>
      <c r="F155" s="94"/>
      <c r="G155" s="94"/>
      <c r="H155" s="94"/>
      <c r="I155" s="94"/>
      <c r="J155" s="94"/>
      <c r="K155" s="159"/>
      <c r="M155" s="72"/>
      <c r="N155" s="139"/>
      <c r="O155" s="139"/>
      <c r="P155" s="139"/>
      <c r="Q155" s="139"/>
      <c r="R155" s="139"/>
      <c r="S155" s="139"/>
      <c r="T155" s="139"/>
      <c r="U155" s="139"/>
    </row>
    <row r="156" spans="1:24" x14ac:dyDescent="0.2">
      <c r="E156" s="160" t="s">
        <v>99</v>
      </c>
      <c r="F156" s="94"/>
      <c r="G156" s="94"/>
      <c r="H156" s="94"/>
      <c r="I156" s="94"/>
      <c r="J156" s="94"/>
      <c r="K156" s="161">
        <f>K154</f>
        <v>300000</v>
      </c>
      <c r="M156" s="74"/>
      <c r="N156" s="158"/>
      <c r="O156" s="158"/>
      <c r="P156" s="158"/>
      <c r="Q156" s="158"/>
      <c r="R156" s="139"/>
      <c r="S156" s="139"/>
      <c r="T156" s="139"/>
      <c r="U156" s="139"/>
    </row>
    <row r="157" spans="1:24" x14ac:dyDescent="0.2">
      <c r="E157" s="128" t="s">
        <v>88</v>
      </c>
      <c r="F157" s="94"/>
      <c r="G157" s="94"/>
      <c r="H157" s="94"/>
      <c r="I157" s="94"/>
      <c r="J157" s="94"/>
      <c r="K157" s="161">
        <v>0</v>
      </c>
      <c r="M157" s="150"/>
      <c r="N157" s="139"/>
      <c r="O157" s="139"/>
      <c r="P157" s="139"/>
      <c r="Q157" s="139"/>
      <c r="R157" s="139"/>
      <c r="S157" s="139"/>
      <c r="T157" s="139"/>
      <c r="U157" s="139"/>
    </row>
    <row r="158" spans="1:24" x14ac:dyDescent="0.2">
      <c r="E158" s="128"/>
      <c r="F158" s="94"/>
      <c r="G158" s="94"/>
      <c r="H158" s="94"/>
      <c r="I158" s="94"/>
      <c r="J158" s="94"/>
      <c r="K158" s="161"/>
      <c r="M158" s="74"/>
      <c r="N158" s="139"/>
      <c r="O158" s="139"/>
      <c r="P158" s="139"/>
      <c r="Q158" s="139"/>
      <c r="R158" s="139"/>
      <c r="S158" s="139"/>
      <c r="T158" s="139"/>
      <c r="U158" s="139"/>
    </row>
    <row r="159" spans="1:24" x14ac:dyDescent="0.2">
      <c r="E159" s="128" t="s">
        <v>89</v>
      </c>
      <c r="F159" s="94"/>
      <c r="G159" s="94"/>
      <c r="H159" s="94"/>
      <c r="I159" s="94"/>
      <c r="J159" s="94"/>
      <c r="K159" s="162">
        <f>SUM(K156:K158)</f>
        <v>300000</v>
      </c>
      <c r="M159" s="74"/>
      <c r="N159" s="139"/>
      <c r="O159" s="139"/>
      <c r="P159" s="139"/>
      <c r="Q159" s="139"/>
      <c r="R159" s="139"/>
      <c r="S159" s="139"/>
      <c r="T159" s="139"/>
      <c r="U159" s="139"/>
    </row>
    <row r="160" spans="1:24" x14ac:dyDescent="0.2">
      <c r="E160" s="128" t="s">
        <v>103</v>
      </c>
      <c r="F160" s="94"/>
      <c r="G160" s="94"/>
      <c r="H160" s="94"/>
      <c r="I160" s="94"/>
      <c r="J160" s="94"/>
      <c r="K160" s="161">
        <f>I68+I66+I70</f>
        <v>0</v>
      </c>
      <c r="M160" s="74"/>
      <c r="N160" s="139"/>
      <c r="O160" s="163"/>
      <c r="P160" s="163"/>
      <c r="Q160" s="158"/>
      <c r="R160" s="139"/>
      <c r="S160" s="139"/>
      <c r="T160" s="139"/>
      <c r="U160" s="139"/>
    </row>
    <row r="161" spans="5:25" x14ac:dyDescent="0.2">
      <c r="E161" s="128" t="s">
        <v>91</v>
      </c>
      <c r="F161" s="94"/>
      <c r="G161" s="94"/>
      <c r="H161" s="94"/>
      <c r="I161" s="94"/>
      <c r="J161" s="94"/>
      <c r="K161" s="161">
        <f>G53</f>
        <v>0</v>
      </c>
      <c r="M161" s="74"/>
      <c r="N161" s="164"/>
      <c r="O161" s="163"/>
      <c r="P161" s="163"/>
      <c r="Q161" s="158"/>
      <c r="R161" s="139"/>
      <c r="S161" s="139"/>
      <c r="T161" s="139"/>
      <c r="U161" s="139"/>
    </row>
    <row r="162" spans="5:25" x14ac:dyDescent="0.2">
      <c r="E162" s="128"/>
      <c r="F162" s="94"/>
      <c r="G162" s="94"/>
      <c r="H162" s="94"/>
      <c r="I162" s="94"/>
      <c r="J162" s="94"/>
      <c r="K162" s="161"/>
      <c r="M162" s="74"/>
      <c r="N162" s="139"/>
      <c r="O162" s="163"/>
      <c r="P162" s="163"/>
      <c r="Q162" s="158"/>
      <c r="R162" s="139"/>
      <c r="S162" s="139"/>
      <c r="T162" s="139"/>
      <c r="U162" s="139"/>
    </row>
    <row r="163" spans="5:25" ht="13.5" thickBot="1" x14ac:dyDescent="0.25">
      <c r="E163" s="128" t="s">
        <v>92</v>
      </c>
      <c r="F163" s="94"/>
      <c r="G163" s="94"/>
      <c r="H163" s="94"/>
      <c r="I163" s="94"/>
      <c r="J163" s="94"/>
      <c r="K163" s="165">
        <f>K159-K160-K161-K162</f>
        <v>300000</v>
      </c>
      <c r="M163" s="74"/>
      <c r="N163" s="139"/>
      <c r="O163" s="139"/>
      <c r="P163" s="139"/>
      <c r="Q163" s="139"/>
      <c r="R163" s="139"/>
      <c r="S163" s="139"/>
      <c r="T163" s="139"/>
      <c r="U163" s="139"/>
    </row>
    <row r="164" spans="5:25" ht="13.5" thickTop="1" x14ac:dyDescent="0.2">
      <c r="E164" s="128"/>
      <c r="F164" s="94"/>
      <c r="G164" s="94"/>
      <c r="H164" s="94"/>
      <c r="I164" s="94"/>
      <c r="J164" s="166" t="s">
        <v>93</v>
      </c>
      <c r="K164" s="161"/>
      <c r="M164" s="74"/>
      <c r="N164" s="139"/>
      <c r="O164" s="139"/>
      <c r="P164" s="139"/>
      <c r="Q164" s="158"/>
      <c r="R164" s="139"/>
      <c r="S164" s="139"/>
      <c r="T164" s="139"/>
      <c r="U164" s="139"/>
    </row>
    <row r="165" spans="5:25" x14ac:dyDescent="0.2">
      <c r="E165" s="128" t="s">
        <v>104</v>
      </c>
      <c r="F165" s="94"/>
      <c r="G165" s="86">
        <f>G144</f>
        <v>280521.03883468907</v>
      </c>
      <c r="H165" s="86">
        <f>H144</f>
        <v>2244.1423668351213</v>
      </c>
      <c r="I165" s="86">
        <f>I144</f>
        <v>17234.818798475797</v>
      </c>
      <c r="J165" s="86"/>
      <c r="K165" s="161"/>
      <c r="M165" s="74"/>
      <c r="N165" s="139"/>
      <c r="O165" s="139"/>
      <c r="P165" s="139"/>
      <c r="Q165" s="139"/>
      <c r="R165" s="139"/>
      <c r="S165" s="139"/>
      <c r="T165" s="139"/>
      <c r="U165" s="139">
        <v>0</v>
      </c>
      <c r="Y165" s="5">
        <v>900323.36</v>
      </c>
    </row>
    <row r="166" spans="5:25" x14ac:dyDescent="0.2">
      <c r="E166" s="128" t="s">
        <v>94</v>
      </c>
      <c r="F166" s="94"/>
      <c r="G166" s="86">
        <f>K161</f>
        <v>0</v>
      </c>
      <c r="H166" s="167">
        <v>0</v>
      </c>
      <c r="I166" s="167">
        <f>K160</f>
        <v>0</v>
      </c>
      <c r="K166" s="159"/>
      <c r="M166" s="150"/>
      <c r="N166" s="139"/>
      <c r="O166" s="139"/>
      <c r="P166" s="139"/>
      <c r="Q166" s="139"/>
      <c r="R166" s="139"/>
      <c r="S166" s="139"/>
      <c r="T166" s="139"/>
      <c r="U166" s="139"/>
    </row>
    <row r="167" spans="5:25" ht="13.5" thickBot="1" x14ac:dyDescent="0.25">
      <c r="E167" s="128" t="s">
        <v>95</v>
      </c>
      <c r="F167" s="94"/>
      <c r="G167" s="168">
        <f>G165-G166</f>
        <v>280521.03883468907</v>
      </c>
      <c r="H167" s="168">
        <f>H165-H166</f>
        <v>2244.1423668351213</v>
      </c>
      <c r="I167" s="168">
        <f>I165-I166</f>
        <v>17234.818798475797</v>
      </c>
      <c r="J167" s="84"/>
      <c r="K167" s="161"/>
      <c r="M167" s="150"/>
      <c r="N167" s="139"/>
      <c r="O167" s="139"/>
      <c r="P167" s="137"/>
      <c r="Q167" s="139"/>
      <c r="R167" s="139"/>
      <c r="S167" s="139"/>
      <c r="T167" s="139"/>
      <c r="U167" s="139"/>
    </row>
    <row r="168" spans="5:25" ht="14.25" thickTop="1" thickBot="1" x14ac:dyDescent="0.25">
      <c r="E168" s="128" t="s">
        <v>96</v>
      </c>
      <c r="F168" s="94"/>
      <c r="G168" s="169">
        <f>G167/$K$163</f>
        <v>0.93507012944896362</v>
      </c>
      <c r="H168" s="169">
        <f t="shared" ref="H168:I168" si="24">H167/$K$163</f>
        <v>7.4804745561170708E-3</v>
      </c>
      <c r="I168" s="169">
        <f t="shared" si="24"/>
        <v>5.7449395994919321E-2</v>
      </c>
      <c r="J168" s="86"/>
      <c r="K168" s="161"/>
      <c r="M168" s="150"/>
      <c r="N168" s="139"/>
      <c r="O168" s="139"/>
      <c r="P168" s="139"/>
      <c r="Q168" s="139"/>
      <c r="R168" s="139"/>
      <c r="S168" s="139"/>
      <c r="T168" s="139"/>
      <c r="U168" s="139"/>
    </row>
    <row r="169" spans="5:25" ht="14.25" thickTop="1" thickBot="1" x14ac:dyDescent="0.25">
      <c r="E169" s="170"/>
      <c r="F169" s="171"/>
      <c r="G169" s="172" t="s">
        <v>97</v>
      </c>
      <c r="H169" s="172" t="s">
        <v>98</v>
      </c>
      <c r="I169" s="172" t="s">
        <v>6</v>
      </c>
      <c r="J169" s="171"/>
      <c r="K169" s="173"/>
      <c r="M169" s="150"/>
      <c r="N169" s="174"/>
      <c r="O169" s="174"/>
      <c r="P169" s="174"/>
      <c r="Q169" s="139"/>
      <c r="R169" s="139"/>
      <c r="S169" s="139"/>
      <c r="T169" s="139"/>
      <c r="U169" s="139"/>
    </row>
    <row r="170" spans="5:25" x14ac:dyDescent="0.2">
      <c r="J170" s="153"/>
      <c r="K170" s="175"/>
      <c r="M170" s="150"/>
      <c r="N170" s="174"/>
      <c r="O170" s="174"/>
      <c r="P170" s="174"/>
      <c r="Q170" s="139"/>
      <c r="R170" s="139"/>
      <c r="S170" s="139"/>
      <c r="T170" s="139"/>
      <c r="U170" s="139"/>
    </row>
    <row r="171" spans="5:25" x14ac:dyDescent="0.2">
      <c r="J171" s="86"/>
      <c r="K171" s="86"/>
      <c r="M171" s="150"/>
      <c r="N171" s="139"/>
      <c r="O171" s="139"/>
      <c r="P171" s="139"/>
      <c r="Q171" s="139"/>
      <c r="R171" s="139"/>
      <c r="S171" s="139"/>
      <c r="T171" s="139"/>
      <c r="U171" s="139"/>
    </row>
    <row r="172" spans="5:25" x14ac:dyDescent="0.2">
      <c r="E172" s="93"/>
      <c r="F172" s="94"/>
      <c r="G172" s="86"/>
      <c r="H172" s="86"/>
      <c r="I172" s="95"/>
      <c r="J172" s="176"/>
      <c r="K172" s="95"/>
      <c r="M172" s="150"/>
      <c r="N172" s="139"/>
      <c r="O172" s="139"/>
      <c r="P172" s="139"/>
      <c r="Q172" s="139"/>
      <c r="R172" s="139"/>
      <c r="S172" s="139"/>
      <c r="T172" s="139"/>
      <c r="U172" s="139"/>
    </row>
    <row r="173" spans="5:25" x14ac:dyDescent="0.2">
      <c r="E173" s="94"/>
      <c r="F173" s="94"/>
      <c r="G173" s="94"/>
      <c r="H173" s="94"/>
      <c r="I173" s="95"/>
      <c r="J173" s="176"/>
      <c r="K173" s="176"/>
      <c r="M173" s="177"/>
      <c r="N173" s="178"/>
      <c r="O173" s="178"/>
      <c r="P173" s="178"/>
      <c r="Q173" s="139"/>
      <c r="R173" s="139"/>
      <c r="S173" s="139"/>
      <c r="T173" s="139"/>
      <c r="U173" s="139"/>
    </row>
    <row r="174" spans="5:25" x14ac:dyDescent="0.2">
      <c r="E174" s="94"/>
      <c r="F174" s="94"/>
      <c r="G174" s="94"/>
      <c r="H174" s="86"/>
      <c r="I174" s="86"/>
      <c r="J174" s="94"/>
      <c r="K174" s="94"/>
      <c r="M174" s="150"/>
      <c r="N174" s="139"/>
      <c r="O174" s="139"/>
      <c r="P174" s="139"/>
      <c r="Q174" s="139"/>
      <c r="R174" s="139"/>
      <c r="S174" s="139"/>
      <c r="T174" s="139"/>
      <c r="U174" s="139"/>
    </row>
    <row r="175" spans="5:25" x14ac:dyDescent="0.2">
      <c r="E175" s="94"/>
      <c r="F175" s="94"/>
      <c r="G175" s="100"/>
      <c r="H175" s="100"/>
      <c r="I175" s="100"/>
      <c r="M175" s="150"/>
      <c r="N175" s="150"/>
      <c r="O175" s="150"/>
      <c r="P175" s="150"/>
      <c r="Q175" s="150"/>
      <c r="R175" s="150"/>
      <c r="S175" s="150"/>
      <c r="T175" s="150"/>
      <c r="U175" s="150"/>
    </row>
    <row r="176" spans="5:25" x14ac:dyDescent="0.2">
      <c r="E176" s="94"/>
      <c r="F176" s="94"/>
      <c r="G176" s="86"/>
      <c r="H176" s="86"/>
      <c r="I176" s="86"/>
      <c r="M176" s="150"/>
      <c r="N176" s="150"/>
      <c r="O176" s="150"/>
      <c r="P176" s="150"/>
      <c r="Q176" s="150"/>
      <c r="R176" s="150"/>
      <c r="S176" s="150"/>
      <c r="T176" s="150"/>
      <c r="U176" s="150"/>
    </row>
    <row r="177" spans="5:21" x14ac:dyDescent="0.2">
      <c r="E177" s="94"/>
      <c r="F177" s="94"/>
      <c r="G177" s="100"/>
      <c r="H177" s="100"/>
      <c r="I177" s="100"/>
      <c r="M177" s="150"/>
      <c r="N177" s="150"/>
      <c r="O177" s="150"/>
      <c r="P177" s="150"/>
      <c r="Q177" s="150"/>
      <c r="R177" s="150"/>
      <c r="S177" s="150"/>
      <c r="T177" s="150"/>
      <c r="U177" s="150"/>
    </row>
    <row r="178" spans="5:21" x14ac:dyDescent="0.2">
      <c r="E178" s="94"/>
      <c r="F178" s="94"/>
      <c r="G178" s="101"/>
      <c r="H178" s="101"/>
      <c r="I178" s="101"/>
      <c r="J178" s="94"/>
      <c r="M178" s="150"/>
      <c r="N178" s="150"/>
      <c r="O178" s="150"/>
      <c r="P178" s="150"/>
      <c r="Q178" s="150"/>
      <c r="R178" s="150"/>
      <c r="S178" s="150"/>
      <c r="T178" s="150"/>
      <c r="U178" s="150"/>
    </row>
    <row r="179" spans="5:21" x14ac:dyDescent="0.2">
      <c r="G179" s="86"/>
      <c r="H179" s="86"/>
      <c r="I179" s="86"/>
      <c r="J179" s="94"/>
      <c r="M179" s="150"/>
      <c r="N179" s="150"/>
      <c r="O179" s="150"/>
      <c r="P179" s="150"/>
      <c r="Q179" s="150"/>
      <c r="R179" s="150"/>
      <c r="S179" s="150"/>
      <c r="T179" s="150"/>
      <c r="U179" s="150"/>
    </row>
    <row r="180" spans="5:21" ht="13.5" thickBot="1" x14ac:dyDescent="0.25">
      <c r="G180" s="179" t="s">
        <v>149</v>
      </c>
      <c r="H180" s="179" t="s">
        <v>6</v>
      </c>
      <c r="I180" s="179" t="s">
        <v>97</v>
      </c>
      <c r="J180" s="179" t="s">
        <v>98</v>
      </c>
      <c r="K180" s="179" t="s">
        <v>150</v>
      </c>
      <c r="M180" s="150"/>
      <c r="N180" s="150"/>
      <c r="O180" s="150"/>
      <c r="P180" s="150"/>
      <c r="Q180" s="150"/>
      <c r="R180" s="150"/>
      <c r="S180" s="150"/>
      <c r="T180" s="150"/>
      <c r="U180" s="150"/>
    </row>
    <row r="181" spans="5:21" ht="15" x14ac:dyDescent="0.25">
      <c r="G181" s="133" t="s">
        <v>151</v>
      </c>
      <c r="H181" s="180">
        <v>0.7</v>
      </c>
      <c r="I181" s="180">
        <v>0.25</v>
      </c>
      <c r="J181" s="180">
        <v>0.05</v>
      </c>
      <c r="K181" s="180">
        <f t="shared" ref="K181:K188" si="25">SUM(H181:J181)</f>
        <v>1</v>
      </c>
    </row>
    <row r="182" spans="5:21" ht="15" x14ac:dyDescent="0.25">
      <c r="G182" s="133" t="s">
        <v>152</v>
      </c>
      <c r="H182" s="180">
        <v>0.55000000000000004</v>
      </c>
      <c r="I182" s="180">
        <v>0.4</v>
      </c>
      <c r="J182" s="180">
        <v>0.05</v>
      </c>
      <c r="K182" s="180">
        <f t="shared" si="25"/>
        <v>1</v>
      </c>
    </row>
    <row r="183" spans="5:21" ht="15" x14ac:dyDescent="0.25">
      <c r="G183" s="133" t="s">
        <v>153</v>
      </c>
      <c r="H183" s="180">
        <f>68%-5%</f>
        <v>0.63</v>
      </c>
      <c r="I183" s="180">
        <f>27%+5%</f>
        <v>0.32</v>
      </c>
      <c r="J183" s="180">
        <v>0.05</v>
      </c>
      <c r="K183" s="180">
        <f t="shared" si="25"/>
        <v>1</v>
      </c>
    </row>
    <row r="184" spans="5:21" ht="15" x14ac:dyDescent="0.25">
      <c r="G184" s="133" t="s">
        <v>154</v>
      </c>
      <c r="H184" s="180">
        <v>0.45</v>
      </c>
      <c r="I184" s="180">
        <v>0.47</v>
      </c>
      <c r="J184" s="180">
        <v>0.08</v>
      </c>
      <c r="K184" s="180">
        <f t="shared" si="25"/>
        <v>0.99999999999999989</v>
      </c>
    </row>
    <row r="185" spans="5:21" ht="15" x14ac:dyDescent="0.25">
      <c r="G185" s="133" t="s">
        <v>155</v>
      </c>
      <c r="H185" s="180">
        <f>79%-5%</f>
        <v>0.74</v>
      </c>
      <c r="I185" s="180">
        <f>18%+5%</f>
        <v>0.22999999999999998</v>
      </c>
      <c r="J185" s="180">
        <v>0.03</v>
      </c>
      <c r="K185" s="180">
        <f t="shared" si="25"/>
        <v>1</v>
      </c>
    </row>
    <row r="186" spans="5:21" ht="15" x14ac:dyDescent="0.25">
      <c r="G186" s="133" t="s">
        <v>156</v>
      </c>
      <c r="H186" s="180">
        <f>75%-5%</f>
        <v>0.7</v>
      </c>
      <c r="I186" s="180">
        <f>22%+5%</f>
        <v>0.27</v>
      </c>
      <c r="J186" s="180">
        <v>0.03</v>
      </c>
      <c r="K186" s="180">
        <f t="shared" si="25"/>
        <v>1</v>
      </c>
    </row>
    <row r="187" spans="5:21" ht="15" x14ac:dyDescent="0.25">
      <c r="G187" s="133" t="s">
        <v>157</v>
      </c>
      <c r="H187" s="180">
        <f>52%-5%</f>
        <v>0.47000000000000003</v>
      </c>
      <c r="I187" s="180">
        <f>44%+5%</f>
        <v>0.49</v>
      </c>
      <c r="J187" s="180">
        <v>0.04</v>
      </c>
      <c r="K187" s="180">
        <f t="shared" si="25"/>
        <v>1</v>
      </c>
    </row>
    <row r="188" spans="5:21" ht="15" x14ac:dyDescent="0.25">
      <c r="G188" s="133" t="s">
        <v>158</v>
      </c>
      <c r="H188" s="180">
        <f>70%-5%</f>
        <v>0.64999999999999991</v>
      </c>
      <c r="I188" s="180">
        <f>26%+5%</f>
        <v>0.31</v>
      </c>
      <c r="J188" s="180">
        <v>0.04</v>
      </c>
      <c r="K188" s="180">
        <f t="shared" si="25"/>
        <v>1</v>
      </c>
    </row>
    <row r="189" spans="5:21" ht="15" x14ac:dyDescent="0.25">
      <c r="G189" s="133"/>
      <c r="H189" s="133"/>
      <c r="I189" s="133"/>
      <c r="J189" s="133"/>
      <c r="K189" s="133"/>
    </row>
  </sheetData>
  <mergeCells count="2">
    <mergeCell ref="G2:K2"/>
    <mergeCell ref="M2:Q2"/>
  </mergeCells>
  <printOptions horizontalCentered="1"/>
  <pageMargins left="0.25" right="0.25" top="0.25" bottom="0.25" header="0.25" footer="0"/>
  <pageSetup scale="24"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zoomScale="90" zoomScaleNormal="90" workbookViewId="0">
      <pane xSplit="1" ySplit="8" topLeftCell="B48" activePane="bottomRight" state="frozen"/>
      <selection pane="topRight" activeCell="B1" sqref="B1"/>
      <selection pane="bottomLeft" activeCell="A9" sqref="A9"/>
      <selection pane="bottomRight" activeCell="K154" sqref="K1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3.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11</v>
      </c>
      <c r="C2" s="132"/>
      <c r="D2" s="132"/>
      <c r="E2" s="132"/>
      <c r="F2" s="132"/>
      <c r="G2" s="198" t="s">
        <v>180</v>
      </c>
      <c r="H2" s="198"/>
      <c r="I2" s="198"/>
      <c r="J2" s="198"/>
      <c r="K2" s="198"/>
      <c r="M2" s="198" t="s">
        <v>181</v>
      </c>
      <c r="N2" s="198"/>
      <c r="O2" s="198"/>
      <c r="P2" s="198"/>
      <c r="Q2" s="198"/>
      <c r="R2" s="8"/>
      <c r="S2" s="8"/>
      <c r="T2" s="8"/>
      <c r="U2" s="8"/>
      <c r="V2" s="8"/>
      <c r="W2" s="8"/>
    </row>
    <row r="3" spans="2:25" ht="19.5" x14ac:dyDescent="0.25">
      <c r="B3" s="134" t="s">
        <v>12</v>
      </c>
      <c r="C3" s="132"/>
      <c r="D3" s="132"/>
    </row>
    <row r="4" spans="2:25" x14ac:dyDescent="0.2">
      <c r="B4" s="132" t="s">
        <v>183</v>
      </c>
      <c r="C4" s="132"/>
      <c r="D4" s="132"/>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5"/>
      <c r="C5" s="132"/>
      <c r="D5" s="135"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182</v>
      </c>
      <c r="D6" s="11"/>
      <c r="G6" s="16"/>
      <c r="H6" s="16" t="s">
        <v>24</v>
      </c>
      <c r="I6" s="16"/>
      <c r="J6" s="16"/>
      <c r="K6" s="16"/>
      <c r="M6" s="16"/>
      <c r="N6" s="16" t="s">
        <v>24</v>
      </c>
      <c r="O6" s="16"/>
      <c r="P6" s="16"/>
      <c r="Q6" s="16"/>
      <c r="R6" s="16"/>
      <c r="S6" s="16"/>
      <c r="T6" s="16"/>
      <c r="U6" s="16"/>
      <c r="V6" s="16"/>
      <c r="W6" s="16"/>
    </row>
    <row r="7" spans="2:25" ht="13.5" thickBot="1" x14ac:dyDescent="0.25">
      <c r="B7" s="132"/>
      <c r="G7" s="131" t="s">
        <v>25</v>
      </c>
      <c r="H7" s="131" t="s">
        <v>26</v>
      </c>
      <c r="I7" s="131" t="s">
        <v>27</v>
      </c>
      <c r="J7" s="131"/>
      <c r="K7" s="131" t="s">
        <v>28</v>
      </c>
      <c r="M7" s="131" t="s">
        <v>25</v>
      </c>
      <c r="N7" s="131" t="s">
        <v>26</v>
      </c>
      <c r="O7" s="131" t="s">
        <v>27</v>
      </c>
      <c r="P7" s="131"/>
      <c r="Q7" s="131" t="s">
        <v>28</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29</v>
      </c>
      <c r="D9" s="12" t="s">
        <v>30</v>
      </c>
      <c r="E9" s="18" t="s">
        <v>31</v>
      </c>
      <c r="G9" s="106">
        <v>6254</v>
      </c>
      <c r="H9" s="106">
        <v>842</v>
      </c>
      <c r="I9" s="106">
        <v>13679</v>
      </c>
      <c r="J9" s="19"/>
      <c r="K9" s="19">
        <f>I9+H9+G9</f>
        <v>20775</v>
      </c>
      <c r="M9" s="19">
        <v>0</v>
      </c>
      <c r="N9" s="19">
        <v>0</v>
      </c>
      <c r="O9" s="19">
        <v>0</v>
      </c>
      <c r="P9" s="19">
        <v>0</v>
      </c>
      <c r="Q9" s="19">
        <f>SUM(M9:P9)</f>
        <v>0</v>
      </c>
      <c r="R9" s="19"/>
      <c r="S9" s="19"/>
      <c r="T9" s="19"/>
      <c r="U9" s="19"/>
      <c r="V9" s="19"/>
      <c r="W9" s="19"/>
    </row>
    <row r="10" spans="2:25" x14ac:dyDescent="0.2">
      <c r="B10" s="132" t="s">
        <v>32</v>
      </c>
      <c r="E10" s="18" t="s">
        <v>33</v>
      </c>
      <c r="G10" s="105">
        <v>116.4</v>
      </c>
      <c r="H10" s="105">
        <v>15</v>
      </c>
      <c r="I10" s="105">
        <v>244.1</v>
      </c>
      <c r="J10" s="21"/>
      <c r="K10" s="21">
        <f>G10+H10+I10</f>
        <v>375.5</v>
      </c>
      <c r="M10" s="21"/>
      <c r="N10" s="21"/>
      <c r="O10" s="21"/>
      <c r="P10" s="21">
        <v>0</v>
      </c>
      <c r="Q10" s="21">
        <f>SUM(M10:P10)</f>
        <v>0</v>
      </c>
      <c r="R10" s="51"/>
      <c r="S10" s="51"/>
      <c r="T10" s="51"/>
      <c r="U10" s="51"/>
      <c r="V10" s="51"/>
      <c r="W10" s="51"/>
    </row>
    <row r="11" spans="2:25" x14ac:dyDescent="0.2">
      <c r="E11" s="18"/>
    </row>
    <row r="12" spans="2:25" ht="13.5" thickBot="1" x14ac:dyDescent="0.25">
      <c r="D12" s="12" t="s">
        <v>34</v>
      </c>
      <c r="E12" s="18" t="s">
        <v>31</v>
      </c>
      <c r="G12" s="106">
        <v>73392</v>
      </c>
      <c r="H12" s="106">
        <v>9469</v>
      </c>
      <c r="I12" s="106">
        <v>153887</v>
      </c>
      <c r="J12" s="19"/>
      <c r="K12" s="19">
        <f>I12+H12+G12</f>
        <v>236748</v>
      </c>
      <c r="M12" s="19">
        <f t="shared" ref="M12:P13" si="0">G12</f>
        <v>73392</v>
      </c>
      <c r="N12" s="19">
        <f t="shared" si="0"/>
        <v>9469</v>
      </c>
      <c r="O12" s="19">
        <f t="shared" si="0"/>
        <v>153887</v>
      </c>
      <c r="P12" s="19">
        <f t="shared" si="0"/>
        <v>0</v>
      </c>
      <c r="Q12" s="19">
        <f>SUM(M12:P12)</f>
        <v>236748</v>
      </c>
      <c r="R12" s="19"/>
      <c r="S12" s="19"/>
      <c r="T12" s="137">
        <f>223294-K12</f>
        <v>-13454</v>
      </c>
      <c r="U12" s="19"/>
      <c r="V12" s="19"/>
      <c r="W12" s="19"/>
    </row>
    <row r="13" spans="2:25" x14ac:dyDescent="0.2">
      <c r="E13" s="18" t="s">
        <v>33</v>
      </c>
      <c r="G13" s="105">
        <v>1017.6</v>
      </c>
      <c r="H13" s="105">
        <v>130.4</v>
      </c>
      <c r="I13" s="105">
        <v>2133.4</v>
      </c>
      <c r="J13" s="21"/>
      <c r="K13" s="21">
        <f>I13+H13+G13</f>
        <v>3281.4</v>
      </c>
      <c r="M13" s="21">
        <f t="shared" si="0"/>
        <v>1017.6</v>
      </c>
      <c r="N13" s="21">
        <f t="shared" si="0"/>
        <v>130.4</v>
      </c>
      <c r="O13" s="21">
        <f t="shared" si="0"/>
        <v>2133.4</v>
      </c>
      <c r="P13" s="21">
        <v>0</v>
      </c>
      <c r="Q13" s="21">
        <f>SUM(M13:P13)</f>
        <v>3281.4</v>
      </c>
      <c r="R13" s="51"/>
      <c r="S13" s="51"/>
      <c r="T13" s="138"/>
      <c r="U13" s="51"/>
      <c r="V13" s="51"/>
      <c r="W13" s="51"/>
    </row>
    <row r="14" spans="2:25" x14ac:dyDescent="0.2">
      <c r="T14" s="139"/>
      <c r="Y14" s="27" t="s">
        <v>35</v>
      </c>
    </row>
    <row r="15" spans="2:25" x14ac:dyDescent="0.2">
      <c r="D15" s="12" t="s">
        <v>36</v>
      </c>
      <c r="E15" s="18" t="s">
        <v>37</v>
      </c>
      <c r="G15" s="19">
        <v>2580</v>
      </c>
      <c r="H15" s="19">
        <v>333</v>
      </c>
      <c r="I15" s="19">
        <v>5410</v>
      </c>
      <c r="J15" s="19"/>
      <c r="K15" s="19">
        <f>I15+H15+G15</f>
        <v>8323</v>
      </c>
      <c r="M15" s="19">
        <v>0</v>
      </c>
      <c r="N15" s="19">
        <v>0</v>
      </c>
      <c r="O15" s="19">
        <v>0</v>
      </c>
      <c r="P15" s="19">
        <v>0</v>
      </c>
      <c r="Q15" s="19">
        <f t="shared" ref="Q15:Q20" si="1">SUM(M15:P15)</f>
        <v>0</v>
      </c>
      <c r="R15" s="19"/>
      <c r="S15" s="19"/>
      <c r="T15" s="137"/>
      <c r="U15" s="19"/>
      <c r="V15" s="19"/>
      <c r="W15" s="19"/>
    </row>
    <row r="16" spans="2:25" x14ac:dyDescent="0.2">
      <c r="D16" s="12" t="s">
        <v>38</v>
      </c>
      <c r="E16" s="18" t="s">
        <v>39</v>
      </c>
      <c r="G16" s="19">
        <v>8293</v>
      </c>
      <c r="H16" s="19">
        <v>1070</v>
      </c>
      <c r="I16" s="19">
        <v>17389</v>
      </c>
      <c r="J16" s="19"/>
      <c r="K16" s="19">
        <f>I16+H16+G16</f>
        <v>26752</v>
      </c>
      <c r="M16" s="19">
        <f>G16</f>
        <v>8293</v>
      </c>
      <c r="N16" s="19">
        <f>H16</f>
        <v>1070</v>
      </c>
      <c r="O16" s="19">
        <f>I16</f>
        <v>17389</v>
      </c>
      <c r="P16" s="19">
        <f>J16</f>
        <v>0</v>
      </c>
      <c r="Q16" s="19">
        <f t="shared" si="1"/>
        <v>26752</v>
      </c>
      <c r="R16" s="19"/>
      <c r="S16" s="19"/>
      <c r="T16" s="137"/>
      <c r="U16" s="19"/>
      <c r="V16" s="19"/>
      <c r="W16" s="19"/>
      <c r="Y16" s="5" t="s">
        <v>40</v>
      </c>
    </row>
    <row r="17" spans="2:25" x14ac:dyDescent="0.2">
      <c r="D17" s="140"/>
      <c r="E17" s="18" t="s">
        <v>41</v>
      </c>
      <c r="G17" s="19">
        <v>741</v>
      </c>
      <c r="H17" s="19">
        <v>96</v>
      </c>
      <c r="I17" s="19">
        <v>1553</v>
      </c>
      <c r="J17" s="19"/>
      <c r="K17" s="19">
        <f t="shared" ref="K17:K20" si="2">I17+H17+G17</f>
        <v>2390</v>
      </c>
      <c r="M17" s="19">
        <v>0</v>
      </c>
      <c r="N17" s="19">
        <v>0</v>
      </c>
      <c r="O17" s="19">
        <v>0</v>
      </c>
      <c r="P17" s="19">
        <v>0</v>
      </c>
      <c r="Q17" s="19">
        <f t="shared" si="1"/>
        <v>0</v>
      </c>
      <c r="R17" s="19"/>
      <c r="S17" s="19"/>
      <c r="T17" s="137"/>
      <c r="U17" s="19"/>
      <c r="V17" s="19"/>
      <c r="W17" s="19"/>
      <c r="Y17" s="29">
        <v>614800</v>
      </c>
    </row>
    <row r="18" spans="2:25" x14ac:dyDescent="0.2">
      <c r="E18" s="18" t="s">
        <v>42</v>
      </c>
      <c r="G18" s="19">
        <v>7137</v>
      </c>
      <c r="H18" s="19">
        <v>921</v>
      </c>
      <c r="I18" s="19">
        <v>14969</v>
      </c>
      <c r="J18" s="19"/>
      <c r="K18" s="19">
        <f t="shared" si="2"/>
        <v>23027</v>
      </c>
      <c r="M18" s="19">
        <v>0</v>
      </c>
      <c r="N18" s="19">
        <v>0</v>
      </c>
      <c r="O18" s="19">
        <v>0</v>
      </c>
      <c r="P18" s="19">
        <v>0</v>
      </c>
      <c r="Q18" s="19">
        <f t="shared" si="1"/>
        <v>0</v>
      </c>
      <c r="R18" s="19"/>
      <c r="S18" s="19"/>
      <c r="T18" s="137"/>
      <c r="U18" s="19"/>
      <c r="V18" s="19"/>
      <c r="W18" s="19"/>
    </row>
    <row r="19" spans="2:25" x14ac:dyDescent="0.2">
      <c r="E19" s="18" t="s">
        <v>43</v>
      </c>
      <c r="G19" s="19">
        <v>18834</v>
      </c>
      <c r="H19" s="19">
        <v>0</v>
      </c>
      <c r="I19" s="19"/>
      <c r="J19" s="19"/>
      <c r="K19" s="19">
        <f t="shared" si="2"/>
        <v>18834</v>
      </c>
      <c r="M19" s="19">
        <f>G19</f>
        <v>18834</v>
      </c>
      <c r="N19" s="19">
        <f>H19</f>
        <v>0</v>
      </c>
      <c r="O19" s="19">
        <f>I19</f>
        <v>0</v>
      </c>
      <c r="P19" s="19">
        <f>J19</f>
        <v>0</v>
      </c>
      <c r="Q19" s="19">
        <f t="shared" si="1"/>
        <v>18834</v>
      </c>
      <c r="R19" s="19"/>
      <c r="S19" s="19"/>
      <c r="T19" s="137"/>
      <c r="U19" s="19"/>
      <c r="V19" s="19"/>
      <c r="W19" s="19"/>
      <c r="Y19" s="5" t="s">
        <v>44</v>
      </c>
    </row>
    <row r="20" spans="2:25" x14ac:dyDescent="0.2">
      <c r="E20" s="18" t="s">
        <v>45</v>
      </c>
      <c r="G20" s="31">
        <v>86</v>
      </c>
      <c r="H20" s="31">
        <v>0</v>
      </c>
      <c r="I20" s="31">
        <v>0</v>
      </c>
      <c r="J20" s="31"/>
      <c r="K20" s="31">
        <f t="shared" si="2"/>
        <v>86</v>
      </c>
      <c r="M20" s="19">
        <v>0</v>
      </c>
      <c r="N20" s="19">
        <v>0</v>
      </c>
      <c r="O20" s="19">
        <v>0</v>
      </c>
      <c r="P20" s="19">
        <v>0</v>
      </c>
      <c r="Q20" s="19">
        <f t="shared" si="1"/>
        <v>0</v>
      </c>
      <c r="R20" s="19"/>
      <c r="S20" s="19"/>
      <c r="T20" s="137"/>
      <c r="U20" s="19"/>
      <c r="V20" s="19"/>
      <c r="W20" s="19"/>
      <c r="Y20" s="29">
        <f>31030+1679</f>
        <v>32709</v>
      </c>
    </row>
    <row r="21" spans="2:25" x14ac:dyDescent="0.2">
      <c r="D21" s="132" t="s">
        <v>46</v>
      </c>
      <c r="E21" s="18"/>
      <c r="G21" s="32">
        <f>SUM(G15:G20)+G12+G9</f>
        <v>117317</v>
      </c>
      <c r="H21" s="32">
        <f t="shared" ref="H21:K21" si="3">SUM(H15:H20)+H12+H9</f>
        <v>12731</v>
      </c>
      <c r="I21" s="32">
        <f t="shared" si="3"/>
        <v>206887</v>
      </c>
      <c r="J21" s="32"/>
      <c r="K21" s="32">
        <f t="shared" si="3"/>
        <v>336935</v>
      </c>
      <c r="M21" s="34">
        <f>M9+M12+SUM(M15:M20)</f>
        <v>100519</v>
      </c>
      <c r="N21" s="34">
        <f>N9+N12+SUM(N15:N20)</f>
        <v>10539</v>
      </c>
      <c r="O21" s="34">
        <f>O9+O12+SUM(O15:O20)</f>
        <v>171276</v>
      </c>
      <c r="P21" s="34">
        <f>P9+P12+SUM(P15:P20)</f>
        <v>0</v>
      </c>
      <c r="Q21" s="34">
        <f>Q9+Q12+SUM(Q15:Q20)</f>
        <v>282334</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47</v>
      </c>
    </row>
    <row r="23" spans="2:25" x14ac:dyDescent="0.2">
      <c r="B23" s="132" t="s">
        <v>48</v>
      </c>
      <c r="E23" s="18" t="s">
        <v>49</v>
      </c>
      <c r="G23" s="31">
        <f>75000*0.31</f>
        <v>23250</v>
      </c>
      <c r="H23" s="31">
        <f>75000*0.04</f>
        <v>3000</v>
      </c>
      <c r="I23" s="31">
        <f>75000*0.65</f>
        <v>48750</v>
      </c>
      <c r="J23" s="31"/>
      <c r="K23" s="31">
        <f>G23+H23+I23</f>
        <v>75000</v>
      </c>
      <c r="M23" s="31">
        <f>$Q$23*G$164</f>
        <v>1197.0600195185425</v>
      </c>
      <c r="N23" s="31">
        <f>$Q$23*H$164</f>
        <v>119.70600195185426</v>
      </c>
      <c r="O23" s="31">
        <f>$Q$23*I$164</f>
        <v>2673.4340435914119</v>
      </c>
      <c r="P23" s="31">
        <v>0</v>
      </c>
      <c r="Q23" s="31">
        <f>K23*Y23</f>
        <v>3990.2000650618088</v>
      </c>
      <c r="R23" s="39"/>
      <c r="S23" s="39"/>
      <c r="T23" s="40">
        <f>251603.59-K23</f>
        <v>176603.59</v>
      </c>
      <c r="U23" s="39"/>
      <c r="V23" s="39"/>
      <c r="W23" s="39"/>
      <c r="Y23" s="41">
        <f>Y20/Y17</f>
        <v>5.320266753415745E-2</v>
      </c>
    </row>
    <row r="24" spans="2:25" x14ac:dyDescent="0.2">
      <c r="B24" s="132"/>
      <c r="D24" s="132" t="s">
        <v>50</v>
      </c>
      <c r="E24" s="18"/>
      <c r="G24" s="32">
        <f>G23</f>
        <v>23250</v>
      </c>
      <c r="H24" s="32">
        <f>H23</f>
        <v>3000</v>
      </c>
      <c r="I24" s="32">
        <f>I23</f>
        <v>48750</v>
      </c>
      <c r="J24" s="32"/>
      <c r="K24" s="32">
        <f>K23</f>
        <v>75000</v>
      </c>
      <c r="M24" s="32">
        <f>SUM(M23)</f>
        <v>1197.0600195185425</v>
      </c>
      <c r="N24" s="32">
        <f>SUM(N23)</f>
        <v>119.70600195185426</v>
      </c>
      <c r="O24" s="32">
        <f>SUM(O23)</f>
        <v>2673.4340435914119</v>
      </c>
      <c r="P24" s="32">
        <f>SUM(P23)</f>
        <v>0</v>
      </c>
      <c r="Q24" s="32">
        <f>SUM(M24:P24)</f>
        <v>3990.2000650618083</v>
      </c>
      <c r="R24" s="32"/>
      <c r="S24" s="32"/>
      <c r="T24" s="143"/>
      <c r="U24" s="32"/>
      <c r="V24" s="32"/>
      <c r="W24" s="32"/>
    </row>
    <row r="25" spans="2:25" x14ac:dyDescent="0.2">
      <c r="B25" s="132"/>
    </row>
    <row r="26" spans="2:25" x14ac:dyDescent="0.2">
      <c r="B26" s="132" t="s">
        <v>51</v>
      </c>
      <c r="E26" s="18" t="s">
        <v>52</v>
      </c>
      <c r="G26" s="19"/>
      <c r="H26" s="19"/>
      <c r="I26" s="19"/>
      <c r="J26" s="19"/>
      <c r="K26" s="19">
        <f>I26+H26+G26</f>
        <v>0</v>
      </c>
      <c r="M26" s="39">
        <v>0</v>
      </c>
      <c r="N26" s="39">
        <v>0</v>
      </c>
      <c r="O26" s="39">
        <v>0</v>
      </c>
      <c r="P26" s="19">
        <v>0</v>
      </c>
      <c r="Q26" s="19">
        <f t="shared" ref="Q26:Q31" si="4">SUM(M26:P26)</f>
        <v>0</v>
      </c>
      <c r="R26" s="19"/>
      <c r="S26" s="19"/>
      <c r="T26" s="19"/>
      <c r="U26" s="19"/>
      <c r="V26" s="19"/>
      <c r="W26" s="19"/>
    </row>
    <row r="27" spans="2:25" x14ac:dyDescent="0.2">
      <c r="B27" s="132"/>
      <c r="E27" s="18" t="s">
        <v>53</v>
      </c>
      <c r="G27" s="19"/>
      <c r="H27" s="19"/>
      <c r="I27" s="19"/>
      <c r="J27" s="19"/>
      <c r="K27" s="19">
        <f>I27+H27+G27</f>
        <v>0</v>
      </c>
      <c r="M27" s="19">
        <f>G27</f>
        <v>0</v>
      </c>
      <c r="N27" s="19">
        <f>H27</f>
        <v>0</v>
      </c>
      <c r="O27" s="19">
        <f>I27</f>
        <v>0</v>
      </c>
      <c r="P27" s="19">
        <f>J27</f>
        <v>0</v>
      </c>
      <c r="Q27" s="19">
        <f>SUM(M27:P27)</f>
        <v>0</v>
      </c>
      <c r="R27" s="19"/>
      <c r="S27" s="19"/>
      <c r="T27" s="19"/>
      <c r="U27" s="19"/>
      <c r="V27" s="19"/>
      <c r="W27" s="19"/>
    </row>
    <row r="28" spans="2:25" x14ac:dyDescent="0.2">
      <c r="B28" s="132"/>
      <c r="E28" s="12" t="s">
        <v>54</v>
      </c>
      <c r="G28" s="19"/>
      <c r="H28" s="19"/>
      <c r="I28" s="19"/>
      <c r="J28" s="19"/>
      <c r="K28" s="19">
        <f t="shared" ref="K28:K30" si="5">I28+H28+G28</f>
        <v>0</v>
      </c>
      <c r="M28" s="19">
        <v>0</v>
      </c>
      <c r="N28" s="19">
        <v>0</v>
      </c>
      <c r="O28" s="19">
        <v>0</v>
      </c>
      <c r="P28" s="19">
        <v>0</v>
      </c>
      <c r="Q28" s="19">
        <f t="shared" si="4"/>
        <v>0</v>
      </c>
      <c r="R28" s="19"/>
      <c r="S28" s="19"/>
      <c r="T28" s="19"/>
      <c r="U28" s="19"/>
      <c r="V28" s="19"/>
      <c r="W28" s="19"/>
    </row>
    <row r="29" spans="2:25" x14ac:dyDescent="0.2">
      <c r="B29" s="132"/>
      <c r="E29" s="18" t="s">
        <v>55</v>
      </c>
      <c r="G29" s="19">
        <f>45000*0.31</f>
        <v>13950</v>
      </c>
      <c r="H29" s="19">
        <f>45000*0.04</f>
        <v>1800</v>
      </c>
      <c r="I29" s="19">
        <f>45000*0.65</f>
        <v>29250</v>
      </c>
      <c r="K29" s="19">
        <f>I29+H29+G29</f>
        <v>45000</v>
      </c>
      <c r="M29" s="19">
        <f>G29</f>
        <v>13950</v>
      </c>
      <c r="N29" s="19">
        <f>H29</f>
        <v>1800</v>
      </c>
      <c r="O29" s="19">
        <f>I29</f>
        <v>29250</v>
      </c>
      <c r="P29" s="19">
        <f>J29</f>
        <v>0</v>
      </c>
      <c r="Q29" s="19">
        <f>SUM(M29:P29)</f>
        <v>45000</v>
      </c>
      <c r="R29" s="19"/>
      <c r="S29" s="19"/>
      <c r="T29" s="19"/>
      <c r="U29" s="19"/>
      <c r="V29" s="19"/>
      <c r="W29" s="19"/>
    </row>
    <row r="30" spans="2:25" x14ac:dyDescent="0.2">
      <c r="B30" s="132"/>
      <c r="E30" s="18" t="s">
        <v>56</v>
      </c>
      <c r="G30" s="31">
        <f>195000*0.31</f>
        <v>60450</v>
      </c>
      <c r="H30" s="31">
        <f>195000*0.04</f>
        <v>7800</v>
      </c>
      <c r="I30" s="31">
        <f>195000*0.65</f>
        <v>126750</v>
      </c>
      <c r="J30" s="31"/>
      <c r="K30" s="31">
        <f t="shared" si="5"/>
        <v>195000</v>
      </c>
      <c r="M30" s="31">
        <f t="shared" ref="M30:O30" si="6">G30</f>
        <v>60450</v>
      </c>
      <c r="N30" s="31">
        <f t="shared" si="6"/>
        <v>7800</v>
      </c>
      <c r="O30" s="31">
        <f t="shared" si="6"/>
        <v>126750</v>
      </c>
      <c r="P30" s="31">
        <f>J30</f>
        <v>0</v>
      </c>
      <c r="Q30" s="31">
        <f t="shared" si="4"/>
        <v>195000</v>
      </c>
      <c r="R30" s="39"/>
      <c r="S30" s="39"/>
      <c r="T30" s="39"/>
      <c r="U30" s="39"/>
      <c r="V30" s="39"/>
      <c r="W30" s="39"/>
    </row>
    <row r="31" spans="2:25" x14ac:dyDescent="0.2">
      <c r="B31" s="132"/>
      <c r="D31" s="132" t="s">
        <v>57</v>
      </c>
      <c r="G31" s="32">
        <f>SUM(G26:G30)</f>
        <v>74400</v>
      </c>
      <c r="H31" s="32">
        <f t="shared" ref="H31:J31" si="7">SUM(H26:H30)</f>
        <v>9600</v>
      </c>
      <c r="I31" s="32">
        <f t="shared" si="7"/>
        <v>156000</v>
      </c>
      <c r="J31" s="32">
        <f t="shared" si="7"/>
        <v>0</v>
      </c>
      <c r="K31" s="32">
        <f>SUM(K26:K30)</f>
        <v>240000</v>
      </c>
      <c r="M31" s="32">
        <f>SUM(M26:M30)</f>
        <v>74400</v>
      </c>
      <c r="N31" s="32">
        <f>SUM(N26:N30)</f>
        <v>9600</v>
      </c>
      <c r="O31" s="32">
        <f>SUM(O26:O30)</f>
        <v>156000</v>
      </c>
      <c r="P31" s="32">
        <f>SUM(P26:P30)</f>
        <v>0</v>
      </c>
      <c r="Q31" s="32">
        <f t="shared" si="4"/>
        <v>240000</v>
      </c>
      <c r="R31" s="32"/>
      <c r="S31" s="32"/>
      <c r="T31" s="32"/>
      <c r="U31" s="32"/>
      <c r="V31" s="32"/>
      <c r="W31" s="32"/>
    </row>
    <row r="32" spans="2:25" x14ac:dyDescent="0.2">
      <c r="B32" s="132"/>
    </row>
    <row r="33" spans="2:23" x14ac:dyDescent="0.2">
      <c r="B33" s="132" t="s">
        <v>58</v>
      </c>
      <c r="D33" s="132" t="s">
        <v>59</v>
      </c>
      <c r="E33" s="12" t="s">
        <v>60</v>
      </c>
      <c r="G33" s="19"/>
      <c r="H33" s="19">
        <v>0</v>
      </c>
      <c r="I33" s="19">
        <v>0</v>
      </c>
      <c r="J33" s="19">
        <v>0</v>
      </c>
      <c r="K33" s="19">
        <v>108541</v>
      </c>
      <c r="M33" s="19">
        <f t="shared" ref="M33:P34" si="8">G33</f>
        <v>0</v>
      </c>
      <c r="N33" s="19">
        <f t="shared" si="8"/>
        <v>0</v>
      </c>
      <c r="O33" s="19">
        <f t="shared" si="8"/>
        <v>0</v>
      </c>
      <c r="P33" s="19">
        <f t="shared" si="8"/>
        <v>0</v>
      </c>
      <c r="Q33" s="19">
        <f>SUM(M33:P33)</f>
        <v>0</v>
      </c>
      <c r="R33" s="19"/>
      <c r="S33" s="19"/>
      <c r="T33" s="19"/>
      <c r="U33" s="19"/>
      <c r="V33" s="19"/>
      <c r="W33" s="19"/>
    </row>
    <row r="34" spans="2:23" x14ac:dyDescent="0.2">
      <c r="B34" s="132" t="s">
        <v>61</v>
      </c>
      <c r="D34" s="132" t="s">
        <v>62</v>
      </c>
      <c r="E34" s="12" t="s">
        <v>63</v>
      </c>
      <c r="G34" s="19"/>
      <c r="H34" s="19">
        <v>0</v>
      </c>
      <c r="I34" s="19">
        <v>0</v>
      </c>
      <c r="J34" s="19">
        <v>0</v>
      </c>
      <c r="K34" s="19">
        <v>0</v>
      </c>
      <c r="M34" s="19">
        <f t="shared" si="8"/>
        <v>0</v>
      </c>
      <c r="N34" s="19">
        <f t="shared" si="8"/>
        <v>0</v>
      </c>
      <c r="O34" s="19">
        <f t="shared" si="8"/>
        <v>0</v>
      </c>
      <c r="P34" s="19">
        <f t="shared" si="8"/>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64</v>
      </c>
      <c r="E36" s="12" t="s">
        <v>65</v>
      </c>
      <c r="G36" s="19"/>
      <c r="H36" s="19"/>
      <c r="I36" s="19">
        <v>0</v>
      </c>
      <c r="J36" s="19">
        <v>0</v>
      </c>
      <c r="K36" s="19">
        <v>94424</v>
      </c>
      <c r="M36" s="19">
        <f t="shared" ref="M36:P41" si="9">G36</f>
        <v>0</v>
      </c>
      <c r="N36" s="19">
        <f t="shared" si="9"/>
        <v>0</v>
      </c>
      <c r="O36" s="19">
        <f t="shared" si="9"/>
        <v>0</v>
      </c>
      <c r="P36" s="19">
        <f t="shared" si="9"/>
        <v>0</v>
      </c>
      <c r="Q36" s="19">
        <f t="shared" ref="Q36:Q41" si="10">SUM(M36:P36)</f>
        <v>0</v>
      </c>
      <c r="R36" s="19"/>
      <c r="S36" s="19"/>
      <c r="T36" s="19"/>
      <c r="U36" s="19"/>
      <c r="V36" s="19"/>
      <c r="W36" s="19"/>
    </row>
    <row r="37" spans="2:23" x14ac:dyDescent="0.2">
      <c r="D37" s="132" t="s">
        <v>66</v>
      </c>
      <c r="E37" s="12" t="s">
        <v>67</v>
      </c>
      <c r="G37" s="19"/>
      <c r="H37" s="19">
        <v>0</v>
      </c>
      <c r="I37" s="19">
        <v>0</v>
      </c>
      <c r="J37" s="19">
        <v>0</v>
      </c>
      <c r="K37" s="19">
        <v>27999</v>
      </c>
      <c r="M37" s="19">
        <f t="shared" si="9"/>
        <v>0</v>
      </c>
      <c r="N37" s="19">
        <f t="shared" si="9"/>
        <v>0</v>
      </c>
      <c r="O37" s="19">
        <f t="shared" si="9"/>
        <v>0</v>
      </c>
      <c r="P37" s="19">
        <f t="shared" si="9"/>
        <v>0</v>
      </c>
      <c r="Q37" s="19">
        <f t="shared" si="10"/>
        <v>0</v>
      </c>
      <c r="R37" s="19"/>
      <c r="S37" s="19"/>
      <c r="T37" s="19"/>
      <c r="U37" s="19"/>
      <c r="V37" s="19"/>
      <c r="W37" s="19"/>
    </row>
    <row r="38" spans="2:23" x14ac:dyDescent="0.2">
      <c r="D38" s="132"/>
      <c r="E38" s="12" t="s">
        <v>68</v>
      </c>
      <c r="G38" s="19"/>
      <c r="H38" s="19">
        <v>0</v>
      </c>
      <c r="I38" s="19">
        <v>0</v>
      </c>
      <c r="J38" s="19">
        <v>0</v>
      </c>
      <c r="K38" s="19">
        <v>17902</v>
      </c>
      <c r="M38" s="19">
        <f t="shared" si="9"/>
        <v>0</v>
      </c>
      <c r="N38" s="19">
        <f t="shared" si="9"/>
        <v>0</v>
      </c>
      <c r="O38" s="19">
        <f t="shared" si="9"/>
        <v>0</v>
      </c>
      <c r="P38" s="19">
        <f t="shared" si="9"/>
        <v>0</v>
      </c>
      <c r="Q38" s="19">
        <f t="shared" si="10"/>
        <v>0</v>
      </c>
      <c r="R38" s="19"/>
      <c r="S38" s="19"/>
      <c r="T38" s="19"/>
      <c r="U38" s="19"/>
      <c r="V38" s="19"/>
      <c r="W38" s="19"/>
    </row>
    <row r="39" spans="2:23" x14ac:dyDescent="0.2">
      <c r="D39" s="132"/>
      <c r="E39" s="12" t="s">
        <v>69</v>
      </c>
      <c r="G39" s="19"/>
      <c r="H39" s="19">
        <v>0</v>
      </c>
      <c r="I39" s="19"/>
      <c r="J39" s="19">
        <v>0</v>
      </c>
      <c r="K39" s="19">
        <v>195419</v>
      </c>
      <c r="M39" s="19">
        <f t="shared" si="9"/>
        <v>0</v>
      </c>
      <c r="N39" s="19">
        <f t="shared" si="9"/>
        <v>0</v>
      </c>
      <c r="O39" s="19">
        <f t="shared" si="9"/>
        <v>0</v>
      </c>
      <c r="P39" s="19">
        <f t="shared" si="9"/>
        <v>0</v>
      </c>
      <c r="Q39" s="19">
        <f t="shared" si="10"/>
        <v>0</v>
      </c>
      <c r="R39" s="19"/>
      <c r="S39" s="19"/>
      <c r="T39" s="19"/>
      <c r="U39" s="19"/>
      <c r="V39" s="19"/>
      <c r="W39" s="19"/>
    </row>
    <row r="40" spans="2:23" x14ac:dyDescent="0.2">
      <c r="D40" s="132"/>
      <c r="E40" s="12" t="s">
        <v>70</v>
      </c>
      <c r="G40" s="19"/>
      <c r="H40" s="19">
        <v>0</v>
      </c>
      <c r="I40" s="19"/>
      <c r="J40" s="19">
        <v>0</v>
      </c>
      <c r="K40" s="19">
        <v>19635</v>
      </c>
      <c r="M40" s="19">
        <f t="shared" si="9"/>
        <v>0</v>
      </c>
      <c r="N40" s="19">
        <f t="shared" si="9"/>
        <v>0</v>
      </c>
      <c r="O40" s="19">
        <f t="shared" si="9"/>
        <v>0</v>
      </c>
      <c r="P40" s="19">
        <f t="shared" si="9"/>
        <v>0</v>
      </c>
      <c r="Q40" s="19">
        <f t="shared" si="10"/>
        <v>0</v>
      </c>
      <c r="R40" s="19"/>
      <c r="S40" s="19"/>
      <c r="T40" s="19"/>
      <c r="U40" s="19"/>
      <c r="V40" s="19"/>
      <c r="W40" s="19"/>
    </row>
    <row r="41" spans="2:23" x14ac:dyDescent="0.2">
      <c r="D41" s="132"/>
      <c r="E41" s="12" t="s">
        <v>71</v>
      </c>
      <c r="G41" s="19">
        <v>55000</v>
      </c>
      <c r="H41" s="19">
        <v>0</v>
      </c>
      <c r="I41" s="19"/>
      <c r="J41" s="19"/>
      <c r="K41" s="19">
        <v>259000</v>
      </c>
      <c r="M41" s="19">
        <f t="shared" si="9"/>
        <v>55000</v>
      </c>
      <c r="N41" s="19">
        <f t="shared" si="9"/>
        <v>0</v>
      </c>
      <c r="O41" s="19">
        <f t="shared" si="9"/>
        <v>0</v>
      </c>
      <c r="P41" s="19">
        <f t="shared" si="9"/>
        <v>0</v>
      </c>
      <c r="Q41" s="19">
        <f t="shared" si="10"/>
        <v>55000</v>
      </c>
      <c r="R41" s="19"/>
      <c r="S41" s="19"/>
      <c r="T41" s="19"/>
      <c r="U41" s="19"/>
      <c r="V41" s="19"/>
      <c r="W41" s="19"/>
    </row>
    <row r="42" spans="2:23" x14ac:dyDescent="0.2">
      <c r="D42" s="132"/>
      <c r="Q42" s="19"/>
      <c r="R42" s="19"/>
      <c r="S42" s="19"/>
      <c r="T42" s="19"/>
      <c r="U42" s="19"/>
      <c r="V42" s="19"/>
      <c r="W42" s="19"/>
    </row>
    <row r="43" spans="2:23" x14ac:dyDescent="0.2">
      <c r="D43" s="132"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76</v>
      </c>
    </row>
    <row r="51" spans="2:25" x14ac:dyDescent="0.2">
      <c r="D51" s="132"/>
    </row>
    <row r="52" spans="2:25" x14ac:dyDescent="0.2">
      <c r="B52" s="132"/>
      <c r="D52" s="132"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77</v>
      </c>
      <c r="G53" s="32">
        <f>SUM(G33:G52)</f>
        <v>55000</v>
      </c>
      <c r="H53" s="32">
        <f>SUM(H33:H52)</f>
        <v>0</v>
      </c>
      <c r="I53" s="32">
        <f>SUM(I33:I52)</f>
        <v>0</v>
      </c>
      <c r="J53" s="32">
        <f>SUM(J33:J52)</f>
        <v>0</v>
      </c>
      <c r="K53" s="32">
        <f>SUM(G53:J53)</f>
        <v>55000</v>
      </c>
      <c r="M53" s="32">
        <f>SUM(M33:M52)</f>
        <v>55000</v>
      </c>
      <c r="N53" s="32">
        <f>SUM(N33:N52)</f>
        <v>0</v>
      </c>
      <c r="O53" s="32">
        <f>SUM(O33:O52)</f>
        <v>0</v>
      </c>
      <c r="P53" s="32">
        <f>SUM(P33:P52)</f>
        <v>0</v>
      </c>
      <c r="Q53" s="32">
        <f>SUM(M53:P53)</f>
        <v>55000</v>
      </c>
      <c r="R53" s="32"/>
      <c r="S53" s="32"/>
      <c r="T53" s="32"/>
      <c r="U53" s="32"/>
      <c r="V53" s="32"/>
      <c r="W53" s="32"/>
    </row>
    <row r="54" spans="2:25" x14ac:dyDescent="0.2">
      <c r="B54" s="132"/>
      <c r="G54" s="19"/>
    </row>
    <row r="55" spans="2:25" x14ac:dyDescent="0.2">
      <c r="B55" s="132" t="s">
        <v>78</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79</v>
      </c>
      <c r="D56" s="19"/>
    </row>
    <row r="57" spans="2:25" ht="13.5" thickBot="1" x14ac:dyDescent="0.25">
      <c r="K57" s="19"/>
      <c r="Q57" s="144"/>
      <c r="R57" s="145"/>
      <c r="S57" s="145"/>
      <c r="T57" s="145"/>
      <c r="U57" s="145"/>
      <c r="V57" s="145"/>
      <c r="W57" s="145"/>
    </row>
    <row r="58" spans="2:25" x14ac:dyDescent="0.2">
      <c r="B58" s="132" t="s">
        <v>80</v>
      </c>
      <c r="E58" s="19"/>
      <c r="G58" s="146">
        <f>G21+G24+G31+G53+G55</f>
        <v>269967</v>
      </c>
      <c r="H58" s="146">
        <f>H21+H24+H31+H53+H55</f>
        <v>25331</v>
      </c>
      <c r="I58" s="146">
        <f>I21+I24+I31+I53+I55</f>
        <v>411637</v>
      </c>
      <c r="J58" s="146">
        <f>J21+J24+J31+J53+J55</f>
        <v>0</v>
      </c>
      <c r="K58" s="146">
        <f>SUM(G58:J58)</f>
        <v>706935</v>
      </c>
      <c r="L58" s="147"/>
      <c r="M58" s="146">
        <f>M21+M24+M31+M53+M55</f>
        <v>231116.06001951854</v>
      </c>
      <c r="N58" s="146">
        <f>N21+N24+N31+N53+N55</f>
        <v>20258.706001951854</v>
      </c>
      <c r="O58" s="146">
        <f>O21+O24+O31+O53+O55</f>
        <v>329949.43404359138</v>
      </c>
      <c r="P58" s="146">
        <f>P21+P24+P31+P53+P55</f>
        <v>0</v>
      </c>
      <c r="Q58" s="146">
        <f>SUM(M58:P58)</f>
        <v>581324.2000650618</v>
      </c>
      <c r="R58" s="141"/>
      <c r="S58" s="141"/>
      <c r="T58" s="141"/>
      <c r="U58" s="141"/>
      <c r="V58" s="141"/>
      <c r="W58" s="141"/>
    </row>
    <row r="61" spans="2:25" ht="14.25" x14ac:dyDescent="0.2">
      <c r="B61" s="136" t="s">
        <v>81</v>
      </c>
    </row>
    <row r="62" spans="2:25" x14ac:dyDescent="0.2">
      <c r="D62" s="12" t="s">
        <v>83</v>
      </c>
      <c r="E62" s="18" t="s">
        <v>31</v>
      </c>
      <c r="G62" s="19">
        <f>375000*0.31</f>
        <v>116250</v>
      </c>
      <c r="H62" s="19">
        <f>375000*0.04</f>
        <v>15000</v>
      </c>
      <c r="I62" s="19">
        <f>375000*0.65</f>
        <v>243750</v>
      </c>
      <c r="J62" s="19">
        <v>0</v>
      </c>
      <c r="K62" s="19">
        <f>I62+H62+G62</f>
        <v>375000</v>
      </c>
      <c r="M62" s="19">
        <f>$G$164*Q62</f>
        <v>99459.551999999981</v>
      </c>
      <c r="N62" s="19">
        <f>$H$164*Q62</f>
        <v>9945.9551999999985</v>
      </c>
      <c r="O62" s="19">
        <f>$I$164*Q62</f>
        <v>222126.3328</v>
      </c>
      <c r="P62" s="19">
        <f t="shared" ref="P62" si="11">J62</f>
        <v>0</v>
      </c>
      <c r="Q62" s="19">
        <f>K62-(((((46*118.12)*8)*1)))</f>
        <v>331531.83999999997</v>
      </c>
      <c r="R62" s="19"/>
      <c r="S62" s="19"/>
      <c r="T62" s="19"/>
      <c r="U62" s="19"/>
      <c r="V62" s="19"/>
      <c r="W62" s="19"/>
    </row>
    <row r="63" spans="2:25" ht="12.75" customHeight="1" x14ac:dyDescent="0.2">
      <c r="E63" s="18"/>
      <c r="G63" s="19"/>
      <c r="H63" s="19"/>
      <c r="I63" s="19"/>
    </row>
    <row r="64" spans="2:25" hidden="1" x14ac:dyDescent="0.2">
      <c r="D64" s="12" t="s">
        <v>166</v>
      </c>
      <c r="E64" s="18" t="s">
        <v>31</v>
      </c>
      <c r="G64" s="19"/>
      <c r="H64" s="19"/>
      <c r="I64" s="19"/>
      <c r="J64" s="19">
        <v>0</v>
      </c>
      <c r="K64" s="19">
        <f>I64+H64+G64</f>
        <v>0</v>
      </c>
      <c r="M64" s="19">
        <f>G64</f>
        <v>0</v>
      </c>
      <c r="N64" s="19">
        <f>H64</f>
        <v>0</v>
      </c>
      <c r="O64" s="19">
        <f>Q64</f>
        <v>0</v>
      </c>
      <c r="P64" s="19">
        <f t="shared" ref="P64" si="12">J64</f>
        <v>0</v>
      </c>
      <c r="Q64" s="19">
        <f>K64</f>
        <v>0</v>
      </c>
      <c r="R64" s="19"/>
      <c r="S64" s="19"/>
      <c r="T64" s="19"/>
      <c r="U64" s="19"/>
      <c r="V64" s="19"/>
      <c r="W64" s="19"/>
      <c r="Y64" s="5" t="s">
        <v>82</v>
      </c>
    </row>
    <row r="65" spans="4:25" ht="12.75" hidden="1" customHeight="1" x14ac:dyDescent="0.2">
      <c r="E65" s="18"/>
      <c r="G65" s="19"/>
      <c r="H65" s="19"/>
      <c r="I65" s="19"/>
      <c r="K65" s="19"/>
      <c r="M65" s="19">
        <f t="shared" ref="M65:Q128" si="13">G65</f>
        <v>0</v>
      </c>
      <c r="N65" s="19">
        <f t="shared" si="13"/>
        <v>0</v>
      </c>
    </row>
    <row r="66" spans="4:25" ht="13.5" customHeight="1" x14ac:dyDescent="0.2">
      <c r="D66" s="12" t="s">
        <v>195</v>
      </c>
      <c r="E66" s="18" t="s">
        <v>31</v>
      </c>
      <c r="G66" s="19"/>
      <c r="H66" s="19"/>
      <c r="I66" s="19">
        <v>447000</v>
      </c>
      <c r="J66" s="19">
        <v>0</v>
      </c>
      <c r="K66" s="19">
        <f>I66+H66+G66</f>
        <v>447000</v>
      </c>
      <c r="M66" s="19">
        <f t="shared" si="13"/>
        <v>0</v>
      </c>
      <c r="N66" s="19">
        <f t="shared" si="13"/>
        <v>0</v>
      </c>
      <c r="O66" s="19">
        <f t="shared" ref="O66" si="14">Q66</f>
        <v>447000</v>
      </c>
      <c r="P66" s="19">
        <f t="shared" ref="P66:Q66" si="15">J66</f>
        <v>0</v>
      </c>
      <c r="Q66" s="19">
        <f t="shared" si="15"/>
        <v>447000</v>
      </c>
      <c r="R66" s="19"/>
      <c r="S66" s="19"/>
      <c r="T66" s="19"/>
      <c r="U66" s="19"/>
      <c r="V66" s="19"/>
      <c r="W66" s="19"/>
      <c r="Y66" s="5" t="s">
        <v>82</v>
      </c>
    </row>
    <row r="67" spans="4:25" ht="12.75" hidden="1" customHeight="1" x14ac:dyDescent="0.2">
      <c r="E67" s="18"/>
      <c r="G67" s="19"/>
      <c r="H67" s="19"/>
      <c r="I67" s="19"/>
      <c r="K67" s="19"/>
      <c r="M67" s="19">
        <f t="shared" si="13"/>
        <v>0</v>
      </c>
      <c r="N67" s="19">
        <f t="shared" si="13"/>
        <v>0</v>
      </c>
    </row>
    <row r="68" spans="4:25" hidden="1" x14ac:dyDescent="0.2">
      <c r="D68" s="12" t="s">
        <v>110</v>
      </c>
      <c r="E68" s="18" t="s">
        <v>31</v>
      </c>
      <c r="G68" s="19"/>
      <c r="H68" s="19"/>
      <c r="I68" s="19"/>
      <c r="J68" s="19">
        <v>0</v>
      </c>
      <c r="K68" s="19">
        <f t="shared" ref="K68" si="16">I68+H68+G68</f>
        <v>0</v>
      </c>
      <c r="M68" s="19">
        <f t="shared" si="13"/>
        <v>0</v>
      </c>
      <c r="N68" s="19">
        <f t="shared" si="13"/>
        <v>0</v>
      </c>
      <c r="O68" s="19">
        <f t="shared" ref="O68" si="17">Q68</f>
        <v>0</v>
      </c>
      <c r="P68" s="19">
        <f t="shared" ref="P68:Q68" si="18">J68</f>
        <v>0</v>
      </c>
      <c r="Q68" s="19">
        <f t="shared" si="18"/>
        <v>0</v>
      </c>
      <c r="R68" s="19"/>
      <c r="S68" s="19"/>
      <c r="T68" s="19"/>
      <c r="U68" s="19"/>
      <c r="V68" s="19"/>
      <c r="W68" s="19"/>
      <c r="Y68" s="5" t="s">
        <v>82</v>
      </c>
    </row>
    <row r="69" spans="4:25" ht="12.75" hidden="1" customHeight="1" x14ac:dyDescent="0.2">
      <c r="E69" s="18"/>
      <c r="G69" s="19"/>
      <c r="H69" s="19"/>
      <c r="I69" s="19"/>
      <c r="K69" s="19"/>
      <c r="M69" s="19">
        <f t="shared" si="13"/>
        <v>0</v>
      </c>
      <c r="N69" s="19">
        <f t="shared" si="13"/>
        <v>0</v>
      </c>
    </row>
    <row r="70" spans="4:25" hidden="1" x14ac:dyDescent="0.2">
      <c r="D70" s="12" t="s">
        <v>111</v>
      </c>
      <c r="E70" s="18" t="s">
        <v>31</v>
      </c>
      <c r="G70" s="19"/>
      <c r="H70" s="19"/>
      <c r="I70" s="19"/>
      <c r="J70" s="19">
        <v>0</v>
      </c>
      <c r="K70" s="19">
        <f t="shared" ref="K70" si="19">I70+H70+G70</f>
        <v>0</v>
      </c>
      <c r="M70" s="19">
        <f t="shared" si="13"/>
        <v>0</v>
      </c>
      <c r="N70" s="19">
        <f t="shared" si="13"/>
        <v>0</v>
      </c>
      <c r="O70" s="19">
        <f t="shared" ref="O70" si="20">Q70</f>
        <v>0</v>
      </c>
      <c r="P70" s="19">
        <f t="shared" ref="P70:Q70" si="21">J70</f>
        <v>0</v>
      </c>
      <c r="Q70" s="19">
        <f t="shared" si="21"/>
        <v>0</v>
      </c>
      <c r="R70" s="19"/>
      <c r="S70" s="19"/>
      <c r="T70" s="19"/>
      <c r="U70" s="19"/>
      <c r="V70" s="19"/>
      <c r="W70" s="19"/>
      <c r="Y70" s="5" t="s">
        <v>82</v>
      </c>
    </row>
    <row r="71" spans="4:25" ht="12.75" hidden="1" customHeight="1" x14ac:dyDescent="0.2">
      <c r="E71" s="18"/>
      <c r="G71" s="19"/>
      <c r="H71" s="19"/>
      <c r="I71" s="19"/>
      <c r="K71" s="19"/>
      <c r="M71" s="19">
        <f t="shared" si="13"/>
        <v>0</v>
      </c>
      <c r="N71" s="19">
        <f t="shared" si="13"/>
        <v>0</v>
      </c>
    </row>
    <row r="72" spans="4:25" hidden="1" x14ac:dyDescent="0.2">
      <c r="D72" s="12" t="s">
        <v>112</v>
      </c>
      <c r="E72" s="18" t="s">
        <v>31</v>
      </c>
      <c r="G72" s="19"/>
      <c r="H72" s="19"/>
      <c r="I72" s="19"/>
      <c r="J72" s="19">
        <v>0</v>
      </c>
      <c r="K72" s="19">
        <f t="shared" ref="K72" si="22">I72+H72+G72</f>
        <v>0</v>
      </c>
      <c r="M72" s="19">
        <f t="shared" si="13"/>
        <v>0</v>
      </c>
      <c r="N72" s="19">
        <f t="shared" si="13"/>
        <v>0</v>
      </c>
      <c r="O72" s="19">
        <f t="shared" ref="O72" si="23">Q72</f>
        <v>0</v>
      </c>
      <c r="P72" s="19">
        <f t="shared" ref="P72:Q72" si="24">J72</f>
        <v>0</v>
      </c>
      <c r="Q72" s="19">
        <f t="shared" si="24"/>
        <v>0</v>
      </c>
      <c r="R72" s="19"/>
      <c r="S72" s="19"/>
      <c r="T72" s="19"/>
      <c r="U72" s="19"/>
      <c r="V72" s="19"/>
      <c r="W72" s="19"/>
      <c r="Y72" s="5" t="s">
        <v>82</v>
      </c>
    </row>
    <row r="73" spans="4:25" ht="12.75" hidden="1" customHeight="1" x14ac:dyDescent="0.2">
      <c r="E73" s="18"/>
      <c r="G73" s="19"/>
      <c r="H73" s="19"/>
      <c r="I73" s="19"/>
      <c r="K73" s="19"/>
      <c r="M73" s="19">
        <f t="shared" si="13"/>
        <v>0</v>
      </c>
      <c r="N73" s="19">
        <f t="shared" si="13"/>
        <v>0</v>
      </c>
    </row>
    <row r="74" spans="4:25" hidden="1" x14ac:dyDescent="0.2">
      <c r="D74" s="12" t="s">
        <v>113</v>
      </c>
      <c r="E74" s="18" t="s">
        <v>31</v>
      </c>
      <c r="G74" s="19"/>
      <c r="H74" s="19"/>
      <c r="I74" s="19"/>
      <c r="J74" s="19">
        <v>0</v>
      </c>
      <c r="K74" s="19">
        <f t="shared" ref="K74" si="25">I74+H74+G74</f>
        <v>0</v>
      </c>
      <c r="M74" s="19">
        <f t="shared" si="13"/>
        <v>0</v>
      </c>
      <c r="N74" s="19">
        <f t="shared" si="13"/>
        <v>0</v>
      </c>
      <c r="O74" s="19">
        <f t="shared" ref="O74" si="26">Q74</f>
        <v>0</v>
      </c>
      <c r="P74" s="19">
        <f t="shared" ref="P74:Q74" si="27">J74</f>
        <v>0</v>
      </c>
      <c r="Q74" s="19">
        <f t="shared" si="27"/>
        <v>0</v>
      </c>
      <c r="R74" s="19"/>
      <c r="S74" s="19"/>
      <c r="T74" s="19"/>
      <c r="U74" s="19"/>
      <c r="V74" s="19"/>
      <c r="W74" s="19"/>
      <c r="Y74" s="5" t="s">
        <v>82</v>
      </c>
    </row>
    <row r="75" spans="4:25" ht="12.75" hidden="1" customHeight="1" x14ac:dyDescent="0.2">
      <c r="E75" s="18"/>
      <c r="G75" s="19"/>
      <c r="H75" s="19"/>
      <c r="I75" s="19"/>
      <c r="K75" s="19"/>
      <c r="M75" s="19">
        <f t="shared" si="13"/>
        <v>0</v>
      </c>
      <c r="N75" s="19">
        <f t="shared" si="13"/>
        <v>0</v>
      </c>
    </row>
    <row r="76" spans="4:25" hidden="1" x14ac:dyDescent="0.2">
      <c r="D76" s="12" t="s">
        <v>114</v>
      </c>
      <c r="E76" s="18" t="s">
        <v>31</v>
      </c>
      <c r="G76" s="19"/>
      <c r="H76" s="19"/>
      <c r="I76" s="19"/>
      <c r="J76" s="19">
        <v>0</v>
      </c>
      <c r="K76" s="19">
        <f t="shared" ref="K76" si="28">I76+H76+G76</f>
        <v>0</v>
      </c>
      <c r="M76" s="19">
        <f t="shared" si="13"/>
        <v>0</v>
      </c>
      <c r="N76" s="19">
        <f t="shared" si="13"/>
        <v>0</v>
      </c>
      <c r="O76" s="19">
        <f t="shared" ref="O76" si="29">Q76</f>
        <v>0</v>
      </c>
      <c r="P76" s="19">
        <f t="shared" ref="P76:Q76" si="30">J76</f>
        <v>0</v>
      </c>
      <c r="Q76" s="19">
        <f t="shared" si="30"/>
        <v>0</v>
      </c>
      <c r="R76" s="19"/>
      <c r="S76" s="19"/>
      <c r="T76" s="19"/>
      <c r="U76" s="19"/>
      <c r="V76" s="19"/>
      <c r="W76" s="19"/>
      <c r="Y76" s="5" t="s">
        <v>82</v>
      </c>
    </row>
    <row r="77" spans="4:25" ht="12.75" hidden="1" customHeight="1" x14ac:dyDescent="0.2">
      <c r="E77" s="18"/>
      <c r="G77" s="19"/>
      <c r="H77" s="19"/>
      <c r="I77" s="19"/>
      <c r="K77" s="19"/>
      <c r="M77" s="19">
        <f t="shared" si="13"/>
        <v>0</v>
      </c>
      <c r="N77" s="19">
        <f t="shared" si="13"/>
        <v>0</v>
      </c>
    </row>
    <row r="78" spans="4:25" hidden="1" x14ac:dyDescent="0.2">
      <c r="D78" s="12" t="s">
        <v>115</v>
      </c>
      <c r="E78" s="18" t="s">
        <v>31</v>
      </c>
      <c r="G78" s="19"/>
      <c r="H78" s="19"/>
      <c r="I78" s="19"/>
      <c r="J78" s="19">
        <v>0</v>
      </c>
      <c r="K78" s="19">
        <f>I78+H78+G78</f>
        <v>0</v>
      </c>
      <c r="M78" s="19">
        <f t="shared" si="13"/>
        <v>0</v>
      </c>
      <c r="N78" s="19">
        <f t="shared" si="13"/>
        <v>0</v>
      </c>
      <c r="O78" s="19">
        <f>I78</f>
        <v>0</v>
      </c>
      <c r="P78" s="19">
        <f t="shared" ref="P78:Q78" si="31">J78</f>
        <v>0</v>
      </c>
      <c r="Q78" s="19">
        <f t="shared" si="31"/>
        <v>0</v>
      </c>
      <c r="R78" s="19"/>
      <c r="S78" s="19"/>
      <c r="T78" s="19"/>
      <c r="U78" s="19"/>
      <c r="V78" s="19"/>
      <c r="W78" s="19"/>
      <c r="Y78" s="5" t="s">
        <v>82</v>
      </c>
    </row>
    <row r="79" spans="4:25" ht="12.75" hidden="1" customHeight="1" x14ac:dyDescent="0.2">
      <c r="E79" s="18"/>
      <c r="G79" s="19"/>
      <c r="H79" s="19"/>
      <c r="I79" s="19"/>
      <c r="K79" s="19"/>
      <c r="M79" s="19">
        <f t="shared" si="13"/>
        <v>0</v>
      </c>
      <c r="N79" s="19">
        <f t="shared" si="13"/>
        <v>0</v>
      </c>
      <c r="O79" s="19">
        <f t="shared" si="13"/>
        <v>0</v>
      </c>
    </row>
    <row r="80" spans="4:25" hidden="1" x14ac:dyDescent="0.2">
      <c r="D80" s="12" t="s">
        <v>116</v>
      </c>
      <c r="E80" s="18" t="s">
        <v>31</v>
      </c>
      <c r="G80" s="19"/>
      <c r="H80" s="19"/>
      <c r="I80" s="19"/>
      <c r="J80" s="19">
        <v>0</v>
      </c>
      <c r="K80" s="19">
        <f t="shared" ref="K80:K100" si="32">I80+H80+G80</f>
        <v>0</v>
      </c>
      <c r="M80" s="19">
        <f t="shared" si="13"/>
        <v>0</v>
      </c>
      <c r="N80" s="19">
        <f t="shared" si="13"/>
        <v>0</v>
      </c>
      <c r="O80" s="19">
        <f t="shared" si="13"/>
        <v>0</v>
      </c>
      <c r="P80" s="19">
        <f t="shared" si="13"/>
        <v>0</v>
      </c>
      <c r="Q80" s="19">
        <f>K80</f>
        <v>0</v>
      </c>
      <c r="R80" s="19"/>
      <c r="S80" s="19"/>
      <c r="T80" s="19"/>
      <c r="U80" s="19"/>
      <c r="V80" s="19"/>
      <c r="W80" s="19"/>
      <c r="Y80" s="5" t="s">
        <v>82</v>
      </c>
    </row>
    <row r="81" spans="4:25" ht="12.75" hidden="1" customHeight="1" x14ac:dyDescent="0.2">
      <c r="E81" s="18"/>
      <c r="G81" s="19"/>
      <c r="H81" s="19"/>
      <c r="I81" s="19"/>
      <c r="K81" s="19"/>
      <c r="M81" s="19">
        <f t="shared" si="13"/>
        <v>0</v>
      </c>
      <c r="N81" s="19">
        <f t="shared" si="13"/>
        <v>0</v>
      </c>
      <c r="O81" s="19">
        <f t="shared" si="13"/>
        <v>0</v>
      </c>
    </row>
    <row r="82" spans="4:25" hidden="1" x14ac:dyDescent="0.2">
      <c r="D82" s="12" t="s">
        <v>117</v>
      </c>
      <c r="E82" s="18" t="s">
        <v>31</v>
      </c>
      <c r="G82" s="19"/>
      <c r="H82" s="19"/>
      <c r="I82" s="19"/>
      <c r="J82" s="19">
        <v>0</v>
      </c>
      <c r="K82" s="19">
        <f t="shared" ref="K82" si="33">I82+H82+G82</f>
        <v>0</v>
      </c>
      <c r="M82" s="19">
        <f t="shared" si="13"/>
        <v>0</v>
      </c>
      <c r="N82" s="19">
        <f t="shared" si="13"/>
        <v>0</v>
      </c>
      <c r="O82" s="19">
        <f t="shared" si="13"/>
        <v>0</v>
      </c>
      <c r="P82" s="19">
        <f t="shared" si="13"/>
        <v>0</v>
      </c>
      <c r="Q82" s="19">
        <f t="shared" si="13"/>
        <v>0</v>
      </c>
      <c r="R82" s="19"/>
      <c r="S82" s="19"/>
      <c r="T82" s="19"/>
      <c r="U82" s="19"/>
      <c r="V82" s="19"/>
      <c r="W82" s="19"/>
      <c r="Y82" s="5" t="s">
        <v>82</v>
      </c>
    </row>
    <row r="83" spans="4:25" ht="12.75" hidden="1" customHeight="1" x14ac:dyDescent="0.2">
      <c r="E83" s="18"/>
      <c r="G83" s="19"/>
      <c r="H83" s="19"/>
      <c r="I83" s="19"/>
      <c r="K83" s="19"/>
      <c r="M83" s="19">
        <f t="shared" si="13"/>
        <v>0</v>
      </c>
      <c r="N83" s="19">
        <f t="shared" si="13"/>
        <v>0</v>
      </c>
      <c r="O83" s="19">
        <f t="shared" si="13"/>
        <v>0</v>
      </c>
    </row>
    <row r="84" spans="4:25" hidden="1" x14ac:dyDescent="0.2">
      <c r="D84" s="12" t="s">
        <v>118</v>
      </c>
      <c r="E84" s="18" t="s">
        <v>31</v>
      </c>
      <c r="G84" s="19"/>
      <c r="H84" s="19"/>
      <c r="I84" s="19"/>
      <c r="J84" s="19">
        <v>0</v>
      </c>
      <c r="K84" s="19">
        <f t="shared" ref="K84" si="34">I84+H84+G84</f>
        <v>0</v>
      </c>
      <c r="M84" s="19">
        <f t="shared" si="13"/>
        <v>0</v>
      </c>
      <c r="N84" s="19">
        <f t="shared" si="13"/>
        <v>0</v>
      </c>
      <c r="O84" s="19">
        <f t="shared" si="13"/>
        <v>0</v>
      </c>
      <c r="P84" s="19">
        <f t="shared" si="13"/>
        <v>0</v>
      </c>
      <c r="Q84" s="19">
        <f t="shared" si="13"/>
        <v>0</v>
      </c>
      <c r="R84" s="19"/>
      <c r="S84" s="19"/>
      <c r="T84" s="19"/>
      <c r="U84" s="19"/>
      <c r="V84" s="19"/>
      <c r="W84" s="19"/>
      <c r="Y84" s="5" t="s">
        <v>82</v>
      </c>
    </row>
    <row r="85" spans="4:25" ht="12.75" hidden="1" customHeight="1" x14ac:dyDescent="0.2">
      <c r="E85" s="18"/>
      <c r="G85" s="19"/>
      <c r="H85" s="19"/>
      <c r="I85" s="19"/>
      <c r="K85" s="19"/>
      <c r="M85" s="19">
        <f t="shared" si="13"/>
        <v>0</v>
      </c>
      <c r="N85" s="19">
        <f t="shared" si="13"/>
        <v>0</v>
      </c>
      <c r="O85" s="19">
        <f t="shared" si="13"/>
        <v>0</v>
      </c>
    </row>
    <row r="86" spans="4:25" hidden="1" x14ac:dyDescent="0.2">
      <c r="D86" s="12" t="s">
        <v>167</v>
      </c>
      <c r="E86" s="18" t="s">
        <v>31</v>
      </c>
      <c r="G86" s="19"/>
      <c r="H86" s="19"/>
      <c r="I86" s="19"/>
      <c r="J86" s="19">
        <v>0</v>
      </c>
      <c r="K86" s="19">
        <f t="shared" ref="K86" si="35">I86+H86+G86</f>
        <v>0</v>
      </c>
      <c r="M86" s="19">
        <f t="shared" si="13"/>
        <v>0</v>
      </c>
      <c r="N86" s="19">
        <f t="shared" si="13"/>
        <v>0</v>
      </c>
      <c r="O86" s="19">
        <f t="shared" si="13"/>
        <v>0</v>
      </c>
      <c r="P86" s="19">
        <f t="shared" si="13"/>
        <v>0</v>
      </c>
      <c r="Q86" s="19">
        <f t="shared" si="13"/>
        <v>0</v>
      </c>
      <c r="R86" s="19"/>
      <c r="S86" s="19"/>
      <c r="T86" s="19"/>
      <c r="U86" s="19"/>
      <c r="V86" s="19"/>
      <c r="W86" s="19"/>
      <c r="Y86" s="5" t="s">
        <v>82</v>
      </c>
    </row>
    <row r="87" spans="4:25" ht="12.75" hidden="1" customHeight="1" x14ac:dyDescent="0.2">
      <c r="E87" s="18"/>
      <c r="G87" s="19"/>
      <c r="H87" s="19"/>
      <c r="I87" s="19"/>
      <c r="K87" s="19"/>
      <c r="M87" s="19">
        <f t="shared" si="13"/>
        <v>0</v>
      </c>
      <c r="N87" s="19">
        <f t="shared" si="13"/>
        <v>0</v>
      </c>
      <c r="O87" s="19">
        <f t="shared" si="13"/>
        <v>0</v>
      </c>
    </row>
    <row r="88" spans="4:25" hidden="1" x14ac:dyDescent="0.2">
      <c r="D88" s="12" t="s">
        <v>119</v>
      </c>
      <c r="E88" s="18" t="s">
        <v>31</v>
      </c>
      <c r="G88" s="19"/>
      <c r="H88" s="19"/>
      <c r="I88" s="19"/>
      <c r="J88" s="19">
        <v>0</v>
      </c>
      <c r="K88" s="19">
        <f t="shared" ref="K88" si="36">I88+H88+G88</f>
        <v>0</v>
      </c>
      <c r="M88" s="19">
        <f t="shared" si="13"/>
        <v>0</v>
      </c>
      <c r="N88" s="19">
        <f t="shared" si="13"/>
        <v>0</v>
      </c>
      <c r="O88" s="19">
        <f t="shared" si="13"/>
        <v>0</v>
      </c>
      <c r="P88" s="19">
        <f t="shared" si="13"/>
        <v>0</v>
      </c>
      <c r="Q88" s="19">
        <f t="shared" si="13"/>
        <v>0</v>
      </c>
      <c r="R88" s="19"/>
      <c r="S88" s="19"/>
      <c r="T88" s="19"/>
      <c r="U88" s="19"/>
      <c r="V88" s="19"/>
      <c r="W88" s="19"/>
      <c r="Y88" s="5" t="s">
        <v>82</v>
      </c>
    </row>
    <row r="89" spans="4:25" ht="12.75" hidden="1" customHeight="1" x14ac:dyDescent="0.2">
      <c r="E89" s="18"/>
      <c r="G89" s="19"/>
      <c r="H89" s="19"/>
      <c r="I89" s="19"/>
      <c r="K89" s="19"/>
      <c r="M89" s="19">
        <f t="shared" si="13"/>
        <v>0</v>
      </c>
      <c r="N89" s="19">
        <f t="shared" si="13"/>
        <v>0</v>
      </c>
      <c r="O89" s="19">
        <f t="shared" si="13"/>
        <v>0</v>
      </c>
    </row>
    <row r="90" spans="4:25" hidden="1" x14ac:dyDescent="0.2">
      <c r="D90" s="12" t="s">
        <v>120</v>
      </c>
      <c r="E90" s="18" t="s">
        <v>31</v>
      </c>
      <c r="G90" s="19"/>
      <c r="H90" s="19"/>
      <c r="I90" s="19"/>
      <c r="J90" s="19">
        <v>0</v>
      </c>
      <c r="K90" s="19">
        <f t="shared" ref="K90" si="37">I90+H90+G90</f>
        <v>0</v>
      </c>
      <c r="M90" s="19">
        <f t="shared" si="13"/>
        <v>0</v>
      </c>
      <c r="N90" s="19">
        <f t="shared" si="13"/>
        <v>0</v>
      </c>
      <c r="O90" s="19">
        <f t="shared" si="13"/>
        <v>0</v>
      </c>
      <c r="P90" s="19">
        <f t="shared" si="13"/>
        <v>0</v>
      </c>
      <c r="Q90" s="19">
        <f t="shared" si="13"/>
        <v>0</v>
      </c>
      <c r="R90" s="19"/>
      <c r="S90" s="19"/>
      <c r="T90" s="19"/>
      <c r="U90" s="19"/>
      <c r="V90" s="19"/>
      <c r="W90" s="19"/>
      <c r="Y90" s="5" t="s">
        <v>82</v>
      </c>
    </row>
    <row r="91" spans="4:25" ht="12.75" hidden="1" customHeight="1" x14ac:dyDescent="0.2">
      <c r="E91" s="18"/>
      <c r="G91" s="19"/>
      <c r="H91" s="19"/>
      <c r="I91" s="19"/>
      <c r="K91" s="19"/>
      <c r="M91" s="19">
        <f t="shared" si="13"/>
        <v>0</v>
      </c>
      <c r="N91" s="19">
        <f t="shared" si="13"/>
        <v>0</v>
      </c>
      <c r="O91" s="19">
        <f t="shared" si="13"/>
        <v>0</v>
      </c>
    </row>
    <row r="92" spans="4:25" hidden="1" x14ac:dyDescent="0.2">
      <c r="D92" s="12" t="s">
        <v>161</v>
      </c>
      <c r="E92" s="18" t="s">
        <v>31</v>
      </c>
      <c r="G92" s="19"/>
      <c r="H92" s="19"/>
      <c r="I92" s="19"/>
      <c r="J92" s="19">
        <v>0</v>
      </c>
      <c r="K92" s="19">
        <f t="shared" ref="K92" si="38">I92+H92+G92</f>
        <v>0</v>
      </c>
      <c r="M92" s="19">
        <f t="shared" si="13"/>
        <v>0</v>
      </c>
      <c r="N92" s="19">
        <f t="shared" si="13"/>
        <v>0</v>
      </c>
      <c r="O92" s="19">
        <f t="shared" si="13"/>
        <v>0</v>
      </c>
      <c r="P92" s="19">
        <f t="shared" si="13"/>
        <v>0</v>
      </c>
      <c r="Q92" s="19">
        <f t="shared" si="13"/>
        <v>0</v>
      </c>
      <c r="R92" s="19"/>
      <c r="S92" s="19"/>
      <c r="T92" s="19"/>
      <c r="U92" s="19"/>
      <c r="V92" s="19"/>
      <c r="W92" s="19"/>
      <c r="Y92" s="5" t="s">
        <v>82</v>
      </c>
    </row>
    <row r="93" spans="4:25" ht="12.75" hidden="1" customHeight="1" x14ac:dyDescent="0.2">
      <c r="E93" s="18"/>
      <c r="G93" s="19"/>
      <c r="H93" s="19"/>
      <c r="I93" s="19"/>
      <c r="K93" s="19"/>
      <c r="M93" s="19">
        <f t="shared" si="13"/>
        <v>0</v>
      </c>
      <c r="N93" s="19">
        <f t="shared" si="13"/>
        <v>0</v>
      </c>
      <c r="O93" s="19">
        <f t="shared" si="13"/>
        <v>0</v>
      </c>
    </row>
    <row r="94" spans="4:25" hidden="1" x14ac:dyDescent="0.2">
      <c r="D94" s="12" t="s">
        <v>122</v>
      </c>
      <c r="E94" s="18" t="s">
        <v>31</v>
      </c>
      <c r="G94" s="19"/>
      <c r="H94" s="19"/>
      <c r="I94" s="19"/>
      <c r="J94" s="19">
        <v>0</v>
      </c>
      <c r="K94" s="19">
        <f t="shared" ref="K94" si="39">I94+H94+G94</f>
        <v>0</v>
      </c>
      <c r="M94" s="19">
        <f t="shared" si="13"/>
        <v>0</v>
      </c>
      <c r="N94" s="19">
        <f t="shared" si="13"/>
        <v>0</v>
      </c>
      <c r="O94" s="19">
        <f t="shared" si="13"/>
        <v>0</v>
      </c>
      <c r="P94" s="19">
        <f t="shared" si="13"/>
        <v>0</v>
      </c>
      <c r="Q94" s="19">
        <f t="shared" si="13"/>
        <v>0</v>
      </c>
      <c r="R94" s="19"/>
      <c r="S94" s="19"/>
      <c r="T94" s="19"/>
      <c r="U94" s="19"/>
      <c r="V94" s="19"/>
      <c r="W94" s="19"/>
      <c r="Y94" s="5" t="s">
        <v>82</v>
      </c>
    </row>
    <row r="95" spans="4:25" ht="12.75" hidden="1" customHeight="1" x14ac:dyDescent="0.2">
      <c r="E95" s="18"/>
      <c r="G95" s="19"/>
      <c r="H95" s="19"/>
      <c r="I95" s="19"/>
      <c r="K95" s="19"/>
      <c r="M95" s="19">
        <f t="shared" si="13"/>
        <v>0</v>
      </c>
      <c r="N95" s="19">
        <f t="shared" si="13"/>
        <v>0</v>
      </c>
      <c r="O95" s="19">
        <f t="shared" si="13"/>
        <v>0</v>
      </c>
    </row>
    <row r="96" spans="4:25" hidden="1" x14ac:dyDescent="0.2">
      <c r="D96" s="12" t="s">
        <v>168</v>
      </c>
      <c r="E96" s="18" t="s">
        <v>31</v>
      </c>
      <c r="G96" s="19"/>
      <c r="H96" s="19"/>
      <c r="I96" s="19"/>
      <c r="J96" s="19">
        <v>0</v>
      </c>
      <c r="K96" s="19">
        <f t="shared" ref="K96" si="40">I96+H96+G96</f>
        <v>0</v>
      </c>
      <c r="M96" s="19">
        <f t="shared" si="13"/>
        <v>0</v>
      </c>
      <c r="N96" s="19">
        <f t="shared" si="13"/>
        <v>0</v>
      </c>
      <c r="O96" s="19">
        <f t="shared" si="13"/>
        <v>0</v>
      </c>
      <c r="P96" s="19">
        <f t="shared" si="13"/>
        <v>0</v>
      </c>
      <c r="Q96" s="19">
        <f t="shared" si="13"/>
        <v>0</v>
      </c>
      <c r="R96" s="19"/>
      <c r="S96" s="19"/>
      <c r="T96" s="19"/>
      <c r="U96" s="19"/>
      <c r="V96" s="19"/>
      <c r="W96" s="19"/>
      <c r="Y96" s="5" t="s">
        <v>82</v>
      </c>
    </row>
    <row r="97" spans="4:25" ht="12.75" hidden="1" customHeight="1" x14ac:dyDescent="0.2">
      <c r="E97" s="18"/>
      <c r="G97" s="19"/>
      <c r="H97" s="19"/>
      <c r="I97" s="19"/>
      <c r="K97" s="19"/>
      <c r="M97" s="19">
        <f t="shared" si="13"/>
        <v>0</v>
      </c>
      <c r="N97" s="19">
        <f t="shared" si="13"/>
        <v>0</v>
      </c>
      <c r="O97" s="19">
        <f t="shared" si="13"/>
        <v>0</v>
      </c>
    </row>
    <row r="98" spans="4:25" hidden="1" x14ac:dyDescent="0.2">
      <c r="D98" s="12" t="s">
        <v>124</v>
      </c>
      <c r="E98" s="18" t="s">
        <v>31</v>
      </c>
      <c r="G98" s="19"/>
      <c r="H98" s="19"/>
      <c r="I98" s="19"/>
      <c r="J98" s="19">
        <v>0</v>
      </c>
      <c r="K98" s="19">
        <f t="shared" ref="K98" si="41">I98+H98+G98</f>
        <v>0</v>
      </c>
      <c r="M98" s="19">
        <f t="shared" si="13"/>
        <v>0</v>
      </c>
      <c r="N98" s="19">
        <f t="shared" si="13"/>
        <v>0</v>
      </c>
      <c r="O98" s="19">
        <f t="shared" si="13"/>
        <v>0</v>
      </c>
      <c r="P98" s="19">
        <f t="shared" si="13"/>
        <v>0</v>
      </c>
      <c r="Q98" s="19">
        <f t="shared" si="13"/>
        <v>0</v>
      </c>
      <c r="R98" s="19"/>
      <c r="S98" s="19"/>
      <c r="T98" s="19"/>
      <c r="U98" s="19"/>
      <c r="V98" s="19"/>
      <c r="W98" s="19"/>
      <c r="Y98" s="5" t="s">
        <v>82</v>
      </c>
    </row>
    <row r="99" spans="4:25" ht="12.75" hidden="1" customHeight="1" x14ac:dyDescent="0.2">
      <c r="E99" s="18"/>
      <c r="G99" s="19"/>
      <c r="H99" s="19"/>
      <c r="I99" s="19"/>
      <c r="K99" s="19"/>
      <c r="M99" s="19">
        <f t="shared" si="13"/>
        <v>0</v>
      </c>
      <c r="N99" s="19">
        <f t="shared" si="13"/>
        <v>0</v>
      </c>
      <c r="O99" s="19">
        <f t="shared" si="13"/>
        <v>0</v>
      </c>
    </row>
    <row r="100" spans="4:25" hidden="1" x14ac:dyDescent="0.2">
      <c r="D100" s="12" t="s">
        <v>125</v>
      </c>
      <c r="E100" s="18" t="s">
        <v>31</v>
      </c>
      <c r="G100" s="19"/>
      <c r="H100" s="19"/>
      <c r="I100" s="19"/>
      <c r="J100" s="19">
        <v>0</v>
      </c>
      <c r="K100" s="19">
        <f t="shared" si="32"/>
        <v>0</v>
      </c>
      <c r="M100" s="19">
        <f t="shared" si="13"/>
        <v>0</v>
      </c>
      <c r="N100" s="19">
        <f t="shared" si="13"/>
        <v>0</v>
      </c>
      <c r="O100" s="19">
        <f t="shared" si="13"/>
        <v>0</v>
      </c>
      <c r="P100" s="19">
        <f t="shared" si="13"/>
        <v>0</v>
      </c>
      <c r="Q100" s="19">
        <f t="shared" si="13"/>
        <v>0</v>
      </c>
      <c r="R100" s="19"/>
      <c r="S100" s="19"/>
      <c r="T100" s="19"/>
      <c r="U100" s="19"/>
      <c r="V100" s="19"/>
      <c r="W100" s="19"/>
      <c r="Y100" s="5" t="s">
        <v>82</v>
      </c>
    </row>
    <row r="101" spans="4:25" ht="12.75" hidden="1" customHeight="1" x14ac:dyDescent="0.2">
      <c r="E101" s="18"/>
      <c r="G101" s="19"/>
      <c r="H101" s="19"/>
      <c r="I101" s="19"/>
      <c r="K101" s="19"/>
      <c r="M101" s="19">
        <f t="shared" si="13"/>
        <v>0</v>
      </c>
      <c r="N101" s="19">
        <f t="shared" si="13"/>
        <v>0</v>
      </c>
      <c r="O101" s="19">
        <f t="shared" si="13"/>
        <v>0</v>
      </c>
    </row>
    <row r="102" spans="4:25" hidden="1" x14ac:dyDescent="0.2">
      <c r="D102" s="12" t="s">
        <v>126</v>
      </c>
      <c r="E102" s="18" t="s">
        <v>31</v>
      </c>
      <c r="G102" s="19"/>
      <c r="H102" s="19"/>
      <c r="I102" s="19"/>
      <c r="J102" s="19">
        <v>0</v>
      </c>
      <c r="K102" s="19">
        <f t="shared" ref="K102" si="42">I102+H102+G102</f>
        <v>0</v>
      </c>
      <c r="M102" s="19">
        <f t="shared" si="13"/>
        <v>0</v>
      </c>
      <c r="N102" s="19">
        <f t="shared" si="13"/>
        <v>0</v>
      </c>
      <c r="O102" s="19">
        <f t="shared" si="13"/>
        <v>0</v>
      </c>
      <c r="P102" s="19">
        <f t="shared" si="13"/>
        <v>0</v>
      </c>
      <c r="Q102" s="19">
        <f t="shared" si="13"/>
        <v>0</v>
      </c>
      <c r="R102" s="19"/>
      <c r="S102" s="19"/>
      <c r="T102" s="19"/>
      <c r="U102" s="19"/>
      <c r="V102" s="19"/>
      <c r="W102" s="19"/>
      <c r="Y102" s="5" t="s">
        <v>82</v>
      </c>
    </row>
    <row r="103" spans="4:25" ht="12.75" hidden="1" customHeight="1" x14ac:dyDescent="0.2">
      <c r="E103" s="18"/>
      <c r="G103" s="19"/>
      <c r="H103" s="19"/>
      <c r="I103" s="19"/>
      <c r="K103" s="19"/>
      <c r="M103" s="19">
        <f t="shared" si="13"/>
        <v>0</v>
      </c>
      <c r="N103" s="19">
        <f t="shared" si="13"/>
        <v>0</v>
      </c>
      <c r="O103" s="19">
        <f t="shared" si="13"/>
        <v>0</v>
      </c>
    </row>
    <row r="104" spans="4:25" hidden="1" x14ac:dyDescent="0.2">
      <c r="D104" s="12" t="s">
        <v>169</v>
      </c>
      <c r="E104" s="18" t="s">
        <v>31</v>
      </c>
      <c r="G104" s="19"/>
      <c r="H104" s="19"/>
      <c r="I104" s="19"/>
      <c r="J104" s="19">
        <v>0</v>
      </c>
      <c r="K104" s="19">
        <f t="shared" ref="K104" si="43">I104+H104+G104</f>
        <v>0</v>
      </c>
      <c r="M104" s="19">
        <f t="shared" si="13"/>
        <v>0</v>
      </c>
      <c r="N104" s="19">
        <f t="shared" si="13"/>
        <v>0</v>
      </c>
      <c r="O104" s="19">
        <f t="shared" si="13"/>
        <v>0</v>
      </c>
      <c r="P104" s="19">
        <f t="shared" si="13"/>
        <v>0</v>
      </c>
      <c r="Q104" s="19">
        <f t="shared" si="13"/>
        <v>0</v>
      </c>
      <c r="R104" s="19"/>
      <c r="S104" s="19"/>
      <c r="T104" s="19"/>
      <c r="U104" s="19"/>
      <c r="V104" s="19"/>
      <c r="W104" s="19"/>
      <c r="Y104" s="5" t="s">
        <v>82</v>
      </c>
    </row>
    <row r="105" spans="4:25" ht="12.75" hidden="1" customHeight="1" x14ac:dyDescent="0.2">
      <c r="E105" s="18"/>
      <c r="G105" s="19"/>
      <c r="H105" s="19"/>
      <c r="I105" s="19"/>
      <c r="K105" s="19"/>
      <c r="M105" s="19">
        <f t="shared" si="13"/>
        <v>0</v>
      </c>
      <c r="N105" s="19">
        <f t="shared" si="13"/>
        <v>0</v>
      </c>
      <c r="O105" s="19">
        <f t="shared" si="13"/>
        <v>0</v>
      </c>
    </row>
    <row r="106" spans="4:25" hidden="1" x14ac:dyDescent="0.2">
      <c r="D106" s="12" t="s">
        <v>128</v>
      </c>
      <c r="E106" s="18" t="s">
        <v>31</v>
      </c>
      <c r="G106" s="19"/>
      <c r="H106" s="19"/>
      <c r="I106" s="19"/>
      <c r="J106" s="19">
        <v>0</v>
      </c>
      <c r="K106" s="19">
        <f t="shared" ref="K106" si="44">I106+H106+G106</f>
        <v>0</v>
      </c>
      <c r="M106" s="19">
        <f t="shared" si="13"/>
        <v>0</v>
      </c>
      <c r="N106" s="19">
        <f t="shared" si="13"/>
        <v>0</v>
      </c>
      <c r="O106" s="19">
        <f t="shared" si="13"/>
        <v>0</v>
      </c>
      <c r="P106" s="19">
        <f t="shared" si="13"/>
        <v>0</v>
      </c>
      <c r="Q106" s="19">
        <f t="shared" si="13"/>
        <v>0</v>
      </c>
      <c r="R106" s="19"/>
      <c r="S106" s="19"/>
      <c r="T106" s="19"/>
      <c r="U106" s="19"/>
      <c r="V106" s="19"/>
      <c r="W106" s="19"/>
      <c r="Y106" s="5" t="s">
        <v>82</v>
      </c>
    </row>
    <row r="107" spans="4:25" ht="12.75" hidden="1" customHeight="1" x14ac:dyDescent="0.2">
      <c r="E107" s="18"/>
      <c r="G107" s="19"/>
      <c r="H107" s="19"/>
      <c r="I107" s="19"/>
      <c r="K107" s="19"/>
      <c r="M107" s="19">
        <f t="shared" si="13"/>
        <v>0</v>
      </c>
      <c r="N107" s="19">
        <f t="shared" si="13"/>
        <v>0</v>
      </c>
      <c r="O107" s="19">
        <f t="shared" si="13"/>
        <v>0</v>
      </c>
    </row>
    <row r="108" spans="4:25" hidden="1" x14ac:dyDescent="0.2">
      <c r="D108" s="12" t="s">
        <v>129</v>
      </c>
      <c r="E108" s="18" t="s">
        <v>31</v>
      </c>
      <c r="G108" s="19"/>
      <c r="H108" s="19"/>
      <c r="I108" s="19"/>
      <c r="J108" s="19">
        <v>0</v>
      </c>
      <c r="K108" s="19">
        <f t="shared" ref="K108" si="45">I108+H108+G108</f>
        <v>0</v>
      </c>
      <c r="M108" s="19">
        <f t="shared" si="13"/>
        <v>0</v>
      </c>
      <c r="N108" s="19">
        <f t="shared" si="13"/>
        <v>0</v>
      </c>
      <c r="O108" s="19">
        <f t="shared" si="13"/>
        <v>0</v>
      </c>
      <c r="P108" s="19">
        <f t="shared" si="13"/>
        <v>0</v>
      </c>
      <c r="Q108" s="19">
        <f t="shared" si="13"/>
        <v>0</v>
      </c>
      <c r="R108" s="19"/>
      <c r="S108" s="19"/>
      <c r="T108" s="19"/>
      <c r="U108" s="19"/>
      <c r="V108" s="19"/>
      <c r="W108" s="19"/>
      <c r="Y108" s="5" t="s">
        <v>82</v>
      </c>
    </row>
    <row r="109" spans="4:25" ht="12.75" hidden="1" customHeight="1" x14ac:dyDescent="0.2">
      <c r="E109" s="18"/>
      <c r="G109" s="19"/>
      <c r="H109" s="19"/>
      <c r="I109" s="19"/>
      <c r="K109" s="19"/>
      <c r="M109" s="19">
        <f t="shared" si="13"/>
        <v>0</v>
      </c>
      <c r="N109" s="19">
        <f t="shared" si="13"/>
        <v>0</v>
      </c>
      <c r="O109" s="19">
        <f t="shared" si="13"/>
        <v>0</v>
      </c>
    </row>
    <row r="110" spans="4:25" hidden="1" x14ac:dyDescent="0.2">
      <c r="D110" s="12" t="s">
        <v>130</v>
      </c>
      <c r="E110" s="18" t="s">
        <v>31</v>
      </c>
      <c r="G110" s="19"/>
      <c r="H110" s="19"/>
      <c r="I110" s="19"/>
      <c r="J110" s="19">
        <v>0</v>
      </c>
      <c r="K110" s="19">
        <f t="shared" ref="K110" si="46">I110+H110+G110</f>
        <v>0</v>
      </c>
      <c r="M110" s="19">
        <f t="shared" si="13"/>
        <v>0</v>
      </c>
      <c r="N110" s="19">
        <f t="shared" si="13"/>
        <v>0</v>
      </c>
      <c r="O110" s="19">
        <f t="shared" si="13"/>
        <v>0</v>
      </c>
      <c r="P110" s="19">
        <f t="shared" si="13"/>
        <v>0</v>
      </c>
      <c r="Q110" s="19">
        <f t="shared" si="13"/>
        <v>0</v>
      </c>
      <c r="R110" s="19"/>
      <c r="S110" s="19"/>
      <c r="T110" s="19"/>
      <c r="U110" s="19"/>
      <c r="V110" s="19"/>
      <c r="W110" s="19"/>
      <c r="Y110" s="5" t="s">
        <v>82</v>
      </c>
    </row>
    <row r="111" spans="4:25" ht="12.75" hidden="1" customHeight="1" x14ac:dyDescent="0.2">
      <c r="E111" s="18"/>
      <c r="G111" s="19"/>
      <c r="H111" s="19"/>
      <c r="I111" s="19"/>
      <c r="K111" s="19"/>
      <c r="M111" s="19">
        <f t="shared" si="13"/>
        <v>0</v>
      </c>
      <c r="N111" s="19">
        <f t="shared" si="13"/>
        <v>0</v>
      </c>
      <c r="O111" s="19">
        <f t="shared" si="13"/>
        <v>0</v>
      </c>
    </row>
    <row r="112" spans="4:25" hidden="1" x14ac:dyDescent="0.2">
      <c r="D112" s="12" t="s">
        <v>131</v>
      </c>
      <c r="E112" s="18" t="s">
        <v>31</v>
      </c>
      <c r="G112" s="19"/>
      <c r="H112" s="19"/>
      <c r="I112" s="19"/>
      <c r="J112" s="19">
        <v>0</v>
      </c>
      <c r="K112" s="19">
        <f t="shared" ref="K112" si="47">I112+H112+G112</f>
        <v>0</v>
      </c>
      <c r="M112" s="19">
        <f t="shared" si="13"/>
        <v>0</v>
      </c>
      <c r="N112" s="19">
        <f t="shared" si="13"/>
        <v>0</v>
      </c>
      <c r="O112" s="19">
        <f t="shared" si="13"/>
        <v>0</v>
      </c>
      <c r="P112" s="19">
        <f t="shared" si="13"/>
        <v>0</v>
      </c>
      <c r="Q112" s="19">
        <f t="shared" si="13"/>
        <v>0</v>
      </c>
      <c r="R112" s="19"/>
      <c r="S112" s="19"/>
      <c r="T112" s="19"/>
      <c r="U112" s="19"/>
      <c r="V112" s="19"/>
      <c r="W112" s="19"/>
      <c r="Y112" s="5" t="s">
        <v>82</v>
      </c>
    </row>
    <row r="113" spans="4:25" ht="12.75" hidden="1" customHeight="1" x14ac:dyDescent="0.2">
      <c r="E113" s="18"/>
      <c r="G113" s="19"/>
      <c r="H113" s="19"/>
      <c r="I113" s="19"/>
      <c r="K113" s="19"/>
      <c r="M113" s="19">
        <f t="shared" si="13"/>
        <v>0</v>
      </c>
      <c r="N113" s="19">
        <f t="shared" si="13"/>
        <v>0</v>
      </c>
      <c r="O113" s="19">
        <f t="shared" si="13"/>
        <v>0</v>
      </c>
    </row>
    <row r="114" spans="4:25" hidden="1" x14ac:dyDescent="0.2">
      <c r="D114" s="12" t="s">
        <v>132</v>
      </c>
      <c r="E114" s="18" t="s">
        <v>31</v>
      </c>
      <c r="G114" s="19"/>
      <c r="H114" s="19"/>
      <c r="I114" s="19"/>
      <c r="J114" s="19">
        <v>0</v>
      </c>
      <c r="K114" s="19">
        <f t="shared" ref="K114" si="48">I114+H114+G114</f>
        <v>0</v>
      </c>
      <c r="M114" s="19">
        <f t="shared" si="13"/>
        <v>0</v>
      </c>
      <c r="N114" s="19">
        <f t="shared" si="13"/>
        <v>0</v>
      </c>
      <c r="O114" s="19">
        <f t="shared" si="13"/>
        <v>0</v>
      </c>
      <c r="P114" s="19">
        <f t="shared" si="13"/>
        <v>0</v>
      </c>
      <c r="Q114" s="19">
        <f t="shared" si="13"/>
        <v>0</v>
      </c>
      <c r="R114" s="19"/>
      <c r="S114" s="19"/>
      <c r="T114" s="19"/>
      <c r="U114" s="19"/>
      <c r="V114" s="19"/>
      <c r="W114" s="19"/>
      <c r="Y114" s="5" t="s">
        <v>82</v>
      </c>
    </row>
    <row r="115" spans="4:25" ht="12.75" hidden="1" customHeight="1" x14ac:dyDescent="0.2">
      <c r="E115" s="18"/>
      <c r="G115" s="19"/>
      <c r="H115" s="19"/>
      <c r="I115" s="19"/>
      <c r="K115" s="19"/>
      <c r="M115" s="19">
        <f t="shared" si="13"/>
        <v>0</v>
      </c>
      <c r="N115" s="19">
        <f t="shared" si="13"/>
        <v>0</v>
      </c>
      <c r="O115" s="19">
        <f t="shared" si="13"/>
        <v>0</v>
      </c>
    </row>
    <row r="116" spans="4:25" hidden="1" x14ac:dyDescent="0.2">
      <c r="D116" s="12" t="s">
        <v>170</v>
      </c>
      <c r="E116" s="18" t="s">
        <v>31</v>
      </c>
      <c r="G116" s="19"/>
      <c r="H116" s="19"/>
      <c r="I116" s="19"/>
      <c r="J116" s="19">
        <v>0</v>
      </c>
      <c r="K116" s="19">
        <f t="shared" ref="K116" si="49">I116+H116+G116</f>
        <v>0</v>
      </c>
      <c r="M116" s="19">
        <f t="shared" si="13"/>
        <v>0</v>
      </c>
      <c r="N116" s="19">
        <f t="shared" si="13"/>
        <v>0</v>
      </c>
      <c r="O116" s="19">
        <f t="shared" si="13"/>
        <v>0</v>
      </c>
      <c r="P116" s="19">
        <f t="shared" si="13"/>
        <v>0</v>
      </c>
      <c r="Q116" s="19">
        <f t="shared" si="13"/>
        <v>0</v>
      </c>
      <c r="R116" s="19"/>
      <c r="S116" s="19"/>
      <c r="T116" s="19"/>
      <c r="U116" s="19"/>
      <c r="V116" s="19"/>
      <c r="W116" s="19"/>
      <c r="Y116" s="5" t="s">
        <v>82</v>
      </c>
    </row>
    <row r="117" spans="4:25" ht="12.75" hidden="1" customHeight="1" x14ac:dyDescent="0.2">
      <c r="E117" s="18"/>
      <c r="G117" s="19"/>
      <c r="H117" s="19"/>
      <c r="I117" s="19"/>
      <c r="K117" s="19"/>
      <c r="M117" s="19">
        <f t="shared" si="13"/>
        <v>0</v>
      </c>
      <c r="N117" s="19">
        <f t="shared" si="13"/>
        <v>0</v>
      </c>
      <c r="O117" s="19">
        <f t="shared" si="13"/>
        <v>0</v>
      </c>
    </row>
    <row r="118" spans="4:25" hidden="1" x14ac:dyDescent="0.2">
      <c r="D118" s="12" t="s">
        <v>134</v>
      </c>
      <c r="E118" s="18" t="s">
        <v>31</v>
      </c>
      <c r="G118" s="19"/>
      <c r="H118" s="19"/>
      <c r="I118" s="19"/>
      <c r="J118" s="19">
        <v>0</v>
      </c>
      <c r="K118" s="19">
        <f t="shared" ref="K118" si="50">I118+H118+G118</f>
        <v>0</v>
      </c>
      <c r="M118" s="19">
        <f t="shared" si="13"/>
        <v>0</v>
      </c>
      <c r="N118" s="19">
        <f t="shared" si="13"/>
        <v>0</v>
      </c>
      <c r="O118" s="19">
        <f t="shared" si="13"/>
        <v>0</v>
      </c>
      <c r="P118" s="19">
        <f t="shared" si="13"/>
        <v>0</v>
      </c>
      <c r="Q118" s="19">
        <f t="shared" si="13"/>
        <v>0</v>
      </c>
      <c r="R118" s="19"/>
      <c r="S118" s="19"/>
      <c r="T118" s="19"/>
      <c r="U118" s="19"/>
      <c r="V118" s="19"/>
      <c r="W118" s="19"/>
      <c r="Y118" s="5" t="s">
        <v>82</v>
      </c>
    </row>
    <row r="119" spans="4:25" ht="12.75" hidden="1" customHeight="1" x14ac:dyDescent="0.2">
      <c r="E119" s="18"/>
      <c r="G119" s="19"/>
      <c r="H119" s="19"/>
      <c r="I119" s="19"/>
      <c r="K119" s="19"/>
      <c r="M119" s="19">
        <f t="shared" si="13"/>
        <v>0</v>
      </c>
      <c r="N119" s="19">
        <f t="shared" si="13"/>
        <v>0</v>
      </c>
      <c r="O119" s="19">
        <f t="shared" si="13"/>
        <v>0</v>
      </c>
    </row>
    <row r="120" spans="4:25" hidden="1" x14ac:dyDescent="0.2">
      <c r="D120" s="12" t="s">
        <v>135</v>
      </c>
      <c r="E120" s="18" t="s">
        <v>31</v>
      </c>
      <c r="G120" s="19"/>
      <c r="H120" s="19"/>
      <c r="I120" s="19"/>
      <c r="J120" s="19">
        <v>0</v>
      </c>
      <c r="K120" s="19">
        <f t="shared" ref="K120" si="51">I120+H120+G120</f>
        <v>0</v>
      </c>
      <c r="M120" s="19">
        <f t="shared" si="13"/>
        <v>0</v>
      </c>
      <c r="N120" s="19">
        <f t="shared" si="13"/>
        <v>0</v>
      </c>
      <c r="O120" s="19">
        <f t="shared" si="13"/>
        <v>0</v>
      </c>
      <c r="P120" s="19">
        <f t="shared" si="13"/>
        <v>0</v>
      </c>
      <c r="Q120" s="19">
        <f t="shared" si="13"/>
        <v>0</v>
      </c>
      <c r="R120" s="19"/>
      <c r="S120" s="19"/>
      <c r="T120" s="19"/>
      <c r="U120" s="19"/>
      <c r="V120" s="19"/>
      <c r="W120" s="19"/>
      <c r="Y120" s="5" t="s">
        <v>82</v>
      </c>
    </row>
    <row r="121" spans="4:25" ht="12.75" hidden="1" customHeight="1" x14ac:dyDescent="0.2">
      <c r="E121" s="18"/>
      <c r="G121" s="19"/>
      <c r="H121" s="19"/>
      <c r="I121" s="19"/>
      <c r="K121" s="19"/>
      <c r="M121" s="19">
        <f t="shared" si="13"/>
        <v>0</v>
      </c>
      <c r="N121" s="19">
        <f t="shared" si="13"/>
        <v>0</v>
      </c>
      <c r="O121" s="19">
        <f t="shared" si="13"/>
        <v>0</v>
      </c>
    </row>
    <row r="122" spans="4:25" hidden="1" x14ac:dyDescent="0.2">
      <c r="D122" s="12" t="s">
        <v>136</v>
      </c>
      <c r="E122" s="18" t="s">
        <v>31</v>
      </c>
      <c r="G122" s="19"/>
      <c r="H122" s="19"/>
      <c r="I122" s="19"/>
      <c r="J122" s="19">
        <v>0</v>
      </c>
      <c r="K122" s="19">
        <f t="shared" ref="K122" si="52">I122+H122+G122</f>
        <v>0</v>
      </c>
      <c r="M122" s="19">
        <f t="shared" si="13"/>
        <v>0</v>
      </c>
      <c r="N122" s="19">
        <f t="shared" si="13"/>
        <v>0</v>
      </c>
      <c r="O122" s="19">
        <f t="shared" si="13"/>
        <v>0</v>
      </c>
      <c r="P122" s="19">
        <f t="shared" si="13"/>
        <v>0</v>
      </c>
      <c r="Q122" s="19">
        <f t="shared" si="13"/>
        <v>0</v>
      </c>
      <c r="R122" s="19"/>
      <c r="S122" s="19"/>
      <c r="T122" s="19"/>
      <c r="U122" s="19"/>
      <c r="V122" s="19"/>
      <c r="W122" s="19"/>
      <c r="Y122" s="5" t="s">
        <v>82</v>
      </c>
    </row>
    <row r="123" spans="4:25" ht="12.75" hidden="1" customHeight="1" x14ac:dyDescent="0.2">
      <c r="E123" s="18"/>
      <c r="G123" s="19"/>
      <c r="H123" s="19"/>
      <c r="I123" s="19"/>
      <c r="K123" s="19"/>
      <c r="M123" s="19">
        <f t="shared" si="13"/>
        <v>0</v>
      </c>
      <c r="N123" s="19">
        <f t="shared" si="13"/>
        <v>0</v>
      </c>
      <c r="O123" s="19">
        <f t="shared" si="13"/>
        <v>0</v>
      </c>
    </row>
    <row r="124" spans="4:25" hidden="1" x14ac:dyDescent="0.2">
      <c r="D124" s="12" t="s">
        <v>137</v>
      </c>
      <c r="E124" s="18" t="s">
        <v>31</v>
      </c>
      <c r="G124" s="19"/>
      <c r="H124" s="19"/>
      <c r="I124" s="19"/>
      <c r="J124" s="19">
        <v>0</v>
      </c>
      <c r="K124" s="19">
        <f t="shared" ref="K124" si="53">I124+H124+G124</f>
        <v>0</v>
      </c>
      <c r="M124" s="19">
        <f t="shared" si="13"/>
        <v>0</v>
      </c>
      <c r="N124" s="19">
        <f t="shared" si="13"/>
        <v>0</v>
      </c>
      <c r="O124" s="19">
        <f t="shared" si="13"/>
        <v>0</v>
      </c>
      <c r="P124" s="19">
        <f t="shared" si="13"/>
        <v>0</v>
      </c>
      <c r="Q124" s="19">
        <f t="shared" si="13"/>
        <v>0</v>
      </c>
      <c r="R124" s="19"/>
      <c r="S124" s="19"/>
      <c r="T124" s="19"/>
      <c r="U124" s="19"/>
      <c r="V124" s="19"/>
      <c r="W124" s="19"/>
      <c r="Y124" s="5" t="s">
        <v>82</v>
      </c>
    </row>
    <row r="125" spans="4:25" ht="12.75" hidden="1" customHeight="1" x14ac:dyDescent="0.2">
      <c r="E125" s="18"/>
      <c r="G125" s="19"/>
      <c r="H125" s="19"/>
      <c r="I125" s="19"/>
      <c r="K125" s="19"/>
      <c r="M125" s="19">
        <f t="shared" si="13"/>
        <v>0</v>
      </c>
      <c r="N125" s="19">
        <f t="shared" si="13"/>
        <v>0</v>
      </c>
      <c r="O125" s="19">
        <f t="shared" si="13"/>
        <v>0</v>
      </c>
    </row>
    <row r="126" spans="4:25" hidden="1" x14ac:dyDescent="0.2">
      <c r="D126" s="12" t="s">
        <v>138</v>
      </c>
      <c r="E126" s="18" t="s">
        <v>31</v>
      </c>
      <c r="G126" s="19"/>
      <c r="H126" s="19"/>
      <c r="I126" s="19"/>
      <c r="J126" s="19">
        <v>0</v>
      </c>
      <c r="K126" s="19">
        <f t="shared" ref="K126" si="54">I126+H126+G126</f>
        <v>0</v>
      </c>
      <c r="M126" s="19">
        <f t="shared" si="13"/>
        <v>0</v>
      </c>
      <c r="N126" s="19">
        <f t="shared" si="13"/>
        <v>0</v>
      </c>
      <c r="O126" s="19">
        <f t="shared" si="13"/>
        <v>0</v>
      </c>
      <c r="P126" s="19">
        <f t="shared" si="13"/>
        <v>0</v>
      </c>
      <c r="Q126" s="19">
        <f t="shared" si="13"/>
        <v>0</v>
      </c>
      <c r="R126" s="19"/>
      <c r="S126" s="19"/>
      <c r="T126" s="19"/>
      <c r="U126" s="19"/>
      <c r="V126" s="19"/>
      <c r="W126" s="19"/>
      <c r="Y126" s="5" t="s">
        <v>82</v>
      </c>
    </row>
    <row r="127" spans="4:25" ht="12.75" hidden="1" customHeight="1" x14ac:dyDescent="0.2">
      <c r="E127" s="18"/>
      <c r="G127" s="19"/>
      <c r="H127" s="19"/>
      <c r="I127" s="19"/>
      <c r="K127" s="19"/>
      <c r="M127" s="19">
        <f t="shared" si="13"/>
        <v>0</v>
      </c>
      <c r="N127" s="19">
        <f t="shared" si="13"/>
        <v>0</v>
      </c>
      <c r="O127" s="19">
        <f t="shared" si="13"/>
        <v>0</v>
      </c>
    </row>
    <row r="128" spans="4:25" hidden="1" x14ac:dyDescent="0.2">
      <c r="D128" s="12" t="s">
        <v>139</v>
      </c>
      <c r="E128" s="18" t="s">
        <v>31</v>
      </c>
      <c r="G128" s="19"/>
      <c r="H128" s="19"/>
      <c r="I128" s="19"/>
      <c r="J128" s="19">
        <v>0</v>
      </c>
      <c r="K128" s="19">
        <f t="shared" ref="K128" si="55">I128+H128+G128</f>
        <v>0</v>
      </c>
      <c r="M128" s="19">
        <f t="shared" si="13"/>
        <v>0</v>
      </c>
      <c r="N128" s="19">
        <f t="shared" si="13"/>
        <v>0</v>
      </c>
      <c r="O128" s="19">
        <f t="shared" si="13"/>
        <v>0</v>
      </c>
      <c r="P128" s="19">
        <f t="shared" si="13"/>
        <v>0</v>
      </c>
      <c r="Q128" s="19">
        <f t="shared" si="13"/>
        <v>0</v>
      </c>
      <c r="R128" s="19"/>
      <c r="S128" s="19"/>
      <c r="T128" s="19"/>
      <c r="U128" s="19"/>
      <c r="V128" s="19"/>
      <c r="W128" s="19"/>
      <c r="Y128" s="5" t="s">
        <v>82</v>
      </c>
    </row>
    <row r="129" spans="4:25" ht="12.75" hidden="1" customHeight="1" x14ac:dyDescent="0.2">
      <c r="E129" s="18"/>
      <c r="G129" s="19"/>
      <c r="H129" s="19"/>
      <c r="I129" s="19"/>
      <c r="K129" s="19"/>
      <c r="M129" s="19">
        <f t="shared" ref="M129:Q148" si="56">G129</f>
        <v>0</v>
      </c>
      <c r="N129" s="19">
        <f t="shared" si="56"/>
        <v>0</v>
      </c>
      <c r="O129" s="19">
        <f t="shared" si="56"/>
        <v>0</v>
      </c>
    </row>
    <row r="130" spans="4:25" hidden="1" x14ac:dyDescent="0.2">
      <c r="D130" s="12" t="s">
        <v>171</v>
      </c>
      <c r="E130" s="18" t="s">
        <v>31</v>
      </c>
      <c r="G130" s="19"/>
      <c r="H130" s="19"/>
      <c r="I130" s="19"/>
      <c r="J130" s="19">
        <v>0</v>
      </c>
      <c r="K130" s="19">
        <f t="shared" ref="K130:K138" si="57">I130+H130+G130</f>
        <v>0</v>
      </c>
      <c r="M130" s="19">
        <f t="shared" si="56"/>
        <v>0</v>
      </c>
      <c r="N130" s="19">
        <f t="shared" si="56"/>
        <v>0</v>
      </c>
      <c r="O130" s="19">
        <f t="shared" si="56"/>
        <v>0</v>
      </c>
      <c r="P130" s="19">
        <f t="shared" si="56"/>
        <v>0</v>
      </c>
      <c r="Q130" s="19">
        <f t="shared" si="56"/>
        <v>0</v>
      </c>
      <c r="R130" s="19"/>
      <c r="S130" s="19"/>
      <c r="T130" s="19"/>
      <c r="U130" s="19"/>
      <c r="V130" s="19"/>
      <c r="W130" s="19"/>
      <c r="Y130" s="5" t="s">
        <v>82</v>
      </c>
    </row>
    <row r="131" spans="4:25" ht="12.75" hidden="1" customHeight="1" x14ac:dyDescent="0.2">
      <c r="E131" s="18"/>
      <c r="G131" s="19"/>
      <c r="H131" s="19"/>
      <c r="I131" s="19"/>
      <c r="K131" s="19"/>
      <c r="M131" s="19">
        <f t="shared" si="56"/>
        <v>0</v>
      </c>
      <c r="N131" s="19">
        <f t="shared" si="56"/>
        <v>0</v>
      </c>
      <c r="O131" s="19">
        <f t="shared" si="56"/>
        <v>0</v>
      </c>
    </row>
    <row r="132" spans="4:25" hidden="1" x14ac:dyDescent="0.2">
      <c r="D132" s="12" t="s">
        <v>141</v>
      </c>
      <c r="E132" s="18" t="s">
        <v>31</v>
      </c>
      <c r="G132" s="19"/>
      <c r="H132" s="19"/>
      <c r="I132" s="19"/>
      <c r="J132" s="19">
        <v>0</v>
      </c>
      <c r="K132" s="19">
        <f t="shared" ref="K132:K140" si="58">I132+H132+G132</f>
        <v>0</v>
      </c>
      <c r="M132" s="19">
        <f t="shared" si="56"/>
        <v>0</v>
      </c>
      <c r="N132" s="19">
        <f t="shared" si="56"/>
        <v>0</v>
      </c>
      <c r="O132" s="19">
        <f t="shared" si="56"/>
        <v>0</v>
      </c>
      <c r="P132" s="19">
        <f t="shared" si="56"/>
        <v>0</v>
      </c>
      <c r="Q132" s="19">
        <f t="shared" si="56"/>
        <v>0</v>
      </c>
      <c r="R132" s="19"/>
      <c r="S132" s="19"/>
      <c r="T132" s="19"/>
      <c r="U132" s="19"/>
      <c r="V132" s="19"/>
      <c r="W132" s="19"/>
      <c r="Y132" s="5" t="s">
        <v>82</v>
      </c>
    </row>
    <row r="133" spans="4:25" ht="12.75" hidden="1" customHeight="1" x14ac:dyDescent="0.2">
      <c r="E133" s="18"/>
      <c r="G133" s="19"/>
      <c r="H133" s="19"/>
      <c r="I133" s="19"/>
      <c r="K133" s="19"/>
      <c r="M133" s="19">
        <f t="shared" si="56"/>
        <v>0</v>
      </c>
      <c r="N133" s="19">
        <f t="shared" si="56"/>
        <v>0</v>
      </c>
      <c r="O133" s="19">
        <f t="shared" si="56"/>
        <v>0</v>
      </c>
    </row>
    <row r="134" spans="4:25" hidden="1" x14ac:dyDescent="0.2">
      <c r="D134" s="12" t="s">
        <v>142</v>
      </c>
      <c r="E134" s="18" t="s">
        <v>31</v>
      </c>
      <c r="G134" s="19"/>
      <c r="H134" s="19"/>
      <c r="I134" s="19"/>
      <c r="J134" s="19">
        <v>0</v>
      </c>
      <c r="K134" s="19">
        <f t="shared" ref="K134" si="59">I134+H134+G134</f>
        <v>0</v>
      </c>
      <c r="M134" s="19">
        <f t="shared" si="56"/>
        <v>0</v>
      </c>
      <c r="N134" s="19">
        <f t="shared" si="56"/>
        <v>0</v>
      </c>
      <c r="O134" s="19">
        <f t="shared" si="56"/>
        <v>0</v>
      </c>
      <c r="P134" s="19">
        <f t="shared" si="56"/>
        <v>0</v>
      </c>
      <c r="Q134" s="19">
        <f t="shared" si="56"/>
        <v>0</v>
      </c>
      <c r="R134" s="19"/>
      <c r="S134" s="19"/>
      <c r="T134" s="19"/>
      <c r="U134" s="19"/>
      <c r="V134" s="19"/>
      <c r="W134" s="19"/>
      <c r="Y134" s="5" t="s">
        <v>82</v>
      </c>
    </row>
    <row r="135" spans="4:25" ht="12.75" customHeight="1" x14ac:dyDescent="0.2">
      <c r="E135" s="18"/>
      <c r="G135" s="19"/>
      <c r="H135" s="19"/>
      <c r="I135" s="19"/>
      <c r="K135" s="19"/>
      <c r="M135" s="19">
        <f t="shared" si="56"/>
        <v>0</v>
      </c>
      <c r="N135" s="19">
        <f t="shared" si="56"/>
        <v>0</v>
      </c>
      <c r="O135" s="19">
        <f t="shared" si="56"/>
        <v>0</v>
      </c>
    </row>
    <row r="136" spans="4:25" x14ac:dyDescent="0.2">
      <c r="D136" s="12" t="s">
        <v>143</v>
      </c>
      <c r="E136" s="18" t="s">
        <v>31</v>
      </c>
      <c r="G136" s="19">
        <f>45000*0.31</f>
        <v>13950</v>
      </c>
      <c r="H136" s="19">
        <f>45000*0.04</f>
        <v>1800</v>
      </c>
      <c r="I136" s="19">
        <f>45000*0.65</f>
        <v>29250</v>
      </c>
      <c r="J136" s="19">
        <v>0</v>
      </c>
      <c r="K136" s="19">
        <f t="shared" ref="K136" si="60">I136+H136+G136</f>
        <v>45000</v>
      </c>
      <c r="M136" s="19">
        <f t="shared" si="56"/>
        <v>13950</v>
      </c>
      <c r="N136" s="19">
        <f t="shared" si="56"/>
        <v>1800</v>
      </c>
      <c r="O136" s="19">
        <f t="shared" si="56"/>
        <v>29250</v>
      </c>
      <c r="P136" s="19">
        <f t="shared" si="56"/>
        <v>0</v>
      </c>
      <c r="Q136" s="19">
        <f t="shared" si="56"/>
        <v>45000</v>
      </c>
      <c r="R136" s="19"/>
      <c r="S136" s="19"/>
      <c r="T136" s="19"/>
      <c r="U136" s="19"/>
      <c r="V136" s="19"/>
      <c r="W136" s="19"/>
      <c r="Y136" s="5" t="s">
        <v>82</v>
      </c>
    </row>
    <row r="137" spans="4:25" ht="12.75" customHeight="1" x14ac:dyDescent="0.2">
      <c r="E137" s="18"/>
      <c r="G137" s="19"/>
      <c r="H137" s="19"/>
      <c r="I137" s="19"/>
      <c r="K137" s="19"/>
      <c r="M137" s="19">
        <f t="shared" si="56"/>
        <v>0</v>
      </c>
      <c r="N137" s="19">
        <f t="shared" si="56"/>
        <v>0</v>
      </c>
      <c r="O137" s="19">
        <f t="shared" si="56"/>
        <v>0</v>
      </c>
    </row>
    <row r="138" spans="4:25" hidden="1" x14ac:dyDescent="0.2">
      <c r="D138" s="12" t="s">
        <v>144</v>
      </c>
      <c r="E138" s="18" t="s">
        <v>31</v>
      </c>
      <c r="G138" s="19"/>
      <c r="H138" s="19"/>
      <c r="I138" s="19"/>
      <c r="J138" s="19">
        <v>0</v>
      </c>
      <c r="K138" s="19">
        <f t="shared" si="57"/>
        <v>0</v>
      </c>
      <c r="M138" s="19">
        <f t="shared" si="56"/>
        <v>0</v>
      </c>
      <c r="N138" s="19">
        <f t="shared" si="56"/>
        <v>0</v>
      </c>
      <c r="O138" s="19">
        <f t="shared" si="56"/>
        <v>0</v>
      </c>
      <c r="P138" s="19">
        <f t="shared" si="56"/>
        <v>0</v>
      </c>
      <c r="Q138" s="19">
        <f t="shared" si="56"/>
        <v>0</v>
      </c>
      <c r="R138" s="19"/>
      <c r="S138" s="19"/>
      <c r="T138" s="19"/>
      <c r="U138" s="19"/>
      <c r="V138" s="19"/>
      <c r="W138" s="19"/>
      <c r="Y138" s="5" t="s">
        <v>82</v>
      </c>
    </row>
    <row r="139" spans="4:25" ht="12.75" hidden="1" customHeight="1" x14ac:dyDescent="0.2">
      <c r="E139" s="18"/>
      <c r="G139" s="19"/>
      <c r="H139" s="19"/>
      <c r="I139" s="19"/>
      <c r="K139" s="19"/>
      <c r="M139" s="19">
        <f t="shared" si="56"/>
        <v>0</v>
      </c>
      <c r="N139" s="19">
        <f t="shared" si="56"/>
        <v>0</v>
      </c>
      <c r="O139" s="19">
        <f t="shared" si="56"/>
        <v>0</v>
      </c>
    </row>
    <row r="140" spans="4:25" hidden="1" x14ac:dyDescent="0.2">
      <c r="D140" s="12" t="s">
        <v>145</v>
      </c>
      <c r="E140" s="18" t="s">
        <v>31</v>
      </c>
      <c r="G140" s="19"/>
      <c r="H140" s="19"/>
      <c r="I140" s="19"/>
      <c r="J140" s="19">
        <v>0</v>
      </c>
      <c r="K140" s="19">
        <f t="shared" si="58"/>
        <v>0</v>
      </c>
      <c r="M140" s="19">
        <f t="shared" si="56"/>
        <v>0</v>
      </c>
      <c r="N140" s="19">
        <f t="shared" si="56"/>
        <v>0</v>
      </c>
      <c r="O140" s="19">
        <f t="shared" si="56"/>
        <v>0</v>
      </c>
      <c r="P140" s="19">
        <f t="shared" si="56"/>
        <v>0</v>
      </c>
      <c r="Q140" s="19">
        <f t="shared" si="56"/>
        <v>0</v>
      </c>
      <c r="R140" s="19"/>
      <c r="S140" s="19"/>
      <c r="T140" s="19"/>
      <c r="U140" s="19"/>
      <c r="V140" s="19"/>
      <c r="W140" s="19"/>
      <c r="Y140" s="5" t="s">
        <v>82</v>
      </c>
    </row>
    <row r="141" spans="4:25" ht="12.75" hidden="1" customHeight="1" x14ac:dyDescent="0.2">
      <c r="E141" s="18"/>
      <c r="G141" s="19"/>
      <c r="H141" s="19"/>
      <c r="I141" s="19"/>
      <c r="K141" s="19"/>
      <c r="M141" s="19">
        <f t="shared" si="56"/>
        <v>0</v>
      </c>
      <c r="N141" s="19">
        <f t="shared" si="56"/>
        <v>0</v>
      </c>
      <c r="O141" s="19">
        <f t="shared" si="56"/>
        <v>0</v>
      </c>
    </row>
    <row r="142" spans="4:25" hidden="1" x14ac:dyDescent="0.2">
      <c r="D142" s="12" t="s">
        <v>146</v>
      </c>
      <c r="E142" s="18" t="s">
        <v>31</v>
      </c>
      <c r="G142" s="19"/>
      <c r="H142" s="19"/>
      <c r="I142" s="19"/>
      <c r="J142" s="19">
        <v>0</v>
      </c>
      <c r="K142" s="19">
        <f t="shared" ref="K142" si="61">I142+H142+G142</f>
        <v>0</v>
      </c>
      <c r="M142" s="19">
        <f t="shared" si="56"/>
        <v>0</v>
      </c>
      <c r="N142" s="19">
        <f t="shared" si="56"/>
        <v>0</v>
      </c>
      <c r="O142" s="19">
        <f t="shared" si="56"/>
        <v>0</v>
      </c>
      <c r="P142" s="19">
        <f t="shared" si="56"/>
        <v>0</v>
      </c>
      <c r="Q142" s="19">
        <f t="shared" si="56"/>
        <v>0</v>
      </c>
      <c r="R142" s="19"/>
      <c r="S142" s="19"/>
      <c r="T142" s="19"/>
      <c r="U142" s="19"/>
      <c r="V142" s="19"/>
      <c r="W142" s="19"/>
      <c r="Y142" s="5" t="s">
        <v>82</v>
      </c>
    </row>
    <row r="143" spans="4:25" ht="12.75" hidden="1" customHeight="1" x14ac:dyDescent="0.2">
      <c r="E143" s="18"/>
      <c r="G143" s="19"/>
      <c r="H143" s="19"/>
      <c r="I143" s="19"/>
      <c r="K143" s="19"/>
      <c r="M143" s="19">
        <f t="shared" si="56"/>
        <v>0</v>
      </c>
      <c r="N143" s="19">
        <f t="shared" si="56"/>
        <v>0</v>
      </c>
      <c r="O143" s="19">
        <f t="shared" si="56"/>
        <v>0</v>
      </c>
    </row>
    <row r="144" spans="4:25" hidden="1" x14ac:dyDescent="0.2">
      <c r="D144" s="12" t="s">
        <v>147</v>
      </c>
      <c r="E144" s="18" t="s">
        <v>31</v>
      </c>
      <c r="G144" s="19"/>
      <c r="H144" s="19"/>
      <c r="I144" s="19"/>
      <c r="J144" s="19">
        <v>0</v>
      </c>
      <c r="K144" s="19">
        <f>I144+H144+G144</f>
        <v>0</v>
      </c>
      <c r="M144" s="19">
        <f t="shared" si="56"/>
        <v>0</v>
      </c>
      <c r="N144" s="19">
        <f t="shared" si="56"/>
        <v>0</v>
      </c>
      <c r="O144" s="19">
        <f t="shared" si="56"/>
        <v>0</v>
      </c>
      <c r="P144" s="19">
        <f t="shared" si="56"/>
        <v>0</v>
      </c>
      <c r="Q144" s="19">
        <f t="shared" si="56"/>
        <v>0</v>
      </c>
      <c r="R144" s="19"/>
      <c r="S144" s="19"/>
      <c r="T144" s="19"/>
      <c r="U144" s="19"/>
      <c r="V144" s="19"/>
      <c r="W144" s="19"/>
      <c r="Y144" s="5" t="s">
        <v>82</v>
      </c>
    </row>
    <row r="145" spans="1:25" ht="12.75" hidden="1" customHeight="1" x14ac:dyDescent="0.2">
      <c r="E145" s="18"/>
      <c r="G145" s="19"/>
      <c r="H145" s="19"/>
      <c r="I145" s="19"/>
      <c r="K145" s="19"/>
      <c r="M145" s="19">
        <f t="shared" si="56"/>
        <v>0</v>
      </c>
      <c r="N145" s="19">
        <f t="shared" si="56"/>
        <v>0</v>
      </c>
      <c r="O145" s="19">
        <f t="shared" si="56"/>
        <v>0</v>
      </c>
    </row>
    <row r="146" spans="1:25" hidden="1" x14ac:dyDescent="0.2">
      <c r="D146" s="12" t="s">
        <v>148</v>
      </c>
      <c r="E146" s="18" t="s">
        <v>31</v>
      </c>
      <c r="G146" s="19"/>
      <c r="H146" s="19"/>
      <c r="I146" s="19"/>
      <c r="J146" s="19">
        <v>0</v>
      </c>
      <c r="K146" s="19">
        <f t="shared" ref="K146" si="62">I146+H146+G146</f>
        <v>0</v>
      </c>
      <c r="M146" s="19">
        <f t="shared" si="56"/>
        <v>0</v>
      </c>
      <c r="N146" s="19">
        <f t="shared" si="56"/>
        <v>0</v>
      </c>
      <c r="O146" s="19">
        <f t="shared" si="56"/>
        <v>0</v>
      </c>
      <c r="P146" s="19">
        <f t="shared" si="56"/>
        <v>0</v>
      </c>
      <c r="Q146" s="19">
        <f t="shared" si="56"/>
        <v>0</v>
      </c>
      <c r="R146" s="19"/>
      <c r="S146" s="19"/>
      <c r="T146" s="19"/>
      <c r="U146" s="19"/>
      <c r="V146" s="19"/>
      <c r="W146" s="19"/>
      <c r="Y146" s="5" t="s">
        <v>82</v>
      </c>
    </row>
    <row r="147" spans="1:25" ht="12.75" hidden="1" customHeight="1" x14ac:dyDescent="0.2">
      <c r="E147" s="18"/>
      <c r="G147" s="19"/>
      <c r="H147" s="19"/>
      <c r="I147" s="19"/>
      <c r="K147" s="19"/>
      <c r="M147" s="19">
        <f t="shared" si="56"/>
        <v>0</v>
      </c>
      <c r="N147" s="19">
        <f t="shared" si="56"/>
        <v>0</v>
      </c>
      <c r="O147" s="19">
        <f t="shared" si="56"/>
        <v>0</v>
      </c>
    </row>
    <row r="148" spans="1:25" x14ac:dyDescent="0.2">
      <c r="D148" s="12" t="s">
        <v>101</v>
      </c>
      <c r="E148" s="18" t="s">
        <v>31</v>
      </c>
      <c r="G148" s="19"/>
      <c r="H148" s="19"/>
      <c r="I148" s="19"/>
      <c r="J148" s="19">
        <v>0</v>
      </c>
      <c r="K148" s="19">
        <f>I148+H148+G148</f>
        <v>0</v>
      </c>
      <c r="M148" s="19">
        <f t="shared" si="56"/>
        <v>0</v>
      </c>
      <c r="N148" s="19">
        <f t="shared" si="56"/>
        <v>0</v>
      </c>
      <c r="O148" s="19">
        <f t="shared" si="56"/>
        <v>0</v>
      </c>
      <c r="P148" s="19">
        <f t="shared" si="56"/>
        <v>0</v>
      </c>
      <c r="Q148" s="19">
        <f>K148</f>
        <v>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9"/>
      <c r="L149" s="12"/>
      <c r="M149" s="12"/>
      <c r="N149" s="12"/>
      <c r="O149" s="12"/>
      <c r="P149" s="12"/>
      <c r="Q149" s="12"/>
      <c r="R149" s="12"/>
      <c r="S149" s="12"/>
      <c r="T149" s="12"/>
      <c r="U149" s="12"/>
      <c r="V149" s="12"/>
      <c r="W149" s="12"/>
      <c r="X149" s="94"/>
    </row>
    <row r="150" spans="1:25" s="5" customFormat="1" ht="13.5" thickBot="1" x14ac:dyDescent="0.25">
      <c r="A150" s="12"/>
      <c r="B150" s="132" t="s">
        <v>85</v>
      </c>
      <c r="C150" s="12"/>
      <c r="D150" s="12"/>
      <c r="E150" s="18" t="s">
        <v>31</v>
      </c>
      <c r="F150" s="12"/>
      <c r="G150" s="146">
        <f>SUM(G62:G148)</f>
        <v>130200</v>
      </c>
      <c r="H150" s="146">
        <f>SUM(H62:H148)</f>
        <v>16800</v>
      </c>
      <c r="I150" s="146">
        <f>SUM(I62:I148)</f>
        <v>720000</v>
      </c>
      <c r="J150" s="146">
        <f>J62+J64+J148</f>
        <v>0</v>
      </c>
      <c r="K150" s="146">
        <f>SUM(K62:K148)</f>
        <v>867000</v>
      </c>
      <c r="L150" s="12"/>
      <c r="M150" s="146">
        <f>SUM(M62:M148)</f>
        <v>113409.55199999998</v>
      </c>
      <c r="N150" s="146">
        <f>SUM(N62:N148)</f>
        <v>11745.955199999999</v>
      </c>
      <c r="O150" s="146">
        <f>SUM(O62:O148)</f>
        <v>698376.33279999997</v>
      </c>
      <c r="P150" s="146">
        <f>SUM(P62:P148)</f>
        <v>0</v>
      </c>
      <c r="Q150" s="146">
        <f>SUM(Q62:Q148)</f>
        <v>823531.84</v>
      </c>
      <c r="R150" s="141"/>
      <c r="S150" s="141"/>
      <c r="T150" s="141"/>
      <c r="U150" s="141"/>
      <c r="V150" s="141"/>
      <c r="W150" s="141"/>
      <c r="X150" s="145"/>
    </row>
    <row r="151" spans="1:25" s="5" customFormat="1" x14ac:dyDescent="0.2">
      <c r="A151" s="12"/>
      <c r="B151" s="132"/>
      <c r="C151" s="12"/>
      <c r="D151" s="12"/>
      <c r="E151" s="18" t="s">
        <v>33</v>
      </c>
      <c r="F151" s="12"/>
      <c r="G151" s="148"/>
      <c r="H151" s="148"/>
      <c r="I151" s="148"/>
      <c r="J151" s="148"/>
      <c r="K151" s="148"/>
      <c r="L151" s="12"/>
      <c r="M151" s="148"/>
      <c r="N151" s="148"/>
      <c r="O151" s="148"/>
      <c r="P151" s="148"/>
      <c r="Q151" s="148"/>
      <c r="R151" s="149"/>
      <c r="S151" s="149"/>
      <c r="T151" s="149"/>
      <c r="U151" s="149"/>
      <c r="V151" s="149"/>
      <c r="W151" s="149"/>
      <c r="X151" s="12"/>
    </row>
    <row r="152" spans="1:25" s="5" customFormat="1" x14ac:dyDescent="0.2">
      <c r="A152" s="12"/>
      <c r="B152" s="12"/>
      <c r="C152" s="12"/>
      <c r="D152" s="12"/>
      <c r="E152" s="12"/>
      <c r="F152" s="12"/>
      <c r="G152" s="12"/>
      <c r="H152" s="12" t="s">
        <v>102</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6" t="s">
        <v>86</v>
      </c>
      <c r="C154" s="12"/>
      <c r="D154" s="12"/>
      <c r="E154" s="12"/>
      <c r="F154" s="12"/>
      <c r="G154" s="56">
        <f t="shared" ref="G154:Q154" si="63">G58+G150</f>
        <v>400167</v>
      </c>
      <c r="H154" s="56">
        <f t="shared" si="63"/>
        <v>42131</v>
      </c>
      <c r="I154" s="56">
        <f t="shared" si="63"/>
        <v>1131637</v>
      </c>
      <c r="J154" s="56">
        <f t="shared" si="63"/>
        <v>0</v>
      </c>
      <c r="K154" s="56">
        <f t="shared" si="63"/>
        <v>1573935</v>
      </c>
      <c r="L154" s="56">
        <f t="shared" si="63"/>
        <v>0</v>
      </c>
      <c r="M154" s="56">
        <f t="shared" si="63"/>
        <v>344525.61201951851</v>
      </c>
      <c r="N154" s="56">
        <f t="shared" si="63"/>
        <v>32004.661201951851</v>
      </c>
      <c r="O154" s="184">
        <f t="shared" si="63"/>
        <v>1028325.7668435914</v>
      </c>
      <c r="P154" s="56">
        <f t="shared" si="63"/>
        <v>0</v>
      </c>
      <c r="Q154" s="56">
        <f t="shared" si="63"/>
        <v>1404856.0400650618</v>
      </c>
      <c r="R154" s="141"/>
      <c r="S154" s="141"/>
      <c r="T154" s="141"/>
      <c r="U154" s="141"/>
      <c r="V154" s="141"/>
      <c r="W154" s="141"/>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0"/>
      <c r="H157" s="140"/>
      <c r="I157" s="140"/>
      <c r="J157" s="19"/>
      <c r="K157" s="19"/>
      <c r="O157" s="58"/>
    </row>
    <row r="158" spans="1:25" x14ac:dyDescent="0.2">
      <c r="G158" s="182"/>
      <c r="H158" s="182"/>
      <c r="I158" s="182"/>
      <c r="K158" s="140"/>
      <c r="O158" s="59"/>
    </row>
    <row r="159" spans="1:25" x14ac:dyDescent="0.2">
      <c r="G159" s="60"/>
      <c r="H159" s="60"/>
      <c r="I159" s="60"/>
      <c r="K159" s="19"/>
      <c r="O159" s="58"/>
    </row>
    <row r="160" spans="1:25" x14ac:dyDescent="0.2">
      <c r="G160" s="57"/>
      <c r="H160" s="57"/>
      <c r="I160" s="57"/>
      <c r="J160" s="19"/>
      <c r="K160" s="19"/>
      <c r="M160" s="150"/>
      <c r="N160" s="150"/>
      <c r="O160" s="62"/>
      <c r="P160" s="150"/>
      <c r="Q160" s="150"/>
      <c r="R160" s="150"/>
      <c r="S160" s="150"/>
      <c r="T160" s="150"/>
      <c r="U160" s="150"/>
    </row>
    <row r="161" spans="5:25" x14ac:dyDescent="0.2">
      <c r="G161" s="57"/>
      <c r="H161" s="57"/>
      <c r="I161" s="57"/>
      <c r="K161" s="19"/>
      <c r="M161" s="150"/>
      <c r="N161" s="150"/>
      <c r="O161" s="62"/>
      <c r="P161" s="150"/>
      <c r="Q161" s="150"/>
      <c r="R161" s="150"/>
      <c r="S161" s="150"/>
      <c r="T161" s="150"/>
      <c r="U161" s="150"/>
    </row>
    <row r="162" spans="5:25" x14ac:dyDescent="0.2">
      <c r="G162" s="151"/>
      <c r="I162" s="57"/>
      <c r="M162" s="150"/>
      <c r="N162" s="150"/>
      <c r="O162" s="62"/>
      <c r="P162" s="150"/>
      <c r="Q162" s="150"/>
      <c r="R162" s="150"/>
      <c r="S162" s="150"/>
      <c r="T162" s="150"/>
      <c r="U162" s="150"/>
    </row>
    <row r="163" spans="5:25" ht="13.5" thickBot="1" x14ac:dyDescent="0.25">
      <c r="M163" s="150"/>
      <c r="N163" s="150"/>
      <c r="O163" s="150"/>
      <c r="P163" s="150"/>
      <c r="Q163" s="150"/>
      <c r="R163" s="150"/>
      <c r="S163" s="150"/>
      <c r="T163" s="150"/>
      <c r="U163" s="150"/>
    </row>
    <row r="164" spans="5:25" x14ac:dyDescent="0.2">
      <c r="E164" s="152"/>
      <c r="F164" s="153"/>
      <c r="G164" s="154">
        <v>0.3</v>
      </c>
      <c r="H164" s="154">
        <v>0.03</v>
      </c>
      <c r="I164" s="154">
        <v>0.67</v>
      </c>
      <c r="J164" s="153"/>
      <c r="K164" s="155">
        <f>K154</f>
        <v>1573935</v>
      </c>
      <c r="M164" s="156"/>
      <c r="N164" s="157"/>
      <c r="O164" s="157"/>
      <c r="P164" s="157"/>
      <c r="Q164" s="158"/>
      <c r="R164" s="139"/>
      <c r="S164" s="139"/>
      <c r="T164" s="139"/>
      <c r="U164" s="139"/>
    </row>
    <row r="165" spans="5:25" x14ac:dyDescent="0.2">
      <c r="E165" s="128"/>
      <c r="F165" s="94"/>
      <c r="G165" s="94"/>
      <c r="H165" s="94"/>
      <c r="I165" s="94"/>
      <c r="J165" s="94"/>
      <c r="K165" s="159"/>
      <c r="M165" s="72"/>
      <c r="N165" s="139"/>
      <c r="O165" s="139"/>
      <c r="P165" s="139"/>
      <c r="Q165" s="139"/>
      <c r="R165" s="139"/>
      <c r="S165" s="139"/>
      <c r="T165" s="139"/>
      <c r="U165" s="139"/>
    </row>
    <row r="166" spans="5:25" x14ac:dyDescent="0.2">
      <c r="E166" s="160" t="s">
        <v>99</v>
      </c>
      <c r="F166" s="94"/>
      <c r="G166" s="94"/>
      <c r="H166" s="94"/>
      <c r="I166" s="94"/>
      <c r="J166" s="94"/>
      <c r="K166" s="161">
        <f>K164</f>
        <v>1573935</v>
      </c>
      <c r="M166" s="74"/>
      <c r="N166" s="158"/>
      <c r="O166" s="158"/>
      <c r="P166" s="158"/>
      <c r="Q166" s="158"/>
      <c r="R166" s="139"/>
      <c r="S166" s="139"/>
      <c r="T166" s="139"/>
      <c r="U166" s="139"/>
    </row>
    <row r="167" spans="5:25" x14ac:dyDescent="0.2">
      <c r="E167" s="128" t="s">
        <v>88</v>
      </c>
      <c r="F167" s="94"/>
      <c r="G167" s="94"/>
      <c r="H167" s="94"/>
      <c r="I167" s="94"/>
      <c r="J167" s="94"/>
      <c r="K167" s="161">
        <v>0</v>
      </c>
      <c r="M167" s="150"/>
      <c r="N167" s="139"/>
      <c r="O167" s="139"/>
      <c r="P167" s="139"/>
      <c r="Q167" s="139"/>
      <c r="R167" s="139"/>
      <c r="S167" s="139"/>
      <c r="T167" s="139"/>
      <c r="U167" s="139"/>
    </row>
    <row r="168" spans="5:25" x14ac:dyDescent="0.2">
      <c r="E168" s="128"/>
      <c r="F168" s="94"/>
      <c r="G168" s="94"/>
      <c r="H168" s="94"/>
      <c r="I168" s="94"/>
      <c r="J168" s="94"/>
      <c r="K168" s="161"/>
      <c r="M168" s="74"/>
      <c r="N168" s="139"/>
      <c r="O168" s="139"/>
      <c r="P168" s="139"/>
      <c r="Q168" s="139"/>
      <c r="R168" s="139"/>
      <c r="S168" s="139"/>
      <c r="T168" s="139"/>
      <c r="U168" s="139"/>
    </row>
    <row r="169" spans="5:25" x14ac:dyDescent="0.2">
      <c r="E169" s="128" t="s">
        <v>89</v>
      </c>
      <c r="F169" s="94"/>
      <c r="G169" s="94"/>
      <c r="H169" s="94"/>
      <c r="I169" s="94"/>
      <c r="J169" s="94"/>
      <c r="K169" s="162">
        <f>SUM(K166:K168)</f>
        <v>1573935</v>
      </c>
      <c r="M169" s="74"/>
      <c r="N169" s="139"/>
      <c r="O169" s="139"/>
      <c r="P169" s="139"/>
      <c r="Q169" s="139"/>
      <c r="R169" s="139"/>
      <c r="S169" s="139"/>
      <c r="T169" s="139"/>
      <c r="U169" s="139"/>
    </row>
    <row r="170" spans="5:25" x14ac:dyDescent="0.2">
      <c r="E170" s="128" t="s">
        <v>103</v>
      </c>
      <c r="F170" s="94"/>
      <c r="G170" s="94"/>
      <c r="H170" s="94"/>
      <c r="I170" s="94"/>
      <c r="J170" s="94"/>
      <c r="K170" s="161">
        <f>I70+I68+I74+I96+I66</f>
        <v>447000</v>
      </c>
      <c r="M170" s="74"/>
      <c r="N170" s="139"/>
      <c r="O170" s="163"/>
      <c r="P170" s="163"/>
      <c r="Q170" s="158"/>
      <c r="R170" s="139"/>
      <c r="S170" s="139"/>
      <c r="T170" s="139"/>
      <c r="U170" s="139"/>
    </row>
    <row r="171" spans="5:25" x14ac:dyDescent="0.2">
      <c r="E171" s="128" t="s">
        <v>91</v>
      </c>
      <c r="F171" s="94"/>
      <c r="G171" s="94"/>
      <c r="H171" s="94"/>
      <c r="I171" s="94"/>
      <c r="J171" s="94"/>
      <c r="K171" s="161">
        <f>G53</f>
        <v>55000</v>
      </c>
      <c r="M171" s="74"/>
      <c r="N171" s="164"/>
      <c r="O171" s="163"/>
      <c r="P171" s="163"/>
      <c r="Q171" s="158"/>
      <c r="R171" s="139"/>
      <c r="S171" s="139"/>
      <c r="T171" s="139"/>
      <c r="U171" s="139"/>
    </row>
    <row r="172" spans="5:25" x14ac:dyDescent="0.2">
      <c r="E172" s="128"/>
      <c r="F172" s="94"/>
      <c r="G172" s="94"/>
      <c r="H172" s="94"/>
      <c r="I172" s="94"/>
      <c r="J172" s="94"/>
      <c r="K172" s="161"/>
      <c r="M172" s="74"/>
      <c r="N172" s="139"/>
      <c r="O172" s="163"/>
      <c r="P172" s="163"/>
      <c r="Q172" s="158"/>
      <c r="R172" s="139"/>
      <c r="S172" s="139"/>
      <c r="T172" s="139"/>
      <c r="U172" s="139"/>
    </row>
    <row r="173" spans="5:25" ht="13.5" thickBot="1" x14ac:dyDescent="0.25">
      <c r="E173" s="128" t="s">
        <v>92</v>
      </c>
      <c r="F173" s="94"/>
      <c r="G173" s="94"/>
      <c r="H173" s="94"/>
      <c r="I173" s="94"/>
      <c r="J173" s="94"/>
      <c r="K173" s="165">
        <f>K169-K170-K171-K172</f>
        <v>1071935</v>
      </c>
      <c r="M173" s="74"/>
      <c r="N173" s="139"/>
      <c r="O173" s="139"/>
      <c r="P173" s="139"/>
      <c r="Q173" s="139"/>
      <c r="R173" s="139"/>
      <c r="S173" s="139"/>
      <c r="T173" s="139"/>
      <c r="U173" s="139"/>
    </row>
    <row r="174" spans="5:25" ht="13.5" thickTop="1" x14ac:dyDescent="0.2">
      <c r="E174" s="128"/>
      <c r="F174" s="94"/>
      <c r="G174" s="94"/>
      <c r="H174" s="94"/>
      <c r="I174" s="94"/>
      <c r="J174" s="166" t="s">
        <v>93</v>
      </c>
      <c r="K174" s="161"/>
      <c r="M174" s="74"/>
      <c r="N174" s="139"/>
      <c r="O174" s="139"/>
      <c r="P174" s="139"/>
      <c r="Q174" s="158"/>
      <c r="R174" s="139"/>
      <c r="S174" s="139"/>
      <c r="T174" s="139"/>
      <c r="U174" s="139"/>
    </row>
    <row r="175" spans="5:25" x14ac:dyDescent="0.2">
      <c r="E175" s="128" t="s">
        <v>104</v>
      </c>
      <c r="F175" s="94"/>
      <c r="G175" s="86">
        <f>G154</f>
        <v>400167</v>
      </c>
      <c r="H175" s="86">
        <f>H154</f>
        <v>42131</v>
      </c>
      <c r="I175" s="86">
        <f>I154</f>
        <v>1131637</v>
      </c>
      <c r="J175" s="86"/>
      <c r="K175" s="161"/>
      <c r="M175" s="74"/>
      <c r="N175" s="139"/>
      <c r="O175" s="139"/>
      <c r="P175" s="139"/>
      <c r="Q175" s="139"/>
      <c r="R175" s="139"/>
      <c r="S175" s="139"/>
      <c r="T175" s="139"/>
      <c r="U175" s="139">
        <v>0</v>
      </c>
      <c r="Y175" s="5">
        <v>900323.36</v>
      </c>
    </row>
    <row r="176" spans="5:25" x14ac:dyDescent="0.2">
      <c r="E176" s="128" t="s">
        <v>94</v>
      </c>
      <c r="F176" s="94"/>
      <c r="G176" s="86">
        <f>K171</f>
        <v>55000</v>
      </c>
      <c r="H176" s="167">
        <v>0</v>
      </c>
      <c r="I176" s="167">
        <f>K170</f>
        <v>447000</v>
      </c>
      <c r="K176" s="159"/>
      <c r="M176" s="150"/>
      <c r="N176" s="139"/>
      <c r="O176" s="139"/>
      <c r="P176" s="139"/>
      <c r="Q176" s="139"/>
      <c r="R176" s="139"/>
      <c r="S176" s="139"/>
      <c r="T176" s="139"/>
      <c r="U176" s="139"/>
    </row>
    <row r="177" spans="5:21" ht="13.5" thickBot="1" x14ac:dyDescent="0.25">
      <c r="E177" s="128" t="s">
        <v>95</v>
      </c>
      <c r="F177" s="94"/>
      <c r="G177" s="168">
        <f>G175-G176</f>
        <v>345167</v>
      </c>
      <c r="H177" s="168">
        <f>H175-H176</f>
        <v>42131</v>
      </c>
      <c r="I177" s="168">
        <f>I175-I176</f>
        <v>684637</v>
      </c>
      <c r="J177" s="84"/>
      <c r="K177" s="161"/>
      <c r="M177" s="150"/>
      <c r="N177" s="139"/>
      <c r="O177" s="139"/>
      <c r="P177" s="137"/>
      <c r="Q177" s="139"/>
      <c r="R177" s="139"/>
      <c r="S177" s="139"/>
      <c r="T177" s="139"/>
      <c r="U177" s="139"/>
    </row>
    <row r="178" spans="5:21" ht="14.25" thickTop="1" thickBot="1" x14ac:dyDescent="0.25">
      <c r="E178" s="128" t="s">
        <v>96</v>
      </c>
      <c r="F178" s="94"/>
      <c r="G178" s="169">
        <f>G177/$K$173</f>
        <v>0.32200366626707777</v>
      </c>
      <c r="H178" s="169">
        <f t="shared" ref="H178" si="64">H177/$K$173</f>
        <v>3.9303689122941222E-2</v>
      </c>
      <c r="I178" s="169">
        <f>I177/$K$173</f>
        <v>0.63869264460998099</v>
      </c>
      <c r="J178" s="86"/>
      <c r="K178" s="161"/>
      <c r="M178" s="150"/>
      <c r="N178" s="139"/>
      <c r="O178" s="139"/>
      <c r="P178" s="139"/>
      <c r="Q178" s="139"/>
      <c r="R178" s="139"/>
      <c r="S178" s="139"/>
      <c r="T178" s="139"/>
      <c r="U178" s="139"/>
    </row>
    <row r="179" spans="5:21" ht="14.25" thickTop="1" thickBot="1" x14ac:dyDescent="0.25">
      <c r="E179" s="170"/>
      <c r="F179" s="171"/>
      <c r="G179" s="172" t="s">
        <v>97</v>
      </c>
      <c r="H179" s="172" t="s">
        <v>98</v>
      </c>
      <c r="I179" s="172" t="s">
        <v>6</v>
      </c>
      <c r="J179" s="171"/>
      <c r="K179" s="173"/>
      <c r="M179" s="150"/>
      <c r="N179" s="174"/>
      <c r="O179" s="174"/>
      <c r="P179" s="174"/>
      <c r="Q179" s="139"/>
      <c r="R179" s="139"/>
      <c r="S179" s="139"/>
      <c r="T179" s="139"/>
      <c r="U179" s="139"/>
    </row>
    <row r="180" spans="5:21" x14ac:dyDescent="0.2">
      <c r="J180" s="153"/>
      <c r="K180" s="175"/>
      <c r="M180" s="150"/>
      <c r="N180" s="174"/>
      <c r="O180" s="174"/>
      <c r="P180" s="174"/>
      <c r="Q180" s="139"/>
      <c r="R180" s="139"/>
      <c r="S180" s="139"/>
      <c r="T180" s="139"/>
      <c r="U180" s="139"/>
    </row>
    <row r="181" spans="5:21" x14ac:dyDescent="0.2">
      <c r="J181" s="86"/>
      <c r="K181" s="86"/>
      <c r="M181" s="150"/>
      <c r="N181" s="139"/>
      <c r="O181" s="139"/>
      <c r="P181" s="139"/>
      <c r="Q181" s="139"/>
      <c r="R181" s="139"/>
      <c r="S181" s="139"/>
      <c r="T181" s="139"/>
      <c r="U181" s="139"/>
    </row>
    <row r="182" spans="5:21" x14ac:dyDescent="0.2">
      <c r="E182" s="93"/>
      <c r="F182" s="94"/>
      <c r="G182" s="86"/>
      <c r="H182" s="86"/>
      <c r="I182" s="95"/>
      <c r="J182" s="176"/>
      <c r="K182" s="95"/>
      <c r="M182" s="150"/>
      <c r="N182" s="139"/>
      <c r="O182" s="139"/>
      <c r="P182" s="139"/>
      <c r="Q182" s="139"/>
      <c r="R182" s="139"/>
      <c r="S182" s="139"/>
      <c r="T182" s="139"/>
      <c r="U182" s="139"/>
    </row>
    <row r="183" spans="5:21" x14ac:dyDescent="0.2">
      <c r="E183" s="94"/>
      <c r="F183" s="94"/>
      <c r="G183" s="94"/>
      <c r="H183" s="94"/>
      <c r="I183" s="95"/>
      <c r="J183" s="176"/>
      <c r="K183" s="176"/>
      <c r="M183" s="177"/>
      <c r="N183" s="178"/>
      <c r="O183" s="178"/>
      <c r="P183" s="178"/>
      <c r="Q183" s="139"/>
      <c r="R183" s="139"/>
      <c r="S183" s="139"/>
      <c r="T183" s="139"/>
      <c r="U183" s="139"/>
    </row>
    <row r="184" spans="5:21" x14ac:dyDescent="0.2">
      <c r="E184" s="94"/>
      <c r="F184" s="94"/>
      <c r="G184" s="94"/>
      <c r="H184" s="86"/>
      <c r="I184" s="86"/>
      <c r="J184" s="94"/>
      <c r="K184" s="94"/>
      <c r="M184" s="150"/>
      <c r="N184" s="139"/>
      <c r="O184" s="139"/>
      <c r="P184" s="139"/>
      <c r="Q184" s="139"/>
      <c r="R184" s="139"/>
      <c r="S184" s="139"/>
      <c r="T184" s="139"/>
      <c r="U184" s="139"/>
    </row>
    <row r="185" spans="5:21" x14ac:dyDescent="0.2">
      <c r="E185" s="94"/>
      <c r="F185" s="94"/>
      <c r="G185" s="100"/>
      <c r="H185" s="100"/>
      <c r="I185" s="100"/>
      <c r="M185" s="150"/>
      <c r="N185" s="150"/>
      <c r="O185" s="150"/>
      <c r="P185" s="150"/>
      <c r="Q185" s="150"/>
      <c r="R185" s="150"/>
      <c r="S185" s="150"/>
      <c r="T185" s="150"/>
      <c r="U185" s="150"/>
    </row>
    <row r="186" spans="5:21" x14ac:dyDescent="0.2">
      <c r="E186" s="94"/>
      <c r="F186" s="94"/>
      <c r="G186" s="86"/>
      <c r="H186" s="86"/>
      <c r="I186" s="86"/>
      <c r="M186" s="150"/>
      <c r="N186" s="150"/>
      <c r="O186" s="150"/>
      <c r="P186" s="150"/>
      <c r="Q186" s="150"/>
      <c r="R186" s="150"/>
      <c r="S186" s="150"/>
      <c r="T186" s="150"/>
      <c r="U186" s="150"/>
    </row>
    <row r="187" spans="5:21" x14ac:dyDescent="0.2">
      <c r="E187" s="94"/>
      <c r="F187" s="94"/>
      <c r="G187" s="100"/>
      <c r="H187" s="100"/>
      <c r="I187" s="100"/>
      <c r="M187" s="150"/>
      <c r="N187" s="150"/>
      <c r="O187" s="150"/>
      <c r="P187" s="150"/>
      <c r="Q187" s="150"/>
      <c r="R187" s="150"/>
      <c r="S187" s="150"/>
      <c r="T187" s="150"/>
      <c r="U187" s="150"/>
    </row>
    <row r="188" spans="5:21" x14ac:dyDescent="0.2">
      <c r="E188" s="94"/>
      <c r="F188" s="94"/>
      <c r="G188" s="101"/>
      <c r="H188" s="101"/>
      <c r="I188" s="101"/>
      <c r="J188" s="94"/>
      <c r="M188" s="150"/>
      <c r="N188" s="150"/>
      <c r="O188" s="150"/>
      <c r="P188" s="150"/>
      <c r="Q188" s="150"/>
      <c r="R188" s="150"/>
      <c r="S188" s="150"/>
      <c r="T188" s="150"/>
      <c r="U188" s="150"/>
    </row>
    <row r="189" spans="5:21" x14ac:dyDescent="0.2">
      <c r="G189" s="86"/>
      <c r="H189" s="86"/>
      <c r="I189" s="86"/>
      <c r="J189" s="94"/>
      <c r="M189" s="150"/>
      <c r="N189" s="150"/>
      <c r="O189" s="150"/>
      <c r="P189" s="150"/>
      <c r="Q189" s="150"/>
      <c r="R189" s="150"/>
      <c r="S189" s="150"/>
      <c r="T189" s="150"/>
      <c r="U189" s="150"/>
    </row>
    <row r="190" spans="5:21" x14ac:dyDescent="0.2">
      <c r="G190" s="94"/>
      <c r="H190" s="94"/>
      <c r="I190" s="94"/>
      <c r="J190" s="94"/>
      <c r="M190" s="150"/>
      <c r="N190" s="150"/>
      <c r="O190" s="150"/>
      <c r="P190" s="150"/>
      <c r="Q190" s="150"/>
      <c r="R190" s="150"/>
      <c r="S190" s="150"/>
      <c r="T190" s="150"/>
      <c r="U190" s="150"/>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theme="4" tint="0.39997558519241921"/>
    <pageSetUpPr fitToPage="1"/>
  </sheetPr>
  <dimension ref="A1:Y109"/>
  <sheetViews>
    <sheetView zoomScale="90" zoomScaleNormal="90" workbookViewId="0">
      <pane xSplit="1" ySplit="8" topLeftCell="B48" activePane="bottomRight" state="frozen"/>
      <selection pane="topRight" activeCell="B1" sqref="B1"/>
      <selection pane="bottomLeft" activeCell="A9" sqref="A9"/>
      <selection pane="bottomRight" activeCell="K73" sqref="K7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11</v>
      </c>
      <c r="C2" s="132"/>
      <c r="D2" s="132"/>
      <c r="E2" s="132"/>
      <c r="F2" s="132"/>
      <c r="G2" s="198" t="s">
        <v>192</v>
      </c>
      <c r="H2" s="198"/>
      <c r="I2" s="198"/>
      <c r="J2" s="198"/>
      <c r="K2" s="198"/>
      <c r="M2" s="198" t="s">
        <v>193</v>
      </c>
      <c r="N2" s="198"/>
      <c r="O2" s="198"/>
      <c r="P2" s="198"/>
      <c r="Q2" s="198"/>
      <c r="R2" s="8"/>
      <c r="S2" s="8"/>
      <c r="T2" s="8"/>
      <c r="U2" s="8"/>
      <c r="V2" s="8"/>
      <c r="W2" s="8"/>
    </row>
    <row r="3" spans="2:25" ht="19.5" x14ac:dyDescent="0.25">
      <c r="B3" s="134" t="s">
        <v>12</v>
      </c>
      <c r="C3" s="132"/>
      <c r="D3" s="132"/>
    </row>
    <row r="4" spans="2:25" x14ac:dyDescent="0.2">
      <c r="B4" s="132" t="s">
        <v>191</v>
      </c>
      <c r="C4" s="132"/>
      <c r="D4" s="132"/>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5"/>
      <c r="C5" s="132"/>
      <c r="D5" s="135"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190</v>
      </c>
      <c r="D6" s="11"/>
      <c r="G6" s="16"/>
      <c r="H6" s="16" t="s">
        <v>24</v>
      </c>
      <c r="I6" s="16"/>
      <c r="J6" s="16"/>
      <c r="K6" s="16"/>
      <c r="M6" s="16"/>
      <c r="N6" s="16" t="s">
        <v>24</v>
      </c>
      <c r="O6" s="16"/>
      <c r="P6" s="16"/>
      <c r="Q6" s="16"/>
      <c r="R6" s="16"/>
      <c r="S6" s="16"/>
      <c r="T6" s="16"/>
      <c r="U6" s="16"/>
      <c r="V6" s="16"/>
      <c r="W6" s="16"/>
    </row>
    <row r="7" spans="2:25" ht="13.5" thickBot="1" x14ac:dyDescent="0.25">
      <c r="B7" s="132"/>
      <c r="G7" s="131" t="s">
        <v>25</v>
      </c>
      <c r="H7" s="131" t="s">
        <v>26</v>
      </c>
      <c r="I7" s="131" t="s">
        <v>27</v>
      </c>
      <c r="J7" s="131"/>
      <c r="K7" s="131" t="s">
        <v>28</v>
      </c>
      <c r="M7" s="131" t="s">
        <v>25</v>
      </c>
      <c r="N7" s="131" t="s">
        <v>26</v>
      </c>
      <c r="O7" s="131" t="s">
        <v>27</v>
      </c>
      <c r="P7" s="131"/>
      <c r="Q7" s="131" t="s">
        <v>28</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29</v>
      </c>
      <c r="D9" s="12" t="s">
        <v>30</v>
      </c>
      <c r="E9" s="18" t="s">
        <v>31</v>
      </c>
      <c r="G9" s="19">
        <v>19009</v>
      </c>
      <c r="H9" s="19">
        <v>2453</v>
      </c>
      <c r="I9" s="19">
        <v>39857</v>
      </c>
      <c r="J9" s="19"/>
      <c r="K9" s="19">
        <f>J9+I9+H9+G9</f>
        <v>61319</v>
      </c>
      <c r="M9" s="19">
        <v>0</v>
      </c>
      <c r="N9" s="19">
        <v>0</v>
      </c>
      <c r="O9" s="19">
        <v>0</v>
      </c>
      <c r="P9" s="19">
        <v>0</v>
      </c>
      <c r="Q9" s="19">
        <f>SUM(M9:P9)</f>
        <v>0</v>
      </c>
      <c r="R9" s="19"/>
      <c r="S9" s="19"/>
      <c r="T9" s="19"/>
      <c r="U9" s="19"/>
      <c r="V9" s="19"/>
      <c r="W9" s="19"/>
    </row>
    <row r="10" spans="2:25" x14ac:dyDescent="0.2">
      <c r="B10" s="132" t="s">
        <v>32</v>
      </c>
      <c r="E10" s="18" t="s">
        <v>33</v>
      </c>
      <c r="G10" s="21">
        <v>311</v>
      </c>
      <c r="H10" s="21">
        <v>652</v>
      </c>
      <c r="I10" s="21"/>
      <c r="J10" s="21">
        <v>40.1</v>
      </c>
      <c r="K10" s="21">
        <v>652</v>
      </c>
      <c r="M10" s="21">
        <f>G10</f>
        <v>311</v>
      </c>
      <c r="N10" s="21">
        <f>H10</f>
        <v>652</v>
      </c>
      <c r="O10" s="21">
        <f>I10</f>
        <v>0</v>
      </c>
      <c r="P10" s="21">
        <v>0</v>
      </c>
      <c r="Q10" s="21">
        <f>SUM(M10:P10)</f>
        <v>963</v>
      </c>
      <c r="R10" s="51"/>
      <c r="S10" s="51"/>
      <c r="T10" s="51"/>
      <c r="U10" s="51"/>
      <c r="V10" s="51"/>
      <c r="W10" s="51"/>
    </row>
    <row r="11" spans="2:25" x14ac:dyDescent="0.2">
      <c r="E11" s="18"/>
    </row>
    <row r="12" spans="2:25" ht="13.5" thickBot="1" x14ac:dyDescent="0.25">
      <c r="D12" s="12" t="s">
        <v>34</v>
      </c>
      <c r="E12" s="18" t="s">
        <v>31</v>
      </c>
      <c r="G12" s="19">
        <v>170844</v>
      </c>
      <c r="H12" s="19">
        <v>22044</v>
      </c>
      <c r="I12" s="19">
        <v>358220</v>
      </c>
      <c r="J12" s="19"/>
      <c r="K12" s="19">
        <f>J12+I12+H12+G12</f>
        <v>551108</v>
      </c>
      <c r="M12" s="19">
        <f t="shared" ref="M12:P13" si="0">G12</f>
        <v>170844</v>
      </c>
      <c r="N12" s="19">
        <f t="shared" si="0"/>
        <v>22044</v>
      </c>
      <c r="O12" s="19">
        <f t="shared" si="0"/>
        <v>358220</v>
      </c>
      <c r="P12" s="19">
        <f t="shared" si="0"/>
        <v>0</v>
      </c>
      <c r="Q12" s="19">
        <f>SUM(M12:P12)</f>
        <v>551108</v>
      </c>
      <c r="R12" s="19"/>
      <c r="S12" s="19"/>
      <c r="T12" s="137">
        <f>223294-K12</f>
        <v>-327814</v>
      </c>
      <c r="U12" s="19"/>
      <c r="V12" s="19"/>
      <c r="W12" s="19"/>
    </row>
    <row r="13" spans="2:25" x14ac:dyDescent="0.2">
      <c r="E13" s="18" t="s">
        <v>33</v>
      </c>
      <c r="G13" s="21">
        <v>2659.6</v>
      </c>
      <c r="H13" s="21">
        <v>342.1</v>
      </c>
      <c r="I13" s="21">
        <v>5576.3</v>
      </c>
      <c r="J13" s="21"/>
      <c r="K13" s="21">
        <f>G13+H13+I13+J13</f>
        <v>8578</v>
      </c>
      <c r="M13" s="21">
        <f t="shared" si="0"/>
        <v>2659.6</v>
      </c>
      <c r="N13" s="21">
        <f t="shared" si="0"/>
        <v>342.1</v>
      </c>
      <c r="O13" s="21">
        <f t="shared" si="0"/>
        <v>5576.3</v>
      </c>
      <c r="P13" s="21">
        <v>0</v>
      </c>
      <c r="Q13" s="21">
        <f>SUM(M13:P13)</f>
        <v>8578</v>
      </c>
      <c r="R13" s="51"/>
      <c r="S13" s="51"/>
      <c r="T13" s="138"/>
      <c r="U13" s="51"/>
      <c r="V13" s="51"/>
      <c r="W13" s="51"/>
    </row>
    <row r="14" spans="2:25" x14ac:dyDescent="0.2">
      <c r="T14" s="139"/>
      <c r="Y14" s="27" t="s">
        <v>35</v>
      </c>
    </row>
    <row r="15" spans="2:25" x14ac:dyDescent="0.2">
      <c r="D15" s="12" t="s">
        <v>36</v>
      </c>
      <c r="E15" s="18" t="s">
        <v>37</v>
      </c>
      <c r="G15" s="19">
        <v>7518</v>
      </c>
      <c r="H15" s="19">
        <v>970</v>
      </c>
      <c r="I15" s="19">
        <v>15764</v>
      </c>
      <c r="J15" s="19"/>
      <c r="K15" s="19">
        <f>G15+H15+I15+J15</f>
        <v>24252</v>
      </c>
      <c r="M15" s="19">
        <v>0</v>
      </c>
      <c r="N15" s="19">
        <v>0</v>
      </c>
      <c r="O15" s="19">
        <v>0</v>
      </c>
      <c r="P15" s="19">
        <v>0</v>
      </c>
      <c r="Q15" s="19">
        <f t="shared" ref="Q15:Q20" si="1">SUM(M15:P15)</f>
        <v>0</v>
      </c>
      <c r="R15" s="19"/>
      <c r="S15" s="19"/>
      <c r="T15" s="137"/>
      <c r="U15" s="19"/>
      <c r="V15" s="19"/>
      <c r="W15" s="19"/>
    </row>
    <row r="16" spans="2:25" x14ac:dyDescent="0.2">
      <c r="D16" s="12" t="s">
        <v>38</v>
      </c>
      <c r="E16" s="18" t="s">
        <v>39</v>
      </c>
      <c r="G16" s="19">
        <v>170844</v>
      </c>
      <c r="H16" s="19">
        <v>22044</v>
      </c>
      <c r="I16" s="19">
        <v>358220</v>
      </c>
      <c r="J16" s="19"/>
      <c r="K16" s="19">
        <f t="shared" ref="K16:K20" si="2">G16+H16+I16+J16</f>
        <v>551108</v>
      </c>
      <c r="M16" s="19">
        <f>G16</f>
        <v>170844</v>
      </c>
      <c r="N16" s="19">
        <f>H16</f>
        <v>22044</v>
      </c>
      <c r="O16" s="19">
        <f>I16</f>
        <v>358220</v>
      </c>
      <c r="P16" s="19">
        <f>J16</f>
        <v>0</v>
      </c>
      <c r="Q16" s="19">
        <f t="shared" si="1"/>
        <v>551108</v>
      </c>
      <c r="R16" s="19"/>
      <c r="S16" s="19"/>
      <c r="T16" s="137"/>
      <c r="U16" s="19"/>
      <c r="V16" s="19"/>
      <c r="W16" s="19"/>
      <c r="Y16" s="5" t="s">
        <v>40</v>
      </c>
    </row>
    <row r="17" spans="2:25" x14ac:dyDescent="0.2">
      <c r="D17" s="140"/>
      <c r="E17" s="18" t="s">
        <v>41</v>
      </c>
      <c r="G17" s="19">
        <v>1575</v>
      </c>
      <c r="H17" s="19">
        <v>203</v>
      </c>
      <c r="I17" s="19">
        <v>3303</v>
      </c>
      <c r="J17" s="19"/>
      <c r="K17" s="19">
        <f t="shared" si="2"/>
        <v>5081</v>
      </c>
      <c r="M17" s="19">
        <v>0</v>
      </c>
      <c r="N17" s="19">
        <v>0</v>
      </c>
      <c r="O17" s="19">
        <v>0</v>
      </c>
      <c r="P17" s="19">
        <v>0</v>
      </c>
      <c r="Q17" s="19">
        <f t="shared" si="1"/>
        <v>0</v>
      </c>
      <c r="R17" s="19"/>
      <c r="S17" s="19"/>
      <c r="T17" s="137"/>
      <c r="U17" s="19"/>
      <c r="V17" s="19"/>
      <c r="W17" s="19"/>
      <c r="Y17" s="29">
        <v>614800</v>
      </c>
    </row>
    <row r="18" spans="2:25" x14ac:dyDescent="0.2">
      <c r="E18" s="18" t="s">
        <v>42</v>
      </c>
      <c r="G18" s="19">
        <v>15995</v>
      </c>
      <c r="H18" s="19">
        <v>2048</v>
      </c>
      <c r="I18" s="19">
        <v>33555</v>
      </c>
      <c r="J18" s="19"/>
      <c r="K18" s="19">
        <f t="shared" si="2"/>
        <v>51598</v>
      </c>
      <c r="M18" s="19">
        <v>0</v>
      </c>
      <c r="N18" s="19">
        <v>0</v>
      </c>
      <c r="O18" s="19">
        <v>0</v>
      </c>
      <c r="P18" s="19">
        <v>0</v>
      </c>
      <c r="Q18" s="19">
        <f t="shared" si="1"/>
        <v>0</v>
      </c>
      <c r="R18" s="19"/>
      <c r="S18" s="19"/>
      <c r="T18" s="137"/>
      <c r="U18" s="19"/>
      <c r="V18" s="19"/>
      <c r="W18" s="19"/>
    </row>
    <row r="19" spans="2:25" x14ac:dyDescent="0.2">
      <c r="E19" s="18" t="s">
        <v>43</v>
      </c>
      <c r="G19" s="19"/>
      <c r="H19" s="19"/>
      <c r="I19" s="19"/>
      <c r="J19" s="19"/>
      <c r="K19" s="19">
        <f t="shared" si="2"/>
        <v>0</v>
      </c>
      <c r="M19" s="19">
        <f>G19</f>
        <v>0</v>
      </c>
      <c r="N19" s="19">
        <f>H19</f>
        <v>0</v>
      </c>
      <c r="O19" s="19">
        <f>I19</f>
        <v>0</v>
      </c>
      <c r="P19" s="19">
        <f>J19</f>
        <v>0</v>
      </c>
      <c r="Q19" s="19">
        <f t="shared" si="1"/>
        <v>0</v>
      </c>
      <c r="R19" s="19"/>
      <c r="S19" s="19"/>
      <c r="T19" s="137"/>
      <c r="U19" s="19"/>
      <c r="V19" s="19"/>
      <c r="W19" s="19"/>
      <c r="Y19" s="5" t="s">
        <v>44</v>
      </c>
    </row>
    <row r="20" spans="2:25" x14ac:dyDescent="0.2">
      <c r="E20" s="18" t="s">
        <v>45</v>
      </c>
      <c r="G20" s="31"/>
      <c r="H20" s="31"/>
      <c r="I20" s="31"/>
      <c r="J20" s="31"/>
      <c r="K20" s="31">
        <f t="shared" si="2"/>
        <v>0</v>
      </c>
      <c r="M20" s="19">
        <v>0</v>
      </c>
      <c r="N20" s="19">
        <v>0</v>
      </c>
      <c r="O20" s="19">
        <v>0</v>
      </c>
      <c r="P20" s="19">
        <v>0</v>
      </c>
      <c r="Q20" s="19">
        <f t="shared" si="1"/>
        <v>0</v>
      </c>
      <c r="R20" s="19"/>
      <c r="S20" s="19"/>
      <c r="T20" s="137"/>
      <c r="U20" s="19"/>
      <c r="V20" s="19"/>
      <c r="W20" s="19"/>
      <c r="Y20" s="29">
        <f>31030+1679</f>
        <v>32709</v>
      </c>
    </row>
    <row r="21" spans="2:25" x14ac:dyDescent="0.2">
      <c r="D21" s="132" t="s">
        <v>46</v>
      </c>
      <c r="E21" s="18"/>
      <c r="G21" s="32">
        <f>SUM(G15:G20)</f>
        <v>195932</v>
      </c>
      <c r="H21" s="32">
        <f t="shared" ref="H21:I21" si="3">SUM(H15:H20)</f>
        <v>25265</v>
      </c>
      <c r="I21" s="32">
        <f t="shared" si="3"/>
        <v>410842</v>
      </c>
      <c r="J21" s="32"/>
      <c r="K21" s="32">
        <f>SUM(K15:K20)</f>
        <v>632039</v>
      </c>
      <c r="M21" s="34">
        <f>M9+M12+SUM(M15:M20)</f>
        <v>341688</v>
      </c>
      <c r="N21" s="34">
        <f>N9+N12+SUM(N15:N20)</f>
        <v>44088</v>
      </c>
      <c r="O21" s="34">
        <f>O9+O12+SUM(O15:O20)</f>
        <v>716440</v>
      </c>
      <c r="P21" s="34">
        <f>P9+P12+SUM(P15:P20)</f>
        <v>0</v>
      </c>
      <c r="Q21" s="34">
        <f>Q9+Q12+SUM(Q15:Q20)</f>
        <v>1102216</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47</v>
      </c>
    </row>
    <row r="23" spans="2:25" x14ac:dyDescent="0.2">
      <c r="B23" s="132" t="s">
        <v>48</v>
      </c>
      <c r="E23" s="18" t="s">
        <v>49</v>
      </c>
      <c r="G23" s="31">
        <f>150000*0.31</f>
        <v>46500</v>
      </c>
      <c r="H23" s="31">
        <f>150000*0.04</f>
        <v>6000</v>
      </c>
      <c r="I23" s="31">
        <f>150000*0.65</f>
        <v>97500</v>
      </c>
      <c r="J23" s="31"/>
      <c r="K23" s="31">
        <f>J23+I23+H23+G23</f>
        <v>150000</v>
      </c>
      <c r="M23" s="31">
        <f>$Q$23*G$83</f>
        <v>2473.9240403383214</v>
      </c>
      <c r="N23" s="31">
        <f>$Q$23*H$83</f>
        <v>319.21600520494474</v>
      </c>
      <c r="O23" s="31">
        <f>$Q$23*I$83</f>
        <v>5187.2600845803508</v>
      </c>
      <c r="P23" s="31">
        <v>0</v>
      </c>
      <c r="Q23" s="31">
        <f>K23*Y23</f>
        <v>7980.4001301236176</v>
      </c>
      <c r="R23" s="39"/>
      <c r="S23" s="39"/>
      <c r="T23" s="40">
        <f>251603.59-K23</f>
        <v>101603.59</v>
      </c>
      <c r="U23" s="39"/>
      <c r="V23" s="39"/>
      <c r="W23" s="39"/>
      <c r="Y23" s="41">
        <f>Y20/Y17</f>
        <v>5.320266753415745E-2</v>
      </c>
    </row>
    <row r="24" spans="2:25" x14ac:dyDescent="0.2">
      <c r="B24" s="132"/>
      <c r="D24" s="132" t="s">
        <v>50</v>
      </c>
      <c r="E24" s="18"/>
      <c r="G24" s="32">
        <f>G23</f>
        <v>46500</v>
      </c>
      <c r="H24" s="32">
        <f t="shared" ref="H24:I24" si="4">H23</f>
        <v>6000</v>
      </c>
      <c r="I24" s="32">
        <f t="shared" si="4"/>
        <v>97500</v>
      </c>
      <c r="J24" s="32"/>
      <c r="K24" s="32">
        <f>K23</f>
        <v>150000</v>
      </c>
      <c r="M24" s="32">
        <f>SUM(M23)</f>
        <v>2473.9240403383214</v>
      </c>
      <c r="N24" s="32">
        <f>SUM(N23)</f>
        <v>319.21600520494474</v>
      </c>
      <c r="O24" s="32">
        <f>SUM(O23)</f>
        <v>5187.2600845803508</v>
      </c>
      <c r="P24" s="32">
        <f>SUM(P23)</f>
        <v>0</v>
      </c>
      <c r="Q24" s="32">
        <f>SUM(M24:P24)</f>
        <v>7980.4001301236167</v>
      </c>
      <c r="R24" s="32"/>
      <c r="S24" s="32"/>
      <c r="T24" s="143"/>
      <c r="U24" s="32"/>
      <c r="V24" s="32"/>
      <c r="W24" s="32"/>
    </row>
    <row r="25" spans="2:25" x14ac:dyDescent="0.2">
      <c r="B25" s="132"/>
    </row>
    <row r="26" spans="2:25" x14ac:dyDescent="0.2">
      <c r="B26" s="132" t="s">
        <v>51</v>
      </c>
      <c r="E26" s="18" t="s">
        <v>52</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2"/>
      <c r="E27" s="18" t="s">
        <v>53</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2"/>
      <c r="E28" s="12" t="s">
        <v>54</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55</v>
      </c>
      <c r="G29" s="19"/>
      <c r="H29" s="19"/>
      <c r="I29" s="19"/>
      <c r="J29" s="19"/>
      <c r="K29" s="19">
        <f t="shared" si="6"/>
        <v>0</v>
      </c>
      <c r="M29" s="19">
        <f t="shared" ref="M29:P30" si="7">G29</f>
        <v>0</v>
      </c>
      <c r="N29" s="19">
        <f t="shared" si="7"/>
        <v>0</v>
      </c>
      <c r="O29" s="19">
        <f t="shared" si="7"/>
        <v>0</v>
      </c>
      <c r="P29" s="19">
        <f t="shared" si="7"/>
        <v>0</v>
      </c>
      <c r="Q29" s="19">
        <f t="shared" si="5"/>
        <v>0</v>
      </c>
      <c r="R29" s="19"/>
      <c r="S29" s="19"/>
      <c r="T29" s="19"/>
      <c r="U29" s="19"/>
      <c r="V29" s="19"/>
      <c r="W29" s="19"/>
    </row>
    <row r="30" spans="2:25" x14ac:dyDescent="0.2">
      <c r="B30" s="132"/>
      <c r="E30" s="18" t="s">
        <v>56</v>
      </c>
      <c r="G30" s="31">
        <f>600000*0.31</f>
        <v>186000</v>
      </c>
      <c r="H30" s="31">
        <f>600000*0.04</f>
        <v>24000</v>
      </c>
      <c r="I30" s="31">
        <f>600000*0.65</f>
        <v>390000</v>
      </c>
      <c r="J30" s="31"/>
      <c r="K30" s="31">
        <f t="shared" si="6"/>
        <v>600000</v>
      </c>
      <c r="M30" s="31">
        <f t="shared" si="7"/>
        <v>186000</v>
      </c>
      <c r="N30" s="31">
        <f t="shared" si="7"/>
        <v>24000</v>
      </c>
      <c r="O30" s="31">
        <f t="shared" si="7"/>
        <v>390000</v>
      </c>
      <c r="P30" s="31">
        <f>J30</f>
        <v>0</v>
      </c>
      <c r="Q30" s="31">
        <f t="shared" si="5"/>
        <v>600000</v>
      </c>
      <c r="R30" s="39"/>
      <c r="S30" s="39"/>
      <c r="T30" s="39"/>
      <c r="U30" s="39"/>
      <c r="V30" s="39"/>
      <c r="W30" s="39"/>
    </row>
    <row r="31" spans="2:25" x14ac:dyDescent="0.2">
      <c r="B31" s="132"/>
      <c r="D31" s="132" t="s">
        <v>57</v>
      </c>
      <c r="G31" s="32">
        <f>SUM(G26:G30)</f>
        <v>186000</v>
      </c>
      <c r="H31" s="32">
        <f t="shared" ref="H31:I31" si="8">SUM(H26:H30)</f>
        <v>24000</v>
      </c>
      <c r="I31" s="32">
        <f t="shared" si="8"/>
        <v>390000</v>
      </c>
      <c r="J31" s="32"/>
      <c r="K31" s="32">
        <f>SUM(K26:K30)</f>
        <v>600000</v>
      </c>
      <c r="M31" s="32">
        <f>SUM(M26:M30)</f>
        <v>186000</v>
      </c>
      <c r="N31" s="32">
        <f>SUM(N26:N30)</f>
        <v>24000</v>
      </c>
      <c r="O31" s="32">
        <f>SUM(O26:O30)</f>
        <v>390000</v>
      </c>
      <c r="P31" s="32">
        <f>SUM(P26:P30)</f>
        <v>0</v>
      </c>
      <c r="Q31" s="32">
        <f t="shared" si="5"/>
        <v>600000</v>
      </c>
      <c r="R31" s="32"/>
      <c r="S31" s="32"/>
      <c r="T31" s="32"/>
      <c r="U31" s="32"/>
      <c r="V31" s="32"/>
      <c r="W31" s="32"/>
    </row>
    <row r="32" spans="2:25" x14ac:dyDescent="0.2">
      <c r="B32" s="132"/>
    </row>
    <row r="33" spans="2:23" x14ac:dyDescent="0.2">
      <c r="B33" s="132" t="s">
        <v>58</v>
      </c>
      <c r="D33" s="132" t="s">
        <v>59</v>
      </c>
      <c r="E33" s="12" t="s">
        <v>60</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61</v>
      </c>
      <c r="D34" s="132" t="s">
        <v>62</v>
      </c>
      <c r="E34" s="12" t="s">
        <v>63</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64</v>
      </c>
      <c r="E36" s="12" t="s">
        <v>65</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66</v>
      </c>
      <c r="E37" s="12" t="s">
        <v>67</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68</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69</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70</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71</v>
      </c>
      <c r="G41" s="19">
        <v>288000</v>
      </c>
      <c r="H41" s="19"/>
      <c r="I41" s="19"/>
      <c r="J41" s="19"/>
      <c r="K41" s="19">
        <f t="shared" si="10"/>
        <v>288000</v>
      </c>
      <c r="M41" s="19">
        <f t="shared" si="11"/>
        <v>288000</v>
      </c>
      <c r="N41" s="19">
        <f t="shared" si="11"/>
        <v>0</v>
      </c>
      <c r="O41" s="19">
        <f t="shared" si="11"/>
        <v>0</v>
      </c>
      <c r="P41" s="19">
        <f t="shared" si="11"/>
        <v>0</v>
      </c>
      <c r="Q41" s="19">
        <f t="shared" si="12"/>
        <v>288000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76</v>
      </c>
    </row>
    <row r="51" spans="2:23" x14ac:dyDescent="0.2">
      <c r="D51" s="132"/>
    </row>
    <row r="52" spans="2:23" x14ac:dyDescent="0.2">
      <c r="B52" s="132"/>
      <c r="D52" s="132"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77</v>
      </c>
      <c r="G53" s="32">
        <f>SUM(G33:G52)</f>
        <v>288000</v>
      </c>
      <c r="H53" s="32">
        <f>SUM(H33:H52)</f>
        <v>0</v>
      </c>
      <c r="I53" s="32">
        <f>SUM(I33:I52)</f>
        <v>0</v>
      </c>
      <c r="J53" s="32">
        <f>SUM(J33:J52)</f>
        <v>0</v>
      </c>
      <c r="K53" s="32">
        <f>SUM(G53:J53)</f>
        <v>288000</v>
      </c>
      <c r="M53" s="32">
        <f>SUM(M33:M52)</f>
        <v>288000</v>
      </c>
      <c r="N53" s="32">
        <f>SUM(N33:N52)</f>
        <v>0</v>
      </c>
      <c r="O53" s="32">
        <f>SUM(O33:O52)</f>
        <v>0</v>
      </c>
      <c r="P53" s="32">
        <f>SUM(P33:P52)</f>
        <v>0</v>
      </c>
      <c r="Q53" s="32">
        <f>SUM(M53:P53)</f>
        <v>288000</v>
      </c>
      <c r="R53" s="32"/>
      <c r="S53" s="32"/>
      <c r="T53" s="32"/>
      <c r="U53" s="32"/>
      <c r="V53" s="32"/>
      <c r="W53" s="32"/>
    </row>
    <row r="54" spans="2:23" x14ac:dyDescent="0.2">
      <c r="B54" s="132"/>
      <c r="G54" s="19"/>
    </row>
    <row r="55" spans="2:23" x14ac:dyDescent="0.2">
      <c r="B55" s="132" t="s">
        <v>78</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79</v>
      </c>
      <c r="D56" s="19"/>
    </row>
    <row r="57" spans="2:23" ht="13.5" thickBot="1" x14ac:dyDescent="0.25">
      <c r="K57" s="19"/>
      <c r="Q57" s="144"/>
      <c r="R57" s="145"/>
      <c r="S57" s="145"/>
      <c r="T57" s="145"/>
      <c r="U57" s="145"/>
      <c r="V57" s="145"/>
      <c r="W57" s="145"/>
    </row>
    <row r="58" spans="2:23" x14ac:dyDescent="0.2">
      <c r="B58" s="132" t="s">
        <v>80</v>
      </c>
      <c r="E58" s="19"/>
      <c r="G58" s="146">
        <f>G21+G24+G31+G53+G55</f>
        <v>716432</v>
      </c>
      <c r="H58" s="146">
        <f>H21+H24+H31+H53+H55</f>
        <v>55265</v>
      </c>
      <c r="I58" s="146">
        <f>I21+I24+I31+I53+I55</f>
        <v>898342</v>
      </c>
      <c r="J58" s="146">
        <f>J21+J24+J31+J53+J55</f>
        <v>0</v>
      </c>
      <c r="K58" s="146">
        <f>SUM(G58:J58)</f>
        <v>1670039</v>
      </c>
      <c r="L58" s="147"/>
      <c r="M58" s="146">
        <f>M21+M24+M31+M53+M55</f>
        <v>818161.92404033826</v>
      </c>
      <c r="N58" s="146">
        <f>N21+N24+N31+N53+N55</f>
        <v>68407.216005204944</v>
      </c>
      <c r="O58" s="146">
        <f>O21+O24+O31+O53+O55</f>
        <v>1111627.2600845804</v>
      </c>
      <c r="P58" s="146">
        <f>P21+P24+P31+P53+P55</f>
        <v>0</v>
      </c>
      <c r="Q58" s="146">
        <f>SUM(M58:P58)</f>
        <v>1998196.4001301236</v>
      </c>
      <c r="R58" s="141"/>
      <c r="S58" s="141"/>
      <c r="T58" s="141"/>
      <c r="U58" s="141"/>
      <c r="V58" s="141"/>
      <c r="W58" s="141"/>
    </row>
    <row r="61" spans="2:23" ht="14.25" x14ac:dyDescent="0.2">
      <c r="B61" s="136" t="s">
        <v>81</v>
      </c>
    </row>
    <row r="62" spans="2:23" x14ac:dyDescent="0.2">
      <c r="E62" s="18"/>
    </row>
    <row r="63" spans="2:23" x14ac:dyDescent="0.2">
      <c r="D63" s="12" t="s">
        <v>83</v>
      </c>
      <c r="E63" s="18" t="s">
        <v>31</v>
      </c>
      <c r="G63" s="19">
        <f>630000*0.31</f>
        <v>195300</v>
      </c>
      <c r="H63" s="19">
        <f>630000*0.04</f>
        <v>25200</v>
      </c>
      <c r="I63" s="19">
        <f>630000*0.65</f>
        <v>409500</v>
      </c>
      <c r="J63" s="19"/>
      <c r="K63" s="19">
        <f>G63+H63+I63+J63</f>
        <v>630000</v>
      </c>
      <c r="M63" s="19">
        <f>Q63*G83</f>
        <v>158389.86239999998</v>
      </c>
      <c r="N63" s="19">
        <f>Q63*H83</f>
        <v>20437.401600000001</v>
      </c>
      <c r="O63" s="19">
        <f>Q63*I83</f>
        <v>332107.77599999995</v>
      </c>
      <c r="P63" s="19">
        <f t="shared" ref="P63" si="13">J63</f>
        <v>0</v>
      </c>
      <c r="Q63" s="19">
        <f>K63-((((63*118.12)*8)*2))</f>
        <v>510935.03999999998</v>
      </c>
    </row>
    <row r="64" spans="2:23" x14ac:dyDescent="0.2">
      <c r="E64" s="18"/>
      <c r="G64" s="19"/>
      <c r="H64" s="19"/>
      <c r="I64" s="19"/>
      <c r="J64" s="19"/>
      <c r="K64" s="19"/>
      <c r="M64" s="19"/>
      <c r="N64" s="19"/>
      <c r="O64" s="19"/>
      <c r="P64" s="19"/>
      <c r="Q64" s="19"/>
    </row>
    <row r="65" spans="1:24" x14ac:dyDescent="0.2">
      <c r="D65" s="12" t="s">
        <v>189</v>
      </c>
      <c r="E65" s="18" t="s">
        <v>31</v>
      </c>
      <c r="G65" s="19">
        <v>0</v>
      </c>
      <c r="H65" s="19">
        <v>0</v>
      </c>
      <c r="I65" s="19">
        <v>3747000</v>
      </c>
      <c r="J65" s="19">
        <v>0</v>
      </c>
      <c r="K65" s="19">
        <f>I65+H65+G65</f>
        <v>3747000</v>
      </c>
      <c r="M65" s="19">
        <f>G65</f>
        <v>0</v>
      </c>
      <c r="N65" s="19">
        <f>H65</f>
        <v>0</v>
      </c>
      <c r="O65" s="19">
        <f>I65</f>
        <v>3747000</v>
      </c>
      <c r="P65" s="19">
        <f>J65</f>
        <v>0</v>
      </c>
      <c r="Q65" s="19">
        <f>K65</f>
        <v>3747000</v>
      </c>
    </row>
    <row r="66" spans="1:24" x14ac:dyDescent="0.2">
      <c r="E66" s="18"/>
    </row>
    <row r="67" spans="1:24" s="5" customFormat="1" x14ac:dyDescent="0.2">
      <c r="A67" s="12"/>
      <c r="B67" s="12"/>
      <c r="C67" s="12"/>
      <c r="D67" s="12" t="s">
        <v>84</v>
      </c>
      <c r="E67" s="18" t="s">
        <v>31</v>
      </c>
      <c r="F67" s="12"/>
      <c r="G67" s="19">
        <f>674000*0.31</f>
        <v>208940</v>
      </c>
      <c r="H67" s="19">
        <f>674000*0.04</f>
        <v>26960</v>
      </c>
      <c r="I67" s="19">
        <f>674000*0.65</f>
        <v>438100</v>
      </c>
      <c r="J67" s="19">
        <v>0</v>
      </c>
      <c r="K67" s="19">
        <f>I67+H67+G67</f>
        <v>674000</v>
      </c>
      <c r="L67" s="12"/>
      <c r="M67" s="19">
        <f>G67</f>
        <v>208940</v>
      </c>
      <c r="N67" s="19">
        <f>H67</f>
        <v>26960</v>
      </c>
      <c r="O67" s="19">
        <f>I67</f>
        <v>438100</v>
      </c>
      <c r="P67" s="19">
        <f>J67</f>
        <v>0</v>
      </c>
      <c r="Q67" s="19">
        <f>K67</f>
        <v>674000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85</v>
      </c>
      <c r="C69" s="12"/>
      <c r="D69" s="12"/>
      <c r="E69" s="18" t="s">
        <v>31</v>
      </c>
      <c r="F69" s="12"/>
      <c r="G69" s="146">
        <f>G67+G63</f>
        <v>404240</v>
      </c>
      <c r="H69" s="146">
        <f>H67+H63</f>
        <v>52160</v>
      </c>
      <c r="I69" s="146">
        <f>I67+I63+I65</f>
        <v>4594600</v>
      </c>
      <c r="J69" s="146">
        <f t="shared" ref="H69:Q70" si="14">J67</f>
        <v>0</v>
      </c>
      <c r="K69" s="146">
        <f>K67+K63+K65</f>
        <v>5051000</v>
      </c>
      <c r="L69" s="146">
        <f t="shared" ref="L69:Q69" si="15">L67+L63+L65</f>
        <v>0</v>
      </c>
      <c r="M69" s="146">
        <f t="shared" si="15"/>
        <v>367329.86239999998</v>
      </c>
      <c r="N69" s="146">
        <f t="shared" si="15"/>
        <v>47397.401599999997</v>
      </c>
      <c r="O69" s="146">
        <f>O67+O63+O65</f>
        <v>4517207.7759999996</v>
      </c>
      <c r="P69" s="146">
        <f t="shared" si="15"/>
        <v>0</v>
      </c>
      <c r="Q69" s="146">
        <f t="shared" si="15"/>
        <v>4931935.04</v>
      </c>
      <c r="R69" s="141"/>
      <c r="S69" s="141"/>
      <c r="T69" s="141"/>
      <c r="U69" s="141"/>
      <c r="V69" s="141"/>
      <c r="W69" s="141"/>
      <c r="X69" s="145"/>
    </row>
    <row r="70" spans="1:24" s="5" customFormat="1" x14ac:dyDescent="0.2">
      <c r="A70" s="12"/>
      <c r="B70" s="132"/>
      <c r="C70" s="12"/>
      <c r="D70" s="12"/>
      <c r="E70" s="18" t="s">
        <v>33</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86</v>
      </c>
      <c r="C73" s="12"/>
      <c r="D73" s="12"/>
      <c r="E73" s="12"/>
      <c r="F73" s="12"/>
      <c r="G73" s="56">
        <f>G58+G69</f>
        <v>1120672</v>
      </c>
      <c r="H73" s="56">
        <f t="shared" ref="H73:Q73" si="16">H58+H69</f>
        <v>107425</v>
      </c>
      <c r="I73" s="56">
        <f t="shared" si="16"/>
        <v>5492942</v>
      </c>
      <c r="J73" s="56">
        <f t="shared" si="16"/>
        <v>0</v>
      </c>
      <c r="K73" s="56">
        <f>K58+K69</f>
        <v>6721039</v>
      </c>
      <c r="L73" s="56">
        <f t="shared" si="16"/>
        <v>0</v>
      </c>
      <c r="M73" s="56">
        <f t="shared" si="16"/>
        <v>1185491.7864403382</v>
      </c>
      <c r="N73" s="56">
        <f t="shared" si="16"/>
        <v>115804.61760520494</v>
      </c>
      <c r="O73" s="184">
        <f t="shared" si="16"/>
        <v>5628835.0360845802</v>
      </c>
      <c r="P73" s="56">
        <f t="shared" si="16"/>
        <v>0</v>
      </c>
      <c r="Q73" s="56">
        <f t="shared" si="16"/>
        <v>6930131.4401301239</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185"/>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0.31</v>
      </c>
      <c r="H83" s="154">
        <v>0.04</v>
      </c>
      <c r="I83" s="154">
        <v>0.64999999999999991</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87</v>
      </c>
      <c r="F85" s="94"/>
      <c r="G85" s="94"/>
      <c r="H85" s="94"/>
      <c r="I85" s="94"/>
      <c r="J85" s="94"/>
      <c r="K85" s="161">
        <f>K73</f>
        <v>6721039</v>
      </c>
      <c r="M85" s="74"/>
      <c r="N85" s="158"/>
      <c r="O85" s="158"/>
      <c r="P85" s="158"/>
      <c r="Q85" s="158"/>
      <c r="R85" s="139"/>
      <c r="S85" s="139"/>
      <c r="T85" s="139"/>
      <c r="U85" s="139"/>
    </row>
    <row r="86" spans="5:25" x14ac:dyDescent="0.2">
      <c r="E86" s="128" t="s">
        <v>88</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89</v>
      </c>
      <c r="F88" s="94"/>
      <c r="G88" s="94"/>
      <c r="H88" s="94"/>
      <c r="I88" s="94"/>
      <c r="J88" s="94"/>
      <c r="K88" s="162">
        <f>SUM(K85:K87)</f>
        <v>6721039</v>
      </c>
      <c r="M88" s="74"/>
      <c r="N88" s="139"/>
      <c r="O88" s="139"/>
      <c r="P88" s="139"/>
      <c r="Q88" s="139"/>
      <c r="R88" s="139"/>
      <c r="S88" s="139"/>
      <c r="T88" s="139"/>
      <c r="U88" s="139"/>
    </row>
    <row r="89" spans="5:25" x14ac:dyDescent="0.2">
      <c r="E89" s="128" t="s">
        <v>90</v>
      </c>
      <c r="F89" s="94"/>
      <c r="G89" s="94"/>
      <c r="H89" s="94"/>
      <c r="I89" s="94"/>
      <c r="J89" s="94"/>
      <c r="K89" s="161">
        <f>I65</f>
        <v>3747000</v>
      </c>
      <c r="M89" s="74"/>
      <c r="N89" s="139"/>
      <c r="O89" s="163"/>
      <c r="P89" s="163"/>
      <c r="Q89" s="158"/>
      <c r="R89" s="139"/>
      <c r="S89" s="139"/>
      <c r="T89" s="139"/>
      <c r="U89" s="139"/>
    </row>
    <row r="90" spans="5:25" x14ac:dyDescent="0.2">
      <c r="E90" s="128" t="s">
        <v>91</v>
      </c>
      <c r="F90" s="94"/>
      <c r="G90" s="94"/>
      <c r="H90" s="94"/>
      <c r="I90" s="94"/>
      <c r="J90" s="94"/>
      <c r="K90" s="161">
        <f>G53</f>
        <v>288000</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92</v>
      </c>
      <c r="F92" s="94"/>
      <c r="G92" s="94"/>
      <c r="H92" s="94"/>
      <c r="I92" s="94"/>
      <c r="J92" s="94"/>
      <c r="K92" s="165">
        <f>K88-K89-K90-K91</f>
        <v>2686039</v>
      </c>
      <c r="M92" s="74"/>
      <c r="N92" s="139"/>
      <c r="O92" s="139"/>
      <c r="P92" s="139"/>
      <c r="Q92" s="139"/>
      <c r="R92" s="139"/>
      <c r="S92" s="139"/>
      <c r="T92" s="139"/>
      <c r="U92" s="139"/>
    </row>
    <row r="93" spans="5:25" ht="13.5" thickTop="1" x14ac:dyDescent="0.2">
      <c r="E93" s="128"/>
      <c r="F93" s="94"/>
      <c r="G93" s="94"/>
      <c r="H93" s="94"/>
      <c r="I93" s="94"/>
      <c r="J93" s="166" t="s">
        <v>93</v>
      </c>
      <c r="K93" s="161"/>
      <c r="M93" s="74"/>
      <c r="N93" s="139"/>
      <c r="O93" s="139"/>
      <c r="P93" s="139"/>
      <c r="Q93" s="158"/>
      <c r="R93" s="139"/>
      <c r="S93" s="139"/>
      <c r="T93" s="139"/>
      <c r="U93" s="139"/>
    </row>
    <row r="94" spans="5:25" x14ac:dyDescent="0.2">
      <c r="E94" s="128" t="s">
        <v>87</v>
      </c>
      <c r="F94" s="94"/>
      <c r="G94" s="86">
        <f>G73</f>
        <v>1120672</v>
      </c>
      <c r="H94" s="86">
        <f>H73</f>
        <v>107425</v>
      </c>
      <c r="I94" s="86">
        <f>I73</f>
        <v>5492942</v>
      </c>
      <c r="J94" s="86"/>
      <c r="K94" s="161"/>
      <c r="M94" s="74"/>
      <c r="N94" s="139"/>
      <c r="O94" s="139"/>
      <c r="P94" s="139"/>
      <c r="Q94" s="139"/>
      <c r="R94" s="139"/>
      <c r="S94" s="139"/>
      <c r="T94" s="139"/>
      <c r="U94" s="139">
        <v>0</v>
      </c>
      <c r="Y94" s="5">
        <v>900323.36</v>
      </c>
    </row>
    <row r="95" spans="5:25" x14ac:dyDescent="0.2">
      <c r="E95" s="128" t="s">
        <v>94</v>
      </c>
      <c r="F95" s="94"/>
      <c r="G95" s="86">
        <f>K90</f>
        <v>288000</v>
      </c>
      <c r="H95" s="167">
        <v>0</v>
      </c>
      <c r="I95" s="167">
        <f>K89</f>
        <v>3747000</v>
      </c>
      <c r="K95" s="159"/>
      <c r="M95" s="150"/>
      <c r="N95" s="139"/>
      <c r="O95" s="139"/>
      <c r="P95" s="139"/>
      <c r="Q95" s="139"/>
      <c r="R95" s="139"/>
      <c r="S95" s="139"/>
      <c r="T95" s="139"/>
      <c r="U95" s="139"/>
    </row>
    <row r="96" spans="5:25" ht="13.5" thickBot="1" x14ac:dyDescent="0.25">
      <c r="E96" s="128" t="s">
        <v>95</v>
      </c>
      <c r="F96" s="94"/>
      <c r="G96" s="168">
        <f>G94-G95</f>
        <v>832672</v>
      </c>
      <c r="H96" s="168">
        <f>H94-H95</f>
        <v>107425</v>
      </c>
      <c r="I96" s="168">
        <f>I94-I95</f>
        <v>1745942</v>
      </c>
      <c r="J96" s="84"/>
      <c r="K96" s="161"/>
      <c r="M96" s="150"/>
      <c r="N96" s="139"/>
      <c r="O96" s="139"/>
      <c r="P96" s="137"/>
      <c r="Q96" s="139"/>
      <c r="R96" s="139"/>
      <c r="S96" s="139"/>
      <c r="T96" s="139"/>
      <c r="U96" s="139"/>
    </row>
    <row r="97" spans="5:21" ht="14.25" thickTop="1" thickBot="1" x14ac:dyDescent="0.25">
      <c r="E97" s="128" t="s">
        <v>96</v>
      </c>
      <c r="F97" s="94"/>
      <c r="G97" s="169">
        <f>G96/$K$92</f>
        <v>0.30999996649341277</v>
      </c>
      <c r="H97" s="169">
        <f t="shared" ref="H97:I97" si="17">H96/$K$92</f>
        <v>3.9993834787953562E-2</v>
      </c>
      <c r="I97" s="169">
        <f t="shared" si="17"/>
        <v>0.65000619871863363</v>
      </c>
      <c r="J97" s="86"/>
      <c r="K97" s="161"/>
      <c r="M97" s="150"/>
      <c r="N97" s="139"/>
      <c r="O97" s="139"/>
      <c r="P97" s="139"/>
      <c r="Q97" s="139"/>
      <c r="R97" s="139"/>
      <c r="S97" s="139"/>
      <c r="T97" s="139"/>
      <c r="U97" s="139"/>
    </row>
    <row r="98" spans="5:21" ht="14.25" thickTop="1" thickBot="1" x14ac:dyDescent="0.25">
      <c r="E98" s="170"/>
      <c r="F98" s="171"/>
      <c r="G98" s="172" t="s">
        <v>97</v>
      </c>
      <c r="H98" s="172" t="s">
        <v>98</v>
      </c>
      <c r="I98" s="172" t="s">
        <v>6</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41" orientation="landscape" copies="2" r:id="rId1"/>
  <headerFooter alignWithMargins="0"/>
  <rowBreaks count="1" manualBreakCount="1">
    <brk id="59"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theme="4" tint="0.39997558519241921"/>
    <pageSetUpPr fitToPage="1"/>
  </sheetPr>
  <dimension ref="A1:Y105"/>
  <sheetViews>
    <sheetView zoomScale="90" zoomScaleNormal="90" workbookViewId="0">
      <pane xSplit="1" ySplit="8" topLeftCell="B42" activePane="bottomRight" state="frozen"/>
      <selection pane="topRight" activeCell="B1" sqref="B1"/>
      <selection pane="bottomLeft" activeCell="A9" sqref="A9"/>
      <selection pane="bottomRight" activeCell="H64" sqref="H6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11</v>
      </c>
      <c r="C2" s="132"/>
      <c r="D2" s="132"/>
      <c r="E2" s="132"/>
      <c r="F2" s="132"/>
      <c r="G2" s="198" t="s">
        <v>192</v>
      </c>
      <c r="H2" s="198"/>
      <c r="I2" s="198"/>
      <c r="J2" s="198"/>
      <c r="K2" s="198"/>
      <c r="M2" s="198" t="s">
        <v>193</v>
      </c>
      <c r="N2" s="198"/>
      <c r="O2" s="198"/>
      <c r="P2" s="198"/>
      <c r="Q2" s="198"/>
      <c r="R2" s="8"/>
      <c r="S2" s="8"/>
      <c r="T2" s="8"/>
      <c r="U2" s="8"/>
      <c r="V2" s="8"/>
      <c r="W2" s="8"/>
    </row>
    <row r="3" spans="2:25" ht="19.5" x14ac:dyDescent="0.25">
      <c r="B3" s="134" t="s">
        <v>12</v>
      </c>
      <c r="C3" s="132"/>
      <c r="D3" s="132"/>
    </row>
    <row r="4" spans="2:25" x14ac:dyDescent="0.2">
      <c r="B4" s="132" t="s">
        <v>160</v>
      </c>
      <c r="C4" s="132"/>
      <c r="D4" s="132"/>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5"/>
      <c r="C5" s="132"/>
      <c r="D5" s="135"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194</v>
      </c>
      <c r="D6" s="11"/>
      <c r="G6" s="16"/>
      <c r="H6" s="16" t="s">
        <v>24</v>
      </c>
      <c r="I6" s="16"/>
      <c r="J6" s="16"/>
      <c r="K6" s="16"/>
      <c r="M6" s="16"/>
      <c r="N6" s="16" t="s">
        <v>24</v>
      </c>
      <c r="O6" s="16"/>
      <c r="P6" s="16"/>
      <c r="Q6" s="16"/>
      <c r="R6" s="16"/>
      <c r="S6" s="16"/>
      <c r="T6" s="16"/>
      <c r="U6" s="16"/>
      <c r="V6" s="16"/>
      <c r="W6" s="16"/>
    </row>
    <row r="7" spans="2:25" ht="13.5" thickBot="1" x14ac:dyDescent="0.25">
      <c r="B7" s="132"/>
      <c r="G7" s="183" t="s">
        <v>25</v>
      </c>
      <c r="H7" s="183" t="s">
        <v>26</v>
      </c>
      <c r="I7" s="183" t="s">
        <v>27</v>
      </c>
      <c r="J7" s="183"/>
      <c r="K7" s="183" t="s">
        <v>28</v>
      </c>
      <c r="M7" s="183" t="s">
        <v>25</v>
      </c>
      <c r="N7" s="183" t="s">
        <v>26</v>
      </c>
      <c r="O7" s="183" t="s">
        <v>27</v>
      </c>
      <c r="P7" s="183"/>
      <c r="Q7" s="183" t="s">
        <v>28</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29</v>
      </c>
      <c r="D9" s="12" t="s">
        <v>30</v>
      </c>
      <c r="E9" s="18" t="s">
        <v>31</v>
      </c>
      <c r="G9" s="19"/>
      <c r="H9" s="19"/>
      <c r="I9" s="19"/>
      <c r="J9" s="19"/>
      <c r="K9" s="19"/>
      <c r="M9" s="19">
        <v>0</v>
      </c>
      <c r="N9" s="19">
        <v>0</v>
      </c>
      <c r="O9" s="19">
        <v>0</v>
      </c>
      <c r="P9" s="19">
        <v>0</v>
      </c>
      <c r="Q9" s="19">
        <f>SUM(M9:P9)</f>
        <v>0</v>
      </c>
      <c r="R9" s="19"/>
      <c r="S9" s="19"/>
      <c r="T9" s="19"/>
      <c r="U9" s="19"/>
      <c r="V9" s="19"/>
      <c r="W9" s="19"/>
    </row>
    <row r="10" spans="2:25" x14ac:dyDescent="0.2">
      <c r="B10" s="132" t="s">
        <v>32</v>
      </c>
      <c r="E10" s="18" t="s">
        <v>33</v>
      </c>
      <c r="G10" s="21"/>
      <c r="H10" s="21"/>
      <c r="I10" s="21"/>
      <c r="J10" s="21"/>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34</v>
      </c>
      <c r="E12" s="18" t="s">
        <v>31</v>
      </c>
      <c r="G12" s="19"/>
      <c r="H12" s="19"/>
      <c r="I12" s="19"/>
      <c r="J12" s="19"/>
      <c r="K12" s="19"/>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33</v>
      </c>
      <c r="G13" s="21"/>
      <c r="H13" s="21"/>
      <c r="I13" s="21"/>
      <c r="J13" s="21"/>
      <c r="K13" s="21"/>
      <c r="M13" s="21">
        <f t="shared" si="0"/>
        <v>0</v>
      </c>
      <c r="N13" s="21">
        <f t="shared" si="0"/>
        <v>0</v>
      </c>
      <c r="O13" s="21">
        <f t="shared" si="0"/>
        <v>0</v>
      </c>
      <c r="P13" s="21">
        <v>0</v>
      </c>
      <c r="Q13" s="21">
        <f>SUM(M13:P13)</f>
        <v>0</v>
      </c>
      <c r="R13" s="51"/>
      <c r="S13" s="51"/>
      <c r="T13" s="138"/>
      <c r="U13" s="51"/>
      <c r="V13" s="51"/>
      <c r="W13" s="51"/>
    </row>
    <row r="14" spans="2:25" x14ac:dyDescent="0.2">
      <c r="T14" s="139"/>
      <c r="Y14" s="27" t="s">
        <v>35</v>
      </c>
    </row>
    <row r="15" spans="2:25" x14ac:dyDescent="0.2">
      <c r="D15" s="12" t="s">
        <v>36</v>
      </c>
      <c r="E15" s="18" t="s">
        <v>37</v>
      </c>
      <c r="G15" s="19"/>
      <c r="H15" s="19"/>
      <c r="I15" s="19"/>
      <c r="J15" s="19"/>
      <c r="K15" s="19"/>
      <c r="M15" s="19">
        <v>0</v>
      </c>
      <c r="N15" s="19">
        <v>0</v>
      </c>
      <c r="O15" s="19">
        <v>0</v>
      </c>
      <c r="P15" s="19">
        <v>0</v>
      </c>
      <c r="Q15" s="19">
        <f t="shared" ref="Q15:Q20" si="1">SUM(M15:P15)</f>
        <v>0</v>
      </c>
      <c r="R15" s="19"/>
      <c r="S15" s="19"/>
      <c r="T15" s="137"/>
      <c r="U15" s="19"/>
      <c r="V15" s="19"/>
      <c r="W15" s="19"/>
    </row>
    <row r="16" spans="2:25" x14ac:dyDescent="0.2">
      <c r="D16" s="12" t="s">
        <v>38</v>
      </c>
      <c r="E16" s="18" t="s">
        <v>39</v>
      </c>
      <c r="G16" s="19"/>
      <c r="H16" s="19"/>
      <c r="I16" s="19"/>
      <c r="J16" s="19"/>
      <c r="K16" s="19"/>
      <c r="M16" s="19">
        <f>G16</f>
        <v>0</v>
      </c>
      <c r="N16" s="19">
        <f>H16</f>
        <v>0</v>
      </c>
      <c r="O16" s="19">
        <f>I16</f>
        <v>0</v>
      </c>
      <c r="P16" s="19">
        <f>J16</f>
        <v>0</v>
      </c>
      <c r="Q16" s="19">
        <f t="shared" si="1"/>
        <v>0</v>
      </c>
      <c r="R16" s="19"/>
      <c r="S16" s="19"/>
      <c r="T16" s="137"/>
      <c r="U16" s="19"/>
      <c r="V16" s="19"/>
      <c r="W16" s="19"/>
      <c r="Y16" s="5" t="s">
        <v>40</v>
      </c>
    </row>
    <row r="17" spans="2:25" x14ac:dyDescent="0.2">
      <c r="D17" s="140"/>
      <c r="E17" s="18" t="s">
        <v>41</v>
      </c>
      <c r="G17" s="19"/>
      <c r="H17" s="19"/>
      <c r="I17" s="19"/>
      <c r="J17" s="19"/>
      <c r="K17" s="19"/>
      <c r="M17" s="19">
        <v>0</v>
      </c>
      <c r="N17" s="19">
        <v>0</v>
      </c>
      <c r="O17" s="19">
        <v>0</v>
      </c>
      <c r="P17" s="19">
        <v>0</v>
      </c>
      <c r="Q17" s="19">
        <f t="shared" si="1"/>
        <v>0</v>
      </c>
      <c r="R17" s="19"/>
      <c r="S17" s="19"/>
      <c r="T17" s="137"/>
      <c r="U17" s="19"/>
      <c r="V17" s="19"/>
      <c r="W17" s="19"/>
      <c r="Y17" s="29">
        <v>614800</v>
      </c>
    </row>
    <row r="18" spans="2:25" x14ac:dyDescent="0.2">
      <c r="E18" s="18" t="s">
        <v>42</v>
      </c>
      <c r="G18" s="19"/>
      <c r="H18" s="19"/>
      <c r="I18" s="19"/>
      <c r="J18" s="19"/>
      <c r="K18" s="19"/>
      <c r="M18" s="19">
        <v>0</v>
      </c>
      <c r="N18" s="19">
        <v>0</v>
      </c>
      <c r="O18" s="19">
        <v>0</v>
      </c>
      <c r="P18" s="19">
        <v>0</v>
      </c>
      <c r="Q18" s="19">
        <f t="shared" si="1"/>
        <v>0</v>
      </c>
      <c r="R18" s="19"/>
      <c r="S18" s="19"/>
      <c r="T18" s="137"/>
      <c r="U18" s="19"/>
      <c r="V18" s="19"/>
      <c r="W18" s="19"/>
    </row>
    <row r="19" spans="2:25" x14ac:dyDescent="0.2">
      <c r="E19" s="18" t="s">
        <v>43</v>
      </c>
      <c r="G19" s="19"/>
      <c r="H19" s="19"/>
      <c r="I19" s="19"/>
      <c r="J19" s="19"/>
      <c r="K19" s="19"/>
      <c r="M19" s="19">
        <f>G19</f>
        <v>0</v>
      </c>
      <c r="N19" s="19">
        <f>H19</f>
        <v>0</v>
      </c>
      <c r="O19" s="19">
        <f>I19</f>
        <v>0</v>
      </c>
      <c r="P19" s="19">
        <f>J19</f>
        <v>0</v>
      </c>
      <c r="Q19" s="19">
        <f t="shared" si="1"/>
        <v>0</v>
      </c>
      <c r="R19" s="19"/>
      <c r="S19" s="19"/>
      <c r="T19" s="137"/>
      <c r="U19" s="19"/>
      <c r="V19" s="19"/>
      <c r="W19" s="19"/>
      <c r="Y19" s="5" t="s">
        <v>44</v>
      </c>
    </row>
    <row r="20" spans="2:25" x14ac:dyDescent="0.2">
      <c r="E20" s="18" t="s">
        <v>45</v>
      </c>
      <c r="G20" s="31"/>
      <c r="H20" s="31"/>
      <c r="I20" s="31"/>
      <c r="J20" s="31"/>
      <c r="K20" s="31"/>
      <c r="M20" s="19">
        <v>0</v>
      </c>
      <c r="N20" s="19">
        <v>0</v>
      </c>
      <c r="O20" s="19">
        <v>0</v>
      </c>
      <c r="P20" s="19">
        <v>0</v>
      </c>
      <c r="Q20" s="19">
        <f t="shared" si="1"/>
        <v>0</v>
      </c>
      <c r="R20" s="19"/>
      <c r="S20" s="19"/>
      <c r="T20" s="137"/>
      <c r="U20" s="19"/>
      <c r="V20" s="19"/>
      <c r="W20" s="19"/>
      <c r="Y20" s="29">
        <f>31030+1679</f>
        <v>32709</v>
      </c>
    </row>
    <row r="21" spans="2:25" x14ac:dyDescent="0.2">
      <c r="D21" s="132" t="s">
        <v>46</v>
      </c>
      <c r="E21" s="18"/>
      <c r="G21" s="32"/>
      <c r="H21" s="32"/>
      <c r="I21" s="32"/>
      <c r="J21" s="32"/>
      <c r="K21" s="32"/>
      <c r="M21" s="34">
        <f>M9+M12+SUM(M15:M20)</f>
        <v>0</v>
      </c>
      <c r="N21" s="34">
        <f>N9+N12+SUM(N15:N20)</f>
        <v>0</v>
      </c>
      <c r="O21" s="34">
        <f>O9+O12+SUM(O15:O20)</f>
        <v>0</v>
      </c>
      <c r="P21" s="34">
        <f>P9+P12+SUM(P15:P20)</f>
        <v>0</v>
      </c>
      <c r="Q21" s="34">
        <f>Q9+Q12+SUM(Q15:Q20)</f>
        <v>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47</v>
      </c>
    </row>
    <row r="23" spans="2:25" x14ac:dyDescent="0.2">
      <c r="B23" s="132" t="s">
        <v>48</v>
      </c>
      <c r="E23" s="18" t="s">
        <v>49</v>
      </c>
      <c r="G23" s="31"/>
      <c r="H23" s="31"/>
      <c r="I23" s="31"/>
      <c r="J23" s="31"/>
      <c r="K23" s="31"/>
      <c r="M23" s="31">
        <f>$Q$23*G$79</f>
        <v>0</v>
      </c>
      <c r="N23" s="31">
        <f>$Q$23*H$79</f>
        <v>0</v>
      </c>
      <c r="O23" s="31">
        <f>$Q$23*I$79</f>
        <v>0</v>
      </c>
      <c r="P23" s="31">
        <v>0</v>
      </c>
      <c r="Q23" s="31">
        <f>K23*Y23</f>
        <v>0</v>
      </c>
      <c r="R23" s="39"/>
      <c r="S23" s="39"/>
      <c r="T23" s="40">
        <f>251603.59-K23</f>
        <v>251603.59</v>
      </c>
      <c r="U23" s="39"/>
      <c r="V23" s="39"/>
      <c r="W23" s="39"/>
      <c r="Y23" s="41">
        <f>Y20/Y17</f>
        <v>5.320266753415745E-2</v>
      </c>
    </row>
    <row r="24" spans="2:25" x14ac:dyDescent="0.2">
      <c r="B24" s="132"/>
      <c r="D24" s="132" t="s">
        <v>50</v>
      </c>
      <c r="E24" s="18"/>
      <c r="G24" s="32"/>
      <c r="H24" s="32"/>
      <c r="I24" s="32"/>
      <c r="J24" s="32"/>
      <c r="K24" s="32"/>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51</v>
      </c>
      <c r="E26" s="18" t="s">
        <v>52</v>
      </c>
      <c r="G26" s="19"/>
      <c r="H26" s="19"/>
      <c r="I26" s="19"/>
      <c r="J26" s="19"/>
      <c r="K26" s="19"/>
      <c r="M26" s="39">
        <v>0</v>
      </c>
      <c r="N26" s="39">
        <v>0</v>
      </c>
      <c r="O26" s="39">
        <v>0</v>
      </c>
      <c r="P26" s="19">
        <v>0</v>
      </c>
      <c r="Q26" s="19">
        <f t="shared" ref="Q26:Q31" si="2">SUM(M26:P26)</f>
        <v>0</v>
      </c>
      <c r="R26" s="19"/>
      <c r="S26" s="19"/>
      <c r="T26" s="19"/>
      <c r="U26" s="19"/>
      <c r="V26" s="19"/>
      <c r="W26" s="19"/>
    </row>
    <row r="27" spans="2:25" x14ac:dyDescent="0.2">
      <c r="B27" s="132"/>
      <c r="E27" s="18" t="s">
        <v>53</v>
      </c>
      <c r="G27" s="19"/>
      <c r="H27" s="19"/>
      <c r="I27" s="19"/>
      <c r="J27" s="19"/>
      <c r="K27" s="19"/>
      <c r="M27" s="19">
        <f>G27</f>
        <v>0</v>
      </c>
      <c r="N27" s="19">
        <f>H27</f>
        <v>0</v>
      </c>
      <c r="O27" s="19">
        <f>I27</f>
        <v>0</v>
      </c>
      <c r="P27" s="19">
        <f>J27</f>
        <v>0</v>
      </c>
      <c r="Q27" s="19">
        <f>SUM(M27:P27)</f>
        <v>0</v>
      </c>
      <c r="R27" s="19"/>
      <c r="S27" s="19"/>
      <c r="T27" s="19"/>
      <c r="U27" s="19"/>
      <c r="V27" s="19"/>
      <c r="W27" s="19"/>
    </row>
    <row r="28" spans="2:25" x14ac:dyDescent="0.2">
      <c r="B28" s="132"/>
      <c r="E28" s="12" t="s">
        <v>54</v>
      </c>
      <c r="G28" s="19"/>
      <c r="H28" s="19"/>
      <c r="I28" s="19"/>
      <c r="J28" s="19"/>
      <c r="K28" s="19"/>
      <c r="M28" s="19">
        <v>0</v>
      </c>
      <c r="N28" s="19">
        <v>0</v>
      </c>
      <c r="O28" s="19">
        <v>0</v>
      </c>
      <c r="P28" s="19">
        <v>0</v>
      </c>
      <c r="Q28" s="19">
        <f t="shared" si="2"/>
        <v>0</v>
      </c>
      <c r="R28" s="19"/>
      <c r="S28" s="19"/>
      <c r="T28" s="19"/>
      <c r="U28" s="19"/>
      <c r="V28" s="19"/>
      <c r="W28" s="19"/>
    </row>
    <row r="29" spans="2:25" x14ac:dyDescent="0.2">
      <c r="B29" s="132"/>
      <c r="E29" s="18" t="s">
        <v>55</v>
      </c>
      <c r="G29" s="19"/>
      <c r="H29" s="19"/>
      <c r="I29" s="19"/>
      <c r="J29" s="19"/>
      <c r="K29" s="19"/>
      <c r="M29" s="19">
        <f t="shared" ref="M29:P30" si="3">G29</f>
        <v>0</v>
      </c>
      <c r="N29" s="19">
        <f t="shared" si="3"/>
        <v>0</v>
      </c>
      <c r="O29" s="19">
        <f t="shared" si="3"/>
        <v>0</v>
      </c>
      <c r="P29" s="19">
        <f t="shared" si="3"/>
        <v>0</v>
      </c>
      <c r="Q29" s="19">
        <f t="shared" si="2"/>
        <v>0</v>
      </c>
      <c r="R29" s="19"/>
      <c r="S29" s="19"/>
      <c r="T29" s="19"/>
      <c r="U29" s="19"/>
      <c r="V29" s="19"/>
      <c r="W29" s="19"/>
    </row>
    <row r="30" spans="2:25" x14ac:dyDescent="0.2">
      <c r="B30" s="132"/>
      <c r="E30" s="18" t="s">
        <v>56</v>
      </c>
      <c r="G30" s="31"/>
      <c r="H30" s="31"/>
      <c r="I30" s="31"/>
      <c r="J30" s="31"/>
      <c r="K30" s="31"/>
      <c r="M30" s="31">
        <f t="shared" si="3"/>
        <v>0</v>
      </c>
      <c r="N30" s="31">
        <f t="shared" si="3"/>
        <v>0</v>
      </c>
      <c r="O30" s="31">
        <f t="shared" si="3"/>
        <v>0</v>
      </c>
      <c r="P30" s="31">
        <f>J30</f>
        <v>0</v>
      </c>
      <c r="Q30" s="31">
        <f t="shared" si="2"/>
        <v>0</v>
      </c>
      <c r="R30" s="39"/>
      <c r="S30" s="39"/>
      <c r="T30" s="39"/>
      <c r="U30" s="39"/>
      <c r="V30" s="39"/>
      <c r="W30" s="39"/>
    </row>
    <row r="31" spans="2:25" x14ac:dyDescent="0.2">
      <c r="B31" s="132"/>
      <c r="D31" s="132" t="s">
        <v>57</v>
      </c>
      <c r="G31" s="32"/>
      <c r="H31" s="32"/>
      <c r="I31" s="32"/>
      <c r="J31" s="32"/>
      <c r="K31" s="32"/>
      <c r="M31" s="32">
        <f>SUM(M26:M30)</f>
        <v>0</v>
      </c>
      <c r="N31" s="32">
        <f>SUM(N26:N30)</f>
        <v>0</v>
      </c>
      <c r="O31" s="32">
        <f>SUM(O26:O30)</f>
        <v>0</v>
      </c>
      <c r="P31" s="32">
        <f>SUM(P26:P30)</f>
        <v>0</v>
      </c>
      <c r="Q31" s="32">
        <f t="shared" si="2"/>
        <v>0</v>
      </c>
      <c r="R31" s="32"/>
      <c r="S31" s="32"/>
      <c r="T31" s="32"/>
      <c r="U31" s="32"/>
      <c r="V31" s="32"/>
      <c r="W31" s="32"/>
    </row>
    <row r="32" spans="2:25" x14ac:dyDescent="0.2">
      <c r="B32" s="132"/>
    </row>
    <row r="33" spans="2:23" x14ac:dyDescent="0.2">
      <c r="B33" s="132" t="s">
        <v>58</v>
      </c>
      <c r="D33" s="132" t="s">
        <v>59</v>
      </c>
      <c r="E33" s="12" t="s">
        <v>60</v>
      </c>
      <c r="G33" s="19"/>
      <c r="H33" s="19"/>
      <c r="I33" s="19"/>
      <c r="J33" s="19"/>
      <c r="K33" s="19"/>
      <c r="M33" s="19">
        <f t="shared" ref="M33:P34" si="4">G33</f>
        <v>0</v>
      </c>
      <c r="N33" s="19">
        <f t="shared" si="4"/>
        <v>0</v>
      </c>
      <c r="O33" s="19">
        <f t="shared" si="4"/>
        <v>0</v>
      </c>
      <c r="P33" s="19">
        <f t="shared" si="4"/>
        <v>0</v>
      </c>
      <c r="Q33" s="19">
        <f>SUM(M33:P33)</f>
        <v>0</v>
      </c>
      <c r="R33" s="19"/>
      <c r="S33" s="19"/>
      <c r="T33" s="19"/>
      <c r="U33" s="19"/>
      <c r="V33" s="19"/>
      <c r="W33" s="19"/>
    </row>
    <row r="34" spans="2:23" x14ac:dyDescent="0.2">
      <c r="B34" s="132" t="s">
        <v>61</v>
      </c>
      <c r="D34" s="132" t="s">
        <v>62</v>
      </c>
      <c r="E34" s="12" t="s">
        <v>63</v>
      </c>
      <c r="G34" s="19"/>
      <c r="H34" s="19"/>
      <c r="I34" s="19"/>
      <c r="J34" s="19"/>
      <c r="K34" s="19"/>
      <c r="M34" s="19">
        <f t="shared" si="4"/>
        <v>0</v>
      </c>
      <c r="N34" s="19">
        <f t="shared" si="4"/>
        <v>0</v>
      </c>
      <c r="O34" s="19">
        <f t="shared" si="4"/>
        <v>0</v>
      </c>
      <c r="P34" s="19">
        <f t="shared" si="4"/>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64</v>
      </c>
      <c r="E36" s="12" t="s">
        <v>65</v>
      </c>
      <c r="G36" s="19"/>
      <c r="H36" s="19"/>
      <c r="I36" s="19"/>
      <c r="J36" s="19"/>
      <c r="K36" s="19"/>
      <c r="M36" s="19">
        <f t="shared" ref="M36:P41" si="5">G36</f>
        <v>0</v>
      </c>
      <c r="N36" s="19">
        <f t="shared" si="5"/>
        <v>0</v>
      </c>
      <c r="O36" s="19">
        <f t="shared" si="5"/>
        <v>0</v>
      </c>
      <c r="P36" s="19">
        <f t="shared" si="5"/>
        <v>0</v>
      </c>
      <c r="Q36" s="19">
        <f t="shared" ref="Q36:Q41" si="6">SUM(M36:P36)</f>
        <v>0</v>
      </c>
      <c r="R36" s="19"/>
      <c r="S36" s="19"/>
      <c r="T36" s="19"/>
      <c r="U36" s="19"/>
      <c r="V36" s="19"/>
      <c r="W36" s="19"/>
    </row>
    <row r="37" spans="2:23" x14ac:dyDescent="0.2">
      <c r="D37" s="132" t="s">
        <v>66</v>
      </c>
      <c r="E37" s="12" t="s">
        <v>67</v>
      </c>
      <c r="G37" s="19"/>
      <c r="H37" s="19"/>
      <c r="I37" s="19"/>
      <c r="J37" s="19"/>
      <c r="K37" s="19"/>
      <c r="M37" s="19">
        <f t="shared" si="5"/>
        <v>0</v>
      </c>
      <c r="N37" s="19">
        <f t="shared" si="5"/>
        <v>0</v>
      </c>
      <c r="O37" s="19">
        <f t="shared" si="5"/>
        <v>0</v>
      </c>
      <c r="P37" s="19">
        <f t="shared" si="5"/>
        <v>0</v>
      </c>
      <c r="Q37" s="19">
        <f t="shared" si="6"/>
        <v>0</v>
      </c>
      <c r="R37" s="19"/>
      <c r="S37" s="19"/>
      <c r="T37" s="19"/>
      <c r="U37" s="19"/>
      <c r="V37" s="19"/>
      <c r="W37" s="19"/>
    </row>
    <row r="38" spans="2:23" x14ac:dyDescent="0.2">
      <c r="D38" s="132"/>
      <c r="E38" s="12" t="s">
        <v>68</v>
      </c>
      <c r="G38" s="19"/>
      <c r="H38" s="19"/>
      <c r="I38" s="19"/>
      <c r="J38" s="19"/>
      <c r="K38" s="19"/>
      <c r="M38" s="19">
        <f t="shared" si="5"/>
        <v>0</v>
      </c>
      <c r="N38" s="19">
        <f t="shared" si="5"/>
        <v>0</v>
      </c>
      <c r="O38" s="19">
        <f t="shared" si="5"/>
        <v>0</v>
      </c>
      <c r="P38" s="19">
        <f t="shared" si="5"/>
        <v>0</v>
      </c>
      <c r="Q38" s="19">
        <f t="shared" si="6"/>
        <v>0</v>
      </c>
      <c r="R38" s="19"/>
      <c r="S38" s="19"/>
      <c r="T38" s="19"/>
      <c r="U38" s="19"/>
      <c r="V38" s="19"/>
      <c r="W38" s="19"/>
    </row>
    <row r="39" spans="2:23" x14ac:dyDescent="0.2">
      <c r="D39" s="132"/>
      <c r="E39" s="12" t="s">
        <v>69</v>
      </c>
      <c r="G39" s="19"/>
      <c r="H39" s="19"/>
      <c r="I39" s="19"/>
      <c r="J39" s="19"/>
      <c r="K39" s="19"/>
      <c r="M39" s="19">
        <f t="shared" si="5"/>
        <v>0</v>
      </c>
      <c r="N39" s="19">
        <f t="shared" si="5"/>
        <v>0</v>
      </c>
      <c r="O39" s="19">
        <f t="shared" si="5"/>
        <v>0</v>
      </c>
      <c r="P39" s="19">
        <f t="shared" si="5"/>
        <v>0</v>
      </c>
      <c r="Q39" s="19">
        <f t="shared" si="6"/>
        <v>0</v>
      </c>
      <c r="R39" s="19"/>
      <c r="S39" s="19"/>
      <c r="T39" s="19"/>
      <c r="U39" s="19"/>
      <c r="V39" s="19"/>
      <c r="W39" s="19"/>
    </row>
    <row r="40" spans="2:23" x14ac:dyDescent="0.2">
      <c r="D40" s="132"/>
      <c r="E40" s="12" t="s">
        <v>70</v>
      </c>
      <c r="G40" s="19"/>
      <c r="H40" s="19"/>
      <c r="I40" s="19"/>
      <c r="J40" s="19"/>
      <c r="K40" s="19"/>
      <c r="M40" s="19">
        <f t="shared" si="5"/>
        <v>0</v>
      </c>
      <c r="N40" s="19">
        <f t="shared" si="5"/>
        <v>0</v>
      </c>
      <c r="O40" s="19">
        <f t="shared" si="5"/>
        <v>0</v>
      </c>
      <c r="P40" s="19">
        <f t="shared" si="5"/>
        <v>0</v>
      </c>
      <c r="Q40" s="19">
        <f t="shared" si="6"/>
        <v>0</v>
      </c>
      <c r="R40" s="19"/>
      <c r="S40" s="19"/>
      <c r="T40" s="19"/>
      <c r="U40" s="19"/>
      <c r="V40" s="19"/>
      <c r="W40" s="19"/>
    </row>
    <row r="41" spans="2:23" x14ac:dyDescent="0.2">
      <c r="D41" s="132"/>
      <c r="E41" s="12" t="s">
        <v>71</v>
      </c>
      <c r="G41" s="19"/>
      <c r="H41" s="19"/>
      <c r="I41" s="19"/>
      <c r="J41" s="19"/>
      <c r="K41" s="19"/>
      <c r="M41" s="19">
        <f t="shared" si="5"/>
        <v>0</v>
      </c>
      <c r="N41" s="19">
        <f t="shared" si="5"/>
        <v>0</v>
      </c>
      <c r="O41" s="19">
        <f t="shared" si="5"/>
        <v>0</v>
      </c>
      <c r="P41" s="19">
        <f t="shared" si="5"/>
        <v>0</v>
      </c>
      <c r="Q41" s="19">
        <f t="shared" si="6"/>
        <v>0</v>
      </c>
      <c r="R41" s="19"/>
      <c r="S41" s="19"/>
      <c r="T41" s="19"/>
      <c r="U41" s="19"/>
      <c r="V41" s="19"/>
      <c r="W41" s="19"/>
    </row>
    <row r="42" spans="2:23" x14ac:dyDescent="0.2">
      <c r="D42" s="132"/>
      <c r="Q42" s="19"/>
      <c r="R42" s="19"/>
      <c r="S42" s="19"/>
      <c r="T42" s="19"/>
      <c r="U42" s="19"/>
      <c r="V42" s="19"/>
      <c r="W42" s="19"/>
    </row>
    <row r="43" spans="2:23" x14ac:dyDescent="0.2">
      <c r="D43" s="132"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1:24" x14ac:dyDescent="0.2">
      <c r="D49" s="132"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1:24" x14ac:dyDescent="0.2">
      <c r="D50" s="132" t="s">
        <v>76</v>
      </c>
    </row>
    <row r="51" spans="1:24" x14ac:dyDescent="0.2">
      <c r="D51" s="132"/>
    </row>
    <row r="52" spans="1:24" x14ac:dyDescent="0.2">
      <c r="B52" s="132"/>
      <c r="D52" s="132"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1:24" x14ac:dyDescent="0.2">
      <c r="D53" s="132" t="s">
        <v>77</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1:24" x14ac:dyDescent="0.2">
      <c r="B54" s="132"/>
      <c r="G54" s="19"/>
    </row>
    <row r="55" spans="1:24" x14ac:dyDescent="0.2">
      <c r="B55" s="132" t="s">
        <v>78</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1:24" x14ac:dyDescent="0.2">
      <c r="B56" s="132" t="s">
        <v>79</v>
      </c>
      <c r="D56" s="19"/>
    </row>
    <row r="57" spans="1:24" ht="13.5" thickBot="1" x14ac:dyDescent="0.25">
      <c r="K57" s="19"/>
      <c r="Q57" s="144"/>
      <c r="R57" s="145"/>
      <c r="S57" s="145"/>
      <c r="T57" s="145"/>
      <c r="U57" s="145"/>
      <c r="V57" s="145"/>
      <c r="W57" s="145"/>
    </row>
    <row r="58" spans="1:24" x14ac:dyDescent="0.2">
      <c r="B58" s="132" t="s">
        <v>80</v>
      </c>
      <c r="E58" s="19"/>
      <c r="G58" s="146">
        <f>G21+G24+G31+G53+G55</f>
        <v>0</v>
      </c>
      <c r="H58" s="146">
        <f>H21+H24+H31+H53+H55</f>
        <v>0</v>
      </c>
      <c r="I58" s="146">
        <f>I21+I24+I31+I53+I55</f>
        <v>0</v>
      </c>
      <c r="J58" s="146">
        <f>J21+J24+J31+J53+J55</f>
        <v>0</v>
      </c>
      <c r="K58" s="146">
        <f>SUM(G58:J58)</f>
        <v>0</v>
      </c>
      <c r="L58" s="147"/>
      <c r="M58" s="146">
        <f>M21+M24+M31+M53+M55</f>
        <v>0</v>
      </c>
      <c r="N58" s="146">
        <f>N21+N24+N31+N53+N55</f>
        <v>0</v>
      </c>
      <c r="O58" s="146">
        <f>O21+O24+O31+O53+O55</f>
        <v>0</v>
      </c>
      <c r="P58" s="146">
        <f>P21+P24+P31+P53+P55</f>
        <v>0</v>
      </c>
      <c r="Q58" s="146">
        <f>SUM(M58:P58)</f>
        <v>0</v>
      </c>
      <c r="R58" s="141"/>
      <c r="S58" s="141"/>
      <c r="T58" s="141"/>
      <c r="U58" s="141"/>
      <c r="V58" s="141"/>
      <c r="W58" s="141"/>
    </row>
    <row r="61" spans="1:24" ht="14.25" x14ac:dyDescent="0.2">
      <c r="B61" s="136" t="s">
        <v>81</v>
      </c>
    </row>
    <row r="62" spans="1:24" x14ac:dyDescent="0.2">
      <c r="E62" s="18"/>
    </row>
    <row r="63" spans="1:24" s="5" customFormat="1" x14ac:dyDescent="0.2">
      <c r="A63" s="12"/>
      <c r="B63" s="12"/>
      <c r="C63" s="12"/>
      <c r="D63" s="12" t="s">
        <v>84</v>
      </c>
      <c r="E63" s="18" t="s">
        <v>31</v>
      </c>
      <c r="F63" s="12"/>
      <c r="G63" s="57">
        <v>233767.53236224089</v>
      </c>
      <c r="H63" s="57">
        <v>1870.1186390292678</v>
      </c>
      <c r="I63" s="57">
        <v>14362.348998729833</v>
      </c>
      <c r="J63" s="19">
        <v>0</v>
      </c>
      <c r="K63" s="19">
        <f>I63+H63+G63</f>
        <v>250000</v>
      </c>
      <c r="L63" s="12"/>
      <c r="M63" s="19">
        <f>G63</f>
        <v>233767.53236224089</v>
      </c>
      <c r="N63" s="19">
        <f>H63</f>
        <v>1870.1186390292678</v>
      </c>
      <c r="O63" s="19">
        <f>I63</f>
        <v>14362.348998729833</v>
      </c>
      <c r="P63" s="19">
        <f>J63</f>
        <v>0</v>
      </c>
      <c r="Q63" s="19">
        <f>K63</f>
        <v>250000</v>
      </c>
      <c r="R63" s="19"/>
      <c r="S63" s="19"/>
      <c r="T63" s="19"/>
      <c r="U63" s="19"/>
      <c r="V63" s="19"/>
      <c r="W63" s="19"/>
      <c r="X63" s="12"/>
    </row>
    <row r="64" spans="1:24" s="5" customFormat="1" ht="13.5" thickBo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94"/>
    </row>
    <row r="65" spans="1:24" s="5" customFormat="1" ht="13.5" thickBot="1" x14ac:dyDescent="0.25">
      <c r="A65" s="12"/>
      <c r="B65" s="132" t="s">
        <v>85</v>
      </c>
      <c r="C65" s="12"/>
      <c r="D65" s="12"/>
      <c r="E65" s="18" t="s">
        <v>31</v>
      </c>
      <c r="F65" s="12"/>
      <c r="G65" s="146">
        <f>G63</f>
        <v>233767.53236224089</v>
      </c>
      <c r="H65" s="146">
        <f t="shared" ref="H65:Q66" si="7">H63</f>
        <v>1870.1186390292678</v>
      </c>
      <c r="I65" s="146">
        <f t="shared" si="7"/>
        <v>14362.348998729833</v>
      </c>
      <c r="J65" s="146">
        <f t="shared" si="7"/>
        <v>0</v>
      </c>
      <c r="K65" s="146">
        <f t="shared" si="7"/>
        <v>250000</v>
      </c>
      <c r="L65" s="12"/>
      <c r="M65" s="146">
        <f t="shared" si="7"/>
        <v>233767.53236224089</v>
      </c>
      <c r="N65" s="146">
        <f t="shared" si="7"/>
        <v>1870.1186390292678</v>
      </c>
      <c r="O65" s="146">
        <f t="shared" si="7"/>
        <v>14362.348998729833</v>
      </c>
      <c r="P65" s="146">
        <f t="shared" si="7"/>
        <v>0</v>
      </c>
      <c r="Q65" s="146">
        <f t="shared" si="7"/>
        <v>250000</v>
      </c>
      <c r="R65" s="141"/>
      <c r="S65" s="141"/>
      <c r="T65" s="141"/>
      <c r="U65" s="141"/>
      <c r="V65" s="141"/>
      <c r="W65" s="141"/>
      <c r="X65" s="145"/>
    </row>
    <row r="66" spans="1:24" s="5" customFormat="1" x14ac:dyDescent="0.2">
      <c r="A66" s="12"/>
      <c r="B66" s="132"/>
      <c r="C66" s="12"/>
      <c r="D66" s="12"/>
      <c r="E66" s="18" t="s">
        <v>33</v>
      </c>
      <c r="F66" s="12"/>
      <c r="G66" s="146">
        <f>G64</f>
        <v>0</v>
      </c>
      <c r="H66" s="146">
        <f t="shared" si="7"/>
        <v>0</v>
      </c>
      <c r="I66" s="146">
        <f t="shared" si="7"/>
        <v>0</v>
      </c>
      <c r="J66" s="146">
        <f t="shared" si="7"/>
        <v>0</v>
      </c>
      <c r="K66" s="146">
        <f t="shared" si="7"/>
        <v>0</v>
      </c>
      <c r="L66" s="12"/>
      <c r="M66" s="146">
        <f t="shared" si="7"/>
        <v>0</v>
      </c>
      <c r="N66" s="146">
        <f t="shared" si="7"/>
        <v>0</v>
      </c>
      <c r="O66" s="146">
        <f t="shared" si="7"/>
        <v>0</v>
      </c>
      <c r="P66" s="146">
        <f t="shared" si="7"/>
        <v>0</v>
      </c>
      <c r="Q66" s="146">
        <f t="shared" si="7"/>
        <v>0</v>
      </c>
      <c r="R66" s="149"/>
      <c r="S66" s="149"/>
      <c r="T66" s="149"/>
      <c r="U66" s="149"/>
      <c r="V66" s="149"/>
      <c r="W66" s="149"/>
      <c r="X66" s="12"/>
    </row>
    <row r="67" spans="1:24" s="5" customFormat="1" x14ac:dyDescent="0.2">
      <c r="A67" s="12"/>
      <c r="B67" s="12"/>
      <c r="C67" s="12"/>
      <c r="D67" s="12"/>
      <c r="E67" s="12"/>
      <c r="F67" s="12"/>
      <c r="G67" s="12"/>
      <c r="H67" s="12"/>
      <c r="I67" s="12"/>
      <c r="J67" s="12"/>
      <c r="K67" s="19"/>
      <c r="L67" s="12"/>
      <c r="M67" s="12"/>
      <c r="N67" s="12"/>
      <c r="O67" s="12"/>
      <c r="P67" s="12"/>
      <c r="Q67" s="12"/>
      <c r="R67" s="12"/>
      <c r="S67" s="12"/>
      <c r="T67" s="12"/>
      <c r="U67" s="12"/>
      <c r="V67" s="12"/>
      <c r="W67" s="12"/>
      <c r="X67" s="19"/>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row>
    <row r="69" spans="1:24" s="5" customFormat="1" ht="15" thickBot="1" x14ac:dyDescent="0.25">
      <c r="A69" s="12"/>
      <c r="B69" s="136" t="s">
        <v>86</v>
      </c>
      <c r="C69" s="12"/>
      <c r="D69" s="12"/>
      <c r="E69" s="12"/>
      <c r="F69" s="12"/>
      <c r="G69" s="56">
        <f t="shared" ref="G69:Q69" si="8">G58+G65</f>
        <v>233767.53236224089</v>
      </c>
      <c r="H69" s="56">
        <f t="shared" si="8"/>
        <v>1870.1186390292678</v>
      </c>
      <c r="I69" s="56">
        <f t="shared" si="8"/>
        <v>14362.348998729833</v>
      </c>
      <c r="J69" s="56">
        <f t="shared" si="8"/>
        <v>0</v>
      </c>
      <c r="K69" s="56">
        <f>K58+K65</f>
        <v>250000</v>
      </c>
      <c r="L69" s="56">
        <f t="shared" si="8"/>
        <v>0</v>
      </c>
      <c r="M69" s="56">
        <f t="shared" si="8"/>
        <v>233767.53236224089</v>
      </c>
      <c r="N69" s="56">
        <f t="shared" si="8"/>
        <v>1870.1186390292678</v>
      </c>
      <c r="O69" s="184">
        <f t="shared" si="8"/>
        <v>14362.348998729833</v>
      </c>
      <c r="P69" s="56">
        <f t="shared" si="8"/>
        <v>0</v>
      </c>
      <c r="Q69" s="56">
        <f t="shared" si="8"/>
        <v>250000</v>
      </c>
      <c r="R69" s="141"/>
      <c r="S69" s="141"/>
      <c r="T69" s="141"/>
      <c r="U69" s="141"/>
      <c r="V69" s="141"/>
      <c r="W69" s="141"/>
      <c r="X69" s="12"/>
    </row>
    <row r="70" spans="1:24" s="5" customFormat="1" ht="13.5" thickTop="1" x14ac:dyDescent="0.2">
      <c r="A70" s="12"/>
      <c r="B70" s="12"/>
      <c r="C70" s="12"/>
      <c r="D70" s="12"/>
      <c r="E70" s="12"/>
      <c r="F70" s="12"/>
      <c r="G70" s="12"/>
      <c r="H70" s="12"/>
      <c r="I70" s="57"/>
      <c r="J70" s="12"/>
      <c r="K70" s="12"/>
      <c r="L70" s="12"/>
      <c r="M70" s="12"/>
      <c r="N70" s="12"/>
      <c r="O70" s="58"/>
      <c r="P70" s="12"/>
      <c r="Q70" s="12"/>
      <c r="R70" s="12"/>
      <c r="S70" s="12"/>
      <c r="T70" s="12"/>
      <c r="U70" s="12"/>
      <c r="V70" s="12"/>
      <c r="W70" s="12"/>
      <c r="X70" s="12"/>
    </row>
    <row r="71" spans="1:24" x14ac:dyDescent="0.2">
      <c r="I71" s="57"/>
      <c r="K71" s="19"/>
      <c r="O71" s="58"/>
    </row>
    <row r="72" spans="1:24" x14ac:dyDescent="0.2">
      <c r="G72" s="140"/>
      <c r="H72" s="140"/>
      <c r="I72" s="140"/>
      <c r="J72" s="19"/>
      <c r="K72" s="19"/>
      <c r="O72" s="185"/>
    </row>
    <row r="73" spans="1:24" x14ac:dyDescent="0.2">
      <c r="G73" s="182"/>
      <c r="H73" s="182"/>
      <c r="I73" s="182"/>
      <c r="K73" s="19"/>
      <c r="O73" s="108"/>
    </row>
    <row r="74" spans="1:24" x14ac:dyDescent="0.2">
      <c r="G74" s="60"/>
      <c r="H74" s="60"/>
      <c r="I74" s="60"/>
      <c r="K74" s="19"/>
      <c r="O74" s="58"/>
    </row>
    <row r="75" spans="1:24" x14ac:dyDescent="0.2">
      <c r="G75" s="57"/>
      <c r="H75" s="57"/>
      <c r="I75" s="57"/>
      <c r="J75" s="19"/>
      <c r="K75" s="19"/>
      <c r="M75" s="150"/>
      <c r="N75" s="150"/>
      <c r="O75" s="62"/>
      <c r="P75" s="150"/>
      <c r="Q75" s="150"/>
      <c r="R75" s="150"/>
      <c r="S75" s="150"/>
      <c r="T75" s="150"/>
      <c r="U75" s="150"/>
    </row>
    <row r="76" spans="1:24" x14ac:dyDescent="0.2">
      <c r="G76" s="57"/>
      <c r="H76" s="57"/>
      <c r="I76" s="57"/>
      <c r="K76" s="19"/>
      <c r="M76" s="150"/>
      <c r="N76" s="150"/>
      <c r="O76" s="62"/>
      <c r="P76" s="150"/>
      <c r="Q76" s="150"/>
      <c r="R76" s="150"/>
      <c r="S76" s="150"/>
      <c r="T76" s="150"/>
      <c r="U76" s="150"/>
    </row>
    <row r="77" spans="1:24" x14ac:dyDescent="0.2">
      <c r="G77" s="151"/>
      <c r="I77" s="57"/>
      <c r="M77" s="150"/>
      <c r="N77" s="150"/>
      <c r="O77" s="62"/>
      <c r="P77" s="150"/>
      <c r="Q77" s="150"/>
      <c r="R77" s="150"/>
      <c r="S77" s="150"/>
      <c r="T77" s="150"/>
      <c r="U77" s="150"/>
    </row>
    <row r="78" spans="1:24" ht="13.5" thickBot="1" x14ac:dyDescent="0.25">
      <c r="M78" s="150"/>
      <c r="N78" s="150"/>
      <c r="O78" s="150"/>
      <c r="P78" s="150"/>
      <c r="Q78" s="150"/>
      <c r="R78" s="150"/>
      <c r="S78" s="150"/>
      <c r="T78" s="150"/>
      <c r="U78" s="150"/>
    </row>
    <row r="79" spans="1:24" x14ac:dyDescent="0.2">
      <c r="E79" s="152"/>
      <c r="F79" s="153"/>
      <c r="G79" s="154">
        <f>G69/K69</f>
        <v>0.93507012944896362</v>
      </c>
      <c r="H79" s="154">
        <f>H69/K69</f>
        <v>7.4804745561170708E-3</v>
      </c>
      <c r="I79" s="154">
        <f>I69/K69</f>
        <v>5.7449395994919328E-2</v>
      </c>
      <c r="J79" s="153"/>
      <c r="K79" s="181"/>
      <c r="M79" s="156"/>
      <c r="N79" s="157"/>
      <c r="O79" s="157"/>
      <c r="P79" s="157"/>
      <c r="Q79" s="158"/>
      <c r="R79" s="139"/>
      <c r="S79" s="139"/>
      <c r="T79" s="139"/>
      <c r="U79" s="139"/>
    </row>
    <row r="80" spans="1:24" x14ac:dyDescent="0.2">
      <c r="E80" s="128"/>
      <c r="F80" s="94"/>
      <c r="G80" s="94"/>
      <c r="H80" s="94"/>
      <c r="I80" s="94"/>
      <c r="J80" s="94"/>
      <c r="K80" s="159"/>
      <c r="M80" s="72"/>
      <c r="N80" s="139"/>
      <c r="O80" s="139"/>
      <c r="P80" s="139"/>
      <c r="Q80" s="139"/>
      <c r="R80" s="139"/>
      <c r="S80" s="139"/>
      <c r="T80" s="139"/>
      <c r="U80" s="139"/>
    </row>
    <row r="81" spans="5:25" x14ac:dyDescent="0.2">
      <c r="E81" s="128" t="s">
        <v>87</v>
      </c>
      <c r="F81" s="94"/>
      <c r="G81" s="94"/>
      <c r="H81" s="94"/>
      <c r="I81" s="94"/>
      <c r="J81" s="94"/>
      <c r="K81" s="161">
        <v>250000</v>
      </c>
      <c r="M81" s="74"/>
      <c r="N81" s="158"/>
      <c r="O81" s="158"/>
      <c r="P81" s="158"/>
      <c r="Q81" s="158"/>
      <c r="R81" s="139"/>
      <c r="S81" s="139"/>
      <c r="T81" s="139"/>
      <c r="U81" s="139"/>
    </row>
    <row r="82" spans="5:25" x14ac:dyDescent="0.2">
      <c r="E82" s="128" t="s">
        <v>88</v>
      </c>
      <c r="F82" s="94"/>
      <c r="G82" s="94"/>
      <c r="H82" s="94"/>
      <c r="I82" s="94"/>
      <c r="J82" s="94"/>
      <c r="K82" s="161">
        <v>0</v>
      </c>
      <c r="M82" s="150"/>
      <c r="N82" s="139"/>
      <c r="O82" s="139"/>
      <c r="P82" s="139"/>
      <c r="Q82" s="139"/>
      <c r="R82" s="139"/>
      <c r="S82" s="139"/>
      <c r="T82" s="139"/>
      <c r="U82" s="139"/>
    </row>
    <row r="83" spans="5:25" x14ac:dyDescent="0.2">
      <c r="E83" s="128"/>
      <c r="F83" s="94"/>
      <c r="G83" s="94"/>
      <c r="H83" s="94"/>
      <c r="I83" s="94"/>
      <c r="J83" s="94"/>
      <c r="K83" s="161"/>
      <c r="M83" s="74"/>
      <c r="N83" s="139"/>
      <c r="O83" s="139"/>
      <c r="P83" s="139"/>
      <c r="Q83" s="139"/>
      <c r="R83" s="139"/>
      <c r="S83" s="139"/>
      <c r="T83" s="139"/>
      <c r="U83" s="139"/>
    </row>
    <row r="84" spans="5:25" x14ac:dyDescent="0.2">
      <c r="E84" s="128" t="s">
        <v>89</v>
      </c>
      <c r="F84" s="94"/>
      <c r="G84" s="94"/>
      <c r="H84" s="94"/>
      <c r="I84" s="94"/>
      <c r="J84" s="94"/>
      <c r="K84" s="162">
        <f>SUM(K81:K83)</f>
        <v>250000</v>
      </c>
      <c r="M84" s="74"/>
      <c r="N84" s="139"/>
      <c r="O84" s="139"/>
      <c r="P84" s="139"/>
      <c r="Q84" s="139"/>
      <c r="R84" s="139"/>
      <c r="S84" s="139"/>
      <c r="T84" s="139"/>
      <c r="U84" s="139"/>
    </row>
    <row r="85" spans="5:25" x14ac:dyDescent="0.2">
      <c r="E85" s="128" t="s">
        <v>90</v>
      </c>
      <c r="F85" s="94"/>
      <c r="G85" s="94"/>
      <c r="H85" s="94"/>
      <c r="I85" s="94"/>
      <c r="J85" s="94"/>
      <c r="K85" s="161"/>
      <c r="M85" s="74"/>
      <c r="N85" s="139"/>
      <c r="O85" s="163"/>
      <c r="P85" s="163"/>
      <c r="Q85" s="158"/>
      <c r="R85" s="139"/>
      <c r="S85" s="139"/>
      <c r="T85" s="139"/>
      <c r="U85" s="139"/>
    </row>
    <row r="86" spans="5:25" x14ac:dyDescent="0.2">
      <c r="E86" s="128" t="s">
        <v>91</v>
      </c>
      <c r="F86" s="94"/>
      <c r="G86" s="94"/>
      <c r="H86" s="94"/>
      <c r="I86" s="94"/>
      <c r="J86" s="94"/>
      <c r="K86" s="161"/>
      <c r="M86" s="74"/>
      <c r="N86" s="139"/>
      <c r="O86" s="163"/>
      <c r="P86" s="163"/>
      <c r="Q86" s="158"/>
      <c r="R86" s="139"/>
      <c r="S86" s="139"/>
      <c r="T86" s="139"/>
      <c r="U86" s="139"/>
    </row>
    <row r="87" spans="5:25" x14ac:dyDescent="0.2">
      <c r="E87" s="128"/>
      <c r="F87" s="94"/>
      <c r="G87" s="94"/>
      <c r="H87" s="94"/>
      <c r="I87" s="94"/>
      <c r="J87" s="94"/>
      <c r="K87" s="161"/>
      <c r="M87" s="74"/>
      <c r="N87" s="139"/>
      <c r="O87" s="163"/>
      <c r="P87" s="163"/>
      <c r="Q87" s="158"/>
      <c r="R87" s="139"/>
      <c r="S87" s="139"/>
      <c r="T87" s="139"/>
      <c r="U87" s="139"/>
    </row>
    <row r="88" spans="5:25" ht="13.5" thickBot="1" x14ac:dyDescent="0.25">
      <c r="E88" s="128" t="s">
        <v>92</v>
      </c>
      <c r="F88" s="94"/>
      <c r="G88" s="94"/>
      <c r="H88" s="94"/>
      <c r="I88" s="94"/>
      <c r="J88" s="94"/>
      <c r="K88" s="165">
        <f>K84-K85-K86-K87</f>
        <v>250000</v>
      </c>
      <c r="M88" s="74"/>
      <c r="N88" s="139"/>
      <c r="O88" s="139"/>
      <c r="P88" s="139"/>
      <c r="Q88" s="139"/>
      <c r="R88" s="139"/>
      <c r="S88" s="139"/>
      <c r="T88" s="139"/>
      <c r="U88" s="139"/>
    </row>
    <row r="89" spans="5:25" ht="13.5" thickTop="1" x14ac:dyDescent="0.2">
      <c r="E89" s="128"/>
      <c r="F89" s="94"/>
      <c r="G89" s="94"/>
      <c r="H89" s="94"/>
      <c r="I89" s="94"/>
      <c r="J89" s="166" t="s">
        <v>93</v>
      </c>
      <c r="K89" s="161"/>
      <c r="M89" s="74"/>
      <c r="N89" s="139"/>
      <c r="O89" s="139"/>
      <c r="P89" s="139"/>
      <c r="Q89" s="158"/>
      <c r="R89" s="139"/>
      <c r="S89" s="139"/>
      <c r="T89" s="139"/>
      <c r="U89" s="139"/>
    </row>
    <row r="90" spans="5:25" x14ac:dyDescent="0.2">
      <c r="E90" s="128" t="s">
        <v>87</v>
      </c>
      <c r="F90" s="94"/>
      <c r="G90" s="86">
        <v>173002</v>
      </c>
      <c r="H90" s="86">
        <v>1384</v>
      </c>
      <c r="I90" s="86">
        <v>10629</v>
      </c>
      <c r="J90" s="86"/>
      <c r="K90" s="161"/>
      <c r="M90" s="74"/>
      <c r="N90" s="139"/>
      <c r="O90" s="139"/>
      <c r="P90" s="139"/>
      <c r="Q90" s="139"/>
      <c r="R90" s="139"/>
      <c r="S90" s="139"/>
      <c r="T90" s="139"/>
      <c r="U90" s="139">
        <v>0</v>
      </c>
      <c r="Y90" s="5">
        <v>900323.36</v>
      </c>
    </row>
    <row r="91" spans="5:25" x14ac:dyDescent="0.2">
      <c r="E91" s="128" t="s">
        <v>94</v>
      </c>
      <c r="F91" s="94"/>
      <c r="G91" s="86">
        <v>0</v>
      </c>
      <c r="H91" s="167">
        <v>0</v>
      </c>
      <c r="I91" s="167">
        <v>0</v>
      </c>
      <c r="K91" s="159"/>
      <c r="M91" s="150"/>
      <c r="N91" s="139"/>
      <c r="O91" s="139"/>
      <c r="P91" s="139"/>
      <c r="Q91" s="139"/>
      <c r="R91" s="139"/>
      <c r="S91" s="139"/>
      <c r="T91" s="139"/>
      <c r="U91" s="139"/>
    </row>
    <row r="92" spans="5:25" ht="13.5" thickBot="1" x14ac:dyDescent="0.25">
      <c r="E92" s="128" t="s">
        <v>95</v>
      </c>
      <c r="F92" s="94"/>
      <c r="G92" s="168">
        <f>G90+G91</f>
        <v>173002</v>
      </c>
      <c r="H92" s="168">
        <f t="shared" ref="H92" si="9">H90+H91</f>
        <v>1384</v>
      </c>
      <c r="I92" s="168">
        <f>I90+I91</f>
        <v>10629</v>
      </c>
      <c r="J92" s="84"/>
      <c r="K92" s="161"/>
      <c r="M92" s="150"/>
      <c r="N92" s="139"/>
      <c r="O92" s="139"/>
      <c r="P92" s="137"/>
      <c r="Q92" s="139"/>
      <c r="R92" s="139"/>
      <c r="S92" s="139"/>
      <c r="T92" s="139"/>
      <c r="U92" s="139"/>
    </row>
    <row r="93" spans="5:25" ht="14.25" thickTop="1" thickBot="1" x14ac:dyDescent="0.25">
      <c r="E93" s="128" t="s">
        <v>96</v>
      </c>
      <c r="F93" s="94"/>
      <c r="G93" s="169">
        <f>G92/$K$88</f>
        <v>0.69200799999999996</v>
      </c>
      <c r="H93" s="169">
        <f t="shared" ref="H93:I93" si="10">H92/$K$88</f>
        <v>5.5360000000000001E-3</v>
      </c>
      <c r="I93" s="169">
        <f t="shared" si="10"/>
        <v>4.2515999999999998E-2</v>
      </c>
      <c r="J93" s="86"/>
      <c r="K93" s="161"/>
      <c r="M93" s="150"/>
      <c r="N93" s="139"/>
      <c r="O93" s="139"/>
      <c r="P93" s="139"/>
      <c r="Q93" s="139"/>
      <c r="R93" s="139"/>
      <c r="S93" s="139"/>
      <c r="T93" s="139"/>
      <c r="U93" s="139"/>
    </row>
    <row r="94" spans="5:25" ht="14.25" thickTop="1" thickBot="1" x14ac:dyDescent="0.25">
      <c r="E94" s="170"/>
      <c r="F94" s="171"/>
      <c r="G94" s="172" t="s">
        <v>97</v>
      </c>
      <c r="H94" s="172" t="s">
        <v>98</v>
      </c>
      <c r="I94" s="172" t="s">
        <v>6</v>
      </c>
      <c r="J94" s="171"/>
      <c r="K94" s="173"/>
      <c r="M94" s="150"/>
      <c r="N94" s="174"/>
      <c r="O94" s="174"/>
      <c r="P94" s="174"/>
      <c r="Q94" s="139"/>
      <c r="R94" s="139"/>
      <c r="S94" s="139"/>
      <c r="T94" s="139"/>
      <c r="U94" s="139"/>
    </row>
    <row r="95" spans="5:25" x14ac:dyDescent="0.2">
      <c r="J95" s="153"/>
      <c r="K95" s="175"/>
      <c r="M95" s="150"/>
      <c r="N95" s="174"/>
      <c r="O95" s="174"/>
      <c r="P95" s="174"/>
      <c r="Q95" s="139"/>
      <c r="R95" s="139"/>
      <c r="S95" s="139"/>
      <c r="T95" s="139"/>
      <c r="U95" s="139"/>
    </row>
    <row r="96" spans="5:25" x14ac:dyDescent="0.2">
      <c r="J96" s="86"/>
      <c r="K96" s="86"/>
      <c r="M96" s="150"/>
      <c r="N96" s="139"/>
      <c r="O96" s="139"/>
      <c r="P96" s="139"/>
      <c r="Q96" s="139"/>
      <c r="R96" s="139"/>
      <c r="S96" s="139"/>
      <c r="T96" s="139"/>
      <c r="U96" s="139"/>
    </row>
    <row r="97" spans="5:21" x14ac:dyDescent="0.2">
      <c r="E97" s="93"/>
      <c r="F97" s="94"/>
      <c r="G97" s="86"/>
      <c r="H97" s="86"/>
      <c r="I97" s="95"/>
      <c r="J97" s="176"/>
      <c r="K97" s="95"/>
      <c r="M97" s="150"/>
      <c r="N97" s="139"/>
      <c r="O97" s="139"/>
      <c r="P97" s="139"/>
      <c r="Q97" s="139"/>
      <c r="R97" s="139"/>
      <c r="S97" s="139"/>
      <c r="T97" s="139"/>
      <c r="U97" s="139"/>
    </row>
    <row r="98" spans="5:21" x14ac:dyDescent="0.2">
      <c r="E98" s="94"/>
      <c r="F98" s="94"/>
      <c r="G98" s="94"/>
      <c r="H98" s="94"/>
      <c r="I98" s="95"/>
      <c r="J98" s="176"/>
      <c r="K98" s="176"/>
      <c r="M98" s="177"/>
      <c r="N98" s="178"/>
      <c r="O98" s="178"/>
      <c r="P98" s="178"/>
      <c r="Q98" s="139"/>
      <c r="R98" s="139"/>
      <c r="S98" s="139"/>
      <c r="T98" s="139"/>
      <c r="U98" s="139"/>
    </row>
    <row r="99" spans="5:21" x14ac:dyDescent="0.2">
      <c r="E99" s="94"/>
      <c r="F99" s="94"/>
      <c r="G99" s="94"/>
      <c r="H99" s="86"/>
      <c r="I99" s="86"/>
      <c r="J99" s="94"/>
      <c r="K99" s="94"/>
      <c r="M99" s="150"/>
      <c r="N99" s="139"/>
      <c r="O99" s="139"/>
      <c r="P99" s="139"/>
      <c r="Q99" s="139"/>
      <c r="R99" s="139"/>
      <c r="S99" s="139"/>
      <c r="T99" s="139"/>
      <c r="U99" s="139"/>
    </row>
    <row r="100" spans="5:21" x14ac:dyDescent="0.2">
      <c r="E100" s="94"/>
      <c r="F100" s="94"/>
      <c r="G100" s="100"/>
      <c r="H100" s="100"/>
      <c r="I100" s="100"/>
      <c r="M100" s="150"/>
      <c r="N100" s="150"/>
      <c r="O100" s="150"/>
      <c r="P100" s="150"/>
      <c r="Q100" s="150"/>
      <c r="R100" s="150"/>
      <c r="S100" s="150"/>
      <c r="T100" s="150"/>
      <c r="U100" s="150"/>
    </row>
    <row r="101" spans="5:21" x14ac:dyDescent="0.2">
      <c r="E101" s="94"/>
      <c r="F101" s="94"/>
      <c r="G101" s="86"/>
      <c r="H101" s="86"/>
      <c r="I101" s="86"/>
      <c r="M101" s="150"/>
      <c r="N101" s="150"/>
      <c r="O101" s="150"/>
      <c r="P101" s="150"/>
      <c r="Q101" s="150"/>
      <c r="R101" s="150"/>
      <c r="S101" s="150"/>
      <c r="T101" s="150"/>
      <c r="U101" s="150"/>
    </row>
    <row r="102" spans="5:21" x14ac:dyDescent="0.2">
      <c r="E102" s="94"/>
      <c r="F102" s="94"/>
      <c r="G102" s="100"/>
      <c r="H102" s="100"/>
      <c r="I102" s="100"/>
      <c r="M102" s="150"/>
      <c r="N102" s="150"/>
      <c r="O102" s="150"/>
      <c r="P102" s="150"/>
      <c r="Q102" s="150"/>
      <c r="R102" s="150"/>
      <c r="S102" s="150"/>
      <c r="T102" s="150"/>
      <c r="U102" s="150"/>
    </row>
    <row r="103" spans="5:21" x14ac:dyDescent="0.2">
      <c r="E103" s="94"/>
      <c r="F103" s="94"/>
      <c r="G103" s="101"/>
      <c r="H103" s="101"/>
      <c r="I103" s="101"/>
      <c r="J103" s="94"/>
      <c r="M103" s="150"/>
      <c r="N103" s="150"/>
      <c r="O103" s="150"/>
      <c r="P103" s="150"/>
      <c r="Q103" s="150"/>
      <c r="R103" s="150"/>
      <c r="S103" s="150"/>
      <c r="T103" s="150"/>
      <c r="U103" s="150"/>
    </row>
    <row r="104" spans="5:21" x14ac:dyDescent="0.2">
      <c r="G104" s="86"/>
      <c r="H104" s="86"/>
      <c r="I104" s="86"/>
      <c r="J104" s="94"/>
      <c r="M104" s="150"/>
      <c r="N104" s="150"/>
      <c r="O104" s="150"/>
      <c r="P104" s="150"/>
      <c r="Q104" s="150"/>
      <c r="R104" s="150"/>
      <c r="S104" s="150"/>
      <c r="T104" s="150"/>
      <c r="U104" s="150"/>
    </row>
    <row r="105" spans="5:21" x14ac:dyDescent="0.2">
      <c r="G105" s="94"/>
      <c r="H105" s="94"/>
      <c r="I105" s="94"/>
      <c r="J105" s="94"/>
      <c r="M105" s="150"/>
      <c r="N105" s="150"/>
      <c r="O105" s="150"/>
      <c r="P105" s="150"/>
      <c r="Q105" s="150"/>
      <c r="R105" s="150"/>
      <c r="S105" s="150"/>
      <c r="T105" s="150"/>
      <c r="U105" s="150"/>
    </row>
  </sheetData>
  <mergeCells count="2">
    <mergeCell ref="G2:K2"/>
    <mergeCell ref="M2:Q2"/>
  </mergeCells>
  <printOptions horizontalCentered="1"/>
  <pageMargins left="0.25" right="0.25" top="0.25" bottom="0.25" header="0.25" footer="0"/>
  <pageSetup scale="41"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FF54135-6197-4A02-A2B6-AB31F85A46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Summary</vt:lpstr>
      <vt:lpstr>Exh 3 Feb 10 Ice Storm_D 67%</vt:lpstr>
      <vt:lpstr>Exh 3A Mar 3 Windstorm_Distr</vt:lpstr>
      <vt:lpstr>Exh 3B Mar 3 Windstorm_Trans</vt:lpstr>
      <vt:lpstr>Exh 3C Mar 25 Windstorm_Distr</vt:lpstr>
      <vt:lpstr>Exh 3D Apr 1 Windstorm_Distr</vt:lpstr>
      <vt:lpstr>Exh 3E Apr 1 Windstorm_Trans</vt:lpstr>
      <vt:lpstr>'Exh 3 Feb 10 Ice Storm_D 67%'!Print_Area</vt:lpstr>
      <vt:lpstr>'Exh 3A Mar 3 Windstorm_Distr'!Print_Area</vt:lpstr>
      <vt:lpstr>'Exh 3B Mar 3 Windstorm_Trans'!Print_Area</vt:lpstr>
      <vt:lpstr>'Exh 3C Mar 25 Windstorm_Distr'!Print_Area</vt:lpstr>
      <vt:lpstr>'Exh 3D Apr 1 Windstorm_Distr'!Print_Area</vt:lpstr>
      <vt:lpstr>'Exh 3E Apr 1 Windstorm_Trans'!Print_Area</vt:lpstr>
      <vt:lpstr>Summary!Print_Area</vt:lpstr>
      <vt:lpstr>'Exh 3 Feb 10 Ice Storm_D 67%'!Print_Titles</vt:lpstr>
      <vt:lpstr>'Exh 3A Mar 3 Windstorm_Distr'!Print_Titles</vt:lpstr>
      <vt:lpstr>'Exh 3B Mar 3 Windstorm_Trans'!Print_Titles</vt:lpstr>
      <vt:lpstr>'Exh 3C Mar 25 Windstorm_Distr'!Print_Titles</vt:lpstr>
      <vt:lpstr>'Exh 3D Apr 1 Windstorm_Distr'!Print_Titles</vt:lpstr>
      <vt:lpstr>'Exh 3E Apr 1 Windstorm_Trans'!Print_Titles</vt:lpstr>
      <vt:lpstr>'Exh 3 Feb 10 Ice Storm_D 67%'!TotalOTHours</vt:lpstr>
      <vt:lpstr>'Exh 3A Mar 3 Windstorm_Distr'!TotalOTHours</vt:lpstr>
      <vt:lpstr>'Exh 3B Mar 3 Windstorm_Trans'!TotalOTHours</vt:lpstr>
      <vt:lpstr>'Exh 3C Mar 25 Windstorm_Distr'!TotalOTHours</vt:lpstr>
      <vt:lpstr>'Exh 3D Apr 1 Windstorm_Distr'!TotalOTHours</vt:lpstr>
      <vt:lpstr>'Exh 3E Apr 1 Windstorm_Trans'!TotalOTHours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s290792</cp:lastModifiedBy>
  <dcterms:created xsi:type="dcterms:W3CDTF">2021-03-15T15:22:35Z</dcterms:created>
  <dcterms:modified xsi:type="dcterms:W3CDTF">2023-05-01T16:33:42Z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1913921d-15d5-458a-892d-552c1e6157be</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ies>
</file>