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18595\Desktop\KRWA\N Marshall\RFI 1\"/>
    </mc:Choice>
  </mc:AlternateContent>
  <xr:revisionPtr revIDLastSave="0" documentId="8_{42ACF64B-28C8-426F-ABA0-FDAAC5022C0A}" xr6:coauthVersionLast="47" xr6:coauthVersionMax="47" xr10:uidLastSave="{00000000-0000-0000-0000-000000000000}"/>
  <bookViews>
    <workbookView xWindow="-110" yWindow="-110" windowWidth="19420" windowHeight="10300" tabRatio="641" xr2:uid="{00000000-000D-0000-FFFF-FFFF00000000}"/>
  </bookViews>
  <sheets>
    <sheet name="SAO" sheetId="6" r:id="rId1"/>
    <sheet name="References" sheetId="58" r:id="rId2"/>
    <sheet name="Wages" sheetId="55" r:id="rId3"/>
    <sheet name="Debt Service" sheetId="50" r:id="rId4"/>
    <sheet name="Depreciation" sheetId="51" r:id="rId5"/>
    <sheet name="Capital" sheetId="56" r:id="rId6"/>
    <sheet name="Medical" sheetId="40" r:id="rId7"/>
    <sheet name="Water Loss" sheetId="54" r:id="rId8"/>
    <sheet name="Rates" sheetId="2" r:id="rId9"/>
    <sheet name="Bills" sheetId="42" r:id="rId10"/>
    <sheet name="ExBA" sheetId="52" r:id="rId11"/>
    <sheet name="PrBA" sheetId="53" r:id="rId12"/>
  </sheets>
  <definedNames>
    <definedName name="AHV">#REF!</definedName>
    <definedName name="_xlnm.Print_Area" localSheetId="9">Bills!$B$1:$I$27</definedName>
    <definedName name="_xlnm.Print_Area" localSheetId="3">'Debt Service'!$A$1:$O$25</definedName>
    <definedName name="_xlnm.Print_Area" localSheetId="4">Depreciation!$A$1:$L$50</definedName>
    <definedName name="_xlnm.Print_Area" localSheetId="11">PrBA!$A$1:$L$37</definedName>
    <definedName name="_xlnm.Print_Area" localSheetId="8">Rates!$B$2:$I$21</definedName>
    <definedName name="_xlnm.Print_Area" localSheetId="0">SAO!$A$1:$G$62</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55" l="1"/>
  <c r="I34" i="55"/>
  <c r="I33" i="55"/>
  <c r="G70" i="6"/>
  <c r="G69" i="6"/>
  <c r="G54" i="6"/>
  <c r="E23" i="6"/>
  <c r="E22" i="6"/>
  <c r="F48" i="55"/>
  <c r="E21" i="6"/>
  <c r="F46" i="55"/>
  <c r="E46" i="55"/>
  <c r="K16" i="55"/>
  <c r="F50" i="55"/>
  <c r="D47" i="55"/>
  <c r="J5" i="55"/>
  <c r="I30" i="55"/>
  <c r="C71" i="55"/>
  <c r="E20" i="6"/>
  <c r="G23" i="6" s="1"/>
  <c r="L31" i="40"/>
  <c r="L29" i="40"/>
  <c r="B28" i="40"/>
  <c r="C23" i="53"/>
  <c r="C22" i="53"/>
  <c r="C21" i="53"/>
  <c r="C20" i="53"/>
  <c r="C19" i="53"/>
  <c r="C18" i="53"/>
  <c r="C17" i="53"/>
  <c r="C22" i="52"/>
  <c r="C21" i="52"/>
  <c r="C20" i="52"/>
  <c r="C19" i="52"/>
  <c r="C18" i="52"/>
  <c r="C17" i="52"/>
  <c r="C16" i="52"/>
  <c r="M23" i="50" l="1"/>
  <c r="H46" i="51" l="1"/>
  <c r="I27" i="40" l="1"/>
  <c r="L27" i="40" s="1"/>
  <c r="L13" i="40"/>
  <c r="L12" i="40"/>
  <c r="L11" i="40"/>
  <c r="L10" i="40"/>
  <c r="L9" i="40"/>
  <c r="B25" i="40"/>
  <c r="J13" i="40"/>
  <c r="J6" i="40"/>
  <c r="I17" i="40"/>
  <c r="I16" i="40"/>
  <c r="I12" i="40"/>
  <c r="I11" i="40"/>
  <c r="I10" i="40"/>
  <c r="I9" i="40"/>
  <c r="I8" i="40"/>
  <c r="C18" i="40"/>
  <c r="B18" i="40"/>
  <c r="E12" i="40"/>
  <c r="F12" i="40" s="1"/>
  <c r="G12" i="40" s="1"/>
  <c r="J12" i="40" s="1"/>
  <c r="E11" i="40"/>
  <c r="E10" i="40"/>
  <c r="D13" i="40"/>
  <c r="I13" i="40" s="1"/>
  <c r="D12" i="40"/>
  <c r="D11" i="40"/>
  <c r="D10" i="40"/>
  <c r="D9" i="40"/>
  <c r="F9" i="40" s="1"/>
  <c r="G9" i="40" s="1"/>
  <c r="D8" i="40"/>
  <c r="F8" i="40" s="1"/>
  <c r="G8" i="40" s="1"/>
  <c r="D7" i="40"/>
  <c r="I7" i="40" s="1"/>
  <c r="D6" i="40"/>
  <c r="F6" i="40" s="1"/>
  <c r="G6" i="40" s="1"/>
  <c r="F13" i="40"/>
  <c r="G13" i="40" s="1"/>
  <c r="I28" i="40" l="1"/>
  <c r="J10" i="40"/>
  <c r="M12" i="40"/>
  <c r="F11" i="40"/>
  <c r="G11" i="40" s="1"/>
  <c r="J11" i="40" s="1"/>
  <c r="M11" i="40" s="1"/>
  <c r="M13" i="40"/>
  <c r="J8" i="40"/>
  <c r="L6" i="40"/>
  <c r="M6" i="40" s="1"/>
  <c r="M10" i="40"/>
  <c r="I6" i="40"/>
  <c r="J9" i="40"/>
  <c r="M9" i="40" s="1"/>
  <c r="L7" i="40"/>
  <c r="E7" i="40"/>
  <c r="F7" i="40" s="1"/>
  <c r="G7" i="40" s="1"/>
  <c r="J7" i="40" s="1"/>
  <c r="L8" i="40"/>
  <c r="M8" i="40" s="1"/>
  <c r="F10" i="40"/>
  <c r="G10" i="40" s="1"/>
  <c r="M7" i="40" l="1"/>
  <c r="G15" i="55" l="1"/>
  <c r="G14" i="55"/>
  <c r="G13" i="55"/>
  <c r="G12" i="55"/>
  <c r="G11" i="55"/>
  <c r="G10" i="55"/>
  <c r="G9" i="55"/>
  <c r="G8" i="55"/>
  <c r="G7" i="55"/>
  <c r="G6" i="55"/>
  <c r="C33" i="53"/>
  <c r="C31" i="53"/>
  <c r="C30" i="53"/>
  <c r="C29" i="53"/>
  <c r="C28" i="53"/>
  <c r="F8" i="53"/>
  <c r="F8" i="52"/>
  <c r="G16" i="55" l="1"/>
  <c r="C24" i="53"/>
  <c r="D6" i="53" s="1"/>
  <c r="C35" i="53"/>
  <c r="E6" i="53" s="1"/>
  <c r="C34" i="52"/>
  <c r="C32" i="52"/>
  <c r="C30" i="52"/>
  <c r="C29" i="52"/>
  <c r="C28" i="52"/>
  <c r="C23" i="52"/>
  <c r="C27" i="52"/>
  <c r="E28" i="6"/>
  <c r="E18" i="6"/>
  <c r="C5" i="56" l="1"/>
  <c r="E27" i="6" l="1"/>
  <c r="B57" i="55"/>
  <c r="D27" i="52"/>
  <c r="E27" i="52" s="1"/>
  <c r="D17" i="52"/>
  <c r="E17" i="52" s="1"/>
  <c r="D18" i="52"/>
  <c r="E18" i="52" s="1"/>
  <c r="D19" i="52"/>
  <c r="E19" i="52" s="1"/>
  <c r="D20" i="52"/>
  <c r="E20" i="52" s="1"/>
  <c r="D21" i="52"/>
  <c r="E21" i="52" s="1"/>
  <c r="D22" i="52"/>
  <c r="E22" i="52" s="1"/>
  <c r="D16" i="52"/>
  <c r="E16" i="52" s="1"/>
  <c r="C52" i="55"/>
  <c r="F10" i="52"/>
  <c r="F15" i="55"/>
  <c r="I15" i="55" s="1"/>
  <c r="J15" i="55" s="1"/>
  <c r="F14" i="55"/>
  <c r="F13" i="55"/>
  <c r="F12" i="55"/>
  <c r="F11" i="55"/>
  <c r="F10" i="55"/>
  <c r="F9" i="55"/>
  <c r="F8" i="55"/>
  <c r="F7" i="55"/>
  <c r="F6" i="55"/>
  <c r="G35" i="6"/>
  <c r="G33" i="6"/>
  <c r="G32" i="6"/>
  <c r="G31" i="6"/>
  <c r="G30" i="6"/>
  <c r="H15" i="55"/>
  <c r="H9" i="55"/>
  <c r="H8" i="55"/>
  <c r="H7" i="55"/>
  <c r="D28" i="52" l="1"/>
  <c r="I9" i="55"/>
  <c r="J9" i="55" s="1"/>
  <c r="I8" i="55"/>
  <c r="J8" i="55" s="1"/>
  <c r="I7" i="55"/>
  <c r="J7" i="55" s="1"/>
  <c r="E6" i="52"/>
  <c r="E23" i="52"/>
  <c r="F6" i="52" s="1"/>
  <c r="D6" i="52"/>
  <c r="D36" i="54" s="1"/>
  <c r="D29" i="52" l="1"/>
  <c r="E28" i="52"/>
  <c r="E17" i="42"/>
  <c r="E24" i="42"/>
  <c r="E23" i="42"/>
  <c r="E22" i="42"/>
  <c r="E21" i="42"/>
  <c r="E20" i="42"/>
  <c r="E19" i="42"/>
  <c r="E18" i="42"/>
  <c r="E16" i="42"/>
  <c r="E15" i="42"/>
  <c r="E14" i="42"/>
  <c r="E13" i="42"/>
  <c r="E12" i="42"/>
  <c r="E11" i="42"/>
  <c r="E10" i="42"/>
  <c r="E9" i="42"/>
  <c r="F17" i="2"/>
  <c r="F16" i="2"/>
  <c r="F15" i="2"/>
  <c r="F14" i="2"/>
  <c r="F13" i="2"/>
  <c r="F12" i="2"/>
  <c r="F11" i="2"/>
  <c r="D30" i="52" l="1"/>
  <c r="E29" i="52"/>
  <c r="D22" i="40"/>
  <c r="D31" i="52" l="1"/>
  <c r="E30" i="52"/>
  <c r="I22" i="40"/>
  <c r="L22" i="40"/>
  <c r="F22" i="40"/>
  <c r="G22" i="40" s="1"/>
  <c r="J22" i="40" s="1"/>
  <c r="D15" i="40"/>
  <c r="D24" i="40"/>
  <c r="F24" i="40" s="1"/>
  <c r="G24" i="40" s="1"/>
  <c r="D23" i="40"/>
  <c r="D21" i="40"/>
  <c r="I21" i="40" s="1"/>
  <c r="D14" i="40"/>
  <c r="I14" i="40" s="1"/>
  <c r="G8" i="6"/>
  <c r="L16" i="50"/>
  <c r="M12" i="50"/>
  <c r="D16" i="50"/>
  <c r="K16" i="50"/>
  <c r="I16" i="50"/>
  <c r="H16" i="50"/>
  <c r="G16" i="50"/>
  <c r="F16" i="50"/>
  <c r="E16" i="50"/>
  <c r="C16" i="50"/>
  <c r="F5" i="55"/>
  <c r="F16" i="55" s="1"/>
  <c r="F54" i="51"/>
  <c r="J27" i="51"/>
  <c r="I22" i="55"/>
  <c r="B32" i="54"/>
  <c r="B31" i="54"/>
  <c r="B30" i="54"/>
  <c r="G11" i="6"/>
  <c r="A32" i="54"/>
  <c r="A31" i="54"/>
  <c r="A30" i="54"/>
  <c r="D32" i="52" l="1"/>
  <c r="E31" i="52"/>
  <c r="I15" i="40"/>
  <c r="I18" i="40" s="1"/>
  <c r="L15" i="40"/>
  <c r="I23" i="40"/>
  <c r="D25" i="40"/>
  <c r="L16" i="40"/>
  <c r="E15" i="40"/>
  <c r="D18" i="40"/>
  <c r="M22" i="40"/>
  <c r="J16" i="40"/>
  <c r="F14" i="40"/>
  <c r="G14" i="40" s="1"/>
  <c r="J14" i="40" s="1"/>
  <c r="L23" i="40"/>
  <c r="L25" i="40" s="1"/>
  <c r="F21" i="40"/>
  <c r="G21" i="40" s="1"/>
  <c r="J21" i="40" s="1"/>
  <c r="F23" i="40"/>
  <c r="G23" i="40" s="1"/>
  <c r="J23" i="40" s="1"/>
  <c r="J24" i="40"/>
  <c r="I24" i="40"/>
  <c r="L21" i="40"/>
  <c r="L24" i="40"/>
  <c r="L17" i="40"/>
  <c r="L14" i="40"/>
  <c r="J16" i="50"/>
  <c r="F44" i="51"/>
  <c r="J19" i="51"/>
  <c r="J18" i="51"/>
  <c r="J42" i="51"/>
  <c r="J23" i="51"/>
  <c r="K23" i="51" s="1"/>
  <c r="D33" i="52" l="1"/>
  <c r="E33" i="52" s="1"/>
  <c r="E34" i="52" s="1"/>
  <c r="E32" i="52"/>
  <c r="E18" i="40"/>
  <c r="F15" i="40"/>
  <c r="G15" i="40" s="1"/>
  <c r="J15" i="40" s="1"/>
  <c r="M15" i="40"/>
  <c r="I25" i="40"/>
  <c r="L18" i="40"/>
  <c r="M16" i="40"/>
  <c r="M14" i="40"/>
  <c r="M23" i="40"/>
  <c r="J25" i="40"/>
  <c r="M21" i="40"/>
  <c r="M24" i="40"/>
  <c r="J17" i="40"/>
  <c r="J18" i="40" s="1"/>
  <c r="K19" i="51"/>
  <c r="K18" i="51"/>
  <c r="K42" i="51"/>
  <c r="C8" i="56"/>
  <c r="C7" i="56"/>
  <c r="H10" i="55"/>
  <c r="I10" i="55" s="1"/>
  <c r="J10" i="55" s="1"/>
  <c r="H14" i="55"/>
  <c r="I14" i="55" s="1"/>
  <c r="J14" i="55" s="1"/>
  <c r="H12" i="55"/>
  <c r="I12" i="55" s="1"/>
  <c r="J12" i="55" s="1"/>
  <c r="H6" i="55"/>
  <c r="I6" i="55" s="1"/>
  <c r="H5" i="55"/>
  <c r="C21" i="54"/>
  <c r="C13" i="54"/>
  <c r="C4" i="54"/>
  <c r="F7" i="52" l="1"/>
  <c r="F9" i="52" s="1"/>
  <c r="E37" i="52"/>
  <c r="J6" i="55"/>
  <c r="M25" i="40"/>
  <c r="M17" i="40"/>
  <c r="M18" i="40" s="1"/>
  <c r="C22" i="54"/>
  <c r="D25" i="54"/>
  <c r="D27" i="54" s="1"/>
  <c r="H11" i="55"/>
  <c r="I11" i="55" s="1"/>
  <c r="J11" i="55" s="1"/>
  <c r="H13" i="55"/>
  <c r="I13" i="55" s="1"/>
  <c r="J13" i="55" s="1"/>
  <c r="J16" i="55" s="1"/>
  <c r="F11" i="52" l="1"/>
  <c r="E6" i="6" s="1"/>
  <c r="F10" i="53"/>
  <c r="I16" i="55"/>
  <c r="H16" i="55"/>
  <c r="C32" i="54"/>
  <c r="D32" i="54" s="1"/>
  <c r="E26" i="6" s="1"/>
  <c r="G27" i="6" s="1"/>
  <c r="C31" i="54"/>
  <c r="D31" i="54" s="1"/>
  <c r="E25" i="6" s="1"/>
  <c r="C30" i="54"/>
  <c r="D30" i="54" s="1"/>
  <c r="M34" i="40"/>
  <c r="D35" i="54" l="1"/>
  <c r="I21" i="55"/>
  <c r="I23" i="55" s="1"/>
  <c r="E17" i="6" s="1"/>
  <c r="I35" i="55"/>
  <c r="H44" i="51"/>
  <c r="J41" i="51"/>
  <c r="K41" i="51" s="1"/>
  <c r="J38" i="51"/>
  <c r="K38" i="51" s="1"/>
  <c r="J35" i="51"/>
  <c r="K35" i="51" s="1"/>
  <c r="J34" i="51"/>
  <c r="K34" i="51" s="1"/>
  <c r="J33" i="51"/>
  <c r="K33" i="51" s="1"/>
  <c r="J32" i="51"/>
  <c r="K32" i="51" s="1"/>
  <c r="J31" i="51"/>
  <c r="K31" i="51" s="1"/>
  <c r="J30" i="51"/>
  <c r="K30" i="51" s="1"/>
  <c r="J29" i="51"/>
  <c r="K29" i="51" s="1"/>
  <c r="J28" i="51"/>
  <c r="K28" i="51" s="1"/>
  <c r="K27" i="51"/>
  <c r="J24" i="51"/>
  <c r="K24" i="51" s="1"/>
  <c r="J22" i="51"/>
  <c r="K22" i="51" s="1"/>
  <c r="J15" i="51"/>
  <c r="K15" i="51" s="1"/>
  <c r="J14" i="51"/>
  <c r="K14" i="51" s="1"/>
  <c r="J13" i="51"/>
  <c r="K13" i="51" s="1"/>
  <c r="J12" i="51"/>
  <c r="K12" i="51" s="1"/>
  <c r="J11" i="51"/>
  <c r="K11" i="51" s="1"/>
  <c r="J10" i="51"/>
  <c r="K10" i="51" s="1"/>
  <c r="M14" i="50"/>
  <c r="M13" i="50"/>
  <c r="M16" i="50" l="1"/>
  <c r="M19" i="50" s="1"/>
  <c r="D37" i="54"/>
  <c r="G18" i="6"/>
  <c r="I25" i="55"/>
  <c r="I27" i="55" s="1"/>
  <c r="I29" i="55" s="1"/>
  <c r="I31" i="55" s="1"/>
  <c r="E40" i="6" s="1"/>
  <c r="K44" i="51"/>
  <c r="J44" i="51"/>
  <c r="P16" i="50"/>
  <c r="F53" i="51" l="1"/>
  <c r="F55" i="51" s="1"/>
  <c r="J46" i="51"/>
  <c r="K46" i="51" s="1"/>
  <c r="E43" i="6" s="1"/>
  <c r="M21" i="50"/>
  <c r="G43" i="6" l="1"/>
  <c r="G6" i="6"/>
  <c r="G76" i="6" s="1"/>
  <c r="P21" i="50"/>
  <c r="G45" i="6"/>
  <c r="G40" i="6"/>
  <c r="G39" i="6"/>
  <c r="G38" i="6"/>
  <c r="G37" i="6"/>
  <c r="G36" i="6"/>
  <c r="G34" i="6"/>
  <c r="G28" i="6"/>
  <c r="G25" i="6"/>
  <c r="G24" i="6"/>
  <c r="G19" i="6"/>
  <c r="G7" i="6"/>
  <c r="G59" i="6" l="1"/>
  <c r="G29" i="6"/>
  <c r="G12" i="6" l="1"/>
  <c r="F20" i="2" l="1"/>
  <c r="G10" i="6" l="1"/>
  <c r="G72" i="6" s="1"/>
  <c r="D13" i="6"/>
  <c r="D41" i="6"/>
  <c r="G56" i="6" l="1"/>
  <c r="G41" i="6"/>
  <c r="D46" i="6"/>
  <c r="G46" i="6" l="1"/>
  <c r="G68" i="6" s="1"/>
  <c r="G71" i="6" s="1"/>
  <c r="G75" i="6" s="1"/>
  <c r="G77" i="6" s="1"/>
  <c r="G79" i="6" s="1"/>
  <c r="G13" i="6"/>
  <c r="D48" i="6"/>
  <c r="G51" i="6" l="1"/>
  <c r="G48" i="6"/>
  <c r="G53" i="6" l="1"/>
  <c r="G55" i="6" l="1"/>
  <c r="G58" i="6" l="1"/>
  <c r="G60" i="6" l="1"/>
  <c r="G62" i="6" s="1"/>
  <c r="E40" i="53"/>
  <c r="E12" i="2"/>
  <c r="D18" i="53" s="1"/>
  <c r="E18" i="53" s="1"/>
  <c r="E13" i="2"/>
  <c r="D19" i="53" s="1"/>
  <c r="E19" i="53" s="1"/>
  <c r="E17" i="2"/>
  <c r="D23" i="53" s="1"/>
  <c r="E23" i="53" s="1"/>
  <c r="E15" i="2"/>
  <c r="D21" i="53" s="1"/>
  <c r="E21" i="53" s="1"/>
  <c r="E14" i="2"/>
  <c r="D20" i="53" s="1"/>
  <c r="E20" i="53" s="1"/>
  <c r="E16" i="2"/>
  <c r="D22" i="53" s="1"/>
  <c r="E22" i="53" s="1"/>
  <c r="G12" i="2" l="1"/>
  <c r="H12" i="2" s="1"/>
  <c r="G13" i="2"/>
  <c r="H13" i="2" s="1"/>
  <c r="G15" i="2"/>
  <c r="H15" i="2" s="1"/>
  <c r="E20" i="2"/>
  <c r="F22" i="42" s="1"/>
  <c r="G22" i="42" s="1"/>
  <c r="H22" i="42" s="1"/>
  <c r="E11" i="2"/>
  <c r="F15" i="42" s="1"/>
  <c r="G17" i="2"/>
  <c r="H17" i="2" s="1"/>
  <c r="G14" i="2"/>
  <c r="H14" i="2" s="1"/>
  <c r="G16" i="2"/>
  <c r="H16" i="2" s="1"/>
  <c r="F12" i="42" l="1"/>
  <c r="G12" i="42" s="1"/>
  <c r="H12" i="42" s="1"/>
  <c r="F13" i="42"/>
  <c r="G11" i="2"/>
  <c r="H11" i="2" s="1"/>
  <c r="F9" i="42"/>
  <c r="G9" i="42" s="1"/>
  <c r="H9" i="42" s="1"/>
  <c r="F14" i="42"/>
  <c r="G14" i="42" s="1"/>
  <c r="H14" i="42" s="1"/>
  <c r="D17" i="53"/>
  <c r="E17" i="53" s="1"/>
  <c r="E24" i="53" s="1"/>
  <c r="F6" i="53" s="1"/>
  <c r="F16" i="42"/>
  <c r="G16" i="42" s="1"/>
  <c r="H16" i="42" s="1"/>
  <c r="F18" i="42"/>
  <c r="G18" i="42" s="1"/>
  <c r="H18" i="42" s="1"/>
  <c r="D28" i="53"/>
  <c r="G20" i="2"/>
  <c r="H20" i="2" s="1"/>
  <c r="F20" i="42"/>
  <c r="G20" i="42" s="1"/>
  <c r="H20" i="42" s="1"/>
  <c r="F17" i="42"/>
  <c r="G17" i="42" s="1"/>
  <c r="H17" i="42" s="1"/>
  <c r="F10" i="42"/>
  <c r="G10" i="42" s="1"/>
  <c r="H10" i="42" s="1"/>
  <c r="F21" i="42"/>
  <c r="G21" i="42" s="1"/>
  <c r="H21" i="42" s="1"/>
  <c r="F11" i="42"/>
  <c r="G11" i="42" s="1"/>
  <c r="H11" i="42" s="1"/>
  <c r="F19" i="42"/>
  <c r="G19" i="42" s="1"/>
  <c r="H19" i="42" s="1"/>
  <c r="F23" i="42"/>
  <c r="G23" i="42" s="1"/>
  <c r="H23" i="42" s="1"/>
  <c r="F24" i="42"/>
  <c r="G24" i="42" s="1"/>
  <c r="H24" i="42" s="1"/>
  <c r="G15" i="42"/>
  <c r="H15" i="42" s="1"/>
  <c r="G13" i="42"/>
  <c r="H13" i="42" s="1"/>
  <c r="D29" i="53" l="1"/>
  <c r="E28" i="53"/>
  <c r="E29" i="53" l="1"/>
  <c r="D30" i="53"/>
  <c r="D31" i="53" l="1"/>
  <c r="E30" i="53"/>
  <c r="D32" i="53" l="1"/>
  <c r="E31" i="53"/>
  <c r="E32" i="53" l="1"/>
  <c r="D33" i="53"/>
  <c r="D34" i="53" l="1"/>
  <c r="E34" i="53" s="1"/>
  <c r="E33" i="53"/>
  <c r="E35" i="53" s="1"/>
  <c r="E38" i="53" l="1"/>
  <c r="E43" i="53" s="1"/>
  <c r="E45" i="53" s="1"/>
  <c r="F7" i="53"/>
  <c r="F9" i="53" s="1"/>
  <c r="F11" i="53" s="1"/>
  <c r="F12" i="53" s="1"/>
</calcChain>
</file>

<file path=xl/sharedStrings.xml><?xml version="1.0" encoding="utf-8"?>
<sst xmlns="http://schemas.openxmlformats.org/spreadsheetml/2006/main" count="626" uniqueCount="416">
  <si>
    <t>Total Operating Expenses</t>
  </si>
  <si>
    <t>Taxes Other Than Income</t>
  </si>
  <si>
    <t>Salaries and Wages - Employees</t>
  </si>
  <si>
    <t>Salaries and Wages - Officers</t>
  </si>
  <si>
    <t>Employee Pensions and Benefits</t>
  </si>
  <si>
    <t>Purchased Water</t>
  </si>
  <si>
    <t>Purchased Power</t>
  </si>
  <si>
    <t>Materials and Supplies</t>
  </si>
  <si>
    <t>Miscellaneous Expenses</t>
  </si>
  <si>
    <t>Transportation Expenses</t>
  </si>
  <si>
    <t>Proposed</t>
  </si>
  <si>
    <t>Interest Income</t>
  </si>
  <si>
    <t>Total</t>
  </si>
  <si>
    <t>Gallons</t>
  </si>
  <si>
    <t>Operating Revenues</t>
  </si>
  <si>
    <t>Sales for Resale</t>
  </si>
  <si>
    <t>Other Water Revenues:</t>
  </si>
  <si>
    <t>Misc. Service Revenues</t>
  </si>
  <si>
    <t>Total Operating Revenues</t>
  </si>
  <si>
    <t>Operating Expenses</t>
  </si>
  <si>
    <t>Depreciation Expense</t>
  </si>
  <si>
    <t>REVENUE REQUIREMENTS</t>
  </si>
  <si>
    <t>Plus:</t>
  </si>
  <si>
    <t>Less:</t>
  </si>
  <si>
    <t>Other Operating Revenue</t>
  </si>
  <si>
    <t>Existing</t>
  </si>
  <si>
    <t>Change</t>
  </si>
  <si>
    <t>1"</t>
  </si>
  <si>
    <t>2"</t>
  </si>
  <si>
    <t>Table A</t>
  </si>
  <si>
    <t>SCHEDULE OF ADJUSTED OPERATIONS</t>
  </si>
  <si>
    <t>Test Year</t>
  </si>
  <si>
    <t>Adjustments</t>
  </si>
  <si>
    <t>Ref.</t>
  </si>
  <si>
    <t>Proforma</t>
  </si>
  <si>
    <t>Operation and Maintenance</t>
  </si>
  <si>
    <t>Insurance - Gen. Liab. &amp; Workers Comp.</t>
  </si>
  <si>
    <t>Total Operation and Mnt. Expenses</t>
  </si>
  <si>
    <t>Total Utility Operating Income</t>
  </si>
  <si>
    <t>Pro Forma Operating Expenses</t>
  </si>
  <si>
    <t>Adjustment</t>
  </si>
  <si>
    <t>Forfeited Discounts</t>
  </si>
  <si>
    <t>Total Metered Retail Sales</t>
  </si>
  <si>
    <t>DEPRECIATION EXPENSE ADJUSTMENTS</t>
  </si>
  <si>
    <t>Depreciation</t>
  </si>
  <si>
    <t>Date in</t>
  </si>
  <si>
    <t>Original</t>
  </si>
  <si>
    <t>Expense</t>
  </si>
  <si>
    <t>Service</t>
  </si>
  <si>
    <t>Life</t>
  </si>
  <si>
    <t>Depr. Exp.</t>
  </si>
  <si>
    <t>SUMMARY</t>
  </si>
  <si>
    <t>USAGE</t>
  </si>
  <si>
    <t>BILLS</t>
  </si>
  <si>
    <t>GALLONS</t>
  </si>
  <si>
    <t>TOTAL</t>
  </si>
  <si>
    <t>RATE</t>
  </si>
  <si>
    <t>REVENUE</t>
  </si>
  <si>
    <t>CURRENT AND PROPOSED RATES</t>
  </si>
  <si>
    <t>Current</t>
  </si>
  <si>
    <t>Private Fire Protection</t>
  </si>
  <si>
    <t>Other Water Revenues</t>
  </si>
  <si>
    <t>Rental of Building/Real Property</t>
  </si>
  <si>
    <t>Insurance - Other</t>
  </si>
  <si>
    <t>Revenue Required From Sales of Water</t>
  </si>
  <si>
    <t>Revenue from Sales with Present Rates</t>
  </si>
  <si>
    <t>Total Revenue Requirement</t>
  </si>
  <si>
    <t>Required Revenue Increase</t>
  </si>
  <si>
    <t>Percent Increase</t>
  </si>
  <si>
    <t>Meter</t>
  </si>
  <si>
    <t>Difference</t>
  </si>
  <si>
    <t>Bill</t>
  </si>
  <si>
    <t>Percentage</t>
  </si>
  <si>
    <t>Size</t>
  </si>
  <si>
    <t>5/8 x 3/4"</t>
  </si>
  <si>
    <t>TOTALS</t>
  </si>
  <si>
    <t>per Month*</t>
  </si>
  <si>
    <t>* Highlighted usage represents the average residential bill.</t>
  </si>
  <si>
    <t>Chemicals</t>
  </si>
  <si>
    <t>Salaries &amp; Wages and Associated Adjustments</t>
  </si>
  <si>
    <t>Pro Forma</t>
  </si>
  <si>
    <t xml:space="preserve">Pro Forma </t>
  </si>
  <si>
    <t>Employee</t>
  </si>
  <si>
    <t>Reg. Hrs</t>
  </si>
  <si>
    <t>O. T. Hours</t>
  </si>
  <si>
    <t>Wage Rate</t>
  </si>
  <si>
    <t>Reg. Wages</t>
  </si>
  <si>
    <t>O. T. Wages</t>
  </si>
  <si>
    <t>Wages</t>
  </si>
  <si>
    <t>Pro Forma Salaries &amp; Wages Expense</t>
  </si>
  <si>
    <t>Less: Test Year Salaries &amp; Wages Exp</t>
  </si>
  <si>
    <t>Pro Forma Salaries &amp; Wages Adj'mt</t>
  </si>
  <si>
    <t xml:space="preserve"> </t>
  </si>
  <si>
    <t>Pro Forma Salaries and Wages Expense</t>
  </si>
  <si>
    <t>Times: 7.65 Percent FICA Rate</t>
  </si>
  <si>
    <t>Pro Forma Payroll Taxes</t>
  </si>
  <si>
    <t>Less: Test Year Payroll Taxes</t>
  </si>
  <si>
    <t>Payroll Tax Adjustment</t>
  </si>
  <si>
    <t>Total Pro Forma Pension Contribution</t>
  </si>
  <si>
    <t>Less: Test Year Pension Contribution</t>
  </si>
  <si>
    <t>Pension &amp; Benefits Adjustment</t>
  </si>
  <si>
    <t>Average Annual Principal and Interest Payments</t>
  </si>
  <si>
    <t>Additional Working Capital</t>
  </si>
  <si>
    <t>Table B</t>
  </si>
  <si>
    <t>DEBT SERVICE SCHDULE</t>
  </si>
  <si>
    <t>CY 2023</t>
  </si>
  <si>
    <t>CY 2024</t>
  </si>
  <si>
    <t>CY 2025</t>
  </si>
  <si>
    <t>CY 2026</t>
  </si>
  <si>
    <t>Interest</t>
  </si>
  <si>
    <t>Principal</t>
  </si>
  <si>
    <t>&amp; Fees</t>
  </si>
  <si>
    <t>Average Annual Principal &amp; Interest</t>
  </si>
  <si>
    <t>Average Annual Coverage</t>
  </si>
  <si>
    <t>General Plant</t>
  </si>
  <si>
    <t>Pumping Plant</t>
  </si>
  <si>
    <t>Transmission &amp; Distribution Plant</t>
  </si>
  <si>
    <t>Transportation Equipment</t>
  </si>
  <si>
    <t>Water Treatment Plant</t>
  </si>
  <si>
    <t>Asset</t>
  </si>
  <si>
    <t>Structures &amp; Improvements</t>
  </si>
  <si>
    <t>Communication &amp; Computer Eqmt.</t>
  </si>
  <si>
    <t>Office Furniture &amp; Equipment</t>
  </si>
  <si>
    <t>Power Operated Equipment</t>
  </si>
  <si>
    <t>Tools, Shop, &amp; Garage Equipment</t>
  </si>
  <si>
    <t>Tank Repairs &amp; Painting</t>
  </si>
  <si>
    <t>Telemetry</t>
  </si>
  <si>
    <t>Pumping Equipment</t>
  </si>
  <si>
    <t>Hydrants</t>
  </si>
  <si>
    <t>Transmission &amp; Distribution Mains</t>
  </si>
  <si>
    <t>Meter Installations</t>
  </si>
  <si>
    <t>Meter Change-outs</t>
  </si>
  <si>
    <t>Pump Equipment</t>
  </si>
  <si>
    <t>Tank Fence</t>
  </si>
  <si>
    <t>Services</t>
  </si>
  <si>
    <t>Reservoirs &amp; Tanks</t>
  </si>
  <si>
    <t>Tank Painting &amp; Repairs</t>
  </si>
  <si>
    <t>Entire Group</t>
  </si>
  <si>
    <t xml:space="preserve">              *  Includes only costs associated with assets that contributed to depreciation expense in the test year.</t>
  </si>
  <si>
    <t>Cost *</t>
  </si>
  <si>
    <t>Reported</t>
  </si>
  <si>
    <t>Water Loss Adjustment</t>
  </si>
  <si>
    <t>Sold</t>
  </si>
  <si>
    <t>Uses:</t>
  </si>
  <si>
    <t xml:space="preserve">  water loss percentage</t>
  </si>
  <si>
    <t xml:space="preserve">  allowable in rates</t>
  </si>
  <si>
    <t xml:space="preserve">  adjustment percentage</t>
  </si>
  <si>
    <t>Produced</t>
  </si>
  <si>
    <t>Purchased</t>
  </si>
  <si>
    <t>Total Produced and Purchased</t>
  </si>
  <si>
    <t>Total Other Water Used</t>
  </si>
  <si>
    <t>Losses:</t>
  </si>
  <si>
    <t xml:space="preserve">   WTP</t>
  </si>
  <si>
    <t xml:space="preserve">   Flushing</t>
  </si>
  <si>
    <t xml:space="preserve">   Fire</t>
  </si>
  <si>
    <t xml:space="preserve">   Other</t>
  </si>
  <si>
    <t xml:space="preserve">   Tank O.F.</t>
  </si>
  <si>
    <t xml:space="preserve">   Line Brks.</t>
  </si>
  <si>
    <t xml:space="preserve">   Line Leaks</t>
  </si>
  <si>
    <t xml:space="preserve">   Unknown</t>
  </si>
  <si>
    <t>Total Losses:</t>
  </si>
  <si>
    <t>Sold, Used, and Lost</t>
  </si>
  <si>
    <t>Total Gross Wages</t>
  </si>
  <si>
    <t>COMPONENT</t>
  </si>
  <si>
    <t>LESS ADJUSTMENTS</t>
  </si>
  <si>
    <t>FROM PSC ANNUAL REPORT</t>
  </si>
  <si>
    <t>DIFFERENCE</t>
  </si>
  <si>
    <t>ADJUSTMENT TO SAO BILLED RETAIL REVENUES</t>
  </si>
  <si>
    <t>H</t>
  </si>
  <si>
    <t>Labor and Materials Adjustment for New Service Installations</t>
  </si>
  <si>
    <t xml:space="preserve">Labor </t>
  </si>
  <si>
    <t xml:space="preserve">Materials </t>
  </si>
  <si>
    <t>New Meter Fees Collected</t>
  </si>
  <si>
    <t>Medical Insurance Adjustment</t>
  </si>
  <si>
    <t>MONTHLY</t>
  </si>
  <si>
    <t>Allowable</t>
  </si>
  <si>
    <t>EMPLOYEE</t>
  </si>
  <si>
    <t>Employer</t>
  </si>
  <si>
    <t>PREMIUM</t>
  </si>
  <si>
    <t>CONTRIB</t>
  </si>
  <si>
    <t>CONTRIB %</t>
  </si>
  <si>
    <t>Share</t>
  </si>
  <si>
    <t>Premium</t>
  </si>
  <si>
    <t>Structures and Improvements</t>
  </si>
  <si>
    <t>Water Treatment Equipment</t>
  </si>
  <si>
    <t>Source of Supply Plant</t>
  </si>
  <si>
    <t>Collecting &amp; Impounding Reservoirs</t>
  </si>
  <si>
    <t>Supply Mains</t>
  </si>
  <si>
    <t>Less: Reported Depreciation</t>
  </si>
  <si>
    <t>Adjustment to Allowed Depreciation</t>
  </si>
  <si>
    <t>Pension</t>
  </si>
  <si>
    <t>TABLE D</t>
  </si>
  <si>
    <t>Total Adjustment</t>
  </si>
  <si>
    <t>CURRENT AND PROPOSED BILLS</t>
  </si>
  <si>
    <t>/ Number of Bills</t>
  </si>
  <si>
    <t xml:space="preserve">   Excavation Damages</t>
  </si>
  <si>
    <t>Computation of Adjustment:</t>
  </si>
  <si>
    <t>No. in</t>
  </si>
  <si>
    <t>`</t>
  </si>
  <si>
    <t>UTILITY</t>
  </si>
  <si>
    <t xml:space="preserve">TOTAL </t>
  </si>
  <si>
    <t>Annual</t>
  </si>
  <si>
    <t>Utility Share</t>
  </si>
  <si>
    <t>Unallowable</t>
  </si>
  <si>
    <t>NET METERED WATER SALES</t>
  </si>
  <si>
    <t>DENTAL</t>
  </si>
  <si>
    <t>TOTAL UNALLOWABLE EMPLOYER PREMIUM</t>
  </si>
  <si>
    <t>CERS</t>
  </si>
  <si>
    <t>LESS: MEDICAL AND DENTAL INSURANCE PREMIUM PAID IN TEST YEAR</t>
  </si>
  <si>
    <t>INCREASE IN UTILITY SHARE OF MEDICAL AND DENTAL INSURANCE PREMIUM OVER TEST YEAR</t>
  </si>
  <si>
    <t>G</t>
  </si>
  <si>
    <t>J</t>
  </si>
  <si>
    <t>TABLE C</t>
  </si>
  <si>
    <t>CURRENT BILLING ANALYSIS WITH 2021 USAGE &amp; EXISTING RATES</t>
  </si>
  <si>
    <t>CURRENT BILLING ANALYSIS WITH 2021 USAGE &amp; PROPOSED RATES</t>
  </si>
  <si>
    <t>North Marshall Water District</t>
  </si>
  <si>
    <t>NORTH MARSHALL WATER DISTRICT</t>
  </si>
  <si>
    <t>6"</t>
  </si>
  <si>
    <t>4"</t>
  </si>
  <si>
    <t>3"</t>
  </si>
  <si>
    <t>1 1/2"</t>
  </si>
  <si>
    <t>All Water Usage</t>
  </si>
  <si>
    <t>Rate Per Gallon</t>
  </si>
  <si>
    <t xml:space="preserve">RATES  </t>
  </si>
  <si>
    <t>Bimonthly Customer Charge</t>
  </si>
  <si>
    <t>5/8" x 3/4" Meter</t>
  </si>
  <si>
    <t>1" Meter</t>
  </si>
  <si>
    <t>1 1/2" Meter</t>
  </si>
  <si>
    <t>2" Meter</t>
  </si>
  <si>
    <t>3" Meter</t>
  </si>
  <si>
    <t>4" Meter</t>
  </si>
  <si>
    <t>6" Meter</t>
  </si>
  <si>
    <t>CY 2023 - 2027</t>
  </si>
  <si>
    <t>CY 2027</t>
  </si>
  <si>
    <t xml:space="preserve">Bimonthly </t>
  </si>
  <si>
    <t>Rate</t>
  </si>
  <si>
    <t>Meter Size</t>
  </si>
  <si>
    <t>Usage Revenue</t>
  </si>
  <si>
    <t>CUSTOMER CHARGE</t>
  </si>
  <si>
    <t>per 1,000</t>
  </si>
  <si>
    <t>Roger Colburn</t>
  </si>
  <si>
    <t>Jimmy Dossett</t>
  </si>
  <si>
    <t>Darrell Howell</t>
  </si>
  <si>
    <t>Ginger Jones</t>
  </si>
  <si>
    <t>Nate Moore</t>
  </si>
  <si>
    <t>Jeremiah Noles</t>
  </si>
  <si>
    <t>Mike Penney</t>
  </si>
  <si>
    <t>Karen Queen</t>
  </si>
  <si>
    <t>Kimberly Smith</t>
  </si>
  <si>
    <t>Jason Stevenson</t>
  </si>
  <si>
    <t>Ezra Darnell</t>
  </si>
  <si>
    <t>Contractual Services- Eng</t>
  </si>
  <si>
    <t>Contractual Services-Legal</t>
  </si>
  <si>
    <t>Contractual Services-Water testing</t>
  </si>
  <si>
    <t>Contractual Services-Other</t>
  </si>
  <si>
    <t>Contractual Services-Acct.</t>
  </si>
  <si>
    <t>Rental of Equipment</t>
  </si>
  <si>
    <t>Advertising Expense</t>
  </si>
  <si>
    <t>Decrease expense due to greater than 15 % water loss</t>
  </si>
  <si>
    <t>Meter connections increased to $1,400 7/15/22</t>
  </si>
  <si>
    <t>Increase due to rate increase in case 2021-00333 eff. 9/17/21</t>
  </si>
  <si>
    <t>Hospital Insurance</t>
  </si>
  <si>
    <t>Emp Pension Paid by District</t>
  </si>
  <si>
    <t>Life/Dental Insurance</t>
  </si>
  <si>
    <t>Educational and Training Expenses</t>
  </si>
  <si>
    <t>2021 EMPLOYEE PENSION AND BENEFITS</t>
  </si>
  <si>
    <t>2021</t>
  </si>
  <si>
    <t>Customer Charge by Meter Size</t>
  </si>
  <si>
    <t xml:space="preserve">Commissioners </t>
  </si>
  <si>
    <t>Treasurer</t>
  </si>
  <si>
    <t>2022 new</t>
  </si>
  <si>
    <t>Decrease materials attributable to tapping fees.</t>
  </si>
  <si>
    <t>Decrease labor attributable to tapping fees.</t>
  </si>
  <si>
    <t>Disability Insurance</t>
  </si>
  <si>
    <t>Total Revenue from water sales</t>
  </si>
  <si>
    <t>Combined Residential and Commercial Adjustment Reports</t>
  </si>
  <si>
    <t>Holiday Hrs.</t>
  </si>
  <si>
    <t>Holiday Wages</t>
  </si>
  <si>
    <t>Emergency purchase due to Tornado Insurance paid the related expense</t>
  </si>
  <si>
    <t>per Bill</t>
  </si>
  <si>
    <t>A</t>
  </si>
  <si>
    <t>TOTAL WAGES</t>
  </si>
  <si>
    <t>Commissioners Salaries</t>
  </si>
  <si>
    <t>KACo</t>
  </si>
  <si>
    <t>EMP</t>
  </si>
  <si>
    <t>ESP</t>
  </si>
  <si>
    <t>FAM</t>
  </si>
  <si>
    <t>ECH</t>
  </si>
  <si>
    <t>EMP Only</t>
  </si>
  <si>
    <t>2 EMP Only</t>
  </si>
  <si>
    <t>Admin Fees</t>
  </si>
  <si>
    <t>Various</t>
  </si>
  <si>
    <t>Varies</t>
  </si>
  <si>
    <t>TOTALS for Depreciation Expense 2022</t>
  </si>
  <si>
    <t>Depreciation Expense 2021 PSC annual report</t>
  </si>
  <si>
    <t>PSC Allowed Depreciation</t>
  </si>
  <si>
    <t>2022 Depreciation schedule adjusted to PSC policy allowed lives</t>
  </si>
  <si>
    <t>Sheet Depreciation Cell K46</t>
  </si>
  <si>
    <t>2022 Bond($2,715,000)</t>
  </si>
  <si>
    <t>REVENUE REQUIREMENTS USING OPERATING RATIO METHOD</t>
  </si>
  <si>
    <t>Divided by:  Operating Ratio</t>
  </si>
  <si>
    <t>M</t>
  </si>
  <si>
    <t>Average interest &amp; Fees</t>
  </si>
  <si>
    <t>2014 Bond($3,850,000)</t>
  </si>
  <si>
    <t>Approved in case 2015-00195</t>
  </si>
  <si>
    <t>Approved in Case 2021-00333</t>
  </si>
  <si>
    <t>Five year average interest on promissory notes.</t>
  </si>
  <si>
    <t>Potential Monthly Surcharge Amount</t>
  </si>
  <si>
    <t xml:space="preserve">Total  </t>
  </si>
  <si>
    <t>TOTAL ALLOWABLE CURRENT UTILITY SHARE OF MEDICAL AND DENTAL INSURANCE PROFORMA ANNUAL PREMIUM</t>
  </si>
  <si>
    <t>Increase to Health and dental insurance to allowable employer share</t>
  </si>
  <si>
    <t>Sheet Medical  cell L31</t>
  </si>
  <si>
    <t>Generator Expense</t>
  </si>
  <si>
    <t>Regulatory Agency Expense</t>
  </si>
  <si>
    <t>Payroll Tax</t>
  </si>
  <si>
    <t>Unemployment Insurance</t>
  </si>
  <si>
    <t>GIS Fees</t>
  </si>
  <si>
    <t>Injuries &amp; Damages</t>
  </si>
  <si>
    <t>Maint General Plant</t>
  </si>
  <si>
    <t>Telephone Expense</t>
  </si>
  <si>
    <t>Sewer Expense</t>
  </si>
  <si>
    <t>Safety Supplies</t>
  </si>
  <si>
    <t>Sheet wages Cell I31</t>
  </si>
  <si>
    <t>Increase Payroll taxes due to increase wages</t>
  </si>
  <si>
    <t>Eligible Wages</t>
  </si>
  <si>
    <t>OPEB</t>
  </si>
  <si>
    <t>ADJUSTMENT</t>
  </si>
  <si>
    <t>Pension Rates</t>
  </si>
  <si>
    <t>%</t>
  </si>
  <si>
    <t>Jan - June 2023</t>
  </si>
  <si>
    <t>July - Dec 2023</t>
  </si>
  <si>
    <t>Allowable Health Ins. Determined on Medical sheet</t>
  </si>
  <si>
    <t>Wages applicable to CERS payments</t>
  </si>
  <si>
    <t>Times: Percent Pension Contribution</t>
  </si>
  <si>
    <t>Pension &amp; Benefits Adjustments</t>
  </si>
  <si>
    <t>REFRENCES</t>
  </si>
  <si>
    <t>A.</t>
  </si>
  <si>
    <t>B.</t>
  </si>
  <si>
    <t>C.</t>
  </si>
  <si>
    <t>D.</t>
  </si>
  <si>
    <t>E.</t>
  </si>
  <si>
    <t>F.</t>
  </si>
  <si>
    <t>Increase in pension benefits to reflect increase in salaries.</t>
  </si>
  <si>
    <t>G.</t>
  </si>
  <si>
    <t>H.</t>
  </si>
  <si>
    <t>I.</t>
  </si>
  <si>
    <t>J.</t>
  </si>
  <si>
    <t>K.</t>
  </si>
  <si>
    <t>L.</t>
  </si>
  <si>
    <t>M.</t>
  </si>
  <si>
    <t xml:space="preserve">Revenue requirement is computed using the Operating Ratio Method. This method is used when systems have little or no debt. </t>
  </si>
  <si>
    <t>Adjustment to metered sales revenues due to rate increase approved in Case No 2021-00333.</t>
  </si>
  <si>
    <t>B</t>
  </si>
  <si>
    <t>C</t>
  </si>
  <si>
    <t>The utility collected $57,400 in tapping fees in 2021. These taps were installed by the utility and were recorded as labor and material expenses.  Labor expense has been reduced by $17,220 or 30% of the tapping fees while materials and supplies expense has been reduced by $40,180 or 70% of the tapping fees.</t>
  </si>
  <si>
    <t>D</t>
  </si>
  <si>
    <t>Increase Health and Dental insurance by $397 to allowable employer share</t>
  </si>
  <si>
    <t>E</t>
  </si>
  <si>
    <t>OPEB for 2022 not determined until Audit</t>
  </si>
  <si>
    <t>OF 2021 ANNUAL REPORT MISC. EXPENSES</t>
  </si>
  <si>
    <t>NORTH MARSHALL WATER DISTRICT BREAK DOWN</t>
  </si>
  <si>
    <t>Sheet wages cell F46</t>
  </si>
  <si>
    <t>F</t>
  </si>
  <si>
    <t>Sheet Wages Cell F50</t>
  </si>
  <si>
    <t>I</t>
  </si>
  <si>
    <t>Sheet Water Loss Cell D31</t>
  </si>
  <si>
    <t>Sheet Water Loss Cell D32</t>
  </si>
  <si>
    <t>**POTENTIAL WATER LOSS SURCHARGE**</t>
  </si>
  <si>
    <t>Increase chemical cost due to vendor price increase. (2022 chemical costs $33,521.51)</t>
  </si>
  <si>
    <t>Increase to reflect the amount for education and training paid in 2022</t>
  </si>
  <si>
    <t>Subtotal</t>
  </si>
  <si>
    <t>Plus: Interest Expense</t>
  </si>
  <si>
    <t>USING DEBT SERVICE COVERAGE METHOD</t>
  </si>
  <si>
    <t>***</t>
  </si>
  <si>
    <t>FYI - DSC METHOD NOT USED  ***</t>
  </si>
  <si>
    <t>K</t>
  </si>
  <si>
    <t>L</t>
  </si>
  <si>
    <t>Sheet Debt Service Cell M23</t>
  </si>
  <si>
    <t>TEST YEAR METERED SALES</t>
  </si>
  <si>
    <t>Customer Charge Revenue by Meter Size at Proposed Rates</t>
  </si>
  <si>
    <t>Usage Revenue at Proposed Rates</t>
  </si>
  <si>
    <t>Education and training expenses increase to amount paid in 2022</t>
  </si>
  <si>
    <t xml:space="preserve"> From Breakdown of 2021 Misc. expense Cell C61</t>
  </si>
  <si>
    <t>2021 PSC annual report</t>
  </si>
  <si>
    <t>increase due to increased wages (2021 pension expense provided by utility)</t>
  </si>
  <si>
    <t>2021 pension expense provided by utility</t>
  </si>
  <si>
    <t>Eligible wages times average 2023 CERS pension Rate</t>
  </si>
  <si>
    <t>Average rate</t>
  </si>
  <si>
    <t>**Utility does not want to request water loss surcharge per Roger**</t>
  </si>
  <si>
    <t>Sheet Capital Cell C7</t>
  </si>
  <si>
    <t>Sheet Capital Cell C8</t>
  </si>
  <si>
    <t>2023 chemical cost less 2021 chemical costs</t>
  </si>
  <si>
    <t>Increase in disability Insurance costs</t>
  </si>
  <si>
    <t>Increase in education and training expenses that occurred in 2022</t>
  </si>
  <si>
    <t>The utility collected $57,400 in tapping fees in 2021. These taps were installed by the utility and were recorded as labor and material expenses.  Materials and supplies expense has been reduced by $40,180 or 70% of the tapping fees. Labor expense was reduced by $17,220 or 30% of the tapping fees.</t>
  </si>
  <si>
    <t xml:space="preserve">Increase chemical costs in 2022 due to vendor price increases. </t>
  </si>
  <si>
    <t>Increased payroll taxes due to increased salaries.</t>
  </si>
  <si>
    <t>Increase due to additional assets added in 2022. The PSC requires adjustments to a water utility's depreciation expense when asset lives fall outside the ranges recommended by NARUC in its publication titled "Depreciation Practices for small utilities".  Therefore, adjustments are included to bring asset lives to the midpoint of the recommended ranges, depreciation expense was increased by $8,205. See Table A.</t>
  </si>
  <si>
    <t>PERCENTAGE INCREASE</t>
  </si>
  <si>
    <t>Total Revenue from water sales at proposed rates</t>
  </si>
  <si>
    <t>difference</t>
  </si>
  <si>
    <t>Increase to reflect amount of disability Insurance paid in 2022</t>
  </si>
  <si>
    <t>Sheet wages Cell F48</t>
  </si>
  <si>
    <t>Disability Ins. Increase to amount Paid in 2022</t>
  </si>
  <si>
    <t>Life Ins. No change in premium. Allowable Dental Ins. Determined on Medical sheet</t>
  </si>
  <si>
    <t>Contribution</t>
  </si>
  <si>
    <t>Ea. Tier</t>
  </si>
  <si>
    <t>Operating ratio</t>
  </si>
  <si>
    <t>Amortization Expense</t>
  </si>
  <si>
    <t>$7,500 Rate Case Expense amortized over three years</t>
  </si>
  <si>
    <t>N</t>
  </si>
  <si>
    <t>N.</t>
  </si>
  <si>
    <t>Recovery of Rate Case Expense in the amount of $7,500 amortized over a three year period.</t>
  </si>
  <si>
    <t>Increase due to employee wage rate increases and new employee</t>
  </si>
  <si>
    <t>Since 2021, there have been increases to individual wage rates and an addition of a full time employee, resulting in an increase to wages of $122,683.</t>
  </si>
  <si>
    <t>The utility's test year water loss was 25.87 percent. The PSC's maximum allowable loss for rate-making purposes is 15.0 percent. Therefore, the expenses for purchased water and purchased power above the 15 percent limit is not allowed in the rate base and must be deducted. Purchased power expense was decreased by $18,159 and chemical expense was reduced by $ 2,843.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</si>
</sst>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 #,##0.0_);_(* \(#,##0.0\);_(* &quot;-&quot;??_);_(@_)"/>
    <numFmt numFmtId="168" formatCode="mm/dd/yy;@"/>
    <numFmt numFmtId="169" formatCode="_([$$-409]* #,##0_);_([$$-409]* \(#,##0\);_([$$-409]* &quot;-&quot;??_);_(@_)"/>
    <numFmt numFmtId="170" formatCode="[$$-409]#,##0"/>
    <numFmt numFmtId="171" formatCode="_(&quot;$&quot;* #,##0.00000_);_(&quot;$&quot;* \(#,##0.00000\);_(&quot;$&quot;* &quot;-&quot;??_);_(@_)"/>
    <numFmt numFmtId="172" formatCode="0_);\(0\)"/>
    <numFmt numFmtId="173" formatCode="0.0000"/>
  </numFmts>
  <fonts count="4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2"/>
      <name val="Arial"/>
      <family val="2"/>
    </font>
    <font>
      <sz val="11"/>
      <name val="Calibri"/>
      <family val="2"/>
      <scheme val="minor"/>
    </font>
    <font>
      <b/>
      <sz val="14"/>
      <name val="Calibri"/>
      <family val="2"/>
      <scheme val="minor"/>
    </font>
    <font>
      <b/>
      <u/>
      <sz val="14"/>
      <name val="Calibri"/>
      <family val="2"/>
      <scheme val="minor"/>
    </font>
    <font>
      <u/>
      <sz val="11"/>
      <name val="Calibri"/>
      <family val="2"/>
      <scheme val="minor"/>
    </font>
    <font>
      <b/>
      <sz val="11"/>
      <name val="Calibri"/>
      <family val="2"/>
      <scheme val="minor"/>
    </font>
    <font>
      <b/>
      <u/>
      <sz val="11"/>
      <name val="Calibri"/>
      <family val="2"/>
      <scheme val="minor"/>
    </font>
    <font>
      <u val="singleAccounting"/>
      <sz val="11"/>
      <name val="Calibri"/>
      <family val="2"/>
      <scheme val="minor"/>
    </font>
    <font>
      <b/>
      <u val="singleAccounting"/>
      <sz val="11"/>
      <name val="Calibri"/>
      <family val="2"/>
      <scheme val="minor"/>
    </font>
    <font>
      <b/>
      <sz val="12"/>
      <name val="Calibri"/>
      <family val="2"/>
      <scheme val="minor"/>
    </font>
    <font>
      <sz val="8"/>
      <color rgb="FFFF0000"/>
      <name val="Calibri"/>
      <family val="2"/>
      <scheme val="minor"/>
    </font>
    <font>
      <b/>
      <sz val="11"/>
      <color rgb="FFFF0000"/>
      <name val="Calibri"/>
      <family val="2"/>
      <scheme val="minor"/>
    </font>
    <font>
      <b/>
      <sz val="8"/>
      <color rgb="FF00B050"/>
      <name val="Calibri"/>
      <family val="2"/>
      <scheme val="minor"/>
    </font>
    <font>
      <sz val="11"/>
      <color theme="1"/>
      <name val="Calibri"/>
      <family val="2"/>
      <scheme val="minor"/>
    </font>
    <font>
      <b/>
      <sz val="11"/>
      <color rgb="FF00B050"/>
      <name val="Calibri"/>
      <family val="2"/>
      <scheme val="minor"/>
    </font>
    <font>
      <sz val="8"/>
      <name val="Calibri"/>
      <family val="2"/>
      <scheme val="minor"/>
    </font>
    <font>
      <b/>
      <u/>
      <sz val="11"/>
      <color rgb="FFC00000"/>
      <name val="Calibri"/>
      <family val="2"/>
      <scheme val="minor"/>
    </font>
    <font>
      <u/>
      <sz val="11"/>
      <color theme="1"/>
      <name val="Calibri"/>
      <family val="2"/>
      <scheme val="minor"/>
    </font>
    <font>
      <b/>
      <sz val="16"/>
      <name val="Calibri"/>
      <family val="2"/>
      <scheme val="minor"/>
    </font>
    <font>
      <b/>
      <u/>
      <sz val="16"/>
      <name val="Calibri"/>
      <family val="2"/>
      <scheme val="minor"/>
    </font>
    <font>
      <sz val="12"/>
      <name val="Calibri"/>
      <family val="2"/>
      <scheme val="minor"/>
    </font>
    <font>
      <sz val="11"/>
      <name val="Arial"/>
      <family val="2"/>
    </font>
    <font>
      <b/>
      <i/>
      <u/>
      <sz val="14"/>
      <name val="Calibri"/>
      <family val="2"/>
      <scheme val="minor"/>
    </font>
    <font>
      <b/>
      <sz val="11"/>
      <color rgb="FF000000"/>
      <name val="Calibri"/>
      <family val="2"/>
    </font>
    <font>
      <b/>
      <sz val="12"/>
      <name val="Arial"/>
      <family val="2"/>
    </font>
    <font>
      <u val="singleAccounting"/>
      <sz val="12"/>
      <name val="Arial"/>
      <family val="2"/>
    </font>
    <font>
      <u/>
      <sz val="12"/>
      <name val="Arial"/>
      <family val="2"/>
    </font>
    <font>
      <b/>
      <sz val="16"/>
      <color theme="1"/>
      <name val="Calibri"/>
      <family val="2"/>
      <scheme val="minor"/>
    </font>
    <font>
      <sz val="14"/>
      <color theme="1"/>
      <name val="Calibri"/>
      <family val="2"/>
      <scheme val="minor"/>
    </font>
    <font>
      <sz val="12"/>
      <color theme="1"/>
      <name val="Arial"/>
      <family val="2"/>
    </font>
    <font>
      <b/>
      <sz val="11"/>
      <color theme="1"/>
      <name val="Calibri"/>
      <family val="2"/>
      <scheme val="minor"/>
    </font>
    <font>
      <b/>
      <sz val="14"/>
      <name val="Arial"/>
      <family val="2"/>
    </font>
    <font>
      <sz val="14"/>
      <name val="Arial"/>
      <family val="2"/>
    </font>
    <font>
      <sz val="11"/>
      <name val="Calibri"/>
      <family val="2"/>
    </font>
    <font>
      <u/>
      <sz val="11"/>
      <name val="Arial"/>
      <family val="2"/>
    </font>
    <font>
      <b/>
      <sz val="11"/>
      <name val="Arial"/>
      <family val="2"/>
    </font>
    <font>
      <b/>
      <sz val="11"/>
      <name val="Calibri"/>
      <family val="2"/>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cellStyleXfs>
  <cellXfs count="416">
    <xf numFmtId="0" fontId="0" fillId="0" borderId="0" xfId="0"/>
    <xf numFmtId="0" fontId="6" fillId="0" borderId="0" xfId="0" applyFont="1"/>
    <xf numFmtId="165" fontId="6" fillId="0" borderId="0" xfId="0" applyNumberFormat="1" applyFont="1"/>
    <xf numFmtId="3" fontId="6" fillId="0" borderId="0" xfId="0" applyNumberFormat="1" applyFont="1"/>
    <xf numFmtId="0" fontId="0" fillId="0" borderId="6" xfId="0" applyBorder="1"/>
    <xf numFmtId="165" fontId="6" fillId="0" borderId="1" xfId="1" applyNumberFormat="1" applyFont="1" applyBorder="1"/>
    <xf numFmtId="165" fontId="6" fillId="0" borderId="0" xfId="1" applyNumberFormat="1" applyFont="1" applyBorder="1"/>
    <xf numFmtId="165" fontId="6" fillId="0" borderId="0" xfId="1" applyNumberFormat="1" applyFont="1"/>
    <xf numFmtId="165" fontId="6" fillId="0" borderId="7" xfId="1" applyNumberFormat="1" applyFont="1" applyBorder="1"/>
    <xf numFmtId="165" fontId="6" fillId="0" borderId="8" xfId="1" applyNumberFormat="1" applyFont="1" applyBorder="1"/>
    <xf numFmtId="165" fontId="6" fillId="0" borderId="5" xfId="1" applyNumberFormat="1" applyFont="1" applyBorder="1"/>
    <xf numFmtId="165" fontId="6" fillId="0" borderId="6" xfId="1" applyNumberFormat="1" applyFont="1" applyBorder="1"/>
    <xf numFmtId="43" fontId="6" fillId="0" borderId="0" xfId="1" applyFont="1"/>
    <xf numFmtId="165" fontId="12" fillId="0" borderId="0" xfId="1" applyNumberFormat="1" applyFont="1" applyBorder="1" applyAlignment="1">
      <alignment horizontal="center"/>
    </xf>
    <xf numFmtId="43" fontId="6" fillId="0" borderId="0" xfId="1" applyFont="1" applyBorder="1"/>
    <xf numFmtId="165" fontId="6" fillId="0" borderId="0" xfId="5" applyNumberFormat="1" applyFont="1"/>
    <xf numFmtId="3" fontId="6" fillId="0" borderId="0" xfId="0" applyNumberFormat="1" applyFont="1" applyAlignment="1">
      <alignment horizontal="right"/>
    </xf>
    <xf numFmtId="165" fontId="6" fillId="0" borderId="7" xfId="5" applyNumberFormat="1" applyFont="1" applyBorder="1"/>
    <xf numFmtId="0" fontId="6" fillId="0" borderId="0" xfId="0" applyFont="1" applyAlignment="1">
      <alignment horizontal="center"/>
    </xf>
    <xf numFmtId="0" fontId="6" fillId="0" borderId="0" xfId="0" applyFont="1" applyAlignment="1">
      <alignment horizontal="right"/>
    </xf>
    <xf numFmtId="165" fontId="6" fillId="0" borderId="0" xfId="5" applyNumberFormat="1" applyFont="1" applyBorder="1"/>
    <xf numFmtId="0" fontId="16" fillId="0" borderId="0" xfId="0" applyFont="1" applyAlignment="1">
      <alignment horizontal="centerContinuous"/>
    </xf>
    <xf numFmtId="0" fontId="6" fillId="0" borderId="0" xfId="0" applyFont="1" applyAlignment="1">
      <alignment horizontal="centerContinuous"/>
    </xf>
    <xf numFmtId="165" fontId="12" fillId="0" borderId="0" xfId="1" applyNumberFormat="1" applyFont="1"/>
    <xf numFmtId="167" fontId="11" fillId="0" borderId="0" xfId="5" applyNumberFormat="1" applyFont="1" applyBorder="1" applyAlignment="1">
      <alignment horizontal="center"/>
    </xf>
    <xf numFmtId="43" fontId="6" fillId="0" borderId="0" xfId="1" applyFont="1" applyBorder="1" applyAlignment="1"/>
    <xf numFmtId="43" fontId="6" fillId="0" borderId="0" xfId="1" applyFont="1" applyBorder="1" applyAlignment="1">
      <alignment horizontal="right"/>
    </xf>
    <xf numFmtId="43" fontId="6" fillId="0" borderId="7" xfId="1" applyFont="1" applyBorder="1"/>
    <xf numFmtId="43" fontId="12" fillId="0" borderId="0" xfId="1" applyFont="1" applyBorder="1" applyAlignment="1">
      <alignment horizontal="center"/>
    </xf>
    <xf numFmtId="44" fontId="6" fillId="0" borderId="0" xfId="2" applyFont="1" applyBorder="1" applyAlignment="1"/>
    <xf numFmtId="44" fontId="6" fillId="0" borderId="0" xfId="2" applyFont="1" applyBorder="1" applyAlignment="1">
      <alignment vertical="center"/>
    </xf>
    <xf numFmtId="165" fontId="6" fillId="0" borderId="1" xfId="0" applyNumberFormat="1" applyFont="1" applyBorder="1"/>
    <xf numFmtId="164" fontId="6" fillId="0" borderId="0" xfId="6" applyNumberFormat="1" applyFont="1"/>
    <xf numFmtId="165" fontId="9" fillId="0" borderId="0" xfId="1" applyNumberFormat="1" applyFont="1"/>
    <xf numFmtId="165" fontId="12" fillId="0" borderId="8" xfId="1" applyNumberFormat="1" applyFont="1" applyBorder="1" applyAlignment="1">
      <alignment horizontal="center"/>
    </xf>
    <xf numFmtId="3" fontId="7" fillId="0" borderId="0" xfId="0" applyNumberFormat="1" applyFont="1" applyAlignment="1">
      <alignment horizontal="center" vertical="center"/>
    </xf>
    <xf numFmtId="3" fontId="14" fillId="0" borderId="7" xfId="0" applyNumberFormat="1" applyFont="1" applyBorder="1" applyAlignment="1">
      <alignment horizontal="center" vertical="center"/>
    </xf>
    <xf numFmtId="3" fontId="14" fillId="0" borderId="0" xfId="0" applyNumberFormat="1" applyFont="1" applyAlignment="1">
      <alignment horizontal="center" vertical="center"/>
    </xf>
    <xf numFmtId="3" fontId="14" fillId="0" borderId="8" xfId="0" applyNumberFormat="1" applyFont="1" applyBorder="1" applyAlignment="1">
      <alignment horizontal="center" vertical="center"/>
    </xf>
    <xf numFmtId="165" fontId="12" fillId="0" borderId="7" xfId="1" applyNumberFormat="1" applyFont="1" applyBorder="1" applyAlignment="1">
      <alignment horizontal="center"/>
    </xf>
    <xf numFmtId="43" fontId="6" fillId="0" borderId="8" xfId="1" quotePrefix="1" applyFont="1" applyBorder="1" applyAlignment="1">
      <alignment horizontal="center"/>
    </xf>
    <xf numFmtId="0" fontId="6" fillId="0" borderId="8" xfId="0" applyFont="1" applyBorder="1" applyAlignment="1">
      <alignment horizontal="center"/>
    </xf>
    <xf numFmtId="43" fontId="6" fillId="0" borderId="1" xfId="1" applyFont="1" applyBorder="1"/>
    <xf numFmtId="43" fontId="6" fillId="0" borderId="5" xfId="1" applyFont="1" applyBorder="1"/>
    <xf numFmtId="166" fontId="6" fillId="0" borderId="8" xfId="3" applyNumberFormat="1" applyFont="1" applyBorder="1"/>
    <xf numFmtId="165" fontId="6" fillId="2" borderId="0" xfId="1" applyNumberFormat="1" applyFont="1" applyFill="1" applyBorder="1"/>
    <xf numFmtId="43" fontId="6" fillId="2" borderId="8" xfId="1" quotePrefix="1" applyFont="1" applyFill="1" applyBorder="1" applyAlignment="1">
      <alignment horizontal="center"/>
    </xf>
    <xf numFmtId="43" fontId="6" fillId="2" borderId="0" xfId="1" applyFont="1" applyFill="1" applyBorder="1"/>
    <xf numFmtId="166" fontId="6" fillId="2" borderId="8" xfId="3" applyNumberFormat="1" applyFont="1" applyFill="1" applyBorder="1"/>
    <xf numFmtId="165" fontId="16" fillId="0" borderId="0" xfId="1" applyNumberFormat="1" applyFont="1"/>
    <xf numFmtId="10" fontId="6" fillId="0" borderId="0" xfId="0" applyNumberFormat="1" applyFont="1"/>
    <xf numFmtId="44" fontId="6" fillId="0" borderId="0" xfId="2" applyFont="1" applyBorder="1"/>
    <xf numFmtId="165" fontId="6" fillId="0" borderId="0" xfId="5" quotePrefix="1" applyNumberFormat="1" applyFont="1"/>
    <xf numFmtId="43" fontId="6" fillId="0" borderId="0" xfId="1" applyFont="1" applyBorder="1" applyAlignment="1">
      <alignment horizontal="center"/>
    </xf>
    <xf numFmtId="0" fontId="6" fillId="0" borderId="7" xfId="0" applyFont="1" applyBorder="1"/>
    <xf numFmtId="165" fontId="6" fillId="0" borderId="0" xfId="1" applyNumberFormat="1" applyFont="1" applyAlignment="1">
      <alignment horizontal="centerContinuous" vertical="center"/>
    </xf>
    <xf numFmtId="165" fontId="6" fillId="0" borderId="0" xfId="1" applyNumberFormat="1" applyFont="1" applyAlignment="1">
      <alignment vertical="center"/>
    </xf>
    <xf numFmtId="165" fontId="14" fillId="0" borderId="0" xfId="1" applyNumberFormat="1" applyFont="1" applyAlignment="1">
      <alignment horizontal="centerContinuous" vertical="center"/>
    </xf>
    <xf numFmtId="165" fontId="11" fillId="0" borderId="0" xfId="1" applyNumberFormat="1" applyFont="1" applyAlignment="1">
      <alignment horizontal="center" vertical="center"/>
    </xf>
    <xf numFmtId="165" fontId="9" fillId="0" borderId="0" xfId="1" applyNumberFormat="1" applyFont="1" applyAlignment="1">
      <alignment vertical="center"/>
    </xf>
    <xf numFmtId="165" fontId="6" fillId="0" borderId="0" xfId="1" applyNumberFormat="1" applyFont="1" applyAlignment="1">
      <alignment horizontal="center" vertical="center"/>
    </xf>
    <xf numFmtId="165" fontId="15" fillId="0" borderId="0" xfId="1" applyNumberFormat="1" applyFont="1" applyAlignment="1">
      <alignment vertical="center"/>
    </xf>
    <xf numFmtId="165" fontId="17" fillId="0" borderId="0" xfId="1" applyNumberFormat="1" applyFont="1" applyAlignment="1">
      <alignment vertical="center"/>
    </xf>
    <xf numFmtId="165" fontId="20" fillId="0" borderId="0" xfId="1" applyNumberFormat="1" applyFont="1" applyAlignment="1">
      <alignment vertical="center"/>
    </xf>
    <xf numFmtId="165" fontId="10" fillId="0" borderId="0" xfId="1" applyNumberFormat="1" applyFont="1" applyAlignment="1">
      <alignment vertical="center"/>
    </xf>
    <xf numFmtId="165" fontId="6" fillId="0" borderId="0" xfId="1" applyNumberFormat="1" applyFont="1" applyAlignment="1">
      <alignment horizontal="center"/>
    </xf>
    <xf numFmtId="165" fontId="15" fillId="0" borderId="0" xfId="1" applyNumberFormat="1" applyFont="1" applyAlignment="1">
      <alignment horizontal="left"/>
    </xf>
    <xf numFmtId="165" fontId="15" fillId="0" borderId="0" xfId="1" applyNumberFormat="1" applyFont="1" applyAlignment="1">
      <alignment horizontal="center"/>
    </xf>
    <xf numFmtId="165" fontId="13" fillId="0" borderId="0" xfId="1" applyNumberFormat="1" applyFont="1" applyAlignment="1">
      <alignment horizontal="center" vertical="center"/>
    </xf>
    <xf numFmtId="165" fontId="6" fillId="0" borderId="0" xfId="1" applyNumberFormat="1" applyFont="1" applyAlignment="1"/>
    <xf numFmtId="165" fontId="6" fillId="0" borderId="6" xfId="5" applyNumberFormat="1" applyFont="1" applyBorder="1"/>
    <xf numFmtId="165" fontId="6" fillId="0" borderId="0" xfId="5" applyNumberFormat="1" applyFont="1" applyBorder="1" applyAlignment="1">
      <alignment horizontal="center"/>
    </xf>
    <xf numFmtId="10" fontId="6" fillId="0" borderId="0" xfId="3" applyNumberFormat="1" applyFont="1" applyBorder="1"/>
    <xf numFmtId="10" fontId="6" fillId="2" borderId="0" xfId="3" applyNumberFormat="1" applyFont="1" applyFill="1" applyBorder="1"/>
    <xf numFmtId="165" fontId="6" fillId="0" borderId="8" xfId="5" applyNumberFormat="1" applyFont="1" applyBorder="1"/>
    <xf numFmtId="165" fontId="10" fillId="0" borderId="7" xfId="5" applyNumberFormat="1" applyFont="1" applyBorder="1" applyAlignment="1">
      <alignment horizontal="center"/>
    </xf>
    <xf numFmtId="165" fontId="6" fillId="0" borderId="0" xfId="1" applyNumberFormat="1" applyFont="1" applyBorder="1" applyAlignment="1">
      <alignment vertical="center"/>
    </xf>
    <xf numFmtId="165" fontId="12" fillId="0" borderId="0" xfId="1" applyNumberFormat="1" applyFont="1" applyBorder="1" applyAlignment="1">
      <alignment vertical="center"/>
    </xf>
    <xf numFmtId="165" fontId="6" fillId="0" borderId="0" xfId="1" applyNumberFormat="1" applyFont="1" applyBorder="1" applyAlignment="1">
      <alignment horizontal="center" vertical="center"/>
    </xf>
    <xf numFmtId="165" fontId="12" fillId="0" borderId="0" xfId="1" applyNumberFormat="1" applyFont="1" applyAlignment="1">
      <alignment vertical="center"/>
    </xf>
    <xf numFmtId="165" fontId="6" fillId="0" borderId="3" xfId="5" applyNumberFormat="1" applyFont="1" applyBorder="1"/>
    <xf numFmtId="165" fontId="6" fillId="0" borderId="2" xfId="5" applyNumberFormat="1" applyFont="1" applyBorder="1"/>
    <xf numFmtId="165" fontId="6" fillId="0" borderId="4" xfId="5" applyNumberFormat="1" applyFont="1" applyBorder="1"/>
    <xf numFmtId="165" fontId="7" fillId="0" borderId="7" xfId="5" applyNumberFormat="1" applyFont="1" applyBorder="1" applyAlignment="1">
      <alignment horizontal="centerContinuous"/>
    </xf>
    <xf numFmtId="165" fontId="10" fillId="0" borderId="0" xfId="5" applyNumberFormat="1" applyFont="1" applyAlignment="1">
      <alignment horizontal="centerContinuous"/>
    </xf>
    <xf numFmtId="165" fontId="8" fillId="0" borderId="7" xfId="5" applyNumberFormat="1" applyFont="1" applyBorder="1" applyAlignment="1">
      <alignment horizontal="centerContinuous"/>
    </xf>
    <xf numFmtId="165" fontId="11" fillId="0" borderId="0" xfId="5" applyNumberFormat="1" applyFont="1" applyAlignment="1">
      <alignment horizontal="centerContinuous"/>
    </xf>
    <xf numFmtId="3" fontId="14" fillId="0" borderId="7" xfId="0" applyNumberFormat="1" applyFont="1" applyBorder="1" applyAlignment="1">
      <alignment horizontal="centerContinuous" vertical="center"/>
    </xf>
    <xf numFmtId="165" fontId="25" fillId="0" borderId="7" xfId="5" applyNumberFormat="1" applyFont="1" applyBorder="1" applyAlignment="1">
      <alignment horizontal="centerContinuous"/>
    </xf>
    <xf numFmtId="165" fontId="6" fillId="0" borderId="0" xfId="5" applyNumberFormat="1" applyFont="1" applyAlignment="1">
      <alignment horizontal="centerContinuous"/>
    </xf>
    <xf numFmtId="165" fontId="6" fillId="0" borderId="7" xfId="5" applyNumberFormat="1" applyFont="1" applyBorder="1" applyAlignment="1">
      <alignment horizontal="centerContinuous"/>
    </xf>
    <xf numFmtId="165" fontId="6" fillId="0" borderId="9" xfId="5" applyNumberFormat="1" applyFont="1" applyBorder="1" applyAlignment="1">
      <alignment horizontal="left"/>
    </xf>
    <xf numFmtId="165" fontId="6" fillId="0" borderId="3" xfId="5" applyNumberFormat="1" applyFont="1" applyBorder="1" applyAlignment="1">
      <alignment horizontal="left"/>
    </xf>
    <xf numFmtId="165" fontId="6" fillId="0" borderId="2" xfId="5" applyNumberFormat="1" applyFont="1" applyBorder="1" applyAlignment="1">
      <alignment horizontal="left"/>
    </xf>
    <xf numFmtId="165" fontId="6" fillId="0" borderId="4" xfId="5" applyNumberFormat="1" applyFont="1" applyBorder="1" applyAlignment="1">
      <alignment horizontal="left"/>
    </xf>
    <xf numFmtId="165" fontId="6" fillId="0" borderId="10" xfId="5" applyNumberFormat="1" applyFont="1" applyBorder="1"/>
    <xf numFmtId="165" fontId="13" fillId="0" borderId="0" xfId="5" applyNumberFormat="1" applyFont="1" applyAlignment="1">
      <alignment horizontal="center" vertical="center"/>
    </xf>
    <xf numFmtId="165" fontId="10" fillId="0" borderId="8" xfId="5" applyNumberFormat="1" applyFont="1" applyBorder="1" applyAlignment="1">
      <alignment horizontal="center" vertical="center"/>
    </xf>
    <xf numFmtId="165" fontId="10" fillId="0" borderId="0" xfId="5" applyNumberFormat="1" applyFont="1" applyAlignment="1">
      <alignment horizontal="center" vertical="center"/>
    </xf>
    <xf numFmtId="165" fontId="13" fillId="0" borderId="8" xfId="5" applyNumberFormat="1" applyFont="1" applyBorder="1" applyAlignment="1">
      <alignment horizontal="center" vertical="center"/>
    </xf>
    <xf numFmtId="165" fontId="13" fillId="0" borderId="0" xfId="5" applyNumberFormat="1" applyFont="1" applyBorder="1" applyAlignment="1">
      <alignment horizontal="center" vertical="center"/>
    </xf>
    <xf numFmtId="165" fontId="6" fillId="0" borderId="10" xfId="5" applyNumberFormat="1" applyFont="1" applyBorder="1" applyAlignment="1">
      <alignment horizontal="left"/>
    </xf>
    <xf numFmtId="165" fontId="6" fillId="0" borderId="10" xfId="5" quotePrefix="1" applyNumberFormat="1" applyFont="1" applyBorder="1" applyAlignment="1">
      <alignment horizontal="center"/>
    </xf>
    <xf numFmtId="165" fontId="10" fillId="0" borderId="11" xfId="5" applyNumberFormat="1" applyFont="1" applyBorder="1" applyAlignment="1">
      <alignment horizontal="right"/>
    </xf>
    <xf numFmtId="165" fontId="10" fillId="0" borderId="7" xfId="5" applyNumberFormat="1" applyFont="1" applyBorder="1" applyAlignment="1">
      <alignment horizontal="right"/>
    </xf>
    <xf numFmtId="165" fontId="10" fillId="0" borderId="0" xfId="5" applyNumberFormat="1" applyFont="1" applyAlignment="1">
      <alignment horizontal="right"/>
    </xf>
    <xf numFmtId="165" fontId="10" fillId="0" borderId="2" xfId="5" applyNumberFormat="1" applyFont="1" applyBorder="1" applyAlignment="1">
      <alignment horizontal="right"/>
    </xf>
    <xf numFmtId="165" fontId="10" fillId="0" borderId="7" xfId="5" applyNumberFormat="1" applyFont="1" applyBorder="1"/>
    <xf numFmtId="164" fontId="10" fillId="0" borderId="0" xfId="6" applyNumberFormat="1" applyFont="1"/>
    <xf numFmtId="165" fontId="10" fillId="0" borderId="0" xfId="5" applyNumberFormat="1" applyFont="1"/>
    <xf numFmtId="165" fontId="10" fillId="0" borderId="0" xfId="5" applyNumberFormat="1" applyFont="1" applyBorder="1"/>
    <xf numFmtId="164" fontId="10" fillId="0" borderId="0" xfId="6" applyNumberFormat="1" applyFont="1" applyBorder="1"/>
    <xf numFmtId="165" fontId="6" fillId="0" borderId="5" xfId="5" applyNumberFormat="1" applyFont="1" applyBorder="1" applyAlignment="1">
      <alignment horizontal="center"/>
    </xf>
    <xf numFmtId="165" fontId="6" fillId="0" borderId="1" xfId="5" applyNumberFormat="1" applyFont="1" applyBorder="1" applyAlignment="1">
      <alignment horizontal="center"/>
    </xf>
    <xf numFmtId="0" fontId="6" fillId="0" borderId="3" xfId="0" applyFont="1" applyBorder="1"/>
    <xf numFmtId="0" fontId="6" fillId="0" borderId="5" xfId="0" applyFont="1" applyBorder="1"/>
    <xf numFmtId="3" fontId="6" fillId="0" borderId="2" xfId="0" applyNumberFormat="1" applyFont="1" applyBorder="1"/>
    <xf numFmtId="3" fontId="10" fillId="0" borderId="0" xfId="0" applyNumberFormat="1" applyFont="1" applyAlignment="1">
      <alignment horizontal="center"/>
    </xf>
    <xf numFmtId="3" fontId="11" fillId="0" borderId="0" xfId="0" applyNumberFormat="1" applyFont="1" applyAlignment="1">
      <alignment horizontal="center"/>
    </xf>
    <xf numFmtId="3" fontId="11" fillId="0" borderId="0" xfId="0" applyNumberFormat="1" applyFont="1"/>
    <xf numFmtId="3" fontId="10" fillId="0" borderId="0" xfId="0" applyNumberFormat="1" applyFont="1"/>
    <xf numFmtId="3" fontId="6" fillId="0" borderId="1" xfId="0" applyNumberFormat="1" applyFont="1" applyBorder="1"/>
    <xf numFmtId="44" fontId="13" fillId="0" borderId="0" xfId="0" applyNumberFormat="1" applyFont="1" applyAlignment="1">
      <alignment horizontal="center"/>
    </xf>
    <xf numFmtId="168" fontId="6" fillId="0" borderId="0" xfId="0" applyNumberFormat="1" applyFont="1" applyAlignment="1">
      <alignment horizontal="center"/>
    </xf>
    <xf numFmtId="167" fontId="6" fillId="0" borderId="0" xfId="5" applyNumberFormat="1" applyFont="1" applyAlignment="1"/>
    <xf numFmtId="167" fontId="6" fillId="0" borderId="2" xfId="5" applyNumberFormat="1" applyFont="1" applyBorder="1"/>
    <xf numFmtId="167" fontId="6" fillId="0" borderId="0" xfId="5" applyNumberFormat="1" applyFont="1" applyBorder="1" applyAlignment="1"/>
    <xf numFmtId="167" fontId="6" fillId="0" borderId="0" xfId="5" applyNumberFormat="1" applyFont="1" applyBorder="1" applyAlignment="1">
      <alignment horizontal="center"/>
    </xf>
    <xf numFmtId="167" fontId="16" fillId="0" borderId="0" xfId="5" applyNumberFormat="1" applyFont="1" applyBorder="1" applyAlignment="1"/>
    <xf numFmtId="170" fontId="6" fillId="0" borderId="0" xfId="0" applyNumberFormat="1" applyFont="1"/>
    <xf numFmtId="169" fontId="10" fillId="0" borderId="0" xfId="0" applyNumberFormat="1" applyFont="1"/>
    <xf numFmtId="167" fontId="6" fillId="0" borderId="0" xfId="5" quotePrefix="1" applyNumberFormat="1" applyFont="1" applyBorder="1" applyAlignment="1">
      <alignment horizontal="center"/>
    </xf>
    <xf numFmtId="3" fontId="6" fillId="0" borderId="4" xfId="0" applyNumberFormat="1" applyFont="1" applyBorder="1"/>
    <xf numFmtId="3" fontId="6" fillId="0" borderId="8" xfId="0" applyNumberFormat="1" applyFont="1" applyBorder="1"/>
    <xf numFmtId="3" fontId="6" fillId="0" borderId="6" xfId="0" applyNumberFormat="1" applyFont="1" applyBorder="1"/>
    <xf numFmtId="3" fontId="6" fillId="0" borderId="7" xfId="0" applyNumberFormat="1" applyFont="1" applyBorder="1"/>
    <xf numFmtId="4" fontId="6" fillId="0" borderId="7" xfId="0" applyNumberFormat="1" applyFont="1" applyBorder="1"/>
    <xf numFmtId="0" fontId="0" fillId="0" borderId="0" xfId="0" applyAlignment="1">
      <alignment vertical="top"/>
    </xf>
    <xf numFmtId="3" fontId="0" fillId="0" borderId="0" xfId="0" applyNumberFormat="1" applyAlignment="1">
      <alignment vertical="top"/>
    </xf>
    <xf numFmtId="165" fontId="0" fillId="0" borderId="0" xfId="1" applyNumberFormat="1" applyFont="1" applyBorder="1" applyAlignment="1">
      <alignment vertical="top"/>
    </xf>
    <xf numFmtId="165" fontId="10" fillId="0" borderId="0" xfId="5" applyNumberFormat="1" applyFont="1" applyBorder="1" applyAlignment="1">
      <alignment vertical="center"/>
    </xf>
    <xf numFmtId="0" fontId="6" fillId="0" borderId="0" xfId="0" applyFont="1" applyAlignment="1">
      <alignment vertical="top"/>
    </xf>
    <xf numFmtId="0" fontId="6" fillId="0" borderId="0" xfId="0" applyFont="1" applyAlignment="1">
      <alignment horizontal="center" vertical="top"/>
    </xf>
    <xf numFmtId="0" fontId="26" fillId="0" borderId="0" xfId="0" applyFont="1"/>
    <xf numFmtId="165" fontId="26" fillId="0" borderId="0" xfId="1" applyNumberFormat="1" applyFont="1"/>
    <xf numFmtId="43" fontId="6" fillId="0" borderId="0" xfId="1" applyFont="1" applyAlignment="1">
      <alignment horizontal="right"/>
    </xf>
    <xf numFmtId="10" fontId="6" fillId="0" borderId="1" xfId="3" applyNumberFormat="1" applyFont="1" applyBorder="1"/>
    <xf numFmtId="2" fontId="6" fillId="0" borderId="0" xfId="0" applyNumberFormat="1" applyFont="1"/>
    <xf numFmtId="0" fontId="6" fillId="0" borderId="0" xfId="0" applyFont="1" applyAlignment="1">
      <alignment horizontal="left"/>
    </xf>
    <xf numFmtId="37" fontId="6" fillId="0" borderId="0" xfId="0" applyNumberFormat="1" applyFont="1" applyAlignment="1">
      <alignment horizontal="center"/>
    </xf>
    <xf numFmtId="165" fontId="6" fillId="0" borderId="0" xfId="1" applyNumberFormat="1" applyFont="1" applyBorder="1" applyAlignment="1"/>
    <xf numFmtId="164" fontId="6" fillId="0" borderId="0" xfId="6" applyNumberFormat="1" applyFont="1" applyBorder="1"/>
    <xf numFmtId="164" fontId="6" fillId="0" borderId="0" xfId="0" applyNumberFormat="1" applyFont="1"/>
    <xf numFmtId="164" fontId="0" fillId="0" borderId="0" xfId="0" applyNumberFormat="1" applyAlignment="1">
      <alignment vertical="top"/>
    </xf>
    <xf numFmtId="10" fontId="0" fillId="0" borderId="0" xfId="3" applyNumberFormat="1" applyFont="1" applyBorder="1" applyAlignment="1">
      <alignment vertical="top"/>
    </xf>
    <xf numFmtId="164" fontId="6" fillId="0" borderId="0" xfId="2" applyNumberFormat="1" applyFont="1" applyBorder="1" applyAlignment="1"/>
    <xf numFmtId="37" fontId="6" fillId="0" borderId="0" xfId="0" applyNumberFormat="1" applyFont="1"/>
    <xf numFmtId="0" fontId="6" fillId="0" borderId="0" xfId="0" applyFont="1" applyAlignment="1">
      <alignment horizontal="center" wrapText="1"/>
    </xf>
    <xf numFmtId="37" fontId="6" fillId="0" borderId="0" xfId="0" applyNumberFormat="1" applyFont="1" applyAlignment="1">
      <alignment horizontal="right"/>
    </xf>
    <xf numFmtId="165" fontId="6" fillId="0" borderId="0" xfId="5" applyNumberFormat="1" applyFont="1" applyBorder="1" applyAlignment="1">
      <alignment horizontal="right"/>
    </xf>
    <xf numFmtId="165" fontId="6" fillId="0" borderId="0" xfId="0" applyNumberFormat="1" applyFont="1" applyAlignment="1">
      <alignment horizontal="right"/>
    </xf>
    <xf numFmtId="44" fontId="6" fillId="0" borderId="0" xfId="5" applyNumberFormat="1" applyFont="1" applyBorder="1"/>
    <xf numFmtId="44" fontId="6" fillId="0" borderId="0" xfId="0" applyNumberFormat="1" applyFont="1" applyAlignment="1">
      <alignment vertical="top"/>
    </xf>
    <xf numFmtId="164" fontId="12" fillId="0" borderId="0" xfId="2" applyNumberFormat="1" applyFont="1" applyBorder="1" applyAlignment="1"/>
    <xf numFmtId="165" fontId="6" fillId="0" borderId="0" xfId="1" applyNumberFormat="1" applyFont="1" applyFill="1" applyAlignment="1">
      <alignment vertical="center"/>
    </xf>
    <xf numFmtId="6" fontId="6" fillId="0" borderId="0" xfId="0" applyNumberFormat="1" applyFont="1"/>
    <xf numFmtId="9" fontId="6" fillId="0" borderId="0" xfId="0" applyNumberFormat="1" applyFont="1"/>
    <xf numFmtId="0" fontId="6" fillId="0" borderId="0" xfId="0" quotePrefix="1" applyFont="1"/>
    <xf numFmtId="44" fontId="6" fillId="0" borderId="0" xfId="0" applyNumberFormat="1" applyFont="1" applyAlignment="1">
      <alignment horizontal="right"/>
    </xf>
    <xf numFmtId="9" fontId="6" fillId="0" borderId="0" xfId="0" applyNumberFormat="1" applyFont="1" applyAlignment="1">
      <alignment horizontal="right"/>
    </xf>
    <xf numFmtId="166" fontId="6" fillId="0" borderId="0" xfId="3" applyNumberFormat="1" applyFont="1" applyFill="1" applyBorder="1" applyAlignment="1">
      <alignment horizontal="right"/>
    </xf>
    <xf numFmtId="9" fontId="6" fillId="0" borderId="0" xfId="3" applyFont="1" applyFill="1" applyBorder="1" applyAlignment="1">
      <alignment horizontal="right"/>
    </xf>
    <xf numFmtId="44" fontId="3" fillId="0" borderId="0" xfId="0" applyNumberFormat="1" applyFont="1" applyAlignment="1">
      <alignment horizontal="right"/>
    </xf>
    <xf numFmtId="3" fontId="6" fillId="0" borderId="2" xfId="0" applyNumberFormat="1" applyFont="1" applyBorder="1" applyAlignment="1">
      <alignment horizontal="right"/>
    </xf>
    <xf numFmtId="3" fontId="11" fillId="0" borderId="0" xfId="0" applyNumberFormat="1" applyFont="1" applyAlignment="1">
      <alignment horizontal="right"/>
    </xf>
    <xf numFmtId="0" fontId="0" fillId="0" borderId="0" xfId="0" applyAlignment="1">
      <alignment horizontal="right"/>
    </xf>
    <xf numFmtId="169" fontId="10" fillId="0" borderId="0" xfId="0" applyNumberFormat="1" applyFont="1" applyAlignment="1">
      <alignment horizontal="right"/>
    </xf>
    <xf numFmtId="167" fontId="6" fillId="0" borderId="1" xfId="5" applyNumberFormat="1" applyFont="1" applyBorder="1" applyAlignment="1">
      <alignment horizontal="right"/>
    </xf>
    <xf numFmtId="167" fontId="6" fillId="0" borderId="0" xfId="5" applyNumberFormat="1" applyFont="1" applyBorder="1" applyAlignment="1">
      <alignment horizontal="right"/>
    </xf>
    <xf numFmtId="164" fontId="6" fillId="0" borderId="0" xfId="0" applyNumberFormat="1" applyFont="1" applyAlignment="1">
      <alignment horizontal="right"/>
    </xf>
    <xf numFmtId="164" fontId="6" fillId="0" borderId="2" xfId="0" applyNumberFormat="1" applyFont="1" applyBorder="1" applyAlignment="1">
      <alignment horizontal="right"/>
    </xf>
    <xf numFmtId="164" fontId="10" fillId="0" borderId="0" xfId="0" applyNumberFormat="1" applyFont="1" applyAlignment="1">
      <alignment horizontal="center"/>
    </xf>
    <xf numFmtId="164" fontId="11" fillId="0" borderId="0" xfId="0" applyNumberFormat="1" applyFont="1" applyAlignment="1">
      <alignment horizontal="center"/>
    </xf>
    <xf numFmtId="164" fontId="11" fillId="0" borderId="0" xfId="0" applyNumberFormat="1" applyFont="1" applyAlignment="1">
      <alignment horizontal="right"/>
    </xf>
    <xf numFmtId="164" fontId="6" fillId="0" borderId="0" xfId="5" applyNumberFormat="1" applyFont="1" applyBorder="1" applyAlignment="1">
      <alignment horizontal="right"/>
    </xf>
    <xf numFmtId="164" fontId="6" fillId="0" borderId="1" xfId="0" applyNumberFormat="1" applyFont="1" applyBorder="1" applyAlignment="1">
      <alignment horizontal="right"/>
    </xf>
    <xf numFmtId="164" fontId="12" fillId="0" borderId="0" xfId="0" applyNumberFormat="1" applyFont="1" applyAlignment="1">
      <alignment horizontal="right"/>
    </xf>
    <xf numFmtId="10" fontId="6" fillId="0" borderId="0" xfId="3" applyNumberFormat="1" applyFont="1" applyBorder="1" applyAlignment="1"/>
    <xf numFmtId="43" fontId="6" fillId="0" borderId="0" xfId="1" applyFont="1" applyBorder="1" applyAlignment="1">
      <alignment vertical="center"/>
    </xf>
    <xf numFmtId="44" fontId="6" fillId="0" borderId="0" xfId="0" applyNumberFormat="1" applyFont="1"/>
    <xf numFmtId="44" fontId="6" fillId="0" borderId="0" xfId="1" applyNumberFormat="1" applyFont="1" applyBorder="1"/>
    <xf numFmtId="43" fontId="6" fillId="0" borderId="7" xfId="1" applyFont="1" applyBorder="1" applyAlignment="1"/>
    <xf numFmtId="43" fontId="6" fillId="0" borderId="8" xfId="1" applyFont="1" applyBorder="1" applyAlignment="1"/>
    <xf numFmtId="43" fontId="12" fillId="0" borderId="8" xfId="1" applyFont="1" applyBorder="1" applyAlignment="1">
      <alignment horizontal="center"/>
    </xf>
    <xf numFmtId="44" fontId="6" fillId="0" borderId="8" xfId="2" applyFont="1" applyBorder="1" applyAlignment="1"/>
    <xf numFmtId="43" fontId="6" fillId="0" borderId="1" xfId="1" applyFont="1" applyBorder="1" applyAlignment="1"/>
    <xf numFmtId="43" fontId="6" fillId="0" borderId="6" xfId="1" applyFont="1" applyBorder="1" applyAlignment="1"/>
    <xf numFmtId="44" fontId="6" fillId="0" borderId="0" xfId="2" applyFont="1" applyBorder="1" applyAlignment="1">
      <alignment horizontal="center"/>
    </xf>
    <xf numFmtId="10" fontId="6" fillId="0" borderId="0" xfId="3" applyNumberFormat="1" applyFont="1" applyBorder="1" applyAlignment="1">
      <alignment horizontal="center"/>
    </xf>
    <xf numFmtId="10" fontId="6" fillId="0" borderId="1" xfId="3" applyNumberFormat="1" applyFont="1" applyBorder="1" applyAlignment="1">
      <alignment horizontal="center"/>
    </xf>
    <xf numFmtId="164" fontId="6" fillId="0" borderId="0" xfId="2" applyNumberFormat="1" applyFont="1"/>
    <xf numFmtId="10" fontId="6" fillId="0" borderId="0" xfId="1" applyNumberFormat="1" applyFont="1"/>
    <xf numFmtId="10" fontId="6" fillId="0" borderId="0" xfId="1" applyNumberFormat="1" applyFont="1" applyBorder="1"/>
    <xf numFmtId="44" fontId="12" fillId="0" borderId="0" xfId="0" applyNumberFormat="1" applyFont="1"/>
    <xf numFmtId="44" fontId="6" fillId="0" borderId="0" xfId="2" applyFont="1"/>
    <xf numFmtId="44" fontId="6" fillId="0" borderId="0" xfId="2" applyFont="1" applyAlignment="1">
      <alignment vertical="top"/>
    </xf>
    <xf numFmtId="10" fontId="6" fillId="0" borderId="0" xfId="3" applyNumberFormat="1" applyFont="1" applyAlignment="1">
      <alignment vertical="top"/>
    </xf>
    <xf numFmtId="166" fontId="6" fillId="0" borderId="0" xfId="0" applyNumberFormat="1" applyFont="1" applyAlignment="1">
      <alignment horizontal="right"/>
    </xf>
    <xf numFmtId="44" fontId="6" fillId="0" borderId="0" xfId="2" applyFont="1" applyFill="1" applyBorder="1" applyAlignment="1">
      <alignment horizontal="right"/>
    </xf>
    <xf numFmtId="44" fontId="22" fillId="0" borderId="0" xfId="2" applyFont="1" applyFill="1" applyBorder="1" applyAlignment="1">
      <alignment horizontal="right"/>
    </xf>
    <xf numFmtId="44" fontId="21" fillId="0" borderId="0" xfId="2" applyFont="1" applyFill="1" applyBorder="1" applyAlignment="1">
      <alignment horizontal="right"/>
    </xf>
    <xf numFmtId="44" fontId="6" fillId="0" borderId="1" xfId="2" applyFont="1" applyFill="1" applyBorder="1" applyAlignment="1">
      <alignment horizontal="right"/>
    </xf>
    <xf numFmtId="0" fontId="6" fillId="0" borderId="0" xfId="1" applyNumberFormat="1" applyFont="1" applyFill="1" applyBorder="1"/>
    <xf numFmtId="44" fontId="6" fillId="0" borderId="1" xfId="0" applyNumberFormat="1" applyFont="1" applyBorder="1" applyAlignment="1">
      <alignment horizontal="right"/>
    </xf>
    <xf numFmtId="10" fontId="6" fillId="0" borderId="0" xfId="3" applyNumberFormat="1" applyFont="1" applyBorder="1" applyAlignment="1">
      <alignment vertical="top"/>
    </xf>
    <xf numFmtId="165" fontId="6" fillId="0" borderId="0" xfId="1" applyNumberFormat="1" applyFont="1" applyFill="1" applyBorder="1" applyAlignment="1">
      <alignment horizontal="right"/>
    </xf>
    <xf numFmtId="44" fontId="2" fillId="0" borderId="0" xfId="2" applyFont="1" applyFill="1" applyBorder="1" applyAlignment="1">
      <alignment horizontal="right"/>
    </xf>
    <xf numFmtId="9" fontId="3" fillId="0" borderId="0" xfId="3" applyFont="1" applyFill="1" applyBorder="1" applyAlignment="1">
      <alignment horizontal="right"/>
    </xf>
    <xf numFmtId="0" fontId="10" fillId="0" borderId="0" xfId="0" applyFont="1"/>
    <xf numFmtId="0" fontId="10" fillId="0" borderId="0" xfId="1" applyNumberFormat="1" applyFont="1" applyFill="1" applyBorder="1"/>
    <xf numFmtId="44" fontId="10" fillId="0" borderId="12" xfId="0" applyNumberFormat="1" applyFont="1" applyBorder="1" applyAlignment="1">
      <alignment horizontal="right"/>
    </xf>
    <xf numFmtId="44" fontId="10" fillId="0" borderId="0" xfId="2" applyFont="1" applyFill="1" applyBorder="1" applyAlignment="1">
      <alignment horizontal="right"/>
    </xf>
    <xf numFmtId="43" fontId="6" fillId="0" borderId="0" xfId="1" applyFont="1" applyFill="1"/>
    <xf numFmtId="43" fontId="6" fillId="0" borderId="0" xfId="1" applyFont="1" applyFill="1" applyBorder="1"/>
    <xf numFmtId="44" fontId="6" fillId="3" borderId="1" xfId="2" applyFont="1" applyFill="1" applyBorder="1" applyAlignment="1">
      <alignment horizontal="right"/>
    </xf>
    <xf numFmtId="43" fontId="6" fillId="0" borderId="1" xfId="1" applyFont="1" applyFill="1" applyBorder="1"/>
    <xf numFmtId="44" fontId="28" fillId="0" borderId="1" xfId="2" applyFont="1" applyBorder="1"/>
    <xf numFmtId="0" fontId="26" fillId="0" borderId="0" xfId="0" applyFont="1" applyAlignment="1">
      <alignment horizontal="center"/>
    </xf>
    <xf numFmtId="43" fontId="6" fillId="0" borderId="2" xfId="1" applyFont="1" applyBorder="1"/>
    <xf numFmtId="0" fontId="6" fillId="0" borderId="0" xfId="2" applyNumberFormat="1" applyFont="1" applyBorder="1" applyAlignment="1"/>
    <xf numFmtId="165" fontId="12" fillId="0" borderId="0" xfId="1" applyNumberFormat="1" applyFont="1" applyFill="1" applyBorder="1" applyAlignment="1">
      <alignment vertical="center"/>
    </xf>
    <xf numFmtId="171" fontId="6" fillId="0" borderId="0" xfId="2" applyNumberFormat="1" applyFont="1" applyBorder="1" applyAlignment="1"/>
    <xf numFmtId="44" fontId="27" fillId="0" borderId="7" xfId="2" applyFont="1" applyBorder="1" applyAlignment="1">
      <alignment horizontal="center"/>
    </xf>
    <xf numFmtId="44" fontId="27" fillId="0" borderId="0" xfId="2" applyFont="1" applyBorder="1" applyAlignment="1">
      <alignment horizontal="center"/>
    </xf>
    <xf numFmtId="44" fontId="27" fillId="0" borderId="8" xfId="2" applyFont="1" applyBorder="1" applyAlignment="1">
      <alignment horizontal="center"/>
    </xf>
    <xf numFmtId="44" fontId="6" fillId="0" borderId="0" xfId="2" applyFont="1" applyBorder="1" applyAlignment="1">
      <alignment horizontal="right"/>
    </xf>
    <xf numFmtId="44" fontId="6" fillId="0" borderId="7" xfId="2" applyFont="1" applyBorder="1" applyAlignment="1">
      <alignment horizontal="right"/>
    </xf>
    <xf numFmtId="171" fontId="6" fillId="0" borderId="0" xfId="2" applyNumberFormat="1" applyFont="1" applyBorder="1" applyAlignment="1">
      <alignment vertical="center"/>
    </xf>
    <xf numFmtId="10" fontId="6" fillId="0" borderId="0" xfId="3" applyNumberFormat="1" applyFont="1" applyFill="1" applyAlignment="1">
      <alignment vertical="center"/>
    </xf>
    <xf numFmtId="0" fontId="4" fillId="0" borderId="0" xfId="0" applyFont="1" applyAlignment="1">
      <alignment vertical="top"/>
    </xf>
    <xf numFmtId="0" fontId="29" fillId="0" borderId="0" xfId="0" applyFont="1" applyAlignment="1">
      <alignment horizontal="left"/>
    </xf>
    <xf numFmtId="0" fontId="4" fillId="0" borderId="0" xfId="0" applyFont="1"/>
    <xf numFmtId="0" fontId="4" fillId="0" borderId="0" xfId="0" applyFont="1" applyAlignment="1">
      <alignment horizontal="center" wrapText="1"/>
    </xf>
    <xf numFmtId="37" fontId="4" fillId="0" borderId="0" xfId="0" applyNumberFormat="1" applyFont="1"/>
    <xf numFmtId="165" fontId="29" fillId="0" borderId="0" xfId="5" applyNumberFormat="1" applyFont="1" applyBorder="1" applyAlignment="1">
      <alignment vertical="center"/>
    </xf>
    <xf numFmtId="0" fontId="4" fillId="0" borderId="0" xfId="0" applyFont="1" applyAlignment="1">
      <alignment horizontal="center"/>
    </xf>
    <xf numFmtId="165" fontId="29" fillId="0" borderId="0" xfId="5" applyNumberFormat="1" applyFont="1" applyBorder="1" applyAlignment="1">
      <alignment horizontal="center" vertical="center"/>
    </xf>
    <xf numFmtId="37" fontId="29" fillId="0" borderId="0" xfId="0" applyNumberFormat="1" applyFont="1" applyAlignment="1">
      <alignment horizontal="right"/>
    </xf>
    <xf numFmtId="0" fontId="29" fillId="0" borderId="0" xfId="0" applyFont="1" applyAlignment="1">
      <alignment horizontal="center"/>
    </xf>
    <xf numFmtId="0" fontId="29" fillId="0" borderId="0" xfId="0" applyFont="1" applyAlignment="1">
      <alignment horizontal="right"/>
    </xf>
    <xf numFmtId="165" fontId="4" fillId="0" borderId="0" xfId="0" applyNumberFormat="1" applyFont="1"/>
    <xf numFmtId="165" fontId="4" fillId="0" borderId="0" xfId="1" applyNumberFormat="1" applyFont="1" applyBorder="1" applyAlignment="1"/>
    <xf numFmtId="164" fontId="4" fillId="0" borderId="0" xfId="6" applyNumberFormat="1" applyFont="1" applyBorder="1"/>
    <xf numFmtId="3" fontId="4" fillId="0" borderId="0" xfId="0" applyNumberFormat="1" applyFont="1" applyAlignment="1">
      <alignment horizontal="left"/>
    </xf>
    <xf numFmtId="164" fontId="4" fillId="0" borderId="0" xfId="2" applyNumberFormat="1" applyFont="1" applyBorder="1" applyAlignment="1"/>
    <xf numFmtId="164" fontId="30" fillId="0" borderId="0" xfId="2" applyNumberFormat="1" applyFont="1" applyBorder="1" applyAlignment="1"/>
    <xf numFmtId="0" fontId="4" fillId="0" borderId="0" xfId="0" applyFont="1" applyAlignment="1">
      <alignment vertical="center"/>
    </xf>
    <xf numFmtId="165" fontId="4" fillId="0" borderId="0" xfId="1" applyNumberFormat="1" applyFont="1" applyBorder="1" applyAlignment="1">
      <alignment vertical="center"/>
    </xf>
    <xf numFmtId="164" fontId="30" fillId="0" borderId="0" xfId="2" applyNumberFormat="1" applyFont="1" applyFill="1" applyBorder="1" applyAlignment="1">
      <alignment vertical="center"/>
    </xf>
    <xf numFmtId="0" fontId="6" fillId="0" borderId="0" xfId="0" applyFont="1" applyAlignment="1">
      <alignment vertical="center"/>
    </xf>
    <xf numFmtId="0" fontId="0" fillId="0" borderId="0" xfId="0" applyAlignment="1">
      <alignment vertical="center"/>
    </xf>
    <xf numFmtId="3" fontId="0" fillId="0" borderId="0" xfId="0" applyNumberFormat="1" applyAlignment="1">
      <alignment vertical="center"/>
    </xf>
    <xf numFmtId="37" fontId="31" fillId="0" borderId="0" xfId="0" applyNumberFormat="1" applyFont="1" applyAlignment="1">
      <alignment horizontal="center" vertical="center"/>
    </xf>
    <xf numFmtId="37" fontId="31" fillId="0" borderId="0" xfId="0" applyNumberFormat="1" applyFont="1" applyAlignment="1">
      <alignment horizontal="center" vertical="center" wrapText="1"/>
    </xf>
    <xf numFmtId="37" fontId="31" fillId="0" borderId="0" xfId="0" applyNumberFormat="1" applyFont="1" applyAlignment="1">
      <alignment horizontal="center"/>
    </xf>
    <xf numFmtId="0" fontId="31" fillId="0" borderId="0" xfId="0" applyFont="1" applyAlignment="1">
      <alignment vertical="top"/>
    </xf>
    <xf numFmtId="0" fontId="31" fillId="0" borderId="0" xfId="0" applyFont="1" applyAlignment="1">
      <alignment horizontal="center" vertical="center" wrapText="1"/>
    </xf>
    <xf numFmtId="171" fontId="6" fillId="0" borderId="0" xfId="2" applyNumberFormat="1" applyFont="1" applyBorder="1" applyAlignment="1">
      <alignment horizontal="center"/>
    </xf>
    <xf numFmtId="0" fontId="32" fillId="0" borderId="0" xfId="0" applyFont="1"/>
    <xf numFmtId="44" fontId="0" fillId="0" borderId="0" xfId="2" applyFont="1"/>
    <xf numFmtId="0" fontId="33" fillId="0" borderId="0" xfId="0" applyFont="1"/>
    <xf numFmtId="44" fontId="30" fillId="0" borderId="0" xfId="2" quotePrefix="1" applyFont="1" applyAlignment="1">
      <alignment horizontal="center"/>
    </xf>
    <xf numFmtId="0" fontId="33" fillId="0" borderId="0" xfId="0" applyFont="1" applyAlignment="1">
      <alignment horizontal="right"/>
    </xf>
    <xf numFmtId="44" fontId="6" fillId="0" borderId="0" xfId="2" applyFont="1" applyAlignment="1">
      <alignment horizontal="center" wrapText="1"/>
    </xf>
    <xf numFmtId="37" fontId="9" fillId="0" borderId="0" xfId="0" applyNumberFormat="1" applyFont="1" applyAlignment="1">
      <alignment horizontal="center"/>
    </xf>
    <xf numFmtId="44" fontId="9" fillId="0" borderId="0" xfId="2" applyFont="1" applyAlignment="1">
      <alignment horizontal="center" wrapText="1"/>
    </xf>
    <xf numFmtId="0" fontId="9" fillId="0" borderId="0" xfId="0" applyFont="1" applyAlignment="1">
      <alignment horizontal="center" wrapText="1"/>
    </xf>
    <xf numFmtId="164" fontId="6" fillId="0" borderId="0" xfId="2" applyNumberFormat="1" applyFont="1" applyFill="1" applyBorder="1" applyAlignment="1"/>
    <xf numFmtId="3" fontId="4" fillId="0" borderId="0" xfId="0" applyNumberFormat="1" applyFont="1" applyAlignment="1">
      <alignment horizontal="left" vertical="center"/>
    </xf>
    <xf numFmtId="10" fontId="4" fillId="0" borderId="0" xfId="3" applyNumberFormat="1" applyFont="1" applyBorder="1" applyAlignment="1"/>
    <xf numFmtId="43" fontId="6" fillId="0" borderId="0" xfId="1" applyFont="1" applyAlignment="1">
      <alignment horizontal="center"/>
    </xf>
    <xf numFmtId="172" fontId="6" fillId="0" borderId="0" xfId="1" applyNumberFormat="1" applyFont="1" applyAlignment="1">
      <alignment horizontal="center"/>
    </xf>
    <xf numFmtId="44" fontId="1" fillId="0" borderId="0" xfId="2" applyFont="1" applyFill="1" applyBorder="1" applyAlignment="1">
      <alignment horizontal="right"/>
    </xf>
    <xf numFmtId="44" fontId="6" fillId="0" borderId="13" xfId="2" applyFont="1" applyFill="1" applyBorder="1" applyAlignment="1">
      <alignment horizontal="right"/>
    </xf>
    <xf numFmtId="44" fontId="6" fillId="3" borderId="13" xfId="2" applyFont="1" applyFill="1" applyBorder="1" applyAlignment="1">
      <alignment horizontal="right"/>
    </xf>
    <xf numFmtId="1" fontId="6" fillId="0" borderId="0" xfId="0" applyNumberFormat="1" applyFont="1" applyAlignment="1">
      <alignment horizontal="right"/>
    </xf>
    <xf numFmtId="165" fontId="6" fillId="0" borderId="0" xfId="5" applyNumberFormat="1" applyFont="1" applyAlignment="1">
      <alignment vertical="center"/>
    </xf>
    <xf numFmtId="3" fontId="6" fillId="0" borderId="0" xfId="0" applyNumberFormat="1" applyFont="1" applyAlignment="1">
      <alignment vertical="center"/>
    </xf>
    <xf numFmtId="165" fontId="6" fillId="0" borderId="0" xfId="5" applyNumberFormat="1" applyFont="1" applyAlignment="1"/>
    <xf numFmtId="9" fontId="6" fillId="0" borderId="0" xfId="7" applyFont="1"/>
    <xf numFmtId="165" fontId="12" fillId="0" borderId="0" xfId="5" applyNumberFormat="1" applyFont="1" applyBorder="1"/>
    <xf numFmtId="172" fontId="11" fillId="0" borderId="0" xfId="1" applyNumberFormat="1" applyFont="1" applyFill="1" applyBorder="1" applyAlignment="1">
      <alignment horizontal="center"/>
    </xf>
    <xf numFmtId="44" fontId="10" fillId="0" borderId="0" xfId="0" applyNumberFormat="1" applyFont="1" applyAlignment="1">
      <alignment horizontal="right"/>
    </xf>
    <xf numFmtId="44" fontId="10" fillId="0" borderId="0" xfId="0" applyNumberFormat="1" applyFont="1" applyAlignment="1">
      <alignment horizontal="center"/>
    </xf>
    <xf numFmtId="44" fontId="10" fillId="0" borderId="1" xfId="2" applyFont="1" applyFill="1" applyBorder="1" applyAlignment="1">
      <alignment horizontal="right"/>
    </xf>
    <xf numFmtId="0" fontId="34" fillId="0" borderId="0" xfId="0" applyFont="1"/>
    <xf numFmtId="44" fontId="34" fillId="0" borderId="0" xfId="2" applyFont="1"/>
    <xf numFmtId="43" fontId="4" fillId="0" borderId="0" xfId="1" applyFont="1"/>
    <xf numFmtId="44" fontId="34" fillId="0" borderId="1" xfId="2" applyFont="1" applyBorder="1"/>
    <xf numFmtId="43" fontId="6" fillId="0" borderId="0" xfId="0" applyNumberFormat="1" applyFont="1" applyAlignment="1">
      <alignment horizontal="right"/>
    </xf>
    <xf numFmtId="0" fontId="6" fillId="0" borderId="1" xfId="0" applyFont="1" applyBorder="1" applyAlignment="1">
      <alignment horizontal="center"/>
    </xf>
    <xf numFmtId="43" fontId="6" fillId="0" borderId="1" xfId="1" applyFont="1" applyBorder="1" applyAlignment="1">
      <alignment horizontal="center"/>
    </xf>
    <xf numFmtId="43" fontId="6" fillId="0" borderId="1" xfId="0" applyNumberFormat="1" applyFont="1" applyBorder="1" applyAlignment="1">
      <alignment horizontal="right"/>
    </xf>
    <xf numFmtId="0" fontId="34" fillId="4" borderId="0" xfId="0" applyFont="1" applyFill="1"/>
    <xf numFmtId="43" fontId="6" fillId="4" borderId="0" xfId="1" applyFont="1" applyFill="1"/>
    <xf numFmtId="44" fontId="34" fillId="4" borderId="0" xfId="2" applyFont="1" applyFill="1"/>
    <xf numFmtId="43" fontId="6" fillId="0" borderId="0" xfId="0" applyNumberFormat="1" applyFont="1"/>
    <xf numFmtId="0" fontId="35" fillId="0" borderId="0" xfId="0" applyFont="1"/>
    <xf numFmtId="0" fontId="0" fillId="0" borderId="0" xfId="0" applyAlignment="1">
      <alignment horizontal="center" vertical="top"/>
    </xf>
    <xf numFmtId="0" fontId="36" fillId="0" borderId="0" xfId="0" applyFont="1" applyAlignment="1">
      <alignment horizontal="center" wrapText="1"/>
    </xf>
    <xf numFmtId="0" fontId="37" fillId="0" borderId="0" xfId="0" applyFont="1" applyAlignment="1">
      <alignment horizontal="center" wrapText="1"/>
    </xf>
    <xf numFmtId="0" fontId="4" fillId="0" borderId="0" xfId="0" applyFont="1" applyAlignment="1">
      <alignment horizontal="center" vertical="top"/>
    </xf>
    <xf numFmtId="0" fontId="4" fillId="0" borderId="0" xfId="0" applyFont="1" applyAlignment="1">
      <alignment wrapText="1"/>
    </xf>
    <xf numFmtId="0" fontId="0" fillId="0" borderId="0" xfId="0" applyAlignment="1">
      <alignment wrapText="1"/>
    </xf>
    <xf numFmtId="0" fontId="26" fillId="4" borderId="0" xfId="0" applyFont="1" applyFill="1"/>
    <xf numFmtId="165" fontId="6" fillId="0" borderId="0" xfId="1" quotePrefix="1" applyNumberFormat="1" applyFont="1"/>
    <xf numFmtId="165" fontId="12" fillId="0" borderId="0" xfId="1" quotePrefix="1" applyNumberFormat="1" applyFont="1"/>
    <xf numFmtId="165" fontId="6" fillId="3" borderId="0" xfId="5" applyNumberFormat="1" applyFont="1" applyFill="1" applyBorder="1" applyAlignment="1">
      <alignment horizontal="center"/>
    </xf>
    <xf numFmtId="0" fontId="6" fillId="0" borderId="1" xfId="0" applyFont="1" applyBorder="1"/>
    <xf numFmtId="164" fontId="4" fillId="0" borderId="0" xfId="2" applyNumberFormat="1" applyFont="1" applyBorder="1" applyAlignment="1">
      <alignment horizontal="center"/>
    </xf>
    <xf numFmtId="0" fontId="10" fillId="0" borderId="0" xfId="0" applyFont="1" applyAlignment="1">
      <alignment horizontal="center"/>
    </xf>
    <xf numFmtId="0" fontId="4" fillId="0" borderId="0" xfId="0" applyFont="1" applyAlignment="1">
      <alignment vertical="top" wrapText="1"/>
    </xf>
    <xf numFmtId="3" fontId="10" fillId="4" borderId="0" xfId="0" applyNumberFormat="1" applyFont="1" applyFill="1" applyAlignment="1">
      <alignment vertical="center"/>
    </xf>
    <xf numFmtId="3" fontId="6" fillId="4" borderId="0" xfId="0" applyNumberFormat="1" applyFont="1" applyFill="1" applyAlignment="1">
      <alignment vertical="center"/>
    </xf>
    <xf numFmtId="43" fontId="6" fillId="0" borderId="5" xfId="1" applyFont="1" applyBorder="1" applyAlignment="1">
      <alignment horizontal="right"/>
    </xf>
    <xf numFmtId="37" fontId="26" fillId="0" borderId="0" xfId="0" applyNumberFormat="1" applyFont="1" applyAlignment="1">
      <alignment horizontal="center"/>
    </xf>
    <xf numFmtId="44" fontId="26" fillId="0" borderId="0" xfId="2" applyFont="1" applyBorder="1" applyAlignment="1">
      <alignment horizontal="right"/>
    </xf>
    <xf numFmtId="44" fontId="26" fillId="0" borderId="0" xfId="2" applyFont="1" applyAlignment="1">
      <alignment horizontal="center" wrapText="1"/>
    </xf>
    <xf numFmtId="44" fontId="26" fillId="0" borderId="7" xfId="2" applyFont="1" applyBorder="1" applyAlignment="1">
      <alignment horizontal="right"/>
    </xf>
    <xf numFmtId="165" fontId="26" fillId="0" borderId="0" xfId="5" applyNumberFormat="1" applyFont="1" applyBorder="1"/>
    <xf numFmtId="37" fontId="39" fillId="0" borderId="0" xfId="0" applyNumberFormat="1" applyFont="1" applyAlignment="1">
      <alignment horizontal="center"/>
    </xf>
    <xf numFmtId="0" fontId="26" fillId="0" borderId="0" xfId="0" applyFont="1" applyAlignment="1">
      <alignment horizontal="right"/>
    </xf>
    <xf numFmtId="37" fontId="26" fillId="0" borderId="0" xfId="0" applyNumberFormat="1" applyFont="1" applyAlignment="1">
      <alignment horizontal="right"/>
    </xf>
    <xf numFmtId="44" fontId="26" fillId="0" borderId="0" xfId="2" applyFont="1" applyBorder="1"/>
    <xf numFmtId="37" fontId="26" fillId="0" borderId="0" xfId="0" applyNumberFormat="1" applyFont="1"/>
    <xf numFmtId="0" fontId="26" fillId="0" borderId="0" xfId="0" applyFont="1" applyAlignment="1">
      <alignment horizontal="center" wrapText="1"/>
    </xf>
    <xf numFmtId="44" fontId="26" fillId="0" borderId="0" xfId="2" applyFont="1" applyBorder="1" applyAlignment="1"/>
    <xf numFmtId="44" fontId="26" fillId="0" borderId="0" xfId="5" applyNumberFormat="1" applyFont="1" applyBorder="1"/>
    <xf numFmtId="165" fontId="40" fillId="0" borderId="0" xfId="5" applyNumberFormat="1" applyFont="1" applyBorder="1" applyAlignment="1">
      <alignment vertical="center"/>
    </xf>
    <xf numFmtId="165" fontId="40" fillId="0" borderId="0" xfId="1" applyNumberFormat="1" applyFont="1" applyAlignment="1">
      <alignment vertical="center"/>
    </xf>
    <xf numFmtId="44" fontId="4" fillId="0" borderId="0" xfId="2" applyFont="1" applyAlignment="1">
      <alignment vertical="top"/>
    </xf>
    <xf numFmtId="44" fontId="0" fillId="0" borderId="0" xfId="0" applyNumberFormat="1" applyAlignment="1">
      <alignment vertical="top"/>
    </xf>
    <xf numFmtId="44" fontId="26" fillId="0" borderId="0" xfId="2" applyFont="1" applyAlignment="1">
      <alignment horizontal="center"/>
    </xf>
    <xf numFmtId="44" fontId="39" fillId="0" borderId="0" xfId="2" applyFont="1" applyAlignment="1">
      <alignment horizontal="center" wrapText="1"/>
    </xf>
    <xf numFmtId="173" fontId="0" fillId="0" borderId="0" xfId="0" applyNumberFormat="1" applyAlignment="1">
      <alignment vertical="top"/>
    </xf>
    <xf numFmtId="0" fontId="29" fillId="0" borderId="0" xfId="0" applyFont="1"/>
    <xf numFmtId="44" fontId="29" fillId="0" borderId="0" xfId="0" applyNumberFormat="1" applyFont="1"/>
    <xf numFmtId="165" fontId="6" fillId="0" borderId="0" xfId="1" applyNumberFormat="1" applyFont="1" applyAlignment="1">
      <alignment horizontal="left" vertical="top"/>
    </xf>
    <xf numFmtId="165" fontId="13" fillId="0" borderId="0" xfId="1" applyNumberFormat="1" applyFont="1" applyAlignment="1">
      <alignment horizontal="center" vertical="top"/>
    </xf>
    <xf numFmtId="165" fontId="19" fillId="0" borderId="0" xfId="1" applyNumberFormat="1" applyFont="1" applyAlignment="1">
      <alignment horizontal="left" vertical="top"/>
    </xf>
    <xf numFmtId="0" fontId="38" fillId="0" borderId="0" xfId="0" applyFont="1" applyAlignment="1">
      <alignment horizontal="left" vertical="top"/>
    </xf>
    <xf numFmtId="165" fontId="6" fillId="0" borderId="0" xfId="5" applyNumberFormat="1" applyFont="1" applyAlignment="1">
      <alignment horizontal="left" vertical="top"/>
    </xf>
    <xf numFmtId="165" fontId="6" fillId="3" borderId="0" xfId="5" applyNumberFormat="1" applyFont="1" applyFill="1" applyAlignment="1">
      <alignment horizontal="left" vertical="top"/>
    </xf>
    <xf numFmtId="165" fontId="13" fillId="0" borderId="0" xfId="1" quotePrefix="1" applyNumberFormat="1" applyFont="1" applyAlignment="1">
      <alignment horizontal="left" vertical="top"/>
    </xf>
    <xf numFmtId="165" fontId="9" fillId="0" borderId="0" xfId="1" applyNumberFormat="1" applyFont="1" applyAlignment="1">
      <alignment horizontal="left" vertical="top"/>
    </xf>
    <xf numFmtId="9" fontId="6" fillId="0" borderId="0" xfId="7" applyFont="1" applyAlignment="1">
      <alignment horizontal="left" vertical="top"/>
    </xf>
    <xf numFmtId="165" fontId="38" fillId="0" borderId="0" xfId="5" applyNumberFormat="1" applyFont="1" applyAlignment="1">
      <alignment horizontal="center" vertical="center"/>
    </xf>
    <xf numFmtId="165" fontId="38" fillId="0" borderId="8" xfId="5" applyNumberFormat="1" applyFont="1" applyBorder="1" applyAlignment="1">
      <alignment horizontal="center" vertical="center"/>
    </xf>
    <xf numFmtId="165" fontId="38" fillId="0" borderId="0" xfId="5" quotePrefix="1" applyNumberFormat="1" applyFont="1" applyBorder="1" applyAlignment="1">
      <alignment horizontal="center"/>
    </xf>
    <xf numFmtId="165" fontId="38" fillId="0" borderId="7" xfId="5" applyNumberFormat="1" applyFont="1" applyBorder="1" applyAlignment="1">
      <alignment horizontal="center"/>
    </xf>
    <xf numFmtId="165" fontId="38" fillId="0" borderId="0" xfId="5" applyNumberFormat="1" applyFont="1" applyAlignment="1">
      <alignment horizontal="center"/>
    </xf>
    <xf numFmtId="165" fontId="38" fillId="0" borderId="8" xfId="5" applyNumberFormat="1" applyFont="1" applyBorder="1" applyAlignment="1">
      <alignment horizontal="center"/>
    </xf>
    <xf numFmtId="165" fontId="38" fillId="0" borderId="7" xfId="5" quotePrefix="1" applyNumberFormat="1" applyFont="1" applyBorder="1" applyAlignment="1">
      <alignment horizontal="left"/>
    </xf>
    <xf numFmtId="165" fontId="38" fillId="0" borderId="0" xfId="5" quotePrefix="1" applyNumberFormat="1" applyFont="1" applyAlignment="1">
      <alignment horizontal="left"/>
    </xf>
    <xf numFmtId="165" fontId="38" fillId="0" borderId="8" xfId="5" quotePrefix="1" applyNumberFormat="1" applyFont="1" applyBorder="1" applyAlignment="1">
      <alignment horizontal="left"/>
    </xf>
    <xf numFmtId="165" fontId="41" fillId="0" borderId="7" xfId="5" quotePrefix="1" applyNumberFormat="1" applyFont="1" applyBorder="1" applyAlignment="1">
      <alignment horizontal="left"/>
    </xf>
    <xf numFmtId="165" fontId="41" fillId="0" borderId="5" xfId="5" applyNumberFormat="1" applyFont="1" applyBorder="1" applyAlignment="1">
      <alignment horizontal="right"/>
    </xf>
    <xf numFmtId="165" fontId="41" fillId="0" borderId="1" xfId="5" applyNumberFormat="1" applyFont="1" applyBorder="1" applyAlignment="1">
      <alignment horizontal="right"/>
    </xf>
    <xf numFmtId="165" fontId="41" fillId="0" borderId="6" xfId="5" applyNumberFormat="1" applyFont="1" applyBorder="1" applyAlignment="1">
      <alignment horizontal="right"/>
    </xf>
    <xf numFmtId="165" fontId="41" fillId="0" borderId="8" xfId="5" applyNumberFormat="1" applyFont="1" applyBorder="1" applyAlignment="1">
      <alignment horizontal="right"/>
    </xf>
    <xf numFmtId="165" fontId="38" fillId="0" borderId="0" xfId="1" applyNumberFormat="1" applyFont="1"/>
    <xf numFmtId="165" fontId="38" fillId="0" borderId="8" xfId="1" applyNumberFormat="1" applyFont="1" applyBorder="1"/>
    <xf numFmtId="165" fontId="7" fillId="0" borderId="0" xfId="5" applyNumberFormat="1" applyFont="1" applyAlignment="1">
      <alignment horizontal="center" vertical="center"/>
    </xf>
    <xf numFmtId="165" fontId="7" fillId="0" borderId="0" xfId="1" applyNumberFormat="1" applyFont="1" applyAlignment="1">
      <alignment horizontal="center" vertical="center"/>
    </xf>
    <xf numFmtId="0" fontId="4" fillId="0" borderId="0" xfId="0" applyFont="1" applyAlignment="1">
      <alignment horizontal="center"/>
    </xf>
    <xf numFmtId="0" fontId="0" fillId="0" borderId="0" xfId="0"/>
    <xf numFmtId="165" fontId="13" fillId="0" borderId="7" xfId="5" applyNumberFormat="1" applyFont="1" applyBorder="1" applyAlignment="1">
      <alignment horizontal="center" vertical="center"/>
    </xf>
    <xf numFmtId="165" fontId="13" fillId="0" borderId="8" xfId="5" applyNumberFormat="1" applyFont="1" applyBorder="1" applyAlignment="1">
      <alignment horizontal="center" vertical="center"/>
    </xf>
    <xf numFmtId="3" fontId="7" fillId="0" borderId="0" xfId="0" applyNumberFormat="1" applyFont="1" applyAlignment="1">
      <alignment horizontal="center"/>
    </xf>
    <xf numFmtId="3" fontId="8" fillId="0" borderId="0" xfId="0" applyNumberFormat="1" applyFont="1" applyAlignment="1">
      <alignment horizontal="center"/>
    </xf>
    <xf numFmtId="3" fontId="14" fillId="0" borderId="0" xfId="0" applyNumberFormat="1" applyFont="1" applyAlignment="1">
      <alignment horizontal="center" vertical="center"/>
    </xf>
    <xf numFmtId="167" fontId="11" fillId="0" borderId="0" xfId="5" applyNumberFormat="1" applyFont="1" applyBorder="1" applyAlignment="1">
      <alignment horizontal="center"/>
    </xf>
    <xf numFmtId="43" fontId="7" fillId="0" borderId="3" xfId="1" applyFont="1" applyBorder="1" applyAlignment="1">
      <alignment horizontal="center"/>
    </xf>
    <xf numFmtId="43" fontId="7" fillId="0" borderId="2" xfId="1" applyFont="1" applyBorder="1" applyAlignment="1">
      <alignment horizontal="center"/>
    </xf>
    <xf numFmtId="43" fontId="7" fillId="0" borderId="4" xfId="1" applyFont="1" applyBorder="1" applyAlignment="1">
      <alignment horizontal="center"/>
    </xf>
    <xf numFmtId="3" fontId="24" fillId="0" borderId="7" xfId="0" applyNumberFormat="1" applyFont="1" applyBorder="1" applyAlignment="1">
      <alignment horizontal="center"/>
    </xf>
    <xf numFmtId="3" fontId="24" fillId="0" borderId="0" xfId="0" applyNumberFormat="1" applyFont="1" applyAlignment="1">
      <alignment horizontal="center"/>
    </xf>
    <xf numFmtId="3" fontId="24" fillId="0" borderId="8" xfId="0" applyNumberFormat="1" applyFont="1" applyBorder="1" applyAlignment="1">
      <alignment horizontal="center"/>
    </xf>
    <xf numFmtId="3" fontId="7" fillId="0" borderId="7" xfId="0" applyNumberFormat="1" applyFont="1" applyBorder="1" applyAlignment="1">
      <alignment horizontal="center" vertical="center"/>
    </xf>
    <xf numFmtId="3" fontId="7" fillId="0" borderId="0" xfId="0" applyNumberFormat="1" applyFont="1" applyAlignment="1">
      <alignment horizontal="center" vertical="center"/>
    </xf>
    <xf numFmtId="3" fontId="7" fillId="0" borderId="8" xfId="0" applyNumberFormat="1" applyFont="1" applyBorder="1" applyAlignment="1">
      <alignment horizontal="center" vertical="center"/>
    </xf>
    <xf numFmtId="43" fontId="12" fillId="0" borderId="7" xfId="1" applyFont="1" applyBorder="1" applyAlignment="1">
      <alignment horizontal="right"/>
    </xf>
    <xf numFmtId="43" fontId="12" fillId="0" borderId="0" xfId="1" applyFont="1" applyBorder="1" applyAlignment="1">
      <alignment horizontal="right"/>
    </xf>
    <xf numFmtId="43" fontId="12" fillId="0" borderId="0" xfId="1" applyFont="1" applyBorder="1" applyAlignment="1">
      <alignment horizontal="center"/>
    </xf>
    <xf numFmtId="44" fontId="27" fillId="0" borderId="3" xfId="2" applyFont="1" applyBorder="1" applyAlignment="1">
      <alignment horizontal="center"/>
    </xf>
    <xf numFmtId="44" fontId="27" fillId="0" borderId="2" xfId="2" applyFont="1" applyBorder="1" applyAlignment="1">
      <alignment horizontal="center"/>
    </xf>
    <xf numFmtId="44" fontId="27" fillId="0" borderId="4" xfId="2" applyFont="1" applyBorder="1" applyAlignment="1">
      <alignment horizontal="center"/>
    </xf>
    <xf numFmtId="43" fontId="7" fillId="0" borderId="7" xfId="1" applyFont="1" applyBorder="1" applyAlignment="1">
      <alignment horizontal="center"/>
    </xf>
    <xf numFmtId="43" fontId="7" fillId="0" borderId="0" xfId="1" applyFont="1" applyBorder="1" applyAlignment="1">
      <alignment horizontal="center"/>
    </xf>
    <xf numFmtId="43" fontId="7" fillId="0" borderId="8" xfId="1" applyFont="1" applyBorder="1" applyAlignment="1">
      <alignment horizontal="center"/>
    </xf>
    <xf numFmtId="12" fontId="6" fillId="0" borderId="7" xfId="2" applyNumberFormat="1" applyFont="1" applyBorder="1" applyAlignment="1">
      <alignment horizontal="right"/>
    </xf>
    <xf numFmtId="44" fontId="6" fillId="0" borderId="0" xfId="2" applyFont="1" applyBorder="1" applyAlignment="1">
      <alignment horizontal="right"/>
    </xf>
    <xf numFmtId="165" fontId="7" fillId="0" borderId="3" xfId="1" applyNumberFormat="1" applyFont="1" applyBorder="1" applyAlignment="1">
      <alignment horizontal="center"/>
    </xf>
    <xf numFmtId="165" fontId="7" fillId="0" borderId="2" xfId="1" applyNumberFormat="1" applyFont="1" applyBorder="1" applyAlignment="1">
      <alignment horizontal="center"/>
    </xf>
    <xf numFmtId="165" fontId="7" fillId="0" borderId="4" xfId="1" applyNumberFormat="1" applyFont="1" applyBorder="1" applyAlignment="1">
      <alignment horizontal="center"/>
    </xf>
    <xf numFmtId="0" fontId="8" fillId="0" borderId="7"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3" fontId="14" fillId="0" borderId="7" xfId="0" applyNumberFormat="1" applyFont="1" applyBorder="1" applyAlignment="1">
      <alignment horizontal="center" vertical="center"/>
    </xf>
    <xf numFmtId="3" fontId="14" fillId="0" borderId="8" xfId="0" applyNumberFormat="1" applyFont="1" applyBorder="1" applyAlignment="1">
      <alignment horizontal="center" vertical="center"/>
    </xf>
    <xf numFmtId="43" fontId="30" fillId="0" borderId="7" xfId="1" applyFont="1" applyBorder="1" applyAlignment="1">
      <alignment horizontal="right"/>
    </xf>
    <xf numFmtId="43" fontId="30" fillId="0" borderId="0" xfId="1" applyFont="1" applyBorder="1" applyAlignment="1">
      <alignment horizontal="right"/>
    </xf>
    <xf numFmtId="0" fontId="23" fillId="0" borderId="0" xfId="0" applyFont="1" applyAlignment="1">
      <alignment horizontal="center"/>
    </xf>
    <xf numFmtId="165" fontId="29" fillId="0" borderId="0" xfId="5" applyNumberFormat="1" applyFont="1" applyBorder="1" applyAlignment="1">
      <alignment horizontal="center" vertical="center"/>
    </xf>
    <xf numFmtId="12" fontId="26" fillId="0" borderId="7" xfId="2" applyNumberFormat="1" applyFont="1" applyBorder="1" applyAlignment="1">
      <alignment horizontal="right"/>
    </xf>
    <xf numFmtId="44" fontId="26" fillId="0" borderId="0" xfId="2" applyFont="1" applyBorder="1" applyAlignment="1">
      <alignment horizontal="right"/>
    </xf>
  </cellXfs>
  <cellStyles count="11">
    <cellStyle name="Comma" xfId="1" builtinId="3"/>
    <cellStyle name="Comma 2" xfId="5" xr:uid="{00000000-0005-0000-0000-000001000000}"/>
    <cellStyle name="Comma 3" xfId="9" xr:uid="{00000000-0005-0000-0000-000002000000}"/>
    <cellStyle name="Currency" xfId="2" builtinId="4"/>
    <cellStyle name="Currency 2" xfId="6" xr:uid="{00000000-0005-0000-0000-000004000000}"/>
    <cellStyle name="Currency 3" xfId="10" xr:uid="{00000000-0005-0000-0000-000005000000}"/>
    <cellStyle name="Normal" xfId="0" builtinId="0"/>
    <cellStyle name="Normal 2" xfId="4" xr:uid="{00000000-0005-0000-0000-000007000000}"/>
    <cellStyle name="Normal 3" xfId="8" xr:uid="{00000000-0005-0000-0000-000008000000}"/>
    <cellStyle name="Percent" xfId="3" builtinId="5"/>
    <cellStyle name="Percent 2" xfId="7" xr:uid="{00000000-0005-0000-0000-00000A00000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N79"/>
  <sheetViews>
    <sheetView showGridLines="0" tabSelected="1" topLeftCell="A64" workbookViewId="0">
      <selection activeCell="G13" sqref="G13"/>
    </sheetView>
  </sheetViews>
  <sheetFormatPr defaultColWidth="8.765625" defaultRowHeight="14.5" x14ac:dyDescent="0.35"/>
  <cols>
    <col min="1" max="1" width="3.69140625" style="7" customWidth="1"/>
    <col min="2" max="2" width="2.69140625" style="7" customWidth="1"/>
    <col min="3" max="3" width="29.4609375" style="7" customWidth="1"/>
    <col min="4" max="4" width="11.3046875" style="7" customWidth="1"/>
    <col min="5" max="5" width="11.53515625" style="7" customWidth="1"/>
    <col min="6" max="6" width="5.3046875" style="7" customWidth="1"/>
    <col min="7" max="7" width="11.53515625" style="7" customWidth="1"/>
    <col min="8" max="8" width="3.53515625" style="7" customWidth="1"/>
    <col min="9" max="9" width="46.921875" style="347" bestFit="1" customWidth="1"/>
    <col min="10" max="11" width="11.3046875" style="7" customWidth="1"/>
    <col min="12" max="12" width="10.84375" style="7" customWidth="1"/>
    <col min="13" max="16384" width="8.765625" style="7"/>
  </cols>
  <sheetData>
    <row r="1" spans="1:12" ht="18.5" x14ac:dyDescent="0.35">
      <c r="A1" s="373" t="s">
        <v>30</v>
      </c>
      <c r="B1" s="373"/>
      <c r="C1" s="373"/>
      <c r="D1" s="373"/>
      <c r="E1" s="373"/>
      <c r="F1" s="373"/>
      <c r="G1" s="373"/>
      <c r="H1" s="56"/>
      <c r="J1" s="56"/>
      <c r="K1" s="56"/>
    </row>
    <row r="2" spans="1:12" ht="15.5" x14ac:dyDescent="0.35">
      <c r="A2" s="57" t="s">
        <v>215</v>
      </c>
      <c r="B2" s="55"/>
      <c r="C2" s="55"/>
      <c r="D2" s="55"/>
      <c r="E2" s="55"/>
      <c r="F2" s="55"/>
      <c r="G2" s="55"/>
      <c r="H2" s="56"/>
      <c r="J2" s="56"/>
      <c r="K2" s="56"/>
      <c r="L2" s="56"/>
    </row>
    <row r="3" spans="1:12" x14ac:dyDescent="0.35">
      <c r="A3" s="49"/>
      <c r="B3" s="55"/>
      <c r="C3" s="55"/>
      <c r="D3" s="55"/>
      <c r="E3" s="55"/>
      <c r="F3" s="55"/>
      <c r="G3" s="55"/>
      <c r="H3" s="56"/>
      <c r="J3" s="56"/>
      <c r="K3" s="56"/>
    </row>
    <row r="4" spans="1:12" ht="16" x14ac:dyDescent="0.35">
      <c r="A4" s="56"/>
      <c r="B4" s="56"/>
      <c r="C4" s="56"/>
      <c r="D4" s="58" t="s">
        <v>31</v>
      </c>
      <c r="E4" s="58" t="s">
        <v>32</v>
      </c>
      <c r="F4" s="58" t="s">
        <v>33</v>
      </c>
      <c r="G4" s="58" t="s">
        <v>34</v>
      </c>
      <c r="H4" s="56"/>
      <c r="I4" s="348" t="s">
        <v>40</v>
      </c>
      <c r="J4" s="56"/>
      <c r="K4" s="56"/>
    </row>
    <row r="5" spans="1:12" x14ac:dyDescent="0.35">
      <c r="A5" s="59" t="s">
        <v>14</v>
      </c>
      <c r="B5" s="56"/>
      <c r="C5" s="56"/>
      <c r="D5" s="56"/>
      <c r="F5" s="56"/>
      <c r="G5" s="56"/>
      <c r="H5" s="56"/>
      <c r="J5" s="56"/>
      <c r="K5" s="56"/>
    </row>
    <row r="6" spans="1:12" x14ac:dyDescent="0.35">
      <c r="A6" s="56"/>
      <c r="B6" s="56" t="s">
        <v>42</v>
      </c>
      <c r="C6" s="56"/>
      <c r="D6" s="56">
        <v>1702863</v>
      </c>
      <c r="E6" s="56">
        <f>ExBA!F11</f>
        <v>321306.58750000014</v>
      </c>
      <c r="F6" s="60" t="s">
        <v>280</v>
      </c>
      <c r="G6" s="56">
        <f>D6+E6</f>
        <v>2024169.5875000001</v>
      </c>
      <c r="H6" s="61"/>
      <c r="I6" s="347" t="s">
        <v>260</v>
      </c>
      <c r="J6" s="56"/>
      <c r="K6" s="56"/>
    </row>
    <row r="7" spans="1:12" x14ac:dyDescent="0.35">
      <c r="A7" s="56"/>
      <c r="B7" s="56" t="s">
        <v>60</v>
      </c>
      <c r="C7" s="56"/>
      <c r="D7" s="56"/>
      <c r="E7" s="56"/>
      <c r="F7" s="60"/>
      <c r="G7" s="56">
        <f>D7+E7</f>
        <v>0</v>
      </c>
      <c r="H7" s="62"/>
      <c r="I7" s="349"/>
      <c r="J7" s="56"/>
      <c r="K7" s="56"/>
    </row>
    <row r="8" spans="1:12" x14ac:dyDescent="0.35">
      <c r="A8" s="56"/>
      <c r="B8" s="56" t="s">
        <v>15</v>
      </c>
      <c r="C8" s="56"/>
      <c r="D8" s="56"/>
      <c r="E8" s="56"/>
      <c r="F8" s="60"/>
      <c r="G8" s="56">
        <f>D8+E8</f>
        <v>0</v>
      </c>
      <c r="H8" s="61"/>
      <c r="J8" s="56"/>
    </row>
    <row r="9" spans="1:12" x14ac:dyDescent="0.35">
      <c r="A9" s="56"/>
      <c r="B9" s="56" t="s">
        <v>16</v>
      </c>
      <c r="C9" s="56"/>
      <c r="D9" s="56"/>
      <c r="E9" s="56"/>
      <c r="F9" s="60"/>
      <c r="G9" s="56"/>
      <c r="H9" s="63"/>
      <c r="J9" s="56"/>
      <c r="K9" s="56"/>
    </row>
    <row r="10" spans="1:12" x14ac:dyDescent="0.35">
      <c r="A10" s="56"/>
      <c r="B10" s="56"/>
      <c r="C10" s="56" t="s">
        <v>41</v>
      </c>
      <c r="D10" s="56"/>
      <c r="E10" s="56"/>
      <c r="F10" s="60"/>
      <c r="G10" s="56">
        <f>D10+E10</f>
        <v>0</v>
      </c>
      <c r="H10" s="61"/>
      <c r="J10" s="56"/>
      <c r="K10" s="56"/>
    </row>
    <row r="11" spans="1:12" x14ac:dyDescent="0.35">
      <c r="A11" s="56"/>
      <c r="C11" s="56" t="s">
        <v>17</v>
      </c>
      <c r="D11" s="56">
        <v>16249</v>
      </c>
      <c r="E11" s="56"/>
      <c r="F11" s="60"/>
      <c r="G11" s="56">
        <f>D11+E11</f>
        <v>16249</v>
      </c>
      <c r="H11" s="61"/>
      <c r="J11" s="56"/>
      <c r="K11" s="56"/>
    </row>
    <row r="12" spans="1:12" ht="16" x14ac:dyDescent="0.35">
      <c r="A12" s="56"/>
      <c r="C12" s="56" t="s">
        <v>61</v>
      </c>
      <c r="D12" s="77">
        <v>68177</v>
      </c>
      <c r="E12" s="56"/>
      <c r="F12" s="60"/>
      <c r="G12" s="77">
        <f>D12+E12</f>
        <v>68177</v>
      </c>
      <c r="H12" s="62"/>
      <c r="J12" s="56"/>
      <c r="K12" s="56"/>
    </row>
    <row r="13" spans="1:12" x14ac:dyDescent="0.35">
      <c r="A13" s="64" t="s">
        <v>18</v>
      </c>
      <c r="B13" s="56"/>
      <c r="C13" s="56"/>
      <c r="D13" s="56">
        <f>SUM(D6:D12)</f>
        <v>1787289</v>
      </c>
      <c r="E13" s="56"/>
      <c r="F13" s="60"/>
      <c r="G13" s="56">
        <f>SUM(G6:G12)</f>
        <v>2108595.5875000004</v>
      </c>
      <c r="H13" s="63"/>
      <c r="J13" s="56"/>
      <c r="K13" s="56"/>
    </row>
    <row r="14" spans="1:12" x14ac:dyDescent="0.35">
      <c r="A14" s="56"/>
      <c r="B14" s="56"/>
      <c r="C14" s="56"/>
      <c r="D14" s="56"/>
      <c r="E14" s="56"/>
      <c r="F14" s="60"/>
      <c r="G14" s="56"/>
      <c r="H14" s="63"/>
      <c r="J14" s="56"/>
      <c r="K14" s="56"/>
    </row>
    <row r="15" spans="1:12" x14ac:dyDescent="0.35">
      <c r="A15" s="59" t="s">
        <v>19</v>
      </c>
      <c r="B15" s="56"/>
      <c r="C15" s="56"/>
      <c r="D15" s="56"/>
      <c r="E15" s="56"/>
      <c r="F15" s="60"/>
      <c r="G15" s="56"/>
      <c r="H15" s="63"/>
      <c r="J15" s="56"/>
      <c r="K15" s="56"/>
    </row>
    <row r="16" spans="1:12" x14ac:dyDescent="0.35">
      <c r="A16" s="56"/>
      <c r="B16" s="56" t="s">
        <v>35</v>
      </c>
      <c r="C16" s="56"/>
      <c r="D16" s="56"/>
      <c r="E16" s="56"/>
      <c r="F16" s="60"/>
      <c r="G16" s="56"/>
      <c r="H16" s="63"/>
      <c r="J16" s="56"/>
      <c r="K16" s="56"/>
    </row>
    <row r="17" spans="1:12" x14ac:dyDescent="0.35">
      <c r="A17" s="56"/>
      <c r="B17" s="56"/>
      <c r="C17" s="56" t="s">
        <v>2</v>
      </c>
      <c r="D17" s="56">
        <v>577658</v>
      </c>
      <c r="E17" s="164">
        <f>Wages!I23</f>
        <v>122683.36250000005</v>
      </c>
      <c r="F17" s="65" t="s">
        <v>352</v>
      </c>
      <c r="G17" s="56"/>
      <c r="H17" s="61"/>
      <c r="I17" s="347" t="s">
        <v>413</v>
      </c>
      <c r="J17" s="56"/>
      <c r="K17" s="56"/>
    </row>
    <row r="18" spans="1:12" x14ac:dyDescent="0.35">
      <c r="A18" s="56"/>
      <c r="B18" s="56"/>
      <c r="C18" s="56"/>
      <c r="D18" s="56"/>
      <c r="E18" s="164">
        <f>-Capital!C7</f>
        <v>-17220</v>
      </c>
      <c r="F18" s="65" t="s">
        <v>353</v>
      </c>
      <c r="G18" s="56">
        <f>D17+E17+E18</f>
        <v>683121.36250000005</v>
      </c>
      <c r="H18" s="61"/>
      <c r="I18" s="347" t="s">
        <v>272</v>
      </c>
      <c r="J18" s="56"/>
      <c r="K18" s="56"/>
      <c r="L18" s="7" t="s">
        <v>389</v>
      </c>
    </row>
    <row r="19" spans="1:12" x14ac:dyDescent="0.35">
      <c r="A19" s="56"/>
      <c r="B19" s="56"/>
      <c r="C19" s="56" t="s">
        <v>3</v>
      </c>
      <c r="D19" s="164">
        <v>30200</v>
      </c>
      <c r="E19" s="164"/>
      <c r="F19" s="60"/>
      <c r="G19" s="56">
        <f t="shared" ref="G19:G40" si="0">D19+E19</f>
        <v>30200</v>
      </c>
      <c r="H19" s="61"/>
    </row>
    <row r="20" spans="1:12" x14ac:dyDescent="0.35">
      <c r="A20" s="56"/>
      <c r="B20" s="56"/>
      <c r="C20" s="56" t="s">
        <v>4</v>
      </c>
      <c r="D20" s="56">
        <v>385836</v>
      </c>
      <c r="E20" s="164">
        <f>Medical!L31</f>
        <v>396.57160000001022</v>
      </c>
      <c r="F20" s="65" t="s">
        <v>355</v>
      </c>
      <c r="G20" s="56"/>
      <c r="H20" s="61"/>
      <c r="I20" s="347" t="s">
        <v>310</v>
      </c>
      <c r="J20" s="56"/>
      <c r="K20" s="56"/>
      <c r="L20" s="7" t="s">
        <v>311</v>
      </c>
    </row>
    <row r="21" spans="1:12" x14ac:dyDescent="0.35">
      <c r="A21" s="56"/>
      <c r="B21" s="56"/>
      <c r="C21" s="56"/>
      <c r="D21" s="56"/>
      <c r="E21" s="164">
        <f>Wages!F46</f>
        <v>29915.092510625051</v>
      </c>
      <c r="F21" s="65" t="s">
        <v>357</v>
      </c>
      <c r="G21" s="56"/>
      <c r="H21" s="61"/>
      <c r="I21" s="350" t="s">
        <v>342</v>
      </c>
      <c r="J21" s="56"/>
      <c r="K21" s="56"/>
      <c r="L21" s="7" t="s">
        <v>361</v>
      </c>
    </row>
    <row r="22" spans="1:12" x14ac:dyDescent="0.35">
      <c r="A22" s="56"/>
      <c r="B22" s="56"/>
      <c r="C22" s="56"/>
      <c r="D22" s="56"/>
      <c r="E22" s="164">
        <f>Wages!F48</f>
        <v>1051</v>
      </c>
      <c r="F22" s="65" t="s">
        <v>362</v>
      </c>
      <c r="G22" s="56"/>
      <c r="H22" s="61"/>
      <c r="I22" s="350" t="s">
        <v>401</v>
      </c>
      <c r="J22" s="56"/>
      <c r="K22" s="56"/>
      <c r="L22" s="7" t="s">
        <v>402</v>
      </c>
    </row>
    <row r="23" spans="1:12" x14ac:dyDescent="0.35">
      <c r="A23" s="56"/>
      <c r="B23" s="56"/>
      <c r="C23" s="56"/>
      <c r="D23" s="56"/>
      <c r="E23" s="164">
        <f>Wages!F50</f>
        <v>2065</v>
      </c>
      <c r="F23" s="65" t="s">
        <v>210</v>
      </c>
      <c r="G23" s="56">
        <f>D20+E20+E21+E22+E23</f>
        <v>419263.66411062505</v>
      </c>
      <c r="H23" s="61"/>
      <c r="I23" s="347" t="s">
        <v>369</v>
      </c>
      <c r="J23" s="56"/>
      <c r="K23" s="56"/>
      <c r="L23" s="7" t="s">
        <v>363</v>
      </c>
    </row>
    <row r="24" spans="1:12" x14ac:dyDescent="0.35">
      <c r="A24" s="56"/>
      <c r="B24" s="56"/>
      <c r="C24" s="56" t="s">
        <v>5</v>
      </c>
      <c r="D24" s="56"/>
      <c r="E24" s="164"/>
      <c r="F24" s="65"/>
      <c r="G24" s="56">
        <f t="shared" si="0"/>
        <v>0</v>
      </c>
      <c r="H24" s="66"/>
    </row>
    <row r="25" spans="1:12" x14ac:dyDescent="0.35">
      <c r="A25" s="56"/>
      <c r="B25" s="56"/>
      <c r="C25" s="56" t="s">
        <v>6</v>
      </c>
      <c r="D25" s="56">
        <v>167123</v>
      </c>
      <c r="E25" s="56">
        <f>-'Water Loss'!D31</f>
        <v>-18159.211850790398</v>
      </c>
      <c r="F25" s="65" t="s">
        <v>168</v>
      </c>
      <c r="G25" s="56">
        <f t="shared" si="0"/>
        <v>148963.78814920961</v>
      </c>
      <c r="H25" s="67"/>
      <c r="I25" s="351" t="s">
        <v>258</v>
      </c>
      <c r="J25" s="56"/>
      <c r="K25" s="56"/>
      <c r="L25" s="7" t="s">
        <v>365</v>
      </c>
    </row>
    <row r="26" spans="1:12" x14ac:dyDescent="0.35">
      <c r="A26" s="56"/>
      <c r="B26" s="56"/>
      <c r="C26" s="56" t="s">
        <v>78</v>
      </c>
      <c r="D26" s="56">
        <v>26167</v>
      </c>
      <c r="E26" s="56">
        <f>-'Water Loss'!D32</f>
        <v>-2843.2477666128079</v>
      </c>
      <c r="F26" s="65" t="s">
        <v>168</v>
      </c>
      <c r="G26" s="56"/>
      <c r="H26" s="67"/>
      <c r="I26" s="351" t="s">
        <v>258</v>
      </c>
      <c r="J26" s="56"/>
      <c r="K26" s="56"/>
      <c r="L26" s="7" t="s">
        <v>366</v>
      </c>
    </row>
    <row r="27" spans="1:12" x14ac:dyDescent="0.35">
      <c r="A27" s="56"/>
      <c r="B27" s="56"/>
      <c r="C27" s="56"/>
      <c r="D27" s="56"/>
      <c r="E27" s="56">
        <f>33521.51-D26</f>
        <v>7354.510000000002</v>
      </c>
      <c r="F27" s="65" t="s">
        <v>364</v>
      </c>
      <c r="G27" s="56">
        <f>D26+E26+E27</f>
        <v>30678.262233387195</v>
      </c>
      <c r="H27" s="67"/>
      <c r="I27" s="351" t="s">
        <v>368</v>
      </c>
      <c r="J27" s="56"/>
      <c r="K27" s="56"/>
      <c r="L27" s="7" t="s">
        <v>391</v>
      </c>
    </row>
    <row r="28" spans="1:12" x14ac:dyDescent="0.35">
      <c r="A28" s="56"/>
      <c r="B28" s="56"/>
      <c r="C28" s="56" t="s">
        <v>7</v>
      </c>
      <c r="D28" s="56">
        <v>174017</v>
      </c>
      <c r="E28" s="56">
        <f>-Capital!C8</f>
        <v>-40180</v>
      </c>
      <c r="F28" s="65" t="s">
        <v>211</v>
      </c>
      <c r="G28" s="56">
        <f t="shared" si="0"/>
        <v>133837</v>
      </c>
      <c r="H28" s="61"/>
      <c r="I28" s="347" t="s">
        <v>271</v>
      </c>
      <c r="J28" s="56"/>
      <c r="K28" s="56"/>
      <c r="L28" s="7" t="s">
        <v>390</v>
      </c>
    </row>
    <row r="29" spans="1:12" x14ac:dyDescent="0.35">
      <c r="A29" s="56"/>
      <c r="B29" s="56"/>
      <c r="C29" s="56" t="s">
        <v>251</v>
      </c>
      <c r="D29" s="56">
        <v>1868</v>
      </c>
      <c r="E29" s="56"/>
      <c r="F29" s="65"/>
      <c r="G29" s="56">
        <f t="shared" si="0"/>
        <v>1868</v>
      </c>
      <c r="H29" s="61"/>
      <c r="J29" s="56"/>
      <c r="K29" s="56"/>
    </row>
    <row r="30" spans="1:12" x14ac:dyDescent="0.35">
      <c r="A30" s="56"/>
      <c r="B30" s="56"/>
      <c r="C30" s="56" t="s">
        <v>255</v>
      </c>
      <c r="D30" s="56">
        <v>12400</v>
      </c>
      <c r="E30" s="56"/>
      <c r="F30" s="65"/>
      <c r="G30" s="56">
        <f t="shared" si="0"/>
        <v>12400</v>
      </c>
      <c r="H30" s="61"/>
      <c r="J30" s="15"/>
      <c r="K30" s="56"/>
    </row>
    <row r="31" spans="1:12" x14ac:dyDescent="0.35">
      <c r="A31" s="56"/>
      <c r="B31" s="56"/>
      <c r="C31" s="56" t="s">
        <v>252</v>
      </c>
      <c r="D31" s="56">
        <v>1481</v>
      </c>
      <c r="E31" s="56"/>
      <c r="F31" s="65"/>
      <c r="G31" s="56">
        <f t="shared" si="0"/>
        <v>1481</v>
      </c>
      <c r="H31" s="61"/>
      <c r="J31" s="56"/>
      <c r="K31" s="56"/>
    </row>
    <row r="32" spans="1:12" x14ac:dyDescent="0.35">
      <c r="A32" s="56"/>
      <c r="B32" s="56"/>
      <c r="C32" s="56" t="s">
        <v>253</v>
      </c>
      <c r="D32" s="56">
        <v>14092</v>
      </c>
      <c r="E32" s="56"/>
      <c r="F32" s="65"/>
      <c r="G32" s="56">
        <f t="shared" si="0"/>
        <v>14092</v>
      </c>
      <c r="H32" s="61"/>
      <c r="J32" s="56"/>
      <c r="K32" s="56"/>
    </row>
    <row r="33" spans="1:14" x14ac:dyDescent="0.35">
      <c r="A33" s="56"/>
      <c r="B33" s="56"/>
      <c r="C33" s="56" t="s">
        <v>254</v>
      </c>
      <c r="D33" s="56">
        <v>79028</v>
      </c>
      <c r="E33" s="56"/>
      <c r="F33" s="65"/>
      <c r="G33" s="56">
        <f t="shared" si="0"/>
        <v>79028</v>
      </c>
      <c r="H33" s="61"/>
      <c r="J33" s="56"/>
      <c r="K33" s="56"/>
    </row>
    <row r="34" spans="1:14" x14ac:dyDescent="0.35">
      <c r="A34" s="56"/>
      <c r="B34" s="56"/>
      <c r="C34" s="56" t="s">
        <v>62</v>
      </c>
      <c r="D34" s="56">
        <v>2400</v>
      </c>
      <c r="E34" s="56"/>
      <c r="F34" s="65"/>
      <c r="G34" s="56">
        <f t="shared" si="0"/>
        <v>2400</v>
      </c>
      <c r="H34" s="61"/>
      <c r="J34" s="56"/>
      <c r="K34" s="56"/>
    </row>
    <row r="35" spans="1:14" x14ac:dyDescent="0.35">
      <c r="A35" s="56"/>
      <c r="B35" s="56"/>
      <c r="C35" s="56" t="s">
        <v>256</v>
      </c>
      <c r="D35" s="56">
        <v>1153</v>
      </c>
      <c r="E35" s="56"/>
      <c r="F35" s="65"/>
      <c r="G35" s="56">
        <f t="shared" si="0"/>
        <v>1153</v>
      </c>
      <c r="H35" s="61"/>
      <c r="J35" s="56"/>
      <c r="K35" s="56"/>
    </row>
    <row r="36" spans="1:14" x14ac:dyDescent="0.35">
      <c r="A36" s="56"/>
      <c r="B36" s="56"/>
      <c r="C36" s="56" t="s">
        <v>9</v>
      </c>
      <c r="D36" s="56">
        <v>34755</v>
      </c>
      <c r="E36" s="56"/>
      <c r="F36" s="65"/>
      <c r="G36" s="56">
        <f t="shared" si="0"/>
        <v>34755</v>
      </c>
      <c r="H36" s="63"/>
      <c r="J36" s="56"/>
      <c r="K36" s="56"/>
    </row>
    <row r="37" spans="1:14" x14ac:dyDescent="0.35">
      <c r="A37" s="56"/>
      <c r="B37" s="56"/>
      <c r="C37" s="56" t="s">
        <v>36</v>
      </c>
      <c r="D37" s="56">
        <v>53900</v>
      </c>
      <c r="E37" s="56"/>
      <c r="F37" s="65"/>
      <c r="G37" s="56">
        <f t="shared" si="0"/>
        <v>53900</v>
      </c>
      <c r="H37" s="63"/>
      <c r="J37" s="56"/>
      <c r="K37" s="56"/>
    </row>
    <row r="38" spans="1:14" x14ac:dyDescent="0.35">
      <c r="A38" s="56"/>
      <c r="B38" s="56"/>
      <c r="C38" s="56" t="s">
        <v>63</v>
      </c>
      <c r="D38" s="56">
        <v>1100</v>
      </c>
      <c r="E38" s="56"/>
      <c r="F38" s="65"/>
      <c r="G38" s="56">
        <f t="shared" si="0"/>
        <v>1100</v>
      </c>
      <c r="H38" s="63"/>
      <c r="J38" s="56"/>
      <c r="K38" s="56"/>
    </row>
    <row r="39" spans="1:14" x14ac:dyDescent="0.35">
      <c r="A39" s="56"/>
      <c r="B39" s="56"/>
      <c r="C39" s="56" t="s">
        <v>257</v>
      </c>
      <c r="D39" s="56">
        <v>1948</v>
      </c>
      <c r="E39" s="56"/>
      <c r="F39" s="60"/>
      <c r="G39" s="56">
        <f t="shared" si="0"/>
        <v>1948</v>
      </c>
      <c r="H39" s="63"/>
      <c r="J39" s="56"/>
      <c r="K39" s="56"/>
    </row>
    <row r="40" spans="1:14" ht="16" x14ac:dyDescent="0.35">
      <c r="A40" s="56"/>
      <c r="B40" s="56"/>
      <c r="C40" s="56" t="s">
        <v>8</v>
      </c>
      <c r="D40" s="230">
        <v>82365</v>
      </c>
      <c r="E40" s="76">
        <f>Wages!I31</f>
        <v>9505.4142312500044</v>
      </c>
      <c r="F40" s="65" t="s">
        <v>375</v>
      </c>
      <c r="G40" s="77">
        <f t="shared" si="0"/>
        <v>91870.414231250004</v>
      </c>
      <c r="H40" s="63"/>
      <c r="I40" s="347" t="s">
        <v>323</v>
      </c>
      <c r="J40" s="56"/>
      <c r="K40" s="56"/>
      <c r="L40" s="7" t="s">
        <v>322</v>
      </c>
    </row>
    <row r="41" spans="1:14" x14ac:dyDescent="0.35">
      <c r="A41" s="56"/>
      <c r="B41" s="56" t="s">
        <v>37</v>
      </c>
      <c r="C41" s="56"/>
      <c r="D41" s="56">
        <f>SUM(D17:D40)</f>
        <v>1647491</v>
      </c>
      <c r="E41" s="56"/>
      <c r="F41" s="60"/>
      <c r="G41" s="56">
        <f>SUM(G17:G40)</f>
        <v>1742059.4912244719</v>
      </c>
      <c r="H41" s="63"/>
      <c r="J41" s="56"/>
      <c r="K41" s="56"/>
    </row>
    <row r="42" spans="1:14" ht="4" customHeight="1" x14ac:dyDescent="0.35">
      <c r="A42" s="56"/>
      <c r="B42" s="56"/>
      <c r="C42" s="56"/>
      <c r="D42" s="56"/>
      <c r="E42" s="56"/>
      <c r="F42" s="60"/>
      <c r="G42" s="56"/>
      <c r="H42" s="63"/>
      <c r="J42" s="56"/>
      <c r="K42" s="56"/>
    </row>
    <row r="43" spans="1:14" x14ac:dyDescent="0.35">
      <c r="A43" s="56"/>
      <c r="B43" s="56" t="s">
        <v>20</v>
      </c>
      <c r="C43" s="56"/>
      <c r="D43" s="56">
        <v>418590</v>
      </c>
      <c r="E43" s="56">
        <f>Depreciation!K46</f>
        <v>8204.8355998990592</v>
      </c>
      <c r="F43" s="60" t="s">
        <v>376</v>
      </c>
      <c r="G43" s="56">
        <f>D43+E43</f>
        <v>426794.83559989906</v>
      </c>
      <c r="H43" s="63"/>
      <c r="I43" s="352" t="s">
        <v>296</v>
      </c>
      <c r="J43" s="286"/>
      <c r="K43" s="15"/>
      <c r="L43" s="15" t="s">
        <v>297</v>
      </c>
      <c r="M43" s="15"/>
      <c r="N43" s="15"/>
    </row>
    <row r="44" spans="1:14" x14ac:dyDescent="0.35">
      <c r="A44" s="56"/>
      <c r="B44" s="56" t="s">
        <v>408</v>
      </c>
      <c r="C44" s="56"/>
      <c r="D44" s="56"/>
      <c r="E44" s="56">
        <v>2500</v>
      </c>
      <c r="F44" s="60" t="s">
        <v>301</v>
      </c>
      <c r="G44" s="56">
        <v>2500</v>
      </c>
      <c r="H44" s="63"/>
      <c r="I44" s="352" t="s">
        <v>409</v>
      </c>
      <c r="J44" s="286"/>
      <c r="K44" s="15"/>
      <c r="L44" s="15"/>
      <c r="M44" s="15"/>
      <c r="N44" s="15"/>
    </row>
    <row r="45" spans="1:14" ht="16" x14ac:dyDescent="0.35">
      <c r="A45" s="56"/>
      <c r="B45" s="56" t="s">
        <v>1</v>
      </c>
      <c r="C45" s="56"/>
      <c r="D45" s="77"/>
      <c r="E45" s="76"/>
      <c r="F45" s="78"/>
      <c r="G45" s="77">
        <f t="shared" ref="G45" si="1">D45+E45</f>
        <v>0</v>
      </c>
      <c r="H45" s="63"/>
      <c r="J45" s="56"/>
    </row>
    <row r="46" spans="1:14" ht="16" x14ac:dyDescent="0.35">
      <c r="A46" s="64" t="s">
        <v>0</v>
      </c>
      <c r="B46" s="56"/>
      <c r="C46" s="56"/>
      <c r="D46" s="77">
        <f>SUM(D41:D45)</f>
        <v>2066081</v>
      </c>
      <c r="E46" s="76"/>
      <c r="F46" s="78"/>
      <c r="G46" s="77">
        <f>SUM(G41:G45)</f>
        <v>2171354.3268243708</v>
      </c>
      <c r="H46" s="63"/>
      <c r="J46" s="56"/>
      <c r="K46" s="56"/>
    </row>
    <row r="47" spans="1:14" ht="4" customHeight="1" x14ac:dyDescent="0.35">
      <c r="A47" s="64"/>
      <c r="B47" s="56"/>
      <c r="C47" s="56"/>
      <c r="D47" s="79"/>
      <c r="E47" s="56"/>
      <c r="F47" s="60"/>
      <c r="G47" s="56"/>
      <c r="H47" s="56"/>
      <c r="J47" s="56"/>
      <c r="K47" s="56"/>
    </row>
    <row r="48" spans="1:14" x14ac:dyDescent="0.35">
      <c r="A48" s="64" t="s">
        <v>38</v>
      </c>
      <c r="B48" s="56"/>
      <c r="C48" s="56"/>
      <c r="D48" s="56">
        <f>D13-D46</f>
        <v>-278792</v>
      </c>
      <c r="E48" s="56"/>
      <c r="F48" s="60"/>
      <c r="G48" s="56">
        <f>G13-G46</f>
        <v>-62758.739324370399</v>
      </c>
      <c r="H48" s="56"/>
      <c r="K48" s="56"/>
    </row>
    <row r="49" spans="1:13" x14ac:dyDescent="0.35">
      <c r="A49" s="56"/>
      <c r="B49" s="56"/>
      <c r="C49" s="56"/>
      <c r="D49" s="56"/>
      <c r="E49" s="56"/>
      <c r="F49" s="60"/>
      <c r="G49" s="56"/>
      <c r="H49" s="56"/>
      <c r="J49" s="56"/>
      <c r="K49" s="56"/>
    </row>
    <row r="50" spans="1:13" ht="18.5" x14ac:dyDescent="0.35">
      <c r="A50" s="372" t="s">
        <v>299</v>
      </c>
      <c r="B50" s="372"/>
      <c r="C50" s="372"/>
      <c r="D50" s="372"/>
      <c r="E50" s="372"/>
      <c r="F50" s="372"/>
      <c r="G50" s="372"/>
      <c r="H50" s="56"/>
      <c r="I50" s="353"/>
      <c r="J50" s="68"/>
      <c r="K50" s="56"/>
    </row>
    <row r="51" spans="1:13" x14ac:dyDescent="0.35">
      <c r="A51" s="64" t="s">
        <v>39</v>
      </c>
      <c r="B51" s="56"/>
      <c r="C51" s="56"/>
      <c r="D51" s="69"/>
      <c r="E51" s="56"/>
      <c r="F51" s="65"/>
      <c r="G51" s="7">
        <f>G46</f>
        <v>2171354.3268243708</v>
      </c>
      <c r="H51" s="56"/>
      <c r="J51" s="56"/>
      <c r="K51" s="56"/>
    </row>
    <row r="52" spans="1:13" x14ac:dyDescent="0.35">
      <c r="A52" s="56"/>
      <c r="B52" s="56"/>
      <c r="C52" s="287" t="s">
        <v>300</v>
      </c>
      <c r="E52" s="56"/>
      <c r="F52" s="65"/>
      <c r="G52" s="289">
        <v>0.88</v>
      </c>
      <c r="H52" s="56"/>
      <c r="I52" s="347" t="s">
        <v>407</v>
      </c>
      <c r="L52" s="69"/>
    </row>
    <row r="53" spans="1:13" x14ac:dyDescent="0.35">
      <c r="A53" s="56"/>
      <c r="B53" s="56"/>
      <c r="C53" s="56" t="s">
        <v>370</v>
      </c>
      <c r="E53" s="56"/>
      <c r="F53" s="65"/>
      <c r="G53" s="15">
        <f>G51/G52</f>
        <v>2467448.0986640579</v>
      </c>
      <c r="H53" s="56"/>
      <c r="L53" s="69"/>
    </row>
    <row r="54" spans="1:13" x14ac:dyDescent="0.35">
      <c r="A54" s="56"/>
      <c r="B54" s="56"/>
      <c r="C54" s="56" t="s">
        <v>371</v>
      </c>
      <c r="E54" s="56"/>
      <c r="F54" s="65" t="s">
        <v>410</v>
      </c>
      <c r="G54" s="15">
        <f>'Debt Service'!M23</f>
        <v>114947.4</v>
      </c>
      <c r="H54" s="56"/>
      <c r="I54" s="351" t="s">
        <v>306</v>
      </c>
      <c r="J54" s="286"/>
      <c r="K54" s="286"/>
      <c r="L54" s="15" t="s">
        <v>377</v>
      </c>
      <c r="M54" s="15"/>
    </row>
    <row r="55" spans="1:13" x14ac:dyDescent="0.35">
      <c r="A55" s="64" t="s">
        <v>66</v>
      </c>
      <c r="B55" s="56"/>
      <c r="C55" s="56"/>
      <c r="D55" s="69"/>
      <c r="E55" s="56"/>
      <c r="F55" s="65"/>
      <c r="G55" s="7">
        <f>G53+G54</f>
        <v>2582395.4986640578</v>
      </c>
      <c r="H55" s="56"/>
      <c r="J55" s="56"/>
      <c r="K55" s="56"/>
    </row>
    <row r="56" spans="1:13" x14ac:dyDescent="0.35">
      <c r="A56" s="56" t="s">
        <v>23</v>
      </c>
      <c r="B56" s="56"/>
      <c r="C56" s="56" t="s">
        <v>24</v>
      </c>
      <c r="D56" s="69"/>
      <c r="E56" s="56"/>
      <c r="F56" s="65"/>
      <c r="G56" s="7">
        <f>SUM(G10:G12)</f>
        <v>84426</v>
      </c>
      <c r="H56" s="56"/>
      <c r="J56" s="56"/>
      <c r="K56" s="56"/>
    </row>
    <row r="57" spans="1:13" x14ac:dyDescent="0.35">
      <c r="A57" s="56"/>
      <c r="B57" s="56"/>
      <c r="C57" s="56" t="s">
        <v>11</v>
      </c>
      <c r="D57" s="69"/>
      <c r="E57" s="56"/>
      <c r="F57" s="65"/>
      <c r="G57" s="33"/>
      <c r="H57" s="56"/>
      <c r="I57" s="354"/>
      <c r="J57" s="56"/>
      <c r="K57" s="56"/>
    </row>
    <row r="58" spans="1:13" x14ac:dyDescent="0.35">
      <c r="A58" s="64" t="s">
        <v>64</v>
      </c>
      <c r="B58" s="56"/>
      <c r="C58" s="56"/>
      <c r="D58" s="69"/>
      <c r="E58" s="56"/>
      <c r="F58" s="65"/>
      <c r="G58" s="7">
        <f>G55-G56-G57</f>
        <v>2497969.4986640578</v>
      </c>
      <c r="H58" s="56"/>
      <c r="J58" s="56"/>
      <c r="K58" s="56"/>
    </row>
    <row r="59" spans="1:13" ht="16" x14ac:dyDescent="0.5">
      <c r="A59" s="56" t="s">
        <v>23</v>
      </c>
      <c r="B59" s="56"/>
      <c r="C59" s="56" t="s">
        <v>65</v>
      </c>
      <c r="D59" s="69"/>
      <c r="E59" s="56"/>
      <c r="F59" s="65"/>
      <c r="G59" s="23">
        <f>G6+G8</f>
        <v>2024169.5875000001</v>
      </c>
      <c r="H59" s="56"/>
      <c r="I59" s="354"/>
      <c r="J59" s="56"/>
      <c r="K59" s="56"/>
    </row>
    <row r="60" spans="1:13" x14ac:dyDescent="0.35">
      <c r="A60" s="64" t="s">
        <v>67</v>
      </c>
      <c r="B60" s="56"/>
      <c r="C60" s="56"/>
      <c r="D60" s="69"/>
      <c r="E60" s="56"/>
      <c r="F60" s="65"/>
      <c r="G60" s="56">
        <f>G58-G59</f>
        <v>473799.91116405767</v>
      </c>
      <c r="H60" s="56"/>
      <c r="J60" s="56"/>
      <c r="K60" s="56"/>
    </row>
    <row r="61" spans="1:13" x14ac:dyDescent="0.35">
      <c r="A61" s="56"/>
      <c r="B61" s="56"/>
      <c r="C61" s="56"/>
      <c r="D61" s="69"/>
      <c r="E61" s="56"/>
      <c r="F61" s="65"/>
      <c r="G61" s="56"/>
      <c r="H61" s="56"/>
      <c r="J61" s="56"/>
      <c r="K61" s="56"/>
    </row>
    <row r="62" spans="1:13" x14ac:dyDescent="0.35">
      <c r="A62" s="64" t="s">
        <v>68</v>
      </c>
      <c r="B62" s="56"/>
      <c r="C62" s="56"/>
      <c r="D62" s="69"/>
      <c r="E62" s="56"/>
      <c r="F62" s="65"/>
      <c r="G62" s="238">
        <f>G60/G59</f>
        <v>0.23407125276950524</v>
      </c>
      <c r="H62" s="56"/>
      <c r="J62" s="56"/>
      <c r="K62" s="56"/>
    </row>
    <row r="64" spans="1:13" ht="16" x14ac:dyDescent="0.5">
      <c r="A64" s="287"/>
      <c r="B64" s="287"/>
      <c r="C64" s="287"/>
      <c r="D64" s="288"/>
      <c r="E64" s="286"/>
      <c r="F64" s="317"/>
      <c r="G64" s="290"/>
      <c r="H64" s="15"/>
      <c r="I64" s="351"/>
      <c r="J64" s="286"/>
      <c r="K64" s="286"/>
      <c r="L64" s="15"/>
      <c r="M64" s="15"/>
    </row>
    <row r="65" spans="1:13" x14ac:dyDescent="0.35">
      <c r="A65" s="322" t="s">
        <v>373</v>
      </c>
      <c r="B65" s="323"/>
      <c r="C65" s="323" t="s">
        <v>374</v>
      </c>
      <c r="D65" s="288"/>
      <c r="E65" s="286"/>
      <c r="F65" s="71"/>
      <c r="G65" s="20"/>
      <c r="H65" s="15"/>
      <c r="I65" s="351"/>
      <c r="J65" s="15"/>
      <c r="K65" s="15"/>
      <c r="L65" s="15"/>
      <c r="M65" s="15"/>
    </row>
    <row r="66" spans="1:13" ht="18.5" x14ac:dyDescent="0.35">
      <c r="A66" s="373" t="s">
        <v>21</v>
      </c>
      <c r="B66" s="373"/>
      <c r="C66" s="373"/>
      <c r="D66" s="373"/>
      <c r="E66" s="373"/>
      <c r="F66" s="373"/>
      <c r="G66" s="373"/>
      <c r="H66" s="15"/>
      <c r="I66" s="351"/>
      <c r="J66" s="15"/>
      <c r="K66" s="15"/>
      <c r="L66" s="15"/>
      <c r="M66" s="15"/>
    </row>
    <row r="67" spans="1:13" ht="18.5" x14ac:dyDescent="0.35">
      <c r="A67" s="373" t="s">
        <v>372</v>
      </c>
      <c r="B67" s="373"/>
      <c r="C67" s="373"/>
      <c r="D67" s="373"/>
      <c r="E67" s="373"/>
      <c r="F67" s="373"/>
      <c r="G67" s="373"/>
      <c r="H67" s="15"/>
      <c r="I67" s="351"/>
      <c r="J67" s="15"/>
      <c r="K67" s="15"/>
      <c r="L67" s="15"/>
      <c r="M67" s="15"/>
    </row>
    <row r="68" spans="1:13" x14ac:dyDescent="0.35">
      <c r="A68" s="64" t="s">
        <v>39</v>
      </c>
      <c r="B68" s="56"/>
      <c r="C68" s="56"/>
      <c r="D68" s="69"/>
      <c r="E68" s="56"/>
      <c r="F68" s="65"/>
      <c r="G68" s="7">
        <f>G46</f>
        <v>2171354.3268243708</v>
      </c>
      <c r="H68" s="15"/>
      <c r="I68" s="351"/>
      <c r="J68" s="15"/>
      <c r="K68" s="15"/>
      <c r="L68" s="15"/>
      <c r="M68" s="15"/>
    </row>
    <row r="69" spans="1:13" x14ac:dyDescent="0.35">
      <c r="A69" s="56" t="s">
        <v>22</v>
      </c>
      <c r="B69" s="56"/>
      <c r="C69" s="56" t="s">
        <v>101</v>
      </c>
      <c r="E69" s="56"/>
      <c r="F69" s="65"/>
      <c r="G69" s="315">
        <f>'Debt Service'!M19</f>
        <v>208367</v>
      </c>
      <c r="H69" s="15"/>
      <c r="I69" s="351"/>
      <c r="J69" s="15"/>
      <c r="K69" s="15"/>
      <c r="L69" s="15"/>
      <c r="M69" s="15"/>
    </row>
    <row r="70" spans="1:13" ht="16" x14ac:dyDescent="0.5">
      <c r="A70" s="56"/>
      <c r="B70" s="56"/>
      <c r="C70" s="56" t="s">
        <v>102</v>
      </c>
      <c r="E70" s="56"/>
      <c r="F70" s="65"/>
      <c r="G70" s="316">
        <f>'Debt Service'!M21</f>
        <v>41673.4</v>
      </c>
      <c r="H70" s="15"/>
      <c r="I70" s="351"/>
      <c r="J70" s="15"/>
      <c r="K70" s="15"/>
      <c r="L70" s="15"/>
      <c r="M70" s="15"/>
    </row>
    <row r="71" spans="1:13" x14ac:dyDescent="0.35">
      <c r="A71" s="64" t="s">
        <v>66</v>
      </c>
      <c r="B71" s="56"/>
      <c r="C71" s="56"/>
      <c r="D71" s="69"/>
      <c r="E71" s="56"/>
      <c r="F71" s="65"/>
      <c r="G71" s="7">
        <f>G68+G69+G70</f>
        <v>2421394.7268243707</v>
      </c>
      <c r="H71" s="15"/>
      <c r="I71" s="351"/>
      <c r="J71" s="15"/>
      <c r="K71" s="15"/>
      <c r="L71" s="15"/>
      <c r="M71" s="15"/>
    </row>
    <row r="72" spans="1:13" x14ac:dyDescent="0.35">
      <c r="A72" s="56" t="s">
        <v>23</v>
      </c>
      <c r="B72" s="56"/>
      <c r="C72" s="56" t="s">
        <v>24</v>
      </c>
      <c r="D72" s="69"/>
      <c r="E72" s="56"/>
      <c r="F72" s="65"/>
      <c r="G72" s="7">
        <f>SUM(G10:G12)</f>
        <v>84426</v>
      </c>
      <c r="H72" s="15"/>
      <c r="I72" s="355"/>
      <c r="J72" s="15"/>
      <c r="K72" s="15"/>
      <c r="L72" s="15"/>
      <c r="M72" s="15"/>
    </row>
    <row r="73" spans="1:13" x14ac:dyDescent="0.35">
      <c r="A73" s="56"/>
      <c r="B73" s="56"/>
      <c r="C73" s="56" t="s">
        <v>60</v>
      </c>
      <c r="D73" s="69"/>
      <c r="E73" s="56"/>
      <c r="F73" s="65"/>
    </row>
    <row r="74" spans="1:13" x14ac:dyDescent="0.35">
      <c r="A74" s="56"/>
      <c r="B74" s="56"/>
      <c r="C74" s="56" t="s">
        <v>11</v>
      </c>
      <c r="D74" s="69"/>
      <c r="E74" s="56"/>
      <c r="F74" s="65"/>
      <c r="G74" s="33"/>
    </row>
    <row r="75" spans="1:13" x14ac:dyDescent="0.35">
      <c r="A75" s="64" t="s">
        <v>64</v>
      </c>
      <c r="B75" s="56"/>
      <c r="C75" s="56"/>
      <c r="D75" s="69"/>
      <c r="E75" s="56"/>
      <c r="F75" s="65"/>
      <c r="G75" s="7">
        <f>G71-G72-G73-G74</f>
        <v>2336968.7268243707</v>
      </c>
    </row>
    <row r="76" spans="1:13" ht="16" x14ac:dyDescent="0.5">
      <c r="A76" s="56" t="s">
        <v>23</v>
      </c>
      <c r="B76" s="56"/>
      <c r="C76" s="56" t="s">
        <v>65</v>
      </c>
      <c r="D76" s="69"/>
      <c r="E76" s="56"/>
      <c r="F76" s="65"/>
      <c r="G76" s="23">
        <f>G6+G8</f>
        <v>2024169.5875000001</v>
      </c>
    </row>
    <row r="77" spans="1:13" x14ac:dyDescent="0.35">
      <c r="A77" s="64" t="s">
        <v>67</v>
      </c>
      <c r="B77" s="56"/>
      <c r="C77" s="56"/>
      <c r="D77" s="69"/>
      <c r="E77" s="56"/>
      <c r="F77" s="65"/>
      <c r="G77" s="56">
        <f>G75-G76</f>
        <v>312799.13932437054</v>
      </c>
    </row>
    <row r="78" spans="1:13" x14ac:dyDescent="0.35">
      <c r="A78" s="56"/>
      <c r="B78" s="56"/>
      <c r="C78" s="56"/>
      <c r="D78" s="69"/>
      <c r="E78" s="56"/>
      <c r="F78" s="65"/>
      <c r="G78" s="56"/>
    </row>
    <row r="79" spans="1:13" x14ac:dyDescent="0.35">
      <c r="A79" s="64" t="s">
        <v>68</v>
      </c>
      <c r="B79" s="56"/>
      <c r="C79" s="56"/>
      <c r="D79" s="69"/>
      <c r="E79" s="56"/>
      <c r="F79" s="65"/>
      <c r="G79" s="238">
        <f>G77/G76</f>
        <v>0.15453208133153543</v>
      </c>
    </row>
  </sheetData>
  <mergeCells count="4">
    <mergeCell ref="A50:G50"/>
    <mergeCell ref="A1:G1"/>
    <mergeCell ref="A66:G66"/>
    <mergeCell ref="A67:G67"/>
  </mergeCells>
  <printOptions horizontalCentered="1"/>
  <pageMargins left="0.45" right="0.25" top="0.5" bottom="0.5" header="0.3" footer="0.3"/>
  <pageSetup scale="96" orientation="portrait" horizontalDpi="4294967293" r:id="rId1"/>
  <rowBreaks count="2" manualBreakCount="2">
    <brk id="48" max="16383" man="1"/>
    <brk id="4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O27"/>
  <sheetViews>
    <sheetView showGridLines="0" workbookViewId="0">
      <selection activeCell="L9" sqref="L9"/>
    </sheetView>
  </sheetViews>
  <sheetFormatPr defaultColWidth="8.84375" defaultRowHeight="14.5" x14ac:dyDescent="0.35"/>
  <cols>
    <col min="1" max="1" width="3.07421875" style="7" customWidth="1"/>
    <col min="2" max="2" width="1.765625" style="7" customWidth="1"/>
    <col min="3" max="8" width="9.765625" style="7" customWidth="1"/>
    <col min="9" max="9" width="1.765625" style="7" customWidth="1"/>
    <col min="10" max="10" width="2.84375" style="7" customWidth="1"/>
    <col min="11" max="16384" width="8.84375" style="7"/>
  </cols>
  <sheetData>
    <row r="1" spans="2:11" x14ac:dyDescent="0.35">
      <c r="B1" s="6"/>
      <c r="C1" s="6"/>
      <c r="D1" s="6"/>
      <c r="E1" s="6"/>
      <c r="F1" s="6"/>
      <c r="G1" s="6"/>
      <c r="H1" s="6"/>
      <c r="I1" s="6"/>
    </row>
    <row r="2" spans="2:11" ht="18.5" x14ac:dyDescent="0.45">
      <c r="B2" s="402" t="s">
        <v>191</v>
      </c>
      <c r="C2" s="403"/>
      <c r="D2" s="403"/>
      <c r="E2" s="403"/>
      <c r="F2" s="403"/>
      <c r="G2" s="403"/>
      <c r="H2" s="403"/>
      <c r="I2" s="404"/>
    </row>
    <row r="3" spans="2:11" ht="18.5" x14ac:dyDescent="0.45">
      <c r="B3" s="405" t="s">
        <v>193</v>
      </c>
      <c r="C3" s="406"/>
      <c r="D3" s="406"/>
      <c r="E3" s="406"/>
      <c r="F3" s="406"/>
      <c r="G3" s="406"/>
      <c r="H3" s="406"/>
      <c r="I3" s="407"/>
    </row>
    <row r="4" spans="2:11" ht="15.5" x14ac:dyDescent="0.35">
      <c r="B4" s="408" t="s">
        <v>216</v>
      </c>
      <c r="C4" s="380"/>
      <c r="D4" s="380"/>
      <c r="E4" s="380"/>
      <c r="F4" s="380"/>
      <c r="G4" s="380"/>
      <c r="H4" s="380"/>
      <c r="I4" s="409"/>
    </row>
    <row r="5" spans="2:11" x14ac:dyDescent="0.35">
      <c r="B5" s="10"/>
      <c r="C5" s="5"/>
      <c r="D5" s="5"/>
      <c r="E5" s="5"/>
      <c r="F5" s="5"/>
      <c r="G5" s="5"/>
      <c r="H5" s="5"/>
      <c r="I5" s="11"/>
    </row>
    <row r="6" spans="2:11" ht="6" customHeight="1" x14ac:dyDescent="0.35">
      <c r="B6" s="8"/>
      <c r="C6" s="6"/>
      <c r="D6" s="9"/>
      <c r="E6" s="36"/>
      <c r="F6" s="37"/>
      <c r="G6" s="37"/>
      <c r="H6" s="37"/>
      <c r="I6" s="38"/>
      <c r="J6" s="35"/>
      <c r="K6" s="35"/>
    </row>
    <row r="7" spans="2:11" ht="16" x14ac:dyDescent="0.5">
      <c r="B7" s="8"/>
      <c r="C7" s="13" t="s">
        <v>13</v>
      </c>
      <c r="D7" s="34" t="s">
        <v>69</v>
      </c>
      <c r="E7" s="39" t="s">
        <v>25</v>
      </c>
      <c r="F7" s="13" t="s">
        <v>10</v>
      </c>
      <c r="G7" s="13"/>
      <c r="H7" s="13"/>
      <c r="I7" s="34"/>
    </row>
    <row r="8" spans="2:11" ht="16" x14ac:dyDescent="0.5">
      <c r="B8" s="8"/>
      <c r="C8" s="13" t="s">
        <v>76</v>
      </c>
      <c r="D8" s="34" t="s">
        <v>73</v>
      </c>
      <c r="E8" s="39" t="s">
        <v>71</v>
      </c>
      <c r="F8" s="13" t="s">
        <v>71</v>
      </c>
      <c r="G8" s="13" t="s">
        <v>26</v>
      </c>
      <c r="H8" s="13" t="s">
        <v>72</v>
      </c>
      <c r="I8" s="34"/>
    </row>
    <row r="9" spans="2:11" x14ac:dyDescent="0.35">
      <c r="B9" s="8"/>
      <c r="C9" s="14">
        <v>0</v>
      </c>
      <c r="D9" s="40" t="s">
        <v>74</v>
      </c>
      <c r="E9" s="27">
        <f>Rates!$D$11</f>
        <v>23.49</v>
      </c>
      <c r="F9" s="27">
        <f>Rates!$E$11</f>
        <v>28.99</v>
      </c>
      <c r="G9" s="51">
        <f>F9-E9</f>
        <v>5.5</v>
      </c>
      <c r="H9" s="72">
        <f>G9/E9</f>
        <v>0.23414218816517668</v>
      </c>
      <c r="I9" s="44"/>
    </row>
    <row r="10" spans="2:11" x14ac:dyDescent="0.35">
      <c r="B10" s="8"/>
      <c r="C10" s="6">
        <v>2000</v>
      </c>
      <c r="D10" s="40" t="s">
        <v>74</v>
      </c>
      <c r="E10" s="27">
        <f>Rates!$D$11+(C10*Rates!$D$20)</f>
        <v>30.029999999999998</v>
      </c>
      <c r="F10" s="27">
        <f>Rates!$E$11+(C10*Rates!$E$20)</f>
        <v>37.07</v>
      </c>
      <c r="G10" s="14">
        <f t="shared" ref="G10:G17" si="0">F10-E10</f>
        <v>7.0400000000000027</v>
      </c>
      <c r="H10" s="72">
        <f t="shared" ref="H10:H24" si="1">G10/E10</f>
        <v>0.23443223443223454</v>
      </c>
      <c r="I10" s="44"/>
    </row>
    <row r="11" spans="2:11" x14ac:dyDescent="0.35">
      <c r="B11" s="8"/>
      <c r="C11" s="45">
        <v>4000</v>
      </c>
      <c r="D11" s="46" t="s">
        <v>74</v>
      </c>
      <c r="E11" s="27">
        <f>Rates!$D$11+(C11*Rates!$D$20)</f>
        <v>36.57</v>
      </c>
      <c r="F11" s="27">
        <f>Rates!$E$11+(C11*Rates!$E$20)</f>
        <v>45.15</v>
      </c>
      <c r="G11" s="47">
        <f t="shared" si="0"/>
        <v>8.5799999999999983</v>
      </c>
      <c r="H11" s="73">
        <f t="shared" si="1"/>
        <v>0.23461853978671038</v>
      </c>
      <c r="I11" s="48"/>
    </row>
    <row r="12" spans="2:11" x14ac:dyDescent="0.35">
      <c r="B12" s="8"/>
      <c r="C12" s="6">
        <v>6000</v>
      </c>
      <c r="D12" s="40" t="s">
        <v>74</v>
      </c>
      <c r="E12" s="27">
        <f>Rates!$D$11+(C12*Rates!$D$20)</f>
        <v>43.11</v>
      </c>
      <c r="F12" s="27">
        <f>Rates!$E$11+(C12*Rates!$E$20)</f>
        <v>53.230000000000004</v>
      </c>
      <c r="G12" s="14">
        <f t="shared" si="0"/>
        <v>10.120000000000005</v>
      </c>
      <c r="H12" s="72">
        <f t="shared" si="1"/>
        <v>0.23474831825562525</v>
      </c>
      <c r="I12" s="44"/>
    </row>
    <row r="13" spans="2:11" x14ac:dyDescent="0.35">
      <c r="B13" s="8"/>
      <c r="C13" s="6">
        <v>8000</v>
      </c>
      <c r="D13" s="40" t="s">
        <v>74</v>
      </c>
      <c r="E13" s="27">
        <f>Rates!$D$11+(C13*Rates!$D$20)</f>
        <v>49.65</v>
      </c>
      <c r="F13" s="27">
        <f>Rates!$E$11+(C13*Rates!$E$20)</f>
        <v>61.31</v>
      </c>
      <c r="G13" s="14">
        <f t="shared" si="0"/>
        <v>11.660000000000004</v>
      </c>
      <c r="H13" s="72">
        <f t="shared" si="1"/>
        <v>0.2348439073514603</v>
      </c>
      <c r="I13" s="44"/>
    </row>
    <row r="14" spans="2:11" x14ac:dyDescent="0.35">
      <c r="B14" s="8"/>
      <c r="C14" s="6">
        <v>10000</v>
      </c>
      <c r="D14" s="40" t="s">
        <v>74</v>
      </c>
      <c r="E14" s="27">
        <f>Rates!$D$11+(C14*Rates!$D$20)</f>
        <v>56.19</v>
      </c>
      <c r="F14" s="27">
        <f>Rates!$E$11+(C14*Rates!$E$20)</f>
        <v>69.39</v>
      </c>
      <c r="G14" s="14">
        <f t="shared" si="0"/>
        <v>13.200000000000003</v>
      </c>
      <c r="H14" s="72">
        <f t="shared" si="1"/>
        <v>0.23491724506139888</v>
      </c>
      <c r="I14" s="44"/>
    </row>
    <row r="15" spans="2:11" x14ac:dyDescent="0.35">
      <c r="B15" s="8"/>
      <c r="C15" s="6">
        <v>15000</v>
      </c>
      <c r="D15" s="40" t="s">
        <v>74</v>
      </c>
      <c r="E15" s="27">
        <f>Rates!$D$11+(C15*Rates!$D$20)</f>
        <v>72.539999999999992</v>
      </c>
      <c r="F15" s="27">
        <f>Rates!$E$11+(C15*Rates!$E$20)</f>
        <v>89.59</v>
      </c>
      <c r="G15" s="14">
        <f t="shared" si="0"/>
        <v>17.050000000000011</v>
      </c>
      <c r="H15" s="72">
        <f t="shared" si="1"/>
        <v>0.23504273504273523</v>
      </c>
      <c r="I15" s="44"/>
    </row>
    <row r="16" spans="2:11" x14ac:dyDescent="0.35">
      <c r="B16" s="8"/>
      <c r="C16" s="6">
        <v>20000</v>
      </c>
      <c r="D16" s="40" t="s">
        <v>74</v>
      </c>
      <c r="E16" s="27">
        <f>Rates!$D$11+(C16*Rates!$D$20)</f>
        <v>88.889999999999986</v>
      </c>
      <c r="F16" s="27">
        <f>Rates!$E$11+(C16*Rates!$E$20)</f>
        <v>109.78999999999999</v>
      </c>
      <c r="G16" s="14">
        <f t="shared" si="0"/>
        <v>20.900000000000006</v>
      </c>
      <c r="H16" s="72">
        <f t="shared" si="1"/>
        <v>0.23512206097423793</v>
      </c>
      <c r="I16" s="44"/>
    </row>
    <row r="17" spans="2:15" x14ac:dyDescent="0.35">
      <c r="B17" s="8"/>
      <c r="C17" s="6">
        <v>25000</v>
      </c>
      <c r="D17" s="41" t="s">
        <v>27</v>
      </c>
      <c r="E17" s="27">
        <f>Rates!$D$12+(C17*Rates!$D$20)</f>
        <v>114.53999999999999</v>
      </c>
      <c r="F17" s="27">
        <f>Rates!$E$12+(C17*Rates!$E$20)</f>
        <v>141.47</v>
      </c>
      <c r="G17" s="14">
        <f t="shared" si="0"/>
        <v>26.930000000000007</v>
      </c>
      <c r="H17" s="72">
        <f t="shared" si="1"/>
        <v>0.23511437052558065</v>
      </c>
      <c r="I17" s="44"/>
    </row>
    <row r="18" spans="2:15" x14ac:dyDescent="0.35">
      <c r="B18" s="8"/>
      <c r="C18" s="6">
        <v>30000</v>
      </c>
      <c r="D18" s="41" t="s">
        <v>27</v>
      </c>
      <c r="E18" s="27">
        <f>Rates!$D$12+(C18*Rates!$D$20)</f>
        <v>130.88999999999999</v>
      </c>
      <c r="F18" s="27">
        <f>Rates!$E$12+(C18*Rates!$E$20)</f>
        <v>161.67000000000002</v>
      </c>
      <c r="G18" s="14">
        <f t="shared" ref="G18:G24" si="2">F18-E18</f>
        <v>30.78000000000003</v>
      </c>
      <c r="H18" s="72">
        <f t="shared" si="1"/>
        <v>0.23515929406371788</v>
      </c>
      <c r="I18" s="44"/>
      <c r="O18" s="6"/>
    </row>
    <row r="19" spans="2:15" x14ac:dyDescent="0.35">
      <c r="B19" s="8"/>
      <c r="C19" s="6">
        <v>40000</v>
      </c>
      <c r="D19" s="41" t="s">
        <v>27</v>
      </c>
      <c r="E19" s="27">
        <f>Rates!$D$12+(C19*Rates!$D$20)</f>
        <v>163.58999999999997</v>
      </c>
      <c r="F19" s="27">
        <f>Rates!$E$12+(C19*Rates!$E$20)</f>
        <v>202.07</v>
      </c>
      <c r="G19" s="14">
        <f t="shared" si="2"/>
        <v>38.480000000000018</v>
      </c>
      <c r="H19" s="72">
        <f t="shared" si="1"/>
        <v>0.23522220184607875</v>
      </c>
      <c r="I19" s="44"/>
    </row>
    <row r="20" spans="2:15" x14ac:dyDescent="0.35">
      <c r="B20" s="8"/>
      <c r="C20" s="6">
        <v>50000</v>
      </c>
      <c r="D20" s="41" t="s">
        <v>220</v>
      </c>
      <c r="E20" s="27">
        <f>Rates!$D$13+(C20*Rates!$D$20)</f>
        <v>211.8</v>
      </c>
      <c r="F20" s="27">
        <f>Rates!$E$13+(C20*Rates!$E$20)</f>
        <v>261.61</v>
      </c>
      <c r="G20" s="14">
        <f t="shared" si="2"/>
        <v>49.81</v>
      </c>
      <c r="H20" s="72">
        <f t="shared" si="1"/>
        <v>0.23517469310670444</v>
      </c>
      <c r="I20" s="44"/>
    </row>
    <row r="21" spans="2:15" x14ac:dyDescent="0.35">
      <c r="B21" s="8"/>
      <c r="C21" s="6">
        <v>75000</v>
      </c>
      <c r="D21" s="41" t="s">
        <v>28</v>
      </c>
      <c r="E21" s="27">
        <f>Rates!$D$14+(C21*Rates!$D$20)</f>
        <v>312.2</v>
      </c>
      <c r="F21" s="27">
        <f>Rates!$E$14+(C21*Rates!$E$20)</f>
        <v>385.62</v>
      </c>
      <c r="G21" s="14">
        <f t="shared" si="2"/>
        <v>73.420000000000016</v>
      </c>
      <c r="H21" s="72">
        <f t="shared" si="1"/>
        <v>0.23516976297245362</v>
      </c>
      <c r="I21" s="44"/>
    </row>
    <row r="22" spans="2:15" x14ac:dyDescent="0.35">
      <c r="B22" s="8"/>
      <c r="C22" s="6">
        <v>100000</v>
      </c>
      <c r="D22" s="41" t="s">
        <v>219</v>
      </c>
      <c r="E22" s="27">
        <f>Rates!$D$15+(C22*Rates!$D$20)</f>
        <v>437.4</v>
      </c>
      <c r="F22" s="27">
        <f>Rates!$E$15+(C22*Rates!$E$20)</f>
        <v>540.24</v>
      </c>
      <c r="G22" s="14">
        <f t="shared" si="2"/>
        <v>102.84000000000003</v>
      </c>
      <c r="H22" s="72">
        <f t="shared" si="1"/>
        <v>0.23511659807956112</v>
      </c>
      <c r="I22" s="44"/>
    </row>
    <row r="23" spans="2:15" x14ac:dyDescent="0.35">
      <c r="B23" s="8"/>
      <c r="C23" s="6">
        <v>200000</v>
      </c>
      <c r="D23" s="41" t="s">
        <v>218</v>
      </c>
      <c r="E23" s="27">
        <f>Rates!$D$16+(C23*Rates!$D$20)</f>
        <v>826.51</v>
      </c>
      <c r="F23" s="27">
        <f>Rates!$E$16+(C23*Rates!$E$20)</f>
        <v>1020.89</v>
      </c>
      <c r="G23" s="14">
        <f t="shared" si="2"/>
        <v>194.38</v>
      </c>
      <c r="H23" s="72">
        <f t="shared" si="1"/>
        <v>0.23518166749343625</v>
      </c>
      <c r="I23" s="44"/>
    </row>
    <row r="24" spans="2:15" x14ac:dyDescent="0.35">
      <c r="B24" s="8"/>
      <c r="C24" s="6">
        <v>500000</v>
      </c>
      <c r="D24" s="41" t="s">
        <v>217</v>
      </c>
      <c r="E24" s="27">
        <f>Rates!$D$17+(C24*Rates!$D$20)</f>
        <v>1962.73</v>
      </c>
      <c r="F24" s="27">
        <f>Rates!$E$17+(C24*Rates!$E$20)</f>
        <v>2424.44</v>
      </c>
      <c r="G24" s="14">
        <f t="shared" si="2"/>
        <v>461.71000000000004</v>
      </c>
      <c r="H24" s="72">
        <f t="shared" si="1"/>
        <v>0.23523867266511442</v>
      </c>
      <c r="I24" s="44"/>
    </row>
    <row r="25" spans="2:15" ht="6" customHeight="1" x14ac:dyDescent="0.35">
      <c r="B25" s="10"/>
      <c r="C25" s="5"/>
      <c r="D25" s="4"/>
      <c r="E25" s="43"/>
      <c r="F25" s="42"/>
      <c r="G25" s="42"/>
      <c r="H25" s="5"/>
      <c r="I25" s="11"/>
    </row>
    <row r="27" spans="2:15" x14ac:dyDescent="0.35">
      <c r="D27" s="52" t="s">
        <v>77</v>
      </c>
    </row>
  </sheetData>
  <mergeCells count="3">
    <mergeCell ref="B2:I2"/>
    <mergeCell ref="B3:I3"/>
    <mergeCell ref="B4:I4"/>
  </mergeCells>
  <printOptions horizontalCentered="1"/>
  <pageMargins left="0.7" right="0.7" top="1.1000000000000001"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EF004-73BD-4C2A-85DA-B682B48EA656}">
  <sheetPr>
    <tabColor rgb="FF92D050"/>
    <pageSetUpPr fitToPage="1"/>
  </sheetPr>
  <dimension ref="A1:N42"/>
  <sheetViews>
    <sheetView showGridLines="0" workbookViewId="0">
      <selection activeCell="G11" sqref="G11"/>
    </sheetView>
  </sheetViews>
  <sheetFormatPr defaultColWidth="8.84375" defaultRowHeight="15.5" x14ac:dyDescent="0.35"/>
  <cols>
    <col min="1" max="1" width="12.69140625" style="137" customWidth="1"/>
    <col min="2" max="2" width="9.15234375" style="137" customWidth="1"/>
    <col min="3" max="3" width="19.3046875" style="137" customWidth="1"/>
    <col min="4" max="4" width="10.4609375" style="137" customWidth="1"/>
    <col min="5" max="5" width="12.4609375" style="137" bestFit="1" customWidth="1"/>
    <col min="6" max="7" width="11.15234375" style="137" customWidth="1"/>
    <col min="8" max="13" width="10.4609375" style="137" customWidth="1"/>
    <col min="14" max="14" width="13.07421875" style="137" customWidth="1"/>
    <col min="15" max="16384" width="8.84375" style="137"/>
  </cols>
  <sheetData>
    <row r="1" spans="1:14" ht="21" x14ac:dyDescent="0.5">
      <c r="A1" s="412" t="s">
        <v>213</v>
      </c>
      <c r="B1" s="412"/>
      <c r="C1" s="412"/>
      <c r="D1" s="412"/>
      <c r="E1" s="412"/>
      <c r="F1" s="412"/>
      <c r="G1" s="412"/>
      <c r="H1" s="412"/>
    </row>
    <row r="2" spans="1:14" ht="18.5" x14ac:dyDescent="0.35">
      <c r="A2" s="389" t="s">
        <v>215</v>
      </c>
      <c r="B2" s="389"/>
      <c r="C2" s="389"/>
      <c r="D2" s="389"/>
      <c r="E2" s="389"/>
      <c r="F2" s="389"/>
      <c r="G2" s="389"/>
      <c r="H2" s="389"/>
    </row>
    <row r="3" spans="1:14" x14ac:dyDescent="0.35">
      <c r="A3" s="21"/>
      <c r="B3" s="22"/>
      <c r="C3" s="22"/>
      <c r="D3" s="22"/>
      <c r="E3" s="22"/>
      <c r="F3" s="22"/>
      <c r="G3" s="22"/>
      <c r="H3" s="22"/>
    </row>
    <row r="4" spans="1:14" x14ac:dyDescent="0.35">
      <c r="A4" s="241"/>
      <c r="B4" s="239"/>
      <c r="C4" s="413" t="s">
        <v>51</v>
      </c>
      <c r="D4" s="413"/>
      <c r="E4" s="413"/>
      <c r="F4" s="413"/>
      <c r="G4" s="246"/>
      <c r="H4" s="1"/>
    </row>
    <row r="5" spans="1:14" x14ac:dyDescent="0.35">
      <c r="A5" s="241"/>
      <c r="B5" s="241"/>
      <c r="C5" s="240" t="s">
        <v>163</v>
      </c>
      <c r="D5" s="247" t="s">
        <v>53</v>
      </c>
      <c r="E5" s="247" t="s">
        <v>54</v>
      </c>
      <c r="F5" s="248" t="s">
        <v>57</v>
      </c>
      <c r="G5" s="249"/>
      <c r="H5" s="18"/>
      <c r="I5" s="142"/>
    </row>
    <row r="6" spans="1:14" x14ac:dyDescent="0.35">
      <c r="A6" s="241"/>
      <c r="B6" s="241"/>
      <c r="C6" s="241" t="s">
        <v>238</v>
      </c>
      <c r="D6" s="250">
        <f>C23</f>
        <v>34086</v>
      </c>
      <c r="E6" s="251">
        <f>C34</f>
        <v>372771250</v>
      </c>
      <c r="F6" s="252">
        <f>E23</f>
        <v>830875.32</v>
      </c>
      <c r="G6" s="252"/>
      <c r="H6" s="152"/>
      <c r="I6" s="153"/>
      <c r="J6" s="154"/>
      <c r="L6" s="138"/>
      <c r="M6" s="138"/>
      <c r="N6" s="138"/>
    </row>
    <row r="7" spans="1:14" x14ac:dyDescent="0.35">
      <c r="A7" s="241"/>
      <c r="B7" s="241"/>
      <c r="C7" s="241" t="s">
        <v>52</v>
      </c>
      <c r="D7" s="250"/>
      <c r="E7" s="251"/>
      <c r="F7" s="252">
        <f>E34</f>
        <v>1218961.9875</v>
      </c>
      <c r="G7" s="252"/>
      <c r="H7" s="152"/>
      <c r="I7" s="153"/>
      <c r="J7" s="154"/>
      <c r="L7" s="138"/>
      <c r="M7" s="138"/>
      <c r="N7" s="138"/>
    </row>
    <row r="8" spans="1:14" s="260" customFormat="1" ht="15" customHeight="1" x14ac:dyDescent="0.35">
      <c r="A8" s="256"/>
      <c r="B8" s="256"/>
      <c r="C8" s="256" t="s">
        <v>164</v>
      </c>
      <c r="D8" s="257"/>
      <c r="E8" s="257"/>
      <c r="F8" s="258">
        <f>-14429.44-11238.28</f>
        <v>-25667.72</v>
      </c>
      <c r="G8" s="258"/>
      <c r="H8" s="259" t="s">
        <v>275</v>
      </c>
      <c r="L8" s="261"/>
      <c r="M8" s="261"/>
      <c r="N8" s="261"/>
    </row>
    <row r="9" spans="1:14" x14ac:dyDescent="0.35">
      <c r="A9" s="241"/>
      <c r="B9" s="241"/>
      <c r="C9" s="253" t="s">
        <v>204</v>
      </c>
      <c r="D9" s="251"/>
      <c r="E9" s="251"/>
      <c r="F9" s="254">
        <f>SUM(F6:F8)</f>
        <v>2024169.5875000001</v>
      </c>
      <c r="G9" s="254"/>
      <c r="H9" s="1"/>
    </row>
    <row r="10" spans="1:14" ht="18.5" x14ac:dyDescent="0.65">
      <c r="A10" s="241"/>
      <c r="B10" s="241"/>
      <c r="C10" s="253" t="s">
        <v>165</v>
      </c>
      <c r="D10" s="251"/>
      <c r="E10" s="251"/>
      <c r="F10" s="255">
        <f>SAO!D6</f>
        <v>1702863</v>
      </c>
      <c r="G10" s="255"/>
      <c r="H10" s="1"/>
    </row>
    <row r="11" spans="1:14" x14ac:dyDescent="0.35">
      <c r="A11" s="241"/>
      <c r="B11" s="241"/>
      <c r="C11" s="253" t="s">
        <v>166</v>
      </c>
      <c r="D11" s="251"/>
      <c r="E11" s="251"/>
      <c r="F11" s="254">
        <f>F9-F10</f>
        <v>321306.58750000014</v>
      </c>
      <c r="G11" s="319" t="s">
        <v>280</v>
      </c>
      <c r="H11" s="1" t="s">
        <v>167</v>
      </c>
      <c r="K11" s="214"/>
    </row>
    <row r="12" spans="1:14" x14ac:dyDescent="0.35">
      <c r="A12" s="1"/>
      <c r="B12" s="1"/>
      <c r="C12" s="16"/>
      <c r="D12" s="151"/>
      <c r="E12" s="1"/>
      <c r="F12" s="1"/>
      <c r="G12" s="1"/>
      <c r="H12" s="1"/>
    </row>
    <row r="13" spans="1:14" x14ac:dyDescent="0.35">
      <c r="A13" s="244" t="s">
        <v>267</v>
      </c>
      <c r="B13" s="241"/>
      <c r="C13" s="241"/>
      <c r="D13" s="241"/>
      <c r="E13" s="241"/>
      <c r="F13" s="1"/>
      <c r="G13" s="1"/>
      <c r="H13" s="1"/>
    </row>
    <row r="14" spans="1:14" x14ac:dyDescent="0.35">
      <c r="A14" s="241"/>
      <c r="B14" s="241"/>
      <c r="C14" s="245" t="s">
        <v>201</v>
      </c>
      <c r="D14" s="245" t="s">
        <v>234</v>
      </c>
      <c r="E14" s="245"/>
      <c r="F14" s="18"/>
      <c r="G14" s="18"/>
      <c r="H14" s="18"/>
      <c r="I14" s="1"/>
    </row>
    <row r="15" spans="1:14" ht="18.5" x14ac:dyDescent="0.65">
      <c r="A15" s="410" t="s">
        <v>236</v>
      </c>
      <c r="B15" s="411"/>
      <c r="C15" s="262" t="s">
        <v>53</v>
      </c>
      <c r="D15" s="263" t="s">
        <v>235</v>
      </c>
      <c r="E15" s="262" t="s">
        <v>12</v>
      </c>
      <c r="F15" s="149"/>
      <c r="G15" s="149"/>
      <c r="H15" s="149"/>
      <c r="I15" s="18"/>
    </row>
    <row r="16" spans="1:14" x14ac:dyDescent="0.35">
      <c r="A16" s="400" t="s">
        <v>225</v>
      </c>
      <c r="B16" s="401"/>
      <c r="C16" s="149">
        <f>(154+5305)*6</f>
        <v>32754</v>
      </c>
      <c r="D16" s="273">
        <f>Rates!D11</f>
        <v>23.49</v>
      </c>
      <c r="E16" s="149">
        <f>C16*D16</f>
        <v>769391.46</v>
      </c>
      <c r="F16" s="149"/>
      <c r="G16" s="149"/>
      <c r="H16" s="149"/>
      <c r="I16" s="18"/>
    </row>
    <row r="17" spans="1:9" x14ac:dyDescent="0.35">
      <c r="A17" s="236"/>
      <c r="B17" s="235" t="s">
        <v>226</v>
      </c>
      <c r="C17" s="149">
        <f>(107+43)*6</f>
        <v>900</v>
      </c>
      <c r="D17" s="273">
        <f>Rates!D12</f>
        <v>32.79</v>
      </c>
      <c r="E17" s="149">
        <f t="shared" ref="E17:E22" si="0">C17*D17</f>
        <v>29511</v>
      </c>
      <c r="F17" s="149"/>
      <c r="G17" s="149"/>
      <c r="H17" s="149"/>
      <c r="I17" s="18"/>
    </row>
    <row r="18" spans="1:9" x14ac:dyDescent="0.35">
      <c r="A18" s="236"/>
      <c r="B18" s="235" t="s">
        <v>227</v>
      </c>
      <c r="C18" s="149">
        <f>(17+10)*6</f>
        <v>162</v>
      </c>
      <c r="D18" s="273">
        <f>Rates!D13</f>
        <v>48.3</v>
      </c>
      <c r="E18" s="149">
        <f t="shared" si="0"/>
        <v>7824.5999999999995</v>
      </c>
      <c r="F18" s="149"/>
      <c r="G18" s="149"/>
      <c r="H18" s="149"/>
      <c r="I18" s="18"/>
    </row>
    <row r="19" spans="1:9" x14ac:dyDescent="0.35">
      <c r="A19" s="236"/>
      <c r="B19" s="235" t="s">
        <v>228</v>
      </c>
      <c r="C19" s="149">
        <f>(29+2)*6</f>
        <v>186</v>
      </c>
      <c r="D19" s="273">
        <f>Rates!D14</f>
        <v>66.95</v>
      </c>
      <c r="E19" s="149">
        <f t="shared" si="0"/>
        <v>12452.7</v>
      </c>
      <c r="F19" s="20"/>
      <c r="G19" s="20"/>
      <c r="H19" s="20"/>
      <c r="I19" s="20"/>
    </row>
    <row r="20" spans="1:9" x14ac:dyDescent="0.35">
      <c r="A20" s="236"/>
      <c r="B20" s="235" t="s">
        <v>229</v>
      </c>
      <c r="C20" s="149">
        <f>(10*6)</f>
        <v>60</v>
      </c>
      <c r="D20" s="273">
        <f>Rates!D15</f>
        <v>110.4</v>
      </c>
      <c r="E20" s="149">
        <f t="shared" si="0"/>
        <v>6624</v>
      </c>
      <c r="F20" s="20"/>
      <c r="G20" s="20"/>
      <c r="H20" s="20"/>
      <c r="I20" s="20"/>
    </row>
    <row r="21" spans="1:9" x14ac:dyDescent="0.35">
      <c r="A21" s="236"/>
      <c r="B21" s="235" t="s">
        <v>230</v>
      </c>
      <c r="C21" s="149">
        <f>3*6</f>
        <v>18</v>
      </c>
      <c r="D21" s="273">
        <f>Rates!D16</f>
        <v>172.51</v>
      </c>
      <c r="E21" s="149">
        <f t="shared" si="0"/>
        <v>3105.18</v>
      </c>
      <c r="F21" s="20"/>
      <c r="G21" s="20"/>
      <c r="H21" s="20"/>
      <c r="I21" s="20"/>
    </row>
    <row r="22" spans="1:9" x14ac:dyDescent="0.35">
      <c r="A22" s="236"/>
      <c r="B22" s="235" t="s">
        <v>231</v>
      </c>
      <c r="C22" s="274">
        <f>1*6</f>
        <v>6</v>
      </c>
      <c r="D22" s="275">
        <f>Rates!D17</f>
        <v>327.73</v>
      </c>
      <c r="E22" s="149">
        <f t="shared" si="0"/>
        <v>1966.38</v>
      </c>
      <c r="F22" s="20"/>
      <c r="G22" s="20"/>
      <c r="H22" s="20"/>
      <c r="I22" s="20"/>
    </row>
    <row r="23" spans="1:9" x14ac:dyDescent="0.35">
      <c r="A23" s="19"/>
      <c r="B23" s="158" t="s">
        <v>55</v>
      </c>
      <c r="C23" s="149">
        <f>SUM(C16:C22)</f>
        <v>34086</v>
      </c>
      <c r="D23" s="20"/>
      <c r="E23" s="51">
        <f>SUM(E16:E22)</f>
        <v>830875.32</v>
      </c>
      <c r="F23" s="20"/>
      <c r="G23" s="20"/>
      <c r="H23" s="20"/>
      <c r="I23" s="20"/>
    </row>
    <row r="24" spans="1:9" x14ac:dyDescent="0.35">
      <c r="A24" s="19"/>
      <c r="B24" s="156"/>
      <c r="C24" s="1"/>
      <c r="D24" s="156"/>
      <c r="E24" s="156"/>
      <c r="F24" s="156"/>
      <c r="G24" s="156"/>
      <c r="H24" s="156"/>
    </row>
    <row r="25" spans="1:9" x14ac:dyDescent="0.35">
      <c r="A25" s="240" t="s">
        <v>237</v>
      </c>
      <c r="B25" s="240"/>
      <c r="C25" s="241"/>
      <c r="D25" s="242" t="s">
        <v>56</v>
      </c>
      <c r="E25" s="243"/>
      <c r="F25" s="156"/>
      <c r="G25" s="156"/>
      <c r="H25" s="156"/>
    </row>
    <row r="26" spans="1:9" ht="18.5" x14ac:dyDescent="0.65">
      <c r="A26" s="410" t="s">
        <v>236</v>
      </c>
      <c r="B26" s="411"/>
      <c r="C26" s="264" t="s">
        <v>13</v>
      </c>
      <c r="D26" s="265" t="s">
        <v>239</v>
      </c>
      <c r="E26" s="266" t="s">
        <v>57</v>
      </c>
      <c r="G26" s="157"/>
      <c r="H26" s="1"/>
    </row>
    <row r="27" spans="1:9" x14ac:dyDescent="0.35">
      <c r="A27" s="400" t="s">
        <v>225</v>
      </c>
      <c r="B27" s="401"/>
      <c r="C27" s="149">
        <f>(11700490+249587560)</f>
        <v>261288050</v>
      </c>
      <c r="D27" s="157">
        <f>Rates!D20</f>
        <v>3.2699999999999999E-3</v>
      </c>
      <c r="E27" s="273">
        <f>C27*D27</f>
        <v>854411.92349999992</v>
      </c>
      <c r="F27" s="157"/>
      <c r="G27" s="157"/>
      <c r="H27" s="1"/>
    </row>
    <row r="28" spans="1:9" x14ac:dyDescent="0.35">
      <c r="A28" s="236"/>
      <c r="B28" s="235" t="s">
        <v>226</v>
      </c>
      <c r="C28" s="149">
        <f>11927200+4710400</f>
        <v>16637600</v>
      </c>
      <c r="D28" s="157">
        <f>D27</f>
        <v>3.2699999999999999E-3</v>
      </c>
      <c r="E28" s="157">
        <f t="shared" ref="E28:E33" si="1">C28*D28</f>
        <v>54404.951999999997</v>
      </c>
      <c r="F28" s="157"/>
      <c r="G28" s="157"/>
      <c r="H28" s="1"/>
    </row>
    <row r="29" spans="1:9" x14ac:dyDescent="0.35">
      <c r="A29" s="236"/>
      <c r="B29" s="235" t="s">
        <v>227</v>
      </c>
      <c r="C29" s="149">
        <f>8421800+1280000</f>
        <v>9701800</v>
      </c>
      <c r="D29" s="157">
        <f t="shared" ref="D29:D33" si="2">D28</f>
        <v>3.2699999999999999E-3</v>
      </c>
      <c r="E29" s="157">
        <f t="shared" si="1"/>
        <v>31724.885999999999</v>
      </c>
      <c r="F29" s="157"/>
      <c r="G29" s="157"/>
      <c r="H29" s="1"/>
    </row>
    <row r="30" spans="1:9" x14ac:dyDescent="0.35">
      <c r="A30" s="236"/>
      <c r="B30" s="235" t="s">
        <v>228</v>
      </c>
      <c r="C30" s="149">
        <f>22834000+268200</f>
        <v>23102200</v>
      </c>
      <c r="D30" s="157">
        <f t="shared" si="2"/>
        <v>3.2699999999999999E-3</v>
      </c>
      <c r="E30" s="157">
        <f t="shared" si="1"/>
        <v>75544.194000000003</v>
      </c>
      <c r="F30" s="29"/>
      <c r="G30" s="29"/>
      <c r="H30" s="1"/>
    </row>
    <row r="31" spans="1:9" x14ac:dyDescent="0.35">
      <c r="A31" s="236"/>
      <c r="B31" s="235" t="s">
        <v>229</v>
      </c>
      <c r="C31" s="149">
        <v>18852000</v>
      </c>
      <c r="D31" s="157">
        <f t="shared" si="2"/>
        <v>3.2699999999999999E-3</v>
      </c>
      <c r="E31" s="157">
        <f t="shared" si="1"/>
        <v>61646.04</v>
      </c>
      <c r="F31" s="29"/>
      <c r="G31" s="29"/>
      <c r="H31" s="1"/>
    </row>
    <row r="32" spans="1:9" x14ac:dyDescent="0.35">
      <c r="A32" s="236"/>
      <c r="B32" s="235" t="s">
        <v>230</v>
      </c>
      <c r="C32" s="149">
        <f>121200+21632600+20356300</f>
        <v>42110100</v>
      </c>
      <c r="D32" s="157">
        <f t="shared" si="2"/>
        <v>3.2699999999999999E-3</v>
      </c>
      <c r="E32" s="157">
        <f t="shared" si="1"/>
        <v>137700.027</v>
      </c>
      <c r="F32" s="29"/>
      <c r="G32" s="29"/>
      <c r="H32" s="1"/>
    </row>
    <row r="33" spans="1:9" x14ac:dyDescent="0.35">
      <c r="A33" s="236"/>
      <c r="B33" s="235" t="s">
        <v>231</v>
      </c>
      <c r="C33" s="274">
        <v>1079500</v>
      </c>
      <c r="D33" s="157">
        <f t="shared" si="2"/>
        <v>3.2699999999999999E-3</v>
      </c>
      <c r="E33" s="276">
        <f t="shared" si="1"/>
        <v>3529.9649999999997</v>
      </c>
      <c r="F33" s="29"/>
      <c r="G33" s="29"/>
      <c r="H33" s="1"/>
    </row>
    <row r="34" spans="1:9" x14ac:dyDescent="0.35">
      <c r="A34" s="19"/>
      <c r="B34" s="158" t="s">
        <v>55</v>
      </c>
      <c r="C34" s="149">
        <f>SUM(C27:C33)</f>
        <v>372771250</v>
      </c>
      <c r="D34" s="51"/>
      <c r="E34" s="51">
        <f>SUM(E27:E33)</f>
        <v>1218961.9875</v>
      </c>
      <c r="F34" s="161"/>
      <c r="G34" s="161"/>
      <c r="H34" s="1"/>
    </row>
    <row r="35" spans="1:9" x14ac:dyDescent="0.35">
      <c r="A35" s="1"/>
      <c r="B35" s="1"/>
      <c r="C35" s="1"/>
      <c r="D35" s="1"/>
      <c r="E35" s="1"/>
      <c r="F35" s="1"/>
      <c r="G35" s="1"/>
      <c r="H35" s="1"/>
    </row>
    <row r="36" spans="1:9" x14ac:dyDescent="0.35">
      <c r="A36" s="140"/>
      <c r="B36" s="1"/>
      <c r="C36" s="1"/>
      <c r="D36" s="1"/>
      <c r="E36" s="1"/>
      <c r="F36" s="1"/>
      <c r="G36" s="1"/>
      <c r="H36" s="1"/>
    </row>
    <row r="37" spans="1:9" x14ac:dyDescent="0.35">
      <c r="A37" s="1"/>
      <c r="B37" s="1"/>
      <c r="C37" s="1" t="s">
        <v>274</v>
      </c>
      <c r="D37" s="1"/>
      <c r="E37" s="189">
        <f>E23+E34</f>
        <v>2049837.3075000001</v>
      </c>
      <c r="F37" s="1"/>
      <c r="G37" s="1"/>
      <c r="H37" s="1"/>
    </row>
    <row r="38" spans="1:9" x14ac:dyDescent="0.35">
      <c r="A38" s="1"/>
      <c r="B38" s="148"/>
      <c r="C38" s="150"/>
      <c r="D38" s="150"/>
      <c r="E38" s="277"/>
      <c r="F38" s="149"/>
      <c r="G38" s="149"/>
      <c r="H38" s="1"/>
      <c r="I38" s="1"/>
    </row>
    <row r="39" spans="1:9" s="141" customFormat="1" x14ac:dyDescent="0.35">
      <c r="B39" s="148"/>
      <c r="C39" s="137"/>
      <c r="D39" s="150"/>
      <c r="E39" s="150"/>
      <c r="F39" s="162"/>
      <c r="G39" s="162"/>
    </row>
    <row r="40" spans="1:9" ht="16" x14ac:dyDescent="0.5">
      <c r="B40" s="148"/>
      <c r="C40" s="150"/>
      <c r="D40" s="150"/>
      <c r="E40" s="163"/>
    </row>
    <row r="41" spans="1:9" x14ac:dyDescent="0.35">
      <c r="B41" s="148"/>
      <c r="C41" s="150"/>
      <c r="D41" s="150"/>
      <c r="E41" s="155"/>
    </row>
    <row r="42" spans="1:9" x14ac:dyDescent="0.35">
      <c r="B42" s="148"/>
      <c r="C42" s="150"/>
      <c r="D42" s="150"/>
      <c r="E42" s="229"/>
    </row>
  </sheetData>
  <mergeCells count="7">
    <mergeCell ref="A26:B26"/>
    <mergeCell ref="A27:B27"/>
    <mergeCell ref="A1:H1"/>
    <mergeCell ref="A2:H2"/>
    <mergeCell ref="C4:F4"/>
    <mergeCell ref="A15:B15"/>
    <mergeCell ref="A16:B16"/>
  </mergeCells>
  <pageMargins left="0.7" right="0.7" top="0.75" bottom="0.75" header="0.3" footer="0.3"/>
  <pageSetup scale="88"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B1388-AB01-4CAE-A21B-D2708C228A39}">
  <sheetPr>
    <tabColor rgb="FF92D050"/>
    <pageSetUpPr fitToPage="1"/>
  </sheetPr>
  <dimension ref="A1:M45"/>
  <sheetViews>
    <sheetView showGridLines="0" topLeftCell="A32" workbookViewId="0">
      <selection activeCell="F45" sqref="F45"/>
    </sheetView>
  </sheetViews>
  <sheetFormatPr defaultColWidth="8.84375" defaultRowHeight="15.5" x14ac:dyDescent="0.35"/>
  <cols>
    <col min="1" max="1" width="7.765625" style="137" customWidth="1"/>
    <col min="2" max="2" width="8.23046875" style="137" customWidth="1"/>
    <col min="3" max="3" width="25.84375" style="137" customWidth="1"/>
    <col min="4" max="4" width="10.4609375" style="137" customWidth="1"/>
    <col min="5" max="5" width="13.765625" style="137" bestFit="1" customWidth="1"/>
    <col min="6" max="7" width="11.15234375" style="137" customWidth="1"/>
    <col min="8" max="10" width="10.4609375" style="137" customWidth="1"/>
    <col min="11" max="11" width="11.61328125" style="137" bestFit="1" customWidth="1"/>
    <col min="12" max="12" width="10.4609375" style="137" customWidth="1"/>
    <col min="13" max="13" width="13.07421875" style="137" customWidth="1"/>
    <col min="14" max="16384" width="8.84375" style="137"/>
  </cols>
  <sheetData>
    <row r="1" spans="1:13" ht="21" x14ac:dyDescent="0.5">
      <c r="A1" s="412" t="s">
        <v>214</v>
      </c>
      <c r="B1" s="412"/>
      <c r="C1" s="412"/>
      <c r="D1" s="412"/>
      <c r="E1" s="412"/>
      <c r="F1" s="412"/>
      <c r="G1" s="412"/>
      <c r="H1" s="412"/>
    </row>
    <row r="2" spans="1:13" ht="18.5" x14ac:dyDescent="0.35">
      <c r="A2" s="389" t="s">
        <v>215</v>
      </c>
      <c r="B2" s="389"/>
      <c r="C2" s="389"/>
      <c r="D2" s="389"/>
      <c r="E2" s="389"/>
      <c r="F2" s="389"/>
      <c r="G2" s="389"/>
      <c r="H2" s="389"/>
    </row>
    <row r="3" spans="1:13" x14ac:dyDescent="0.35">
      <c r="A3" s="21"/>
      <c r="B3" s="22"/>
      <c r="C3" s="22"/>
      <c r="D3" s="22"/>
      <c r="E3" s="22"/>
      <c r="F3" s="22"/>
      <c r="G3" s="22"/>
      <c r="H3" s="22"/>
    </row>
    <row r="4" spans="1:13" x14ac:dyDescent="0.35">
      <c r="A4" s="241"/>
      <c r="B4" s="239"/>
      <c r="C4" s="413" t="s">
        <v>51</v>
      </c>
      <c r="D4" s="413"/>
      <c r="E4" s="413"/>
      <c r="F4" s="413"/>
      <c r="G4" s="246"/>
      <c r="H4" s="1"/>
    </row>
    <row r="5" spans="1:13" x14ac:dyDescent="0.35">
      <c r="A5" s="241"/>
      <c r="B5" s="241"/>
      <c r="C5" s="240" t="s">
        <v>163</v>
      </c>
      <c r="D5" s="247" t="s">
        <v>53</v>
      </c>
      <c r="E5" s="247" t="s">
        <v>54</v>
      </c>
      <c r="F5" s="248" t="s">
        <v>57</v>
      </c>
      <c r="G5" s="249"/>
      <c r="H5" s="18"/>
      <c r="I5" s="142"/>
    </row>
    <row r="6" spans="1:13" x14ac:dyDescent="0.35">
      <c r="A6" s="241"/>
      <c r="B6" s="241"/>
      <c r="C6" s="256" t="s">
        <v>238</v>
      </c>
      <c r="D6" s="250">
        <f>C24</f>
        <v>34086</v>
      </c>
      <c r="E6" s="251">
        <f>C35</f>
        <v>372771250</v>
      </c>
      <c r="F6" s="252">
        <f>E24</f>
        <v>1025418.6599999999</v>
      </c>
      <c r="G6" s="252"/>
      <c r="H6" s="152"/>
      <c r="I6" s="153"/>
      <c r="J6" s="154"/>
      <c r="K6" s="138"/>
      <c r="L6" s="138"/>
      <c r="M6" s="138"/>
    </row>
    <row r="7" spans="1:13" x14ac:dyDescent="0.35">
      <c r="A7" s="241"/>
      <c r="B7" s="241"/>
      <c r="C7" s="256" t="s">
        <v>52</v>
      </c>
      <c r="D7" s="250"/>
      <c r="E7" s="251"/>
      <c r="F7" s="252">
        <f>E35</f>
        <v>1505995.8500000003</v>
      </c>
      <c r="G7" s="252"/>
      <c r="H7" s="152"/>
      <c r="I7" s="153"/>
      <c r="J7" s="154"/>
      <c r="K7" s="138"/>
      <c r="L7" s="138"/>
      <c r="M7" s="139"/>
    </row>
    <row r="8" spans="1:13" ht="15.75" customHeight="1" x14ac:dyDescent="0.35">
      <c r="A8" s="256"/>
      <c r="B8" s="256"/>
      <c r="C8" s="256" t="s">
        <v>164</v>
      </c>
      <c r="D8" s="257"/>
      <c r="E8" s="257"/>
      <c r="F8" s="258">
        <f>-14429.44-11238.28</f>
        <v>-25667.72</v>
      </c>
      <c r="G8" s="258"/>
      <c r="H8" s="259" t="s">
        <v>275</v>
      </c>
      <c r="I8" s="260"/>
      <c r="J8" s="260"/>
      <c r="K8" s="138"/>
      <c r="L8" s="138"/>
      <c r="M8" s="138"/>
    </row>
    <row r="9" spans="1:13" ht="15.75" customHeight="1" x14ac:dyDescent="0.35">
      <c r="A9" s="241"/>
      <c r="B9" s="241"/>
      <c r="C9" s="278" t="s">
        <v>204</v>
      </c>
      <c r="D9" s="251"/>
      <c r="E9" s="251"/>
      <c r="F9" s="254">
        <f>SUM(F6:F8)</f>
        <v>2505746.79</v>
      </c>
      <c r="G9" s="254"/>
      <c r="H9" s="1"/>
      <c r="K9" s="138"/>
      <c r="L9" s="138"/>
      <c r="M9" s="138"/>
    </row>
    <row r="10" spans="1:13" ht="15.75" customHeight="1" x14ac:dyDescent="0.65">
      <c r="A10" s="241"/>
      <c r="B10" s="241"/>
      <c r="C10" s="278" t="s">
        <v>378</v>
      </c>
      <c r="D10" s="251"/>
      <c r="E10" s="251"/>
      <c r="F10" s="255">
        <f>ExBA!F9</f>
        <v>2024169.5875000001</v>
      </c>
      <c r="G10" s="255"/>
      <c r="H10" s="1"/>
      <c r="K10" s="205"/>
      <c r="L10" s="206"/>
      <c r="M10" s="138"/>
    </row>
    <row r="11" spans="1:13" ht="15.75" customHeight="1" x14ac:dyDescent="0.35">
      <c r="A11" s="241"/>
      <c r="B11" s="241"/>
      <c r="C11" s="278" t="s">
        <v>166</v>
      </c>
      <c r="D11" s="251"/>
      <c r="E11" s="251"/>
      <c r="F11" s="254">
        <f>F9-F10</f>
        <v>481577.2024999999</v>
      </c>
      <c r="G11" s="254"/>
      <c r="H11" s="1"/>
      <c r="K11" s="138"/>
      <c r="L11" s="138"/>
      <c r="M11" s="138"/>
    </row>
    <row r="12" spans="1:13" ht="15.75" customHeight="1" x14ac:dyDescent="0.35">
      <c r="A12" s="241"/>
      <c r="B12" s="241"/>
      <c r="C12" s="278" t="s">
        <v>398</v>
      </c>
      <c r="D12" s="251"/>
      <c r="E12" s="251"/>
      <c r="F12" s="279">
        <f>F11/F10</f>
        <v>0.23791346608205072</v>
      </c>
      <c r="G12" s="254"/>
      <c r="H12" s="1"/>
      <c r="K12" s="138"/>
      <c r="L12" s="138"/>
      <c r="M12" s="138"/>
    </row>
    <row r="13" spans="1:13" ht="15.75" customHeight="1" x14ac:dyDescent="0.35">
      <c r="A13" s="1"/>
      <c r="B13" s="1"/>
      <c r="C13" s="16"/>
      <c r="D13" s="151"/>
      <c r="E13" s="1"/>
      <c r="F13" s="1"/>
      <c r="G13" s="1"/>
      <c r="H13" s="1"/>
      <c r="K13" s="138"/>
      <c r="L13" s="138"/>
      <c r="M13" s="138"/>
    </row>
    <row r="14" spans="1:13" ht="15.75" customHeight="1" x14ac:dyDescent="0.35">
      <c r="A14" s="244" t="s">
        <v>379</v>
      </c>
      <c r="B14" s="241"/>
      <c r="C14" s="241"/>
      <c r="D14" s="241"/>
      <c r="E14" s="241"/>
      <c r="F14" s="143"/>
      <c r="G14" s="1"/>
      <c r="H14" s="1"/>
      <c r="K14" s="138"/>
      <c r="L14" s="138"/>
      <c r="M14" s="138"/>
    </row>
    <row r="15" spans="1:13" x14ac:dyDescent="0.35">
      <c r="A15" s="241"/>
      <c r="B15" s="241"/>
      <c r="C15" s="245" t="s">
        <v>201</v>
      </c>
      <c r="D15" s="245" t="s">
        <v>234</v>
      </c>
      <c r="E15" s="245"/>
      <c r="F15" s="227"/>
      <c r="G15" s="18"/>
      <c r="H15" s="18"/>
      <c r="I15" s="1"/>
    </row>
    <row r="16" spans="1:13" ht="18.5" x14ac:dyDescent="0.65">
      <c r="A16" s="410" t="s">
        <v>236</v>
      </c>
      <c r="B16" s="411"/>
      <c r="C16" s="262" t="s">
        <v>53</v>
      </c>
      <c r="D16" s="263" t="s">
        <v>235</v>
      </c>
      <c r="E16" s="262" t="s">
        <v>12</v>
      </c>
      <c r="F16" s="325"/>
      <c r="G16" s="149"/>
      <c r="H16" s="149"/>
      <c r="I16" s="18"/>
    </row>
    <row r="17" spans="1:9" x14ac:dyDescent="0.35">
      <c r="A17" s="414" t="s">
        <v>225</v>
      </c>
      <c r="B17" s="415"/>
      <c r="C17" s="325">
        <f>(154+5305)*6</f>
        <v>32754</v>
      </c>
      <c r="D17" s="327">
        <f>Rates!E11</f>
        <v>28.99</v>
      </c>
      <c r="E17" s="342">
        <f>C17*D17</f>
        <v>949538.46</v>
      </c>
      <c r="F17" s="325"/>
      <c r="G17" s="149"/>
      <c r="H17" s="149"/>
      <c r="I17" s="18"/>
    </row>
    <row r="18" spans="1:9" x14ac:dyDescent="0.35">
      <c r="A18" s="328"/>
      <c r="B18" s="326" t="s">
        <v>226</v>
      </c>
      <c r="C18" s="325">
        <f>(107+43)*6</f>
        <v>900</v>
      </c>
      <c r="D18" s="327">
        <f>Rates!E12</f>
        <v>40.47</v>
      </c>
      <c r="E18" s="342">
        <f t="shared" ref="E18:E23" si="0">C18*D18</f>
        <v>36423</v>
      </c>
      <c r="F18" s="325"/>
      <c r="G18" s="149"/>
      <c r="H18" s="149"/>
      <c r="I18" s="18"/>
    </row>
    <row r="19" spans="1:9" x14ac:dyDescent="0.35">
      <c r="A19" s="328"/>
      <c r="B19" s="326" t="s">
        <v>227</v>
      </c>
      <c r="C19" s="325">
        <f>(17+10)*6</f>
        <v>162</v>
      </c>
      <c r="D19" s="327">
        <f>Rates!E13</f>
        <v>59.61</v>
      </c>
      <c r="E19" s="342">
        <f t="shared" si="0"/>
        <v>9656.82</v>
      </c>
      <c r="F19" s="325"/>
      <c r="G19" s="149"/>
      <c r="H19" s="149"/>
      <c r="I19" s="18"/>
    </row>
    <row r="20" spans="1:9" x14ac:dyDescent="0.35">
      <c r="A20" s="328"/>
      <c r="B20" s="326" t="s">
        <v>228</v>
      </c>
      <c r="C20" s="325">
        <f>(29+2)*6</f>
        <v>186</v>
      </c>
      <c r="D20" s="327">
        <f>Rates!E14</f>
        <v>82.62</v>
      </c>
      <c r="E20" s="342">
        <f t="shared" si="0"/>
        <v>15367.320000000002</v>
      </c>
      <c r="F20" s="329"/>
      <c r="G20" s="20"/>
      <c r="H20" s="20"/>
      <c r="I20" s="20"/>
    </row>
    <row r="21" spans="1:9" x14ac:dyDescent="0.35">
      <c r="A21" s="328"/>
      <c r="B21" s="326" t="s">
        <v>229</v>
      </c>
      <c r="C21" s="325">
        <f>(10*6)</f>
        <v>60</v>
      </c>
      <c r="D21" s="327">
        <f>Rates!E15</f>
        <v>136.24</v>
      </c>
      <c r="E21" s="342">
        <f t="shared" si="0"/>
        <v>8174.4000000000005</v>
      </c>
      <c r="F21" s="329"/>
      <c r="G21" s="20"/>
      <c r="H21" s="20"/>
      <c r="I21" s="20"/>
    </row>
    <row r="22" spans="1:9" x14ac:dyDescent="0.35">
      <c r="A22" s="328"/>
      <c r="B22" s="326" t="s">
        <v>230</v>
      </c>
      <c r="C22" s="325">
        <f>3*6</f>
        <v>18</v>
      </c>
      <c r="D22" s="327">
        <f>Rates!E16</f>
        <v>212.89</v>
      </c>
      <c r="E22" s="342">
        <f t="shared" si="0"/>
        <v>3832.0199999999995</v>
      </c>
      <c r="F22" s="329"/>
      <c r="G22" s="20"/>
      <c r="H22" s="20"/>
      <c r="I22" s="20"/>
    </row>
    <row r="23" spans="1:9" x14ac:dyDescent="0.35">
      <c r="A23" s="328"/>
      <c r="B23" s="326" t="s">
        <v>231</v>
      </c>
      <c r="C23" s="330">
        <f>1*6</f>
        <v>6</v>
      </c>
      <c r="D23" s="327">
        <f>Rates!E17</f>
        <v>404.44</v>
      </c>
      <c r="E23" s="342">
        <f t="shared" si="0"/>
        <v>2426.64</v>
      </c>
      <c r="F23" s="329"/>
      <c r="G23" s="20"/>
      <c r="H23" s="20"/>
      <c r="I23" s="20"/>
    </row>
    <row r="24" spans="1:9" x14ac:dyDescent="0.35">
      <c r="A24" s="331"/>
      <c r="B24" s="332" t="s">
        <v>55</v>
      </c>
      <c r="C24" s="325">
        <f>SUM(C17:C23)</f>
        <v>34086</v>
      </c>
      <c r="D24" s="329"/>
      <c r="E24" s="333">
        <f>SUM(E17:E23)</f>
        <v>1025418.6599999999</v>
      </c>
      <c r="F24" s="329"/>
      <c r="G24" s="20"/>
      <c r="H24" s="20"/>
      <c r="I24" s="20"/>
    </row>
    <row r="25" spans="1:9" x14ac:dyDescent="0.35">
      <c r="A25" s="331"/>
      <c r="B25" s="334"/>
      <c r="C25" s="143"/>
      <c r="D25" s="334"/>
      <c r="E25" s="334"/>
      <c r="F25" s="334"/>
      <c r="G25" s="156"/>
      <c r="H25" s="156"/>
    </row>
    <row r="26" spans="1:9" x14ac:dyDescent="0.35">
      <c r="A26" s="240" t="s">
        <v>380</v>
      </c>
      <c r="B26" s="240"/>
      <c r="C26" s="241"/>
      <c r="D26" s="242" t="s">
        <v>56</v>
      </c>
      <c r="E26" s="243"/>
      <c r="F26" s="334"/>
      <c r="G26" s="156"/>
      <c r="H26" s="156"/>
    </row>
    <row r="27" spans="1:9" ht="18.5" x14ac:dyDescent="0.65">
      <c r="A27" s="410" t="s">
        <v>236</v>
      </c>
      <c r="B27" s="411"/>
      <c r="C27" s="264" t="s">
        <v>13</v>
      </c>
      <c r="D27" s="265" t="s">
        <v>239</v>
      </c>
      <c r="E27" s="266" t="s">
        <v>57</v>
      </c>
      <c r="F27" s="239"/>
      <c r="G27" s="157"/>
      <c r="H27" s="1"/>
    </row>
    <row r="28" spans="1:9" x14ac:dyDescent="0.35">
      <c r="A28" s="414" t="s">
        <v>225</v>
      </c>
      <c r="B28" s="415"/>
      <c r="C28" s="325">
        <f>(11700490+249587560)</f>
        <v>261288050</v>
      </c>
      <c r="D28" s="335">
        <f>Rates!E20</f>
        <v>4.0400000000000002E-3</v>
      </c>
      <c r="E28" s="327">
        <f>C28*D28</f>
        <v>1055603.7220000001</v>
      </c>
      <c r="F28" s="335"/>
      <c r="G28" s="157"/>
      <c r="H28" s="1"/>
    </row>
    <row r="29" spans="1:9" x14ac:dyDescent="0.35">
      <c r="A29" s="328"/>
      <c r="B29" s="326" t="s">
        <v>226</v>
      </c>
      <c r="C29" s="325">
        <f>11927200+4710400</f>
        <v>16637600</v>
      </c>
      <c r="D29" s="335">
        <f>D28</f>
        <v>4.0400000000000002E-3</v>
      </c>
      <c r="E29" s="327">
        <f t="shared" ref="E29:E34" si="1">C29*D29</f>
        <v>67215.90400000001</v>
      </c>
      <c r="F29" s="335"/>
      <c r="G29" s="157"/>
      <c r="H29" s="1"/>
    </row>
    <row r="30" spans="1:9" x14ac:dyDescent="0.35">
      <c r="A30" s="328"/>
      <c r="B30" s="326" t="s">
        <v>227</v>
      </c>
      <c r="C30" s="325">
        <f>8421800+1280000</f>
        <v>9701800</v>
      </c>
      <c r="D30" s="335">
        <f t="shared" ref="D30:D34" si="2">D29</f>
        <v>4.0400000000000002E-3</v>
      </c>
      <c r="E30" s="327">
        <f t="shared" si="1"/>
        <v>39195.272000000004</v>
      </c>
      <c r="F30" s="335"/>
      <c r="G30" s="157"/>
      <c r="H30" s="1"/>
    </row>
    <row r="31" spans="1:9" x14ac:dyDescent="0.35">
      <c r="A31" s="328"/>
      <c r="B31" s="326" t="s">
        <v>228</v>
      </c>
      <c r="C31" s="325">
        <f>22834000+268200</f>
        <v>23102200</v>
      </c>
      <c r="D31" s="335">
        <f t="shared" si="2"/>
        <v>4.0400000000000002E-3</v>
      </c>
      <c r="E31" s="327">
        <f t="shared" si="1"/>
        <v>93332.888000000006</v>
      </c>
      <c r="F31" s="336"/>
      <c r="G31" s="29"/>
      <c r="H31" s="1"/>
    </row>
    <row r="32" spans="1:9" x14ac:dyDescent="0.35">
      <c r="A32" s="328"/>
      <c r="B32" s="326" t="s">
        <v>229</v>
      </c>
      <c r="C32" s="325">
        <v>18852000</v>
      </c>
      <c r="D32" s="335">
        <f t="shared" si="2"/>
        <v>4.0400000000000002E-3</v>
      </c>
      <c r="E32" s="327">
        <f t="shared" si="1"/>
        <v>76162.080000000002</v>
      </c>
      <c r="F32" s="336"/>
      <c r="G32" s="29"/>
      <c r="H32" s="1"/>
    </row>
    <row r="33" spans="1:10" x14ac:dyDescent="0.35">
      <c r="A33" s="328"/>
      <c r="B33" s="326" t="s">
        <v>230</v>
      </c>
      <c r="C33" s="325">
        <f>121200+21632600+20356300</f>
        <v>42110100</v>
      </c>
      <c r="D33" s="335">
        <f t="shared" si="2"/>
        <v>4.0400000000000002E-3</v>
      </c>
      <c r="E33" s="327">
        <f t="shared" si="1"/>
        <v>170124.804</v>
      </c>
      <c r="F33" s="336"/>
      <c r="G33" s="29"/>
      <c r="H33" s="1"/>
    </row>
    <row r="34" spans="1:10" x14ac:dyDescent="0.35">
      <c r="A34" s="328"/>
      <c r="B34" s="326" t="s">
        <v>231</v>
      </c>
      <c r="C34" s="330">
        <v>1079500</v>
      </c>
      <c r="D34" s="335">
        <f t="shared" si="2"/>
        <v>4.0400000000000002E-3</v>
      </c>
      <c r="E34" s="343">
        <f t="shared" si="1"/>
        <v>4361.18</v>
      </c>
      <c r="F34" s="336"/>
      <c r="G34" s="29"/>
      <c r="H34" s="1"/>
    </row>
    <row r="35" spans="1:10" x14ac:dyDescent="0.35">
      <c r="A35" s="331"/>
      <c r="B35" s="332" t="s">
        <v>55</v>
      </c>
      <c r="C35" s="325">
        <f>SUM(C28:C34)</f>
        <v>372771250</v>
      </c>
      <c r="D35" s="333"/>
      <c r="E35" s="333">
        <f>SUM(E28:E34)</f>
        <v>1505995.8500000003</v>
      </c>
      <c r="F35" s="337"/>
      <c r="G35" s="161"/>
      <c r="H35" s="1"/>
    </row>
    <row r="36" spans="1:10" x14ac:dyDescent="0.35">
      <c r="A36" s="143"/>
      <c r="B36" s="143"/>
      <c r="C36" s="143"/>
      <c r="D36" s="143"/>
      <c r="E36" s="143"/>
      <c r="F36" s="143"/>
      <c r="G36" s="1"/>
      <c r="H36" s="1"/>
    </row>
    <row r="37" spans="1:10" s="141" customFormat="1" x14ac:dyDescent="0.35">
      <c r="A37" s="338"/>
      <c r="B37" s="143"/>
      <c r="C37" s="143"/>
      <c r="D37" s="143"/>
      <c r="E37" s="143"/>
      <c r="F37" s="143"/>
      <c r="G37" s="1"/>
      <c r="H37" s="1"/>
      <c r="I37" s="137"/>
      <c r="J37" s="137"/>
    </row>
    <row r="38" spans="1:10" x14ac:dyDescent="0.35">
      <c r="A38" s="143"/>
      <c r="B38" s="345" t="s">
        <v>399</v>
      </c>
      <c r="D38" s="241"/>
      <c r="E38" s="346">
        <f>E24+E35</f>
        <v>2531414.5100000002</v>
      </c>
      <c r="F38" s="143"/>
      <c r="G38" s="1"/>
      <c r="H38" s="1"/>
    </row>
    <row r="39" spans="1:10" x14ac:dyDescent="0.35">
      <c r="A39" s="239"/>
      <c r="B39" s="239"/>
      <c r="D39" s="239"/>
      <c r="E39" s="239"/>
      <c r="F39" s="239"/>
    </row>
    <row r="40" spans="1:10" x14ac:dyDescent="0.35">
      <c r="A40" s="239"/>
      <c r="B40" s="339" t="s">
        <v>64</v>
      </c>
      <c r="D40" s="239"/>
      <c r="E40" s="340">
        <f>SAO!G58</f>
        <v>2497969.4986640578</v>
      </c>
      <c r="F40" s="239"/>
    </row>
    <row r="43" spans="1:10" x14ac:dyDescent="0.35">
      <c r="E43" s="341">
        <f>E38-E40</f>
        <v>33445.011335942429</v>
      </c>
      <c r="F43" s="239" t="s">
        <v>400</v>
      </c>
    </row>
    <row r="45" spans="1:10" x14ac:dyDescent="0.35">
      <c r="E45" s="344">
        <f>E43/E40</f>
        <v>1.3388878989046582E-2</v>
      </c>
    </row>
  </sheetData>
  <mergeCells count="7">
    <mergeCell ref="A27:B27"/>
    <mergeCell ref="A28:B28"/>
    <mergeCell ref="A1:H1"/>
    <mergeCell ref="A2:H2"/>
    <mergeCell ref="C4:F4"/>
    <mergeCell ref="A16:B16"/>
    <mergeCell ref="A17:B17"/>
  </mergeCells>
  <pageMargins left="0.7" right="0.7" top="0.75" bottom="0.75" header="0.3" footer="0.3"/>
  <pageSetup scale="81"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8D28C-15E1-481B-8A61-C5CBD4A3EE8F}">
  <sheetPr>
    <tabColor rgb="FF92D050"/>
  </sheetPr>
  <dimension ref="B1:D30"/>
  <sheetViews>
    <sheetView workbookViewId="0">
      <selection activeCell="B1" sqref="B1:C30"/>
    </sheetView>
  </sheetViews>
  <sheetFormatPr defaultRowHeight="15.5" x14ac:dyDescent="0.35"/>
  <cols>
    <col min="2" max="2" width="4.07421875" customWidth="1"/>
    <col min="3" max="3" width="86.3828125" customWidth="1"/>
    <col min="4" max="4" width="2" bestFit="1" customWidth="1"/>
  </cols>
  <sheetData>
    <row r="1" spans="2:4" ht="18" x14ac:dyDescent="0.4">
      <c r="B1" s="308"/>
      <c r="C1" s="309"/>
    </row>
    <row r="2" spans="2:4" ht="18" x14ac:dyDescent="0.4">
      <c r="B2" s="308"/>
      <c r="C2" s="309" t="s">
        <v>335</v>
      </c>
    </row>
    <row r="3" spans="2:4" ht="17.5" x14ac:dyDescent="0.35">
      <c r="B3" s="308"/>
      <c r="C3" s="310"/>
    </row>
    <row r="4" spans="2:4" x14ac:dyDescent="0.35">
      <c r="B4" s="311" t="s">
        <v>336</v>
      </c>
      <c r="C4" s="312" t="s">
        <v>351</v>
      </c>
      <c r="D4" s="241"/>
    </row>
    <row r="5" spans="2:4" x14ac:dyDescent="0.35">
      <c r="B5" s="311"/>
      <c r="C5" s="312"/>
      <c r="D5" s="241"/>
    </row>
    <row r="6" spans="2:4" ht="31" x14ac:dyDescent="0.35">
      <c r="B6" s="311" t="s">
        <v>337</v>
      </c>
      <c r="C6" s="312" t="s">
        <v>414</v>
      </c>
    </row>
    <row r="7" spans="2:4" x14ac:dyDescent="0.35">
      <c r="B7" s="311"/>
      <c r="C7" s="312"/>
    </row>
    <row r="8" spans="2:4" ht="62" x14ac:dyDescent="0.35">
      <c r="B8" s="311" t="s">
        <v>338</v>
      </c>
      <c r="C8" s="312" t="s">
        <v>354</v>
      </c>
    </row>
    <row r="9" spans="2:4" x14ac:dyDescent="0.35">
      <c r="B9" s="311"/>
      <c r="C9" s="312"/>
    </row>
    <row r="10" spans="2:4" x14ac:dyDescent="0.35">
      <c r="B10" s="311" t="s">
        <v>339</v>
      </c>
      <c r="C10" s="312" t="s">
        <v>356</v>
      </c>
    </row>
    <row r="11" spans="2:4" x14ac:dyDescent="0.35">
      <c r="B11" s="311"/>
      <c r="C11" s="312"/>
    </row>
    <row r="12" spans="2:4" x14ac:dyDescent="0.35">
      <c r="B12" s="311" t="s">
        <v>340</v>
      </c>
      <c r="C12" s="312" t="s">
        <v>342</v>
      </c>
    </row>
    <row r="13" spans="2:4" x14ac:dyDescent="0.35">
      <c r="B13" s="308"/>
      <c r="C13" s="313"/>
    </row>
    <row r="14" spans="2:4" x14ac:dyDescent="0.35">
      <c r="B14" s="311" t="s">
        <v>341</v>
      </c>
      <c r="C14" s="312" t="s">
        <v>392</v>
      </c>
    </row>
    <row r="15" spans="2:4" x14ac:dyDescent="0.35">
      <c r="B15" s="308"/>
      <c r="C15" s="313"/>
    </row>
    <row r="16" spans="2:4" x14ac:dyDescent="0.35">
      <c r="B16" s="311" t="s">
        <v>343</v>
      </c>
      <c r="C16" s="312" t="s">
        <v>393</v>
      </c>
    </row>
    <row r="17" spans="2:3" x14ac:dyDescent="0.35">
      <c r="B17" s="308"/>
      <c r="C17" s="313"/>
    </row>
    <row r="18" spans="2:3" ht="62" x14ac:dyDescent="0.35">
      <c r="B18" s="311" t="s">
        <v>344</v>
      </c>
      <c r="C18" s="312" t="s">
        <v>415</v>
      </c>
    </row>
    <row r="19" spans="2:3" x14ac:dyDescent="0.35">
      <c r="B19" s="308"/>
      <c r="C19" s="313"/>
    </row>
    <row r="20" spans="2:3" x14ac:dyDescent="0.35">
      <c r="B20" s="311" t="s">
        <v>345</v>
      </c>
      <c r="C20" s="241" t="s">
        <v>395</v>
      </c>
    </row>
    <row r="21" spans="2:3" x14ac:dyDescent="0.35">
      <c r="B21" s="308"/>
      <c r="C21" s="313"/>
    </row>
    <row r="22" spans="2:3" ht="62" x14ac:dyDescent="0.35">
      <c r="B22" s="311" t="s">
        <v>346</v>
      </c>
      <c r="C22" s="321" t="s">
        <v>394</v>
      </c>
    </row>
    <row r="23" spans="2:3" x14ac:dyDescent="0.35">
      <c r="B23" s="308"/>
      <c r="C23" s="313"/>
    </row>
    <row r="24" spans="2:3" x14ac:dyDescent="0.35">
      <c r="B24" s="311" t="s">
        <v>347</v>
      </c>
      <c r="C24" s="312" t="s">
        <v>396</v>
      </c>
    </row>
    <row r="25" spans="2:3" x14ac:dyDescent="0.35">
      <c r="B25" s="308"/>
      <c r="C25" s="313"/>
    </row>
    <row r="26" spans="2:3" ht="77.5" x14ac:dyDescent="0.35">
      <c r="B26" s="311" t="s">
        <v>348</v>
      </c>
      <c r="C26" s="312" t="s">
        <v>397</v>
      </c>
    </row>
    <row r="27" spans="2:3" x14ac:dyDescent="0.35">
      <c r="B27" s="308"/>
      <c r="C27" s="313"/>
    </row>
    <row r="28" spans="2:3" x14ac:dyDescent="0.35">
      <c r="B28" s="311" t="s">
        <v>349</v>
      </c>
      <c r="C28" s="312" t="s">
        <v>412</v>
      </c>
    </row>
    <row r="29" spans="2:3" x14ac:dyDescent="0.35">
      <c r="B29" s="308"/>
      <c r="C29" s="313"/>
    </row>
    <row r="30" spans="2:3" ht="31" x14ac:dyDescent="0.35">
      <c r="B30" s="311" t="s">
        <v>411</v>
      </c>
      <c r="C30" s="312" t="s">
        <v>350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7A01C-7852-4E95-BD91-257134D74ABD}">
  <sheetPr>
    <tabColor rgb="FF92D050"/>
  </sheetPr>
  <dimension ref="A1:O71"/>
  <sheetViews>
    <sheetView topLeftCell="A31" workbookViewId="0">
      <selection activeCell="F65" sqref="F65"/>
    </sheetView>
  </sheetViews>
  <sheetFormatPr defaultColWidth="8.84375" defaultRowHeight="14.5" x14ac:dyDescent="0.35"/>
  <cols>
    <col min="1" max="1" width="20.61328125" style="1" customWidth="1"/>
    <col min="2" max="2" width="10.765625" style="12" customWidth="1"/>
    <col min="3" max="3" width="14.61328125" style="12" bestFit="1" customWidth="1"/>
    <col min="4" max="4" width="12.15234375" style="12" bestFit="1" customWidth="1"/>
    <col min="5" max="5" width="12.765625" style="12" customWidth="1"/>
    <col min="6" max="6" width="10.84375" style="12" customWidth="1"/>
    <col min="7" max="7" width="11.23046875" style="12" customWidth="1"/>
    <col min="8" max="8" width="10.765625" style="12" customWidth="1"/>
    <col min="9" max="9" width="12.61328125" style="12" customWidth="1"/>
    <col min="10" max="10" width="10.921875" style="19" customWidth="1"/>
    <col min="11" max="12" width="9.3828125" style="1" bestFit="1" customWidth="1"/>
    <col min="13" max="13" width="8.84375" style="1"/>
    <col min="14" max="14" width="10.921875" style="1" customWidth="1"/>
    <col min="15" max="16384" width="8.84375" style="1"/>
  </cols>
  <sheetData>
    <row r="1" spans="1:15" x14ac:dyDescent="0.35">
      <c r="A1" s="1" t="s">
        <v>79</v>
      </c>
    </row>
    <row r="2" spans="1:15" x14ac:dyDescent="0.35">
      <c r="A2" s="218"/>
      <c r="B2" s="280"/>
      <c r="C2" s="281">
        <v>2021</v>
      </c>
      <c r="D2" s="281">
        <v>2021</v>
      </c>
      <c r="E2" s="281">
        <v>2023</v>
      </c>
      <c r="F2" s="280"/>
      <c r="G2" s="280"/>
      <c r="H2" s="280"/>
      <c r="I2" s="280" t="s">
        <v>12</v>
      </c>
      <c r="J2" s="18" t="s">
        <v>207</v>
      </c>
      <c r="K2" s="280" t="s">
        <v>80</v>
      </c>
      <c r="L2" s="18"/>
    </row>
    <row r="3" spans="1:15" x14ac:dyDescent="0.35">
      <c r="B3" s="280" t="s">
        <v>80</v>
      </c>
      <c r="C3" s="280" t="s">
        <v>80</v>
      </c>
      <c r="D3" s="280" t="s">
        <v>80</v>
      </c>
      <c r="E3" s="280" t="s">
        <v>81</v>
      </c>
      <c r="F3" s="280" t="s">
        <v>80</v>
      </c>
      <c r="G3" s="280" t="s">
        <v>80</v>
      </c>
      <c r="H3" s="280" t="s">
        <v>80</v>
      </c>
      <c r="I3" s="280" t="s">
        <v>80</v>
      </c>
      <c r="J3" s="18" t="s">
        <v>190</v>
      </c>
      <c r="K3" s="18" t="s">
        <v>190</v>
      </c>
      <c r="L3" s="18"/>
      <c r="N3" s="18" t="s">
        <v>207</v>
      </c>
    </row>
    <row r="4" spans="1:15" x14ac:dyDescent="0.35">
      <c r="A4" s="1" t="s">
        <v>82</v>
      </c>
      <c r="B4" s="301" t="s">
        <v>83</v>
      </c>
      <c r="C4" s="301" t="s">
        <v>276</v>
      </c>
      <c r="D4" s="301" t="s">
        <v>84</v>
      </c>
      <c r="E4" s="301" t="s">
        <v>85</v>
      </c>
      <c r="F4" s="301" t="s">
        <v>86</v>
      </c>
      <c r="G4" s="301" t="s">
        <v>277</v>
      </c>
      <c r="H4" s="301" t="s">
        <v>87</v>
      </c>
      <c r="I4" s="301" t="s">
        <v>88</v>
      </c>
      <c r="J4" s="300" t="s">
        <v>324</v>
      </c>
      <c r="K4" s="300" t="s">
        <v>405</v>
      </c>
      <c r="L4" s="300"/>
      <c r="N4" s="300" t="s">
        <v>327</v>
      </c>
      <c r="O4" s="300" t="s">
        <v>328</v>
      </c>
    </row>
    <row r="5" spans="1:15" x14ac:dyDescent="0.35">
      <c r="A5" s="1" t="s">
        <v>240</v>
      </c>
      <c r="B5" s="12">
        <v>2080</v>
      </c>
      <c r="E5" s="204"/>
      <c r="F5" s="12">
        <f>B5*E5</f>
        <v>0</v>
      </c>
      <c r="H5" s="12">
        <f>D5*E5*1.5</f>
        <v>0</v>
      </c>
      <c r="I5" s="12">
        <v>102024</v>
      </c>
      <c r="J5" s="299">
        <f>I5</f>
        <v>102024</v>
      </c>
      <c r="N5" s="1" t="s">
        <v>329</v>
      </c>
      <c r="O5" s="1">
        <v>26.79</v>
      </c>
    </row>
    <row r="6" spans="1:15" x14ac:dyDescent="0.35">
      <c r="A6" s="1" t="s">
        <v>241</v>
      </c>
      <c r="B6" s="12">
        <v>2080</v>
      </c>
      <c r="C6" s="12">
        <v>36</v>
      </c>
      <c r="D6" s="12">
        <v>210</v>
      </c>
      <c r="E6" s="12">
        <v>25.8</v>
      </c>
      <c r="F6" s="12">
        <f t="shared" ref="F6:F15" si="0">B6*E6</f>
        <v>53664</v>
      </c>
      <c r="G6" s="12">
        <f>C6*E6</f>
        <v>928.80000000000007</v>
      </c>
      <c r="H6" s="12">
        <f t="shared" ref="H6:H14" si="1">D6*E6*1.5</f>
        <v>8127</v>
      </c>
      <c r="I6" s="12">
        <f>F6++G6+H6</f>
        <v>62719.8</v>
      </c>
      <c r="J6" s="299">
        <f>I6</f>
        <v>62719.8</v>
      </c>
      <c r="N6" s="1" t="s">
        <v>330</v>
      </c>
      <c r="O6" s="1">
        <v>23.34</v>
      </c>
    </row>
    <row r="7" spans="1:15" x14ac:dyDescent="0.35">
      <c r="A7" s="1" t="s">
        <v>242</v>
      </c>
      <c r="B7" s="12">
        <v>2080</v>
      </c>
      <c r="C7" s="12">
        <v>40</v>
      </c>
      <c r="D7" s="12">
        <v>236.5</v>
      </c>
      <c r="E7" s="12">
        <v>28.85</v>
      </c>
      <c r="F7" s="12">
        <f t="shared" si="0"/>
        <v>60008</v>
      </c>
      <c r="G7" s="12">
        <f t="shared" ref="G7:G15" si="2">C7*E7</f>
        <v>1154</v>
      </c>
      <c r="H7" s="12">
        <f t="shared" ref="H7:H9" si="3">D7*E7*1.5</f>
        <v>10234.5375</v>
      </c>
      <c r="I7" s="12">
        <f t="shared" ref="I7:I15" si="4">F7++G7+H7</f>
        <v>71396.537500000006</v>
      </c>
      <c r="J7" s="299">
        <f t="shared" ref="J7:J13" si="5">I7</f>
        <v>71396.537500000006</v>
      </c>
      <c r="N7" s="318"/>
      <c r="O7" s="318"/>
    </row>
    <row r="8" spans="1:15" x14ac:dyDescent="0.35">
      <c r="A8" s="1" t="s">
        <v>243</v>
      </c>
      <c r="B8" s="12">
        <v>2080</v>
      </c>
      <c r="E8" s="12">
        <v>23.7</v>
      </c>
      <c r="F8" s="12">
        <f t="shared" si="0"/>
        <v>49296</v>
      </c>
      <c r="G8" s="12">
        <f t="shared" si="2"/>
        <v>0</v>
      </c>
      <c r="H8" s="12">
        <f t="shared" si="3"/>
        <v>0</v>
      </c>
      <c r="I8" s="12">
        <f t="shared" si="4"/>
        <v>49296</v>
      </c>
      <c r="J8" s="299">
        <f t="shared" si="5"/>
        <v>49296</v>
      </c>
      <c r="N8" s="1" t="s">
        <v>387</v>
      </c>
      <c r="O8" s="1">
        <f>(O5+O6)/2</f>
        <v>25.064999999999998</v>
      </c>
    </row>
    <row r="9" spans="1:15" x14ac:dyDescent="0.35">
      <c r="A9" s="1" t="s">
        <v>244</v>
      </c>
      <c r="B9" s="12">
        <v>2080</v>
      </c>
      <c r="C9" s="12">
        <v>34.5</v>
      </c>
      <c r="D9" s="12">
        <v>169.5</v>
      </c>
      <c r="E9" s="12">
        <v>24</v>
      </c>
      <c r="F9" s="12">
        <f t="shared" si="0"/>
        <v>49920</v>
      </c>
      <c r="G9" s="12">
        <f t="shared" si="2"/>
        <v>828</v>
      </c>
      <c r="H9" s="12">
        <f t="shared" si="3"/>
        <v>6102</v>
      </c>
      <c r="I9" s="12">
        <f t="shared" si="4"/>
        <v>56850</v>
      </c>
      <c r="J9" s="299">
        <f t="shared" si="5"/>
        <v>56850</v>
      </c>
    </row>
    <row r="10" spans="1:15" x14ac:dyDescent="0.35">
      <c r="A10" s="1" t="s">
        <v>245</v>
      </c>
      <c r="B10" s="12">
        <v>2080</v>
      </c>
      <c r="C10" s="222">
        <v>36</v>
      </c>
      <c r="D10" s="222">
        <v>127</v>
      </c>
      <c r="E10" s="12">
        <v>31.05</v>
      </c>
      <c r="F10" s="12">
        <f t="shared" si="0"/>
        <v>64584</v>
      </c>
      <c r="G10" s="12">
        <f t="shared" si="2"/>
        <v>1117.8</v>
      </c>
      <c r="H10" s="12">
        <f t="shared" si="1"/>
        <v>5915.0249999999996</v>
      </c>
      <c r="I10" s="12">
        <f t="shared" si="4"/>
        <v>71616.824999999997</v>
      </c>
      <c r="J10" s="299">
        <f t="shared" si="5"/>
        <v>71616.824999999997</v>
      </c>
    </row>
    <row r="11" spans="1:15" x14ac:dyDescent="0.35">
      <c r="A11" s="1" t="s">
        <v>246</v>
      </c>
      <c r="B11" s="12">
        <v>2080</v>
      </c>
      <c r="C11" s="222">
        <v>40</v>
      </c>
      <c r="D11" s="222">
        <v>104</v>
      </c>
      <c r="E11" s="12">
        <v>29</v>
      </c>
      <c r="F11" s="12">
        <f t="shared" si="0"/>
        <v>60320</v>
      </c>
      <c r="G11" s="12">
        <f t="shared" si="2"/>
        <v>1160</v>
      </c>
      <c r="H11" s="12">
        <f t="shared" si="1"/>
        <v>4524</v>
      </c>
      <c r="I11" s="12">
        <f t="shared" si="4"/>
        <v>66004</v>
      </c>
      <c r="J11" s="299">
        <f t="shared" si="5"/>
        <v>66004</v>
      </c>
      <c r="L11" s="147"/>
    </row>
    <row r="12" spans="1:15" x14ac:dyDescent="0.35">
      <c r="A12" s="1" t="s">
        <v>247</v>
      </c>
      <c r="B12" s="12">
        <v>2080</v>
      </c>
      <c r="C12" s="222"/>
      <c r="D12" s="222">
        <v>2</v>
      </c>
      <c r="E12" s="12">
        <v>24.15</v>
      </c>
      <c r="F12" s="12">
        <f t="shared" si="0"/>
        <v>50232</v>
      </c>
      <c r="G12" s="12">
        <f t="shared" si="2"/>
        <v>0</v>
      </c>
      <c r="H12" s="12">
        <f t="shared" si="1"/>
        <v>72.449999999999989</v>
      </c>
      <c r="I12" s="12">
        <f t="shared" si="4"/>
        <v>50304.45</v>
      </c>
      <c r="J12" s="299">
        <f t="shared" si="5"/>
        <v>50304.45</v>
      </c>
    </row>
    <row r="13" spans="1:15" x14ac:dyDescent="0.35">
      <c r="A13" s="1" t="s">
        <v>248</v>
      </c>
      <c r="B13" s="222">
        <v>1863</v>
      </c>
      <c r="C13" s="222"/>
      <c r="D13" s="222"/>
      <c r="E13" s="12">
        <v>25.55</v>
      </c>
      <c r="F13" s="12">
        <f t="shared" si="0"/>
        <v>47599.65</v>
      </c>
      <c r="G13" s="12">
        <f t="shared" si="2"/>
        <v>0</v>
      </c>
      <c r="H13" s="12">
        <f t="shared" si="1"/>
        <v>0</v>
      </c>
      <c r="I13" s="12">
        <f t="shared" si="4"/>
        <v>47599.65</v>
      </c>
      <c r="J13" s="299">
        <f t="shared" si="5"/>
        <v>47599.65</v>
      </c>
    </row>
    <row r="14" spans="1:15" x14ac:dyDescent="0.35">
      <c r="A14" s="1" t="s">
        <v>249</v>
      </c>
      <c r="B14" s="222">
        <v>2080</v>
      </c>
      <c r="C14" s="222"/>
      <c r="D14" s="223">
        <v>216.5</v>
      </c>
      <c r="E14" s="14">
        <v>29.1</v>
      </c>
      <c r="F14" s="12">
        <f t="shared" si="0"/>
        <v>60528</v>
      </c>
      <c r="G14" s="12">
        <f t="shared" si="2"/>
        <v>0</v>
      </c>
      <c r="H14" s="14">
        <f t="shared" si="1"/>
        <v>9450.2250000000004</v>
      </c>
      <c r="I14" s="12">
        <f t="shared" si="4"/>
        <v>69978.225000000006</v>
      </c>
      <c r="J14" s="299">
        <f t="shared" ref="J14:J15" si="6">I14</f>
        <v>69978.225000000006</v>
      </c>
    </row>
    <row r="15" spans="1:15" x14ac:dyDescent="0.35">
      <c r="A15" s="1" t="s">
        <v>250</v>
      </c>
      <c r="B15" s="12">
        <v>2080</v>
      </c>
      <c r="C15" s="12">
        <v>40</v>
      </c>
      <c r="D15" s="12">
        <v>77.5</v>
      </c>
      <c r="E15" s="12">
        <v>23.5</v>
      </c>
      <c r="F15" s="12">
        <f t="shared" si="0"/>
        <v>48880</v>
      </c>
      <c r="G15" s="42">
        <f t="shared" si="2"/>
        <v>940</v>
      </c>
      <c r="H15" s="42">
        <f t="shared" ref="H15" si="7">D15*E15*1.5</f>
        <v>2731.875</v>
      </c>
      <c r="I15" s="12">
        <f t="shared" si="4"/>
        <v>52551.875</v>
      </c>
      <c r="J15" s="302">
        <f t="shared" si="6"/>
        <v>52551.875</v>
      </c>
    </row>
    <row r="16" spans="1:15" x14ac:dyDescent="0.35">
      <c r="A16" s="1" t="s">
        <v>162</v>
      </c>
      <c r="E16" s="204"/>
      <c r="F16" s="12">
        <f>SUM(F5:F15)</f>
        <v>545031.65</v>
      </c>
      <c r="G16" s="12">
        <f>SUM(G6:G15)</f>
        <v>6128.6</v>
      </c>
      <c r="H16" s="12">
        <f>SUM(H5:H15)</f>
        <v>47157.112499999996</v>
      </c>
      <c r="I16" s="228">
        <f>SUM(I5:I15)</f>
        <v>700341.36250000005</v>
      </c>
      <c r="J16" s="299">
        <f>SUM(J5:J15)</f>
        <v>700341.36250000005</v>
      </c>
      <c r="K16" s="299">
        <f>J16*((0.2679+0.2334)/2)</f>
        <v>175540.56251062505</v>
      </c>
      <c r="L16" s="306" t="s">
        <v>386</v>
      </c>
    </row>
    <row r="18" spans="5:10" x14ac:dyDescent="0.35">
      <c r="I18" s="12">
        <v>0</v>
      </c>
    </row>
    <row r="20" spans="5:10" x14ac:dyDescent="0.35">
      <c r="I20" s="145" t="s">
        <v>32</v>
      </c>
    </row>
    <row r="21" spans="5:10" x14ac:dyDescent="0.35">
      <c r="E21" s="12" t="s">
        <v>89</v>
      </c>
      <c r="I21" s="12">
        <f>I16</f>
        <v>700341.36250000005</v>
      </c>
    </row>
    <row r="22" spans="5:10" x14ac:dyDescent="0.35">
      <c r="E22" s="12" t="s">
        <v>90</v>
      </c>
      <c r="I22" s="42">
        <f>-SAO!D17</f>
        <v>-577658</v>
      </c>
      <c r="J22" s="148" t="s">
        <v>383</v>
      </c>
    </row>
    <row r="23" spans="5:10" x14ac:dyDescent="0.35">
      <c r="E23" s="12" t="s">
        <v>91</v>
      </c>
      <c r="I23" s="12">
        <f>I21+I22</f>
        <v>122683.36250000005</v>
      </c>
      <c r="J23" s="18" t="s">
        <v>352</v>
      </c>
    </row>
    <row r="24" spans="5:10" x14ac:dyDescent="0.35">
      <c r="I24" s="12" t="s">
        <v>92</v>
      </c>
      <c r="J24" s="18"/>
    </row>
    <row r="25" spans="5:10" x14ac:dyDescent="0.35">
      <c r="E25" s="12" t="s">
        <v>93</v>
      </c>
      <c r="I25" s="12">
        <f>I16</f>
        <v>700341.36250000005</v>
      </c>
      <c r="J25" s="18"/>
    </row>
    <row r="26" spans="5:10" x14ac:dyDescent="0.35">
      <c r="E26" s="12" t="s">
        <v>282</v>
      </c>
      <c r="I26" s="42">
        <v>30200</v>
      </c>
      <c r="J26" s="148" t="s">
        <v>383</v>
      </c>
    </row>
    <row r="27" spans="5:10" x14ac:dyDescent="0.35">
      <c r="F27" s="12" t="s">
        <v>281</v>
      </c>
      <c r="I27" s="12">
        <f>SUM(I25:I26)</f>
        <v>730541.36250000005</v>
      </c>
      <c r="J27" s="18"/>
    </row>
    <row r="28" spans="5:10" x14ac:dyDescent="0.35">
      <c r="E28" s="12" t="s">
        <v>94</v>
      </c>
      <c r="I28" s="146">
        <v>7.6499999999999999E-2</v>
      </c>
      <c r="J28" s="18"/>
    </row>
    <row r="29" spans="5:10" x14ac:dyDescent="0.35">
      <c r="E29" s="12" t="s">
        <v>95</v>
      </c>
      <c r="I29" s="12">
        <f>I27*I28</f>
        <v>55886.414231250004</v>
      </c>
      <c r="J29" s="18"/>
    </row>
    <row r="30" spans="5:10" x14ac:dyDescent="0.35">
      <c r="E30" s="12" t="s">
        <v>96</v>
      </c>
      <c r="I30" s="225">
        <f>C63</f>
        <v>46381</v>
      </c>
      <c r="J30" s="148" t="s">
        <v>382</v>
      </c>
    </row>
    <row r="31" spans="5:10" x14ac:dyDescent="0.35">
      <c r="E31" s="12" t="s">
        <v>97</v>
      </c>
      <c r="I31" s="12">
        <f>I29-I30</f>
        <v>9505.4142312500044</v>
      </c>
      <c r="J31" s="18" t="s">
        <v>375</v>
      </c>
    </row>
    <row r="32" spans="5:10" x14ac:dyDescent="0.35">
      <c r="J32" s="18"/>
    </row>
    <row r="33" spans="1:10" x14ac:dyDescent="0.35">
      <c r="B33" s="1" t="s">
        <v>332</v>
      </c>
      <c r="C33" s="1"/>
      <c r="D33" s="1"/>
      <c r="E33" s="12" t="s">
        <v>98</v>
      </c>
      <c r="I33" s="12">
        <f>K16</f>
        <v>175540.56251062505</v>
      </c>
      <c r="J33" s="18"/>
    </row>
    <row r="34" spans="1:10" x14ac:dyDescent="0.35">
      <c r="B34" s="1" t="s">
        <v>333</v>
      </c>
      <c r="C34" s="1"/>
      <c r="D34" s="1"/>
      <c r="E34" s="12" t="s">
        <v>99</v>
      </c>
      <c r="I34" s="42">
        <f>-D46</f>
        <v>-145625.47</v>
      </c>
      <c r="J34" s="148" t="s">
        <v>385</v>
      </c>
    </row>
    <row r="35" spans="1:10" x14ac:dyDescent="0.35">
      <c r="B35" s="1" t="s">
        <v>98</v>
      </c>
      <c r="C35" s="1"/>
      <c r="D35" s="1"/>
      <c r="E35" s="12" t="s">
        <v>100</v>
      </c>
      <c r="I35" s="12">
        <f>I33+I34</f>
        <v>29915.092510625051</v>
      </c>
      <c r="J35" s="18" t="s">
        <v>357</v>
      </c>
    </row>
    <row r="36" spans="1:10" x14ac:dyDescent="0.35">
      <c r="B36" s="1" t="s">
        <v>99</v>
      </c>
      <c r="C36" s="1"/>
      <c r="D36" s="1"/>
    </row>
    <row r="37" spans="1:10" x14ac:dyDescent="0.35">
      <c r="B37" s="307" t="s">
        <v>334</v>
      </c>
      <c r="C37" s="1"/>
      <c r="D37" s="307"/>
    </row>
    <row r="42" spans="1:10" ht="21" x14ac:dyDescent="0.5">
      <c r="A42" s="268" t="s">
        <v>265</v>
      </c>
      <c r="B42" s="269"/>
      <c r="C42" s="269"/>
    </row>
    <row r="43" spans="1:10" ht="18.5" x14ac:dyDescent="0.65">
      <c r="A43"/>
      <c r="B43" s="297"/>
      <c r="C43" s="271" t="s">
        <v>266</v>
      </c>
      <c r="D43" s="271"/>
      <c r="E43" s="271"/>
      <c r="F43" s="42" t="s">
        <v>326</v>
      </c>
    </row>
    <row r="44" spans="1:10" ht="18.5" x14ac:dyDescent="0.45">
      <c r="A44" s="270" t="s">
        <v>261</v>
      </c>
      <c r="B44" s="297"/>
      <c r="C44" s="296">
        <v>95126</v>
      </c>
      <c r="D44" s="296"/>
      <c r="E44" s="297"/>
      <c r="H44" s="12" t="s">
        <v>331</v>
      </c>
    </row>
    <row r="45" spans="1:10" ht="18.5" x14ac:dyDescent="0.45">
      <c r="A45" s="270" t="s">
        <v>262</v>
      </c>
      <c r="B45" s="297"/>
      <c r="C45" s="296">
        <v>255453</v>
      </c>
      <c r="D45" s="296"/>
      <c r="E45" s="297"/>
    </row>
    <row r="46" spans="1:10" ht="18.5" x14ac:dyDescent="0.45">
      <c r="A46" s="270"/>
      <c r="B46" s="297" t="s">
        <v>190</v>
      </c>
      <c r="C46" s="296"/>
      <c r="D46" s="296">
        <v>145625.47</v>
      </c>
      <c r="E46" s="297">
        <f>K16</f>
        <v>175540.56251062505</v>
      </c>
      <c r="F46" s="297">
        <f>E46-D46</f>
        <v>29915.092510625051</v>
      </c>
      <c r="G46" s="280" t="s">
        <v>357</v>
      </c>
      <c r="H46" s="12" t="s">
        <v>384</v>
      </c>
    </row>
    <row r="47" spans="1:10" ht="18.5" x14ac:dyDescent="0.45">
      <c r="A47" s="270"/>
      <c r="B47" s="297" t="s">
        <v>325</v>
      </c>
      <c r="C47" s="296"/>
      <c r="D47" s="296">
        <f>C45-D46</f>
        <v>109827.53</v>
      </c>
      <c r="E47" s="297"/>
      <c r="F47" s="297"/>
      <c r="G47" s="280"/>
      <c r="H47" s="12" t="s">
        <v>358</v>
      </c>
    </row>
    <row r="48" spans="1:10" ht="18.5" x14ac:dyDescent="0.45">
      <c r="A48" s="270" t="s">
        <v>273</v>
      </c>
      <c r="B48" s="297"/>
      <c r="C48" s="296">
        <v>11276</v>
      </c>
      <c r="D48" s="296"/>
      <c r="E48" s="297">
        <v>12327</v>
      </c>
      <c r="F48" s="297">
        <f>E48-C48</f>
        <v>1051</v>
      </c>
      <c r="G48" s="280" t="s">
        <v>362</v>
      </c>
      <c r="H48" s="12" t="s">
        <v>403</v>
      </c>
    </row>
    <row r="49" spans="1:8" ht="18.5" x14ac:dyDescent="0.45">
      <c r="A49" s="270" t="s">
        <v>263</v>
      </c>
      <c r="B49" s="297"/>
      <c r="C49" s="296">
        <v>11522</v>
      </c>
      <c r="D49" s="296"/>
      <c r="E49" s="297"/>
      <c r="F49" s="297"/>
      <c r="G49" s="280"/>
      <c r="H49" s="12" t="s">
        <v>404</v>
      </c>
    </row>
    <row r="50" spans="1:8" ht="18.5" x14ac:dyDescent="0.45">
      <c r="A50" s="270" t="s">
        <v>264</v>
      </c>
      <c r="B50" s="297"/>
      <c r="C50" s="296">
        <v>12459</v>
      </c>
      <c r="D50" s="296"/>
      <c r="E50" s="297">
        <v>14524</v>
      </c>
      <c r="F50" s="297">
        <f>E50-C50</f>
        <v>2065</v>
      </c>
      <c r="G50" s="280" t="s">
        <v>210</v>
      </c>
      <c r="H50" s="12" t="s">
        <v>381</v>
      </c>
    </row>
    <row r="51" spans="1:8" ht="18.5" x14ac:dyDescent="0.45">
      <c r="A51" s="270"/>
      <c r="B51" s="297"/>
      <c r="C51" s="296"/>
      <c r="D51" s="296"/>
      <c r="E51" s="297"/>
    </row>
    <row r="52" spans="1:8" ht="18.5" x14ac:dyDescent="0.45">
      <c r="A52" s="272" t="s">
        <v>12</v>
      </c>
      <c r="B52" s="297"/>
      <c r="C52" s="296">
        <f>SUM(C44:C50)</f>
        <v>385836</v>
      </c>
      <c r="D52" s="296"/>
      <c r="E52" s="297"/>
    </row>
    <row r="53" spans="1:8" ht="15.5" x14ac:dyDescent="0.35">
      <c r="B53" s="297"/>
      <c r="C53" s="297"/>
      <c r="D53" s="297"/>
      <c r="E53" s="297"/>
    </row>
    <row r="54" spans="1:8" ht="15.5" x14ac:dyDescent="0.35">
      <c r="B54" s="297"/>
      <c r="C54" s="297"/>
      <c r="D54" s="297"/>
      <c r="E54" s="297"/>
    </row>
    <row r="55" spans="1:8" ht="15.5" x14ac:dyDescent="0.35">
      <c r="A55" s="1" t="s">
        <v>268</v>
      </c>
      <c r="B55" s="297">
        <v>6000</v>
      </c>
      <c r="C55" s="297"/>
      <c r="D55" s="297"/>
      <c r="E55" s="297"/>
    </row>
    <row r="56" spans="1:8" ht="15.5" x14ac:dyDescent="0.35">
      <c r="A56" s="1" t="s">
        <v>269</v>
      </c>
      <c r="B56" s="297">
        <v>200</v>
      </c>
      <c r="C56" s="297"/>
      <c r="D56" s="297"/>
      <c r="E56" s="297"/>
    </row>
    <row r="57" spans="1:8" ht="15.5" x14ac:dyDescent="0.35">
      <c r="B57" s="297">
        <f>SUM(B55:B56)</f>
        <v>6200</v>
      </c>
      <c r="C57" s="297"/>
      <c r="D57" s="297"/>
      <c r="E57" s="297"/>
    </row>
    <row r="59" spans="1:8" ht="15.5" x14ac:dyDescent="0.35">
      <c r="A59" s="374" t="s">
        <v>360</v>
      </c>
      <c r="B59" s="374"/>
      <c r="C59" s="375"/>
    </row>
    <row r="60" spans="1:8" ht="15.5" x14ac:dyDescent="0.35">
      <c r="A60" s="374" t="s">
        <v>359</v>
      </c>
      <c r="B60" s="374"/>
      <c r="C60" s="375"/>
    </row>
    <row r="61" spans="1:8" ht="15.5" x14ac:dyDescent="0.35">
      <c r="A61" s="295" t="s">
        <v>312</v>
      </c>
      <c r="C61" s="296">
        <v>617</v>
      </c>
    </row>
    <row r="62" spans="1:8" ht="15.5" x14ac:dyDescent="0.35">
      <c r="A62" s="295" t="s">
        <v>313</v>
      </c>
      <c r="C62" s="296">
        <v>3269</v>
      </c>
    </row>
    <row r="63" spans="1:8" ht="15.5" x14ac:dyDescent="0.35">
      <c r="A63" s="303" t="s">
        <v>314</v>
      </c>
      <c r="B63" s="304"/>
      <c r="C63" s="305">
        <v>46381</v>
      </c>
    </row>
    <row r="64" spans="1:8" ht="15.5" x14ac:dyDescent="0.35">
      <c r="A64" s="295" t="s">
        <v>315</v>
      </c>
      <c r="C64" s="296">
        <v>2295</v>
      </c>
    </row>
    <row r="65" spans="1:3" ht="15.5" x14ac:dyDescent="0.35">
      <c r="A65" s="295" t="s">
        <v>316</v>
      </c>
      <c r="C65" s="296">
        <v>6000</v>
      </c>
    </row>
    <row r="66" spans="1:3" ht="15.5" x14ac:dyDescent="0.35">
      <c r="A66" s="295" t="s">
        <v>317</v>
      </c>
      <c r="C66" s="296">
        <v>233</v>
      </c>
    </row>
    <row r="67" spans="1:3" ht="15.5" x14ac:dyDescent="0.35">
      <c r="A67" s="295" t="s">
        <v>318</v>
      </c>
      <c r="C67" s="296">
        <v>775</v>
      </c>
    </row>
    <row r="68" spans="1:3" ht="15.5" x14ac:dyDescent="0.35">
      <c r="A68" s="295" t="s">
        <v>319</v>
      </c>
      <c r="C68" s="296">
        <v>19785</v>
      </c>
    </row>
    <row r="69" spans="1:3" ht="15.5" x14ac:dyDescent="0.35">
      <c r="A69" s="295" t="s">
        <v>320</v>
      </c>
      <c r="C69" s="296">
        <v>550</v>
      </c>
    </row>
    <row r="70" spans="1:3" ht="15.5" x14ac:dyDescent="0.35">
      <c r="A70" s="295" t="s">
        <v>321</v>
      </c>
      <c r="C70" s="298">
        <v>2460</v>
      </c>
    </row>
    <row r="71" spans="1:3" ht="15.5" x14ac:dyDescent="0.35">
      <c r="A71" s="241"/>
      <c r="C71" s="297">
        <f>SUM(C61:C70)</f>
        <v>82365</v>
      </c>
    </row>
  </sheetData>
  <mergeCells count="2">
    <mergeCell ref="A59:C59"/>
    <mergeCell ref="A60:C60"/>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630B1-5320-458A-B984-AF0BD6A9981A}">
  <sheetPr>
    <tabColor rgb="FF92D050"/>
    <pageSetUpPr fitToPage="1"/>
  </sheetPr>
  <dimension ref="B1:Q24"/>
  <sheetViews>
    <sheetView showGridLines="0" workbookViewId="0">
      <selection activeCell="D3" sqref="D3"/>
    </sheetView>
  </sheetViews>
  <sheetFormatPr defaultRowHeight="15.5" x14ac:dyDescent="0.35"/>
  <cols>
    <col min="1" max="1" width="1.765625" customWidth="1"/>
    <col min="2" max="2" width="17.765625" customWidth="1"/>
    <col min="3" max="12" width="7.765625" customWidth="1"/>
    <col min="13" max="13" width="10.69140625" customWidth="1"/>
    <col min="14" max="14" width="0.765625" customWidth="1"/>
    <col min="15" max="15" width="2.3046875" customWidth="1"/>
    <col min="16" max="16" width="9.69140625" customWidth="1"/>
  </cols>
  <sheetData>
    <row r="1" spans="2:17" x14ac:dyDescent="0.35">
      <c r="B1" s="15"/>
      <c r="C1" s="15"/>
      <c r="D1" s="15"/>
      <c r="E1" s="15"/>
      <c r="F1" s="15"/>
      <c r="G1" s="15"/>
      <c r="H1" s="15"/>
      <c r="I1" s="15"/>
      <c r="J1" s="15"/>
      <c r="K1" s="15"/>
      <c r="L1" s="15"/>
      <c r="M1" s="15"/>
      <c r="N1" s="15"/>
      <c r="O1" s="15"/>
      <c r="P1" s="15"/>
    </row>
    <row r="2" spans="2:17" x14ac:dyDescent="0.35">
      <c r="B2" s="80"/>
      <c r="C2" s="81"/>
      <c r="D2" s="81"/>
      <c r="E2" s="81"/>
      <c r="F2" s="81"/>
      <c r="G2" s="81"/>
      <c r="H2" s="81"/>
      <c r="I2" s="81"/>
      <c r="J2" s="81"/>
      <c r="K2" s="81"/>
      <c r="L2" s="81"/>
      <c r="M2" s="81"/>
      <c r="N2" s="82"/>
      <c r="O2" s="15"/>
      <c r="P2" s="15"/>
    </row>
    <row r="3" spans="2:17" ht="18.5" x14ac:dyDescent="0.45">
      <c r="B3" s="83" t="s">
        <v>103</v>
      </c>
      <c r="C3" s="84"/>
      <c r="D3" s="84"/>
      <c r="E3" s="84"/>
      <c r="F3" s="84"/>
      <c r="G3" s="84"/>
      <c r="H3" s="84"/>
      <c r="I3" s="84"/>
      <c r="J3" s="84"/>
      <c r="K3" s="84"/>
      <c r="L3" s="84"/>
      <c r="M3" s="84"/>
      <c r="N3" s="74"/>
      <c r="O3" s="15"/>
      <c r="P3" s="15"/>
    </row>
    <row r="4" spans="2:17" ht="18.5" x14ac:dyDescent="0.45">
      <c r="B4" s="85" t="s">
        <v>104</v>
      </c>
      <c r="C4" s="86"/>
      <c r="D4" s="86"/>
      <c r="E4" s="86"/>
      <c r="F4" s="86"/>
      <c r="G4" s="86"/>
      <c r="H4" s="86"/>
      <c r="I4" s="86"/>
      <c r="J4" s="86"/>
      <c r="K4" s="86"/>
      <c r="L4" s="86"/>
      <c r="M4" s="86"/>
      <c r="N4" s="74"/>
      <c r="O4" s="15"/>
      <c r="P4" s="15"/>
    </row>
    <row r="5" spans="2:17" x14ac:dyDescent="0.35">
      <c r="B5" s="87" t="s">
        <v>215</v>
      </c>
      <c r="C5" s="84"/>
      <c r="D5" s="84"/>
      <c r="E5" s="84"/>
      <c r="F5" s="84"/>
      <c r="G5" s="84"/>
      <c r="H5" s="84"/>
      <c r="I5" s="84"/>
      <c r="J5" s="84"/>
      <c r="K5" s="84"/>
      <c r="L5" s="84"/>
      <c r="M5" s="84"/>
      <c r="N5" s="74"/>
      <c r="O5" s="15"/>
      <c r="P5" s="15"/>
    </row>
    <row r="6" spans="2:17" x14ac:dyDescent="0.35">
      <c r="B6" s="88" t="s">
        <v>232</v>
      </c>
      <c r="C6" s="89"/>
      <c r="D6" s="89"/>
      <c r="E6" s="89"/>
      <c r="F6" s="89"/>
      <c r="G6" s="89"/>
      <c r="H6" s="89"/>
      <c r="I6" s="89"/>
      <c r="J6" s="89"/>
      <c r="K6" s="89"/>
      <c r="L6" s="89"/>
      <c r="M6" s="89"/>
      <c r="N6" s="74"/>
      <c r="O6" s="15"/>
      <c r="P6" s="15"/>
    </row>
    <row r="7" spans="2:17" x14ac:dyDescent="0.35">
      <c r="B7" s="90"/>
      <c r="C7" s="89"/>
      <c r="D7" s="89"/>
      <c r="E7" s="89"/>
      <c r="F7" s="89"/>
      <c r="G7" s="89"/>
      <c r="H7" s="89"/>
      <c r="I7" s="89"/>
      <c r="J7" s="89"/>
      <c r="K7" s="89"/>
      <c r="L7" s="89"/>
      <c r="M7" s="89"/>
      <c r="N7" s="74"/>
      <c r="O7" s="15"/>
      <c r="P7" s="15"/>
    </row>
    <row r="8" spans="2:17" x14ac:dyDescent="0.35">
      <c r="B8" s="91"/>
      <c r="C8" s="92"/>
      <c r="D8" s="93"/>
      <c r="E8" s="92"/>
      <c r="F8" s="94"/>
      <c r="G8" s="92"/>
      <c r="H8" s="94"/>
      <c r="I8" s="92"/>
      <c r="J8" s="94"/>
      <c r="K8" s="92"/>
      <c r="L8" s="94"/>
      <c r="M8" s="93"/>
      <c r="N8" s="82"/>
      <c r="O8" s="15"/>
      <c r="P8" s="15"/>
    </row>
    <row r="9" spans="2:17" ht="16" x14ac:dyDescent="0.35">
      <c r="B9" s="95"/>
      <c r="C9" s="376" t="s">
        <v>105</v>
      </c>
      <c r="D9" s="377"/>
      <c r="E9" s="376" t="s">
        <v>106</v>
      </c>
      <c r="F9" s="377"/>
      <c r="G9" s="376" t="s">
        <v>107</v>
      </c>
      <c r="H9" s="377"/>
      <c r="I9" s="376" t="s">
        <v>108</v>
      </c>
      <c r="J9" s="377"/>
      <c r="K9" s="376" t="s">
        <v>233</v>
      </c>
      <c r="L9" s="377"/>
      <c r="M9" s="15"/>
      <c r="N9" s="74"/>
      <c r="O9" s="15"/>
      <c r="P9" s="15"/>
    </row>
    <row r="10" spans="2:17" ht="16" x14ac:dyDescent="0.35">
      <c r="B10" s="95"/>
      <c r="C10" s="96"/>
      <c r="D10" s="97" t="s">
        <v>109</v>
      </c>
      <c r="E10" s="98"/>
      <c r="F10" s="97" t="s">
        <v>109</v>
      </c>
      <c r="G10" s="98"/>
      <c r="H10" s="97" t="s">
        <v>109</v>
      </c>
      <c r="I10" s="98"/>
      <c r="J10" s="97" t="s">
        <v>109</v>
      </c>
      <c r="K10" s="98"/>
      <c r="L10" s="97" t="s">
        <v>109</v>
      </c>
      <c r="M10" s="15"/>
      <c r="N10" s="74"/>
      <c r="O10" s="15"/>
      <c r="P10" s="15"/>
    </row>
    <row r="11" spans="2:17" ht="16" x14ac:dyDescent="0.35">
      <c r="B11" s="95"/>
      <c r="C11" s="96" t="s">
        <v>110</v>
      </c>
      <c r="D11" s="99" t="s">
        <v>111</v>
      </c>
      <c r="E11" s="96" t="s">
        <v>110</v>
      </c>
      <c r="F11" s="99" t="s">
        <v>111</v>
      </c>
      <c r="G11" s="96" t="s">
        <v>110</v>
      </c>
      <c r="H11" s="99" t="s">
        <v>111</v>
      </c>
      <c r="I11" s="96" t="s">
        <v>110</v>
      </c>
      <c r="J11" s="99" t="s">
        <v>111</v>
      </c>
      <c r="K11" s="96" t="s">
        <v>110</v>
      </c>
      <c r="L11" s="99" t="s">
        <v>111</v>
      </c>
      <c r="M11" s="100" t="s">
        <v>75</v>
      </c>
      <c r="N11" s="74"/>
      <c r="O11" s="15"/>
      <c r="P11" s="15"/>
    </row>
    <row r="12" spans="2:17" ht="15.4" customHeight="1" x14ac:dyDescent="0.35">
      <c r="B12" s="95" t="s">
        <v>303</v>
      </c>
      <c r="C12" s="370">
        <v>67500</v>
      </c>
      <c r="D12" s="371">
        <v>78902</v>
      </c>
      <c r="E12" s="356">
        <v>69000</v>
      </c>
      <c r="F12" s="357">
        <v>77367</v>
      </c>
      <c r="G12" s="356">
        <v>71000</v>
      </c>
      <c r="H12" s="357">
        <v>75792</v>
      </c>
      <c r="I12" s="356">
        <v>73000</v>
      </c>
      <c r="J12" s="357">
        <v>74172</v>
      </c>
      <c r="K12" s="356">
        <v>75000</v>
      </c>
      <c r="L12" s="357">
        <v>72506</v>
      </c>
      <c r="M12" s="358">
        <f>SUM(E12:L12)</f>
        <v>587837</v>
      </c>
      <c r="N12" s="74"/>
      <c r="O12" s="15"/>
      <c r="P12" s="15"/>
      <c r="Q12" t="s">
        <v>304</v>
      </c>
    </row>
    <row r="13" spans="2:17" ht="15.4" customHeight="1" x14ac:dyDescent="0.35">
      <c r="B13" s="101" t="s">
        <v>298</v>
      </c>
      <c r="C13" s="359">
        <v>50000</v>
      </c>
      <c r="D13" s="360">
        <v>40725</v>
      </c>
      <c r="E13" s="359">
        <v>51000</v>
      </c>
      <c r="F13" s="361">
        <v>39975</v>
      </c>
      <c r="G13" s="359">
        <v>51500</v>
      </c>
      <c r="H13" s="361">
        <v>39210</v>
      </c>
      <c r="I13" s="359">
        <v>52500</v>
      </c>
      <c r="J13" s="361">
        <v>38438</v>
      </c>
      <c r="K13" s="359">
        <v>53000</v>
      </c>
      <c r="L13" s="361">
        <v>37650</v>
      </c>
      <c r="M13" s="358">
        <f t="shared" ref="M13:M14" si="0">SUM(C13:L13)</f>
        <v>453998</v>
      </c>
      <c r="N13" s="74"/>
      <c r="O13" s="15"/>
      <c r="P13" s="15"/>
      <c r="Q13" t="s">
        <v>305</v>
      </c>
    </row>
    <row r="14" spans="2:17" ht="15.4" customHeight="1" x14ac:dyDescent="0.35">
      <c r="B14" s="101"/>
      <c r="C14" s="359"/>
      <c r="D14" s="360"/>
      <c r="E14" s="359"/>
      <c r="F14" s="361"/>
      <c r="G14" s="359"/>
      <c r="H14" s="361"/>
      <c r="I14" s="359"/>
      <c r="J14" s="361"/>
      <c r="K14" s="359"/>
      <c r="L14" s="361"/>
      <c r="M14" s="358">
        <f t="shared" si="0"/>
        <v>0</v>
      </c>
      <c r="N14" s="74"/>
      <c r="O14" s="15"/>
      <c r="P14" s="15"/>
    </row>
    <row r="15" spans="2:17" x14ac:dyDescent="0.35">
      <c r="B15" s="102"/>
      <c r="C15" s="362"/>
      <c r="D15" s="363"/>
      <c r="E15" s="362"/>
      <c r="F15" s="363"/>
      <c r="G15" s="362"/>
      <c r="H15" s="363"/>
      <c r="I15" s="362"/>
      <c r="J15" s="363"/>
      <c r="K15" s="362"/>
      <c r="L15" s="364"/>
      <c r="M15" s="358"/>
      <c r="N15" s="74"/>
      <c r="O15" s="15"/>
      <c r="P15" s="15"/>
    </row>
    <row r="16" spans="2:17" x14ac:dyDescent="0.35">
      <c r="B16" s="75" t="s">
        <v>75</v>
      </c>
      <c r="C16" s="365">
        <f>SUM(C12:C14)</f>
        <v>117500</v>
      </c>
      <c r="D16" s="365">
        <f t="shared" ref="D16:M16" si="1">SUM(D12:D14)</f>
        <v>119627</v>
      </c>
      <c r="E16" s="365">
        <f t="shared" si="1"/>
        <v>120000</v>
      </c>
      <c r="F16" s="365">
        <f t="shared" si="1"/>
        <v>117342</v>
      </c>
      <c r="G16" s="365">
        <f t="shared" si="1"/>
        <v>122500</v>
      </c>
      <c r="H16" s="365">
        <f t="shared" si="1"/>
        <v>115002</v>
      </c>
      <c r="I16" s="365">
        <f t="shared" si="1"/>
        <v>125500</v>
      </c>
      <c r="J16" s="365">
        <f t="shared" si="1"/>
        <v>112610</v>
      </c>
      <c r="K16" s="365">
        <f>SUM(K12:K14)</f>
        <v>128000</v>
      </c>
      <c r="L16" s="365">
        <f>SUM(L12:L14)</f>
        <v>110156</v>
      </c>
      <c r="M16" s="365">
        <f t="shared" si="1"/>
        <v>1041835</v>
      </c>
      <c r="N16" s="74"/>
      <c r="O16" s="15"/>
      <c r="P16" s="15">
        <f>SUM(C16:L16)</f>
        <v>1188237</v>
      </c>
    </row>
    <row r="17" spans="2:16" x14ac:dyDescent="0.35">
      <c r="B17" s="103"/>
      <c r="C17" s="366"/>
      <c r="D17" s="367"/>
      <c r="E17" s="366"/>
      <c r="F17" s="368"/>
      <c r="G17" s="366"/>
      <c r="H17" s="368"/>
      <c r="I17" s="366"/>
      <c r="J17" s="369"/>
      <c r="K17" s="366"/>
      <c r="L17" s="368"/>
      <c r="M17" s="367"/>
      <c r="N17" s="70"/>
      <c r="O17" s="15"/>
      <c r="P17" s="15"/>
    </row>
    <row r="18" spans="2:16" x14ac:dyDescent="0.35">
      <c r="B18" s="104"/>
      <c r="C18" s="105"/>
      <c r="D18" s="105"/>
      <c r="E18" s="105"/>
      <c r="F18" s="105"/>
      <c r="G18" s="105"/>
      <c r="H18" s="105"/>
      <c r="I18" s="105"/>
      <c r="J18" s="106"/>
      <c r="K18" s="106"/>
      <c r="L18" s="106"/>
      <c r="M18" s="105"/>
      <c r="N18" s="74"/>
      <c r="O18" s="15"/>
      <c r="P18" s="15"/>
    </row>
    <row r="19" spans="2:16" x14ac:dyDescent="0.35">
      <c r="B19" s="107"/>
      <c r="C19" s="108"/>
      <c r="D19" s="109"/>
      <c r="E19" s="108"/>
      <c r="F19" s="108"/>
      <c r="G19" s="108"/>
      <c r="H19" s="108"/>
      <c r="I19" s="109" t="s">
        <v>112</v>
      </c>
      <c r="J19" s="15"/>
      <c r="K19" s="110"/>
      <c r="L19" s="111"/>
      <c r="M19" s="108">
        <f>M16/5</f>
        <v>208367</v>
      </c>
      <c r="N19" s="74"/>
      <c r="O19" s="15"/>
      <c r="P19" s="15"/>
    </row>
    <row r="20" spans="2:16" x14ac:dyDescent="0.35">
      <c r="B20" s="17"/>
      <c r="C20" s="109"/>
      <c r="D20" s="15"/>
      <c r="E20" s="109"/>
      <c r="F20" s="109"/>
      <c r="G20" s="109"/>
      <c r="H20" s="109"/>
      <c r="I20" s="109"/>
      <c r="J20" s="15"/>
      <c r="K20" s="20"/>
      <c r="L20" s="110"/>
      <c r="M20" s="32"/>
      <c r="N20" s="74"/>
      <c r="O20" s="15"/>
      <c r="P20" s="15"/>
    </row>
    <row r="21" spans="2:16" x14ac:dyDescent="0.35">
      <c r="B21" s="107"/>
      <c r="C21" s="109"/>
      <c r="D21" s="109"/>
      <c r="E21" s="109"/>
      <c r="F21" s="109"/>
      <c r="G21" s="109"/>
      <c r="H21" s="109"/>
      <c r="I21" s="109" t="s">
        <v>113</v>
      </c>
      <c r="J21" s="15"/>
      <c r="K21" s="110"/>
      <c r="L21" s="109"/>
      <c r="M21" s="108">
        <f>M19*0.2</f>
        <v>41673.4</v>
      </c>
      <c r="N21" s="74"/>
      <c r="O21" s="15"/>
      <c r="P21" s="15">
        <f>M21+M19</f>
        <v>250040.4</v>
      </c>
    </row>
    <row r="22" spans="2:16" x14ac:dyDescent="0.35">
      <c r="B22" s="107"/>
      <c r="C22" s="109"/>
      <c r="D22" s="109"/>
      <c r="E22" s="109"/>
      <c r="F22" s="109"/>
      <c r="G22" s="109"/>
      <c r="H22" s="109"/>
      <c r="I22" s="109"/>
      <c r="J22" s="15"/>
      <c r="K22" s="110"/>
      <c r="L22" s="109"/>
      <c r="M22" s="108"/>
      <c r="N22" s="74"/>
      <c r="O22" s="15"/>
      <c r="P22" s="15"/>
    </row>
    <row r="23" spans="2:16" x14ac:dyDescent="0.35">
      <c r="B23" s="107"/>
      <c r="C23" s="109"/>
      <c r="D23" s="109"/>
      <c r="E23" s="109"/>
      <c r="F23" s="109"/>
      <c r="G23" s="109"/>
      <c r="H23" s="109"/>
      <c r="I23" s="109" t="s">
        <v>302</v>
      </c>
      <c r="J23" s="15"/>
      <c r="K23" s="110"/>
      <c r="L23" s="109"/>
      <c r="M23" s="108">
        <f>(D16+F16+H16+J16+L16)/5</f>
        <v>114947.4</v>
      </c>
      <c r="N23" s="74"/>
      <c r="O23" s="15"/>
      <c r="P23" s="15"/>
    </row>
    <row r="24" spans="2:16" x14ac:dyDescent="0.35">
      <c r="B24" s="112"/>
      <c r="C24" s="113"/>
      <c r="D24" s="113"/>
      <c r="E24" s="113"/>
      <c r="F24" s="113"/>
      <c r="G24" s="113"/>
      <c r="H24" s="113"/>
      <c r="I24" s="113"/>
      <c r="J24" s="113"/>
      <c r="K24" s="113"/>
      <c r="L24" s="113"/>
      <c r="M24" s="113"/>
      <c r="N24" s="70"/>
      <c r="O24" s="15"/>
      <c r="P24" s="15"/>
    </row>
  </sheetData>
  <mergeCells count="5">
    <mergeCell ref="C9:D9"/>
    <mergeCell ref="E9:F9"/>
    <mergeCell ref="G9:H9"/>
    <mergeCell ref="I9:J9"/>
    <mergeCell ref="K9:L9"/>
  </mergeCells>
  <pageMargins left="0.7" right="0.7" top="0.75" bottom="0.75" header="0.3" footer="0.3"/>
  <pageSetup scale="92" fitToHeight="0"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590D3-A7C3-4727-A9D4-F5C014E94ADB}">
  <sheetPr>
    <tabColor rgb="FF92D050"/>
    <pageSetUpPr fitToPage="1"/>
  </sheetPr>
  <dimension ref="A1:R55"/>
  <sheetViews>
    <sheetView showGridLines="0" workbookViewId="0">
      <selection sqref="A1:M50"/>
    </sheetView>
  </sheetViews>
  <sheetFormatPr defaultRowHeight="15.5" x14ac:dyDescent="0.35"/>
  <cols>
    <col min="1" max="1" width="2" customWidth="1"/>
    <col min="2" max="2" width="1.84375" customWidth="1"/>
    <col min="3" max="3" width="1.765625" customWidth="1"/>
    <col min="4" max="4" width="27.4609375" style="1" customWidth="1"/>
    <col min="5" max="5" width="8.3046875" style="1" customWidth="1"/>
    <col min="6" max="6" width="10.69140625" style="179" customWidth="1"/>
    <col min="7" max="7" width="6.07421875" style="1" customWidth="1"/>
    <col min="8" max="8" width="9.3046875" style="175" customWidth="1"/>
    <col min="9" max="9" width="6.07421875" customWidth="1"/>
    <col min="10" max="10" width="9.3046875" style="175" customWidth="1"/>
    <col min="11" max="11" width="10.69140625" customWidth="1"/>
    <col min="12" max="12" width="1.84375" customWidth="1"/>
    <col min="13" max="13" width="2.4609375" customWidth="1"/>
    <col min="15" max="18" width="8.84375" style="1"/>
  </cols>
  <sheetData>
    <row r="1" spans="1:13" x14ac:dyDescent="0.35">
      <c r="A1" s="1"/>
      <c r="B1" s="1"/>
      <c r="C1" s="3"/>
      <c r="D1" s="3"/>
      <c r="E1" s="3"/>
      <c r="G1" s="124"/>
      <c r="H1" s="16"/>
      <c r="I1" s="124"/>
      <c r="J1" s="16"/>
      <c r="K1" s="3"/>
      <c r="L1" s="3"/>
      <c r="M1" s="3"/>
    </row>
    <row r="2" spans="1:13" x14ac:dyDescent="0.35">
      <c r="A2" s="1"/>
      <c r="B2" s="114"/>
      <c r="C2" s="116"/>
      <c r="D2" s="116"/>
      <c r="E2" s="116"/>
      <c r="F2" s="180"/>
      <c r="G2" s="125"/>
      <c r="H2" s="173"/>
      <c r="I2" s="125"/>
      <c r="J2" s="173"/>
      <c r="K2" s="116"/>
      <c r="L2" s="132"/>
      <c r="M2" s="135"/>
    </row>
    <row r="3" spans="1:13" ht="18.5" x14ac:dyDescent="0.45">
      <c r="A3" s="1"/>
      <c r="B3" s="54"/>
      <c r="C3" s="378" t="s">
        <v>29</v>
      </c>
      <c r="D3" s="378"/>
      <c r="E3" s="378"/>
      <c r="F3" s="378"/>
      <c r="G3" s="378"/>
      <c r="H3" s="378"/>
      <c r="I3" s="378"/>
      <c r="J3" s="378"/>
      <c r="K3" s="378"/>
      <c r="L3" s="133"/>
      <c r="M3" s="135"/>
    </row>
    <row r="4" spans="1:13" ht="18.5" x14ac:dyDescent="0.45">
      <c r="A4" s="1"/>
      <c r="B4" s="54"/>
      <c r="C4" s="379" t="s">
        <v>43</v>
      </c>
      <c r="D4" s="379"/>
      <c r="E4" s="379"/>
      <c r="F4" s="379"/>
      <c r="G4" s="379"/>
      <c r="H4" s="379"/>
      <c r="I4" s="379"/>
      <c r="J4" s="379"/>
      <c r="K4" s="379"/>
      <c r="L4" s="133"/>
      <c r="M4" s="135"/>
    </row>
    <row r="5" spans="1:13" x14ac:dyDescent="0.35">
      <c r="A5" s="1"/>
      <c r="B5" s="54"/>
      <c r="C5" s="380" t="s">
        <v>215</v>
      </c>
      <c r="D5" s="380"/>
      <c r="E5" s="380"/>
      <c r="F5" s="380"/>
      <c r="G5" s="380"/>
      <c r="H5" s="380"/>
      <c r="I5" s="380"/>
      <c r="J5" s="380"/>
      <c r="K5" s="380"/>
      <c r="L5" s="133"/>
      <c r="M5" s="135"/>
    </row>
    <row r="6" spans="1:13" x14ac:dyDescent="0.35">
      <c r="A6" s="1"/>
      <c r="B6" s="54"/>
      <c r="C6" s="3"/>
      <c r="D6" s="3"/>
      <c r="E6" s="3"/>
      <c r="G6" s="126"/>
      <c r="H6" s="16"/>
      <c r="I6" s="126"/>
      <c r="J6" s="16"/>
      <c r="K6" s="118" t="s">
        <v>44</v>
      </c>
      <c r="L6" s="133"/>
      <c r="M6" s="135"/>
    </row>
    <row r="7" spans="1:13" x14ac:dyDescent="0.35">
      <c r="A7" s="1"/>
      <c r="B7" s="54"/>
      <c r="C7" s="117"/>
      <c r="D7" s="117"/>
      <c r="E7" s="117" t="s">
        <v>45</v>
      </c>
      <c r="F7" s="181" t="s">
        <v>46</v>
      </c>
      <c r="G7" s="381" t="s">
        <v>140</v>
      </c>
      <c r="H7" s="381"/>
      <c r="I7" s="381" t="s">
        <v>34</v>
      </c>
      <c r="J7" s="381"/>
      <c r="K7" s="118" t="s">
        <v>47</v>
      </c>
      <c r="L7" s="133"/>
      <c r="M7" s="135"/>
    </row>
    <row r="8" spans="1:13" ht="17" x14ac:dyDescent="0.5">
      <c r="A8" s="1"/>
      <c r="B8" s="54"/>
      <c r="C8" s="118"/>
      <c r="D8" s="122" t="s">
        <v>119</v>
      </c>
      <c r="E8" s="118" t="s">
        <v>48</v>
      </c>
      <c r="F8" s="182" t="s">
        <v>139</v>
      </c>
      <c r="G8" s="24" t="s">
        <v>49</v>
      </c>
      <c r="H8" s="118" t="s">
        <v>50</v>
      </c>
      <c r="I8" s="24" t="s">
        <v>49</v>
      </c>
      <c r="J8" s="118" t="s">
        <v>50</v>
      </c>
      <c r="K8" s="118" t="s">
        <v>40</v>
      </c>
      <c r="L8" s="133"/>
      <c r="M8" s="135"/>
    </row>
    <row r="9" spans="1:13" x14ac:dyDescent="0.35">
      <c r="A9" s="1"/>
      <c r="B9" s="54"/>
      <c r="C9" s="119" t="s">
        <v>114</v>
      </c>
      <c r="D9" s="3"/>
      <c r="E9" s="123"/>
      <c r="G9" s="126"/>
      <c r="H9" s="160"/>
      <c r="I9" s="126"/>
      <c r="J9" s="160"/>
      <c r="K9" s="2"/>
      <c r="L9" s="133"/>
      <c r="M9" s="135"/>
    </row>
    <row r="10" spans="1:13" x14ac:dyDescent="0.35">
      <c r="A10" s="1"/>
      <c r="B10" s="54"/>
      <c r="C10" s="119"/>
      <c r="D10" s="3" t="s">
        <v>120</v>
      </c>
      <c r="E10" s="123" t="s">
        <v>291</v>
      </c>
      <c r="F10" s="184">
        <v>502350.36</v>
      </c>
      <c r="G10" s="71" t="s">
        <v>292</v>
      </c>
      <c r="H10" s="159">
        <v>15535.36</v>
      </c>
      <c r="I10" s="126">
        <v>37.5</v>
      </c>
      <c r="J10" s="159">
        <f>F10/I10</f>
        <v>13396.009599999999</v>
      </c>
      <c r="K10" s="20">
        <f>J10-H10</f>
        <v>-2139.3504000000012</v>
      </c>
      <c r="L10" s="133"/>
      <c r="M10" s="135"/>
    </row>
    <row r="11" spans="1:13" x14ac:dyDescent="0.35">
      <c r="A11" s="1"/>
      <c r="B11" s="54"/>
      <c r="C11" s="119"/>
      <c r="D11" s="3" t="s">
        <v>121</v>
      </c>
      <c r="E11" s="123" t="s">
        <v>291</v>
      </c>
      <c r="F11" s="184">
        <v>136948.48000000001</v>
      </c>
      <c r="G11" s="71" t="s">
        <v>292</v>
      </c>
      <c r="H11" s="159">
        <v>22889</v>
      </c>
      <c r="I11" s="126">
        <v>10</v>
      </c>
      <c r="J11" s="159">
        <f>F11/I11</f>
        <v>13694.848000000002</v>
      </c>
      <c r="K11" s="20">
        <f>J11-H11</f>
        <v>-9194.1519999999982</v>
      </c>
      <c r="L11" s="133"/>
      <c r="M11" s="135"/>
    </row>
    <row r="12" spans="1:13" x14ac:dyDescent="0.35">
      <c r="A12" s="1"/>
      <c r="B12" s="54"/>
      <c r="C12" s="3"/>
      <c r="D12" s="3" t="s">
        <v>122</v>
      </c>
      <c r="E12" s="123" t="s">
        <v>291</v>
      </c>
      <c r="F12" s="184">
        <v>5787.77</v>
      </c>
      <c r="G12" s="71" t="s">
        <v>292</v>
      </c>
      <c r="H12" s="159">
        <v>943.55</v>
      </c>
      <c r="I12" s="126">
        <v>22.5</v>
      </c>
      <c r="J12" s="159">
        <f>F12/I12</f>
        <v>257.23422222222223</v>
      </c>
      <c r="K12" s="20">
        <f>J12-H12</f>
        <v>-686.31577777777773</v>
      </c>
      <c r="L12" s="133"/>
      <c r="M12" s="135"/>
    </row>
    <row r="13" spans="1:13" x14ac:dyDescent="0.35">
      <c r="A13" s="1"/>
      <c r="B13" s="54"/>
      <c r="C13" s="3"/>
      <c r="D13" s="3" t="s">
        <v>123</v>
      </c>
      <c r="E13" s="123" t="s">
        <v>291</v>
      </c>
      <c r="F13" s="184">
        <v>34041.18</v>
      </c>
      <c r="G13" s="71" t="s">
        <v>292</v>
      </c>
      <c r="H13" s="159">
        <v>4903.6000000000004</v>
      </c>
      <c r="I13" s="126">
        <v>12.5</v>
      </c>
      <c r="J13" s="159">
        <f t="shared" ref="J13:J15" si="0">F13/I13</f>
        <v>2723.2944000000002</v>
      </c>
      <c r="K13" s="20">
        <f t="shared" ref="K13:K15" si="1">J13-H13</f>
        <v>-2180.3056000000001</v>
      </c>
      <c r="L13" s="133"/>
      <c r="M13" s="135"/>
    </row>
    <row r="14" spans="1:13" x14ac:dyDescent="0.35">
      <c r="A14" s="1"/>
      <c r="B14" s="54"/>
      <c r="C14" s="3"/>
      <c r="D14" s="3" t="s">
        <v>124</v>
      </c>
      <c r="E14" s="123" t="s">
        <v>291</v>
      </c>
      <c r="F14" s="184">
        <v>70807.87</v>
      </c>
      <c r="G14" s="71" t="s">
        <v>292</v>
      </c>
      <c r="H14" s="159">
        <v>12666.07</v>
      </c>
      <c r="I14" s="126">
        <v>17.5</v>
      </c>
      <c r="J14" s="159">
        <f t="shared" si="0"/>
        <v>4046.1639999999998</v>
      </c>
      <c r="K14" s="20">
        <f t="shared" si="1"/>
        <v>-8619.905999999999</v>
      </c>
      <c r="L14" s="133"/>
      <c r="M14" s="135"/>
    </row>
    <row r="15" spans="1:13" hidden="1" x14ac:dyDescent="0.35">
      <c r="A15" s="1"/>
      <c r="B15" s="54"/>
      <c r="C15" s="3"/>
      <c r="D15" s="3" t="s">
        <v>125</v>
      </c>
      <c r="E15" s="123" t="s">
        <v>291</v>
      </c>
      <c r="F15" s="184"/>
      <c r="G15" s="71" t="s">
        <v>292</v>
      </c>
      <c r="H15" s="159"/>
      <c r="I15" s="126">
        <v>15</v>
      </c>
      <c r="J15" s="159">
        <f t="shared" si="0"/>
        <v>0</v>
      </c>
      <c r="K15" s="20">
        <f t="shared" si="1"/>
        <v>0</v>
      </c>
      <c r="L15" s="133"/>
      <c r="M15" s="135"/>
    </row>
    <row r="16" spans="1:13" x14ac:dyDescent="0.35">
      <c r="A16" s="1"/>
      <c r="B16" s="54"/>
      <c r="C16" s="3"/>
      <c r="D16" s="3"/>
      <c r="E16" s="123"/>
      <c r="F16" s="184"/>
      <c r="G16" s="71"/>
      <c r="H16" s="159"/>
      <c r="I16" s="126"/>
      <c r="J16" s="159"/>
      <c r="K16" s="20"/>
      <c r="L16" s="133"/>
      <c r="M16" s="135"/>
    </row>
    <row r="17" spans="1:13" x14ac:dyDescent="0.35">
      <c r="A17" s="1"/>
      <c r="B17" s="54"/>
      <c r="C17" s="119" t="s">
        <v>185</v>
      </c>
      <c r="D17" s="3"/>
      <c r="E17" s="123"/>
      <c r="F17" s="184"/>
      <c r="G17" s="71"/>
      <c r="H17" s="159"/>
      <c r="I17" s="126"/>
      <c r="J17" s="159"/>
      <c r="K17" s="20"/>
      <c r="L17" s="133"/>
      <c r="M17" s="135"/>
    </row>
    <row r="18" spans="1:13" hidden="1" x14ac:dyDescent="0.35">
      <c r="A18" s="1"/>
      <c r="B18" s="54"/>
      <c r="C18" s="3"/>
      <c r="D18" s="3" t="s">
        <v>186</v>
      </c>
      <c r="E18" s="123" t="s">
        <v>291</v>
      </c>
      <c r="F18" s="184"/>
      <c r="G18" s="71" t="s">
        <v>292</v>
      </c>
      <c r="H18" s="159"/>
      <c r="I18" s="126">
        <v>62.5</v>
      </c>
      <c r="J18" s="159">
        <f t="shared" ref="J18:J19" si="2">F18/I18</f>
        <v>0</v>
      </c>
      <c r="K18" s="20">
        <f t="shared" ref="K18:K19" si="3">J18-H18</f>
        <v>0</v>
      </c>
      <c r="L18" s="133"/>
      <c r="M18" s="135"/>
    </row>
    <row r="19" spans="1:13" x14ac:dyDescent="0.35">
      <c r="A19" s="1"/>
      <c r="B19" s="54"/>
      <c r="C19" s="3"/>
      <c r="D19" s="3" t="s">
        <v>187</v>
      </c>
      <c r="E19" s="123" t="s">
        <v>291</v>
      </c>
      <c r="F19" s="184">
        <v>508.71</v>
      </c>
      <c r="G19" s="71" t="s">
        <v>292</v>
      </c>
      <c r="H19" s="159">
        <v>6.6</v>
      </c>
      <c r="I19" s="126">
        <v>62.5</v>
      </c>
      <c r="J19" s="159">
        <f t="shared" si="2"/>
        <v>8.1393599999999999</v>
      </c>
      <c r="K19" s="20">
        <f t="shared" si="3"/>
        <v>1.5393600000000003</v>
      </c>
      <c r="L19" s="133"/>
      <c r="M19" s="135"/>
    </row>
    <row r="20" spans="1:13" x14ac:dyDescent="0.35">
      <c r="A20" s="1"/>
      <c r="B20" s="54"/>
      <c r="C20" s="118"/>
      <c r="D20" s="118"/>
      <c r="E20" s="118"/>
      <c r="F20" s="183"/>
      <c r="G20" s="24"/>
      <c r="H20" s="174"/>
      <c r="I20" s="24"/>
      <c r="J20" s="174"/>
      <c r="K20" s="118"/>
      <c r="L20" s="133"/>
      <c r="M20" s="135"/>
    </row>
    <row r="21" spans="1:13" x14ac:dyDescent="0.35">
      <c r="A21" s="1"/>
      <c r="B21" s="54"/>
      <c r="C21" s="119" t="s">
        <v>115</v>
      </c>
      <c r="D21" s="3"/>
      <c r="E21" s="123"/>
      <c r="G21" s="127"/>
      <c r="H21" s="160"/>
      <c r="I21" s="127"/>
      <c r="J21" s="160"/>
      <c r="K21" s="2"/>
      <c r="L21" s="133"/>
      <c r="M21" s="135"/>
    </row>
    <row r="22" spans="1:13" x14ac:dyDescent="0.35">
      <c r="A22" s="1"/>
      <c r="B22" s="54"/>
      <c r="C22" s="119"/>
      <c r="D22" s="3" t="s">
        <v>120</v>
      </c>
      <c r="E22" s="123" t="s">
        <v>291</v>
      </c>
      <c r="F22" s="184">
        <v>2176680.96</v>
      </c>
      <c r="G22" s="71" t="s">
        <v>292</v>
      </c>
      <c r="H22" s="159">
        <v>43533.62</v>
      </c>
      <c r="I22" s="126">
        <v>37.5</v>
      </c>
      <c r="J22" s="159">
        <f>F22/I22</f>
        <v>58044.825599999996</v>
      </c>
      <c r="K22" s="20">
        <f>J22-H22</f>
        <v>14511.205599999994</v>
      </c>
      <c r="L22" s="133"/>
      <c r="M22" s="135"/>
    </row>
    <row r="23" spans="1:13" hidden="1" x14ac:dyDescent="0.35">
      <c r="A23" s="1"/>
      <c r="B23" s="54"/>
      <c r="C23" s="3"/>
      <c r="D23" s="3" t="s">
        <v>126</v>
      </c>
      <c r="E23" s="123" t="s">
        <v>291</v>
      </c>
      <c r="G23" s="71" t="s">
        <v>292</v>
      </c>
      <c r="H23" s="159"/>
      <c r="I23" s="126">
        <v>10</v>
      </c>
      <c r="J23" s="160">
        <f>F23/I23</f>
        <v>0</v>
      </c>
      <c r="K23" s="20">
        <f>J23-H23</f>
        <v>0</v>
      </c>
      <c r="L23" s="133"/>
      <c r="M23" s="135"/>
    </row>
    <row r="24" spans="1:13" x14ac:dyDescent="0.35">
      <c r="A24" s="1"/>
      <c r="B24" s="54"/>
      <c r="C24" s="3"/>
      <c r="D24" s="3" t="s">
        <v>127</v>
      </c>
      <c r="E24" s="123" t="s">
        <v>291</v>
      </c>
      <c r="F24" s="179">
        <v>256001.3</v>
      </c>
      <c r="G24" s="71" t="s">
        <v>292</v>
      </c>
      <c r="H24" s="159">
        <v>8141.16</v>
      </c>
      <c r="I24" s="126">
        <v>20</v>
      </c>
      <c r="J24" s="160">
        <f>F24/I24</f>
        <v>12800.064999999999</v>
      </c>
      <c r="K24" s="20">
        <f>J24-H24</f>
        <v>4658.9049999999988</v>
      </c>
      <c r="L24" s="133"/>
      <c r="M24" s="135"/>
    </row>
    <row r="25" spans="1:13" x14ac:dyDescent="0.35">
      <c r="A25" s="1"/>
      <c r="B25" s="54"/>
      <c r="C25" s="118"/>
      <c r="D25" s="118"/>
      <c r="E25" s="118"/>
      <c r="G25" s="127"/>
      <c r="H25" s="160"/>
      <c r="I25" s="127"/>
      <c r="J25" s="160"/>
      <c r="K25" s="2"/>
      <c r="L25" s="133"/>
      <c r="M25" s="135"/>
    </row>
    <row r="26" spans="1:13" x14ac:dyDescent="0.35">
      <c r="A26" s="1"/>
      <c r="B26" s="54"/>
      <c r="C26" s="119" t="s">
        <v>116</v>
      </c>
      <c r="D26" s="3"/>
      <c r="E26" s="123"/>
      <c r="G26" s="126"/>
      <c r="H26" s="160"/>
      <c r="I26" s="126"/>
      <c r="J26" s="160"/>
      <c r="K26" s="2"/>
      <c r="L26" s="133"/>
      <c r="M26" s="135"/>
    </row>
    <row r="27" spans="1:13" x14ac:dyDescent="0.35">
      <c r="A27" s="1"/>
      <c r="B27" s="54"/>
      <c r="C27" s="119"/>
      <c r="D27" s="3" t="s">
        <v>128</v>
      </c>
      <c r="E27" s="123" t="s">
        <v>291</v>
      </c>
      <c r="F27" s="184">
        <v>5233.3</v>
      </c>
      <c r="G27" s="71" t="s">
        <v>292</v>
      </c>
      <c r="H27" s="159">
        <v>209.33</v>
      </c>
      <c r="I27" s="126">
        <v>50</v>
      </c>
      <c r="J27" s="159">
        <f t="shared" ref="J27:J35" si="4">F27/I27</f>
        <v>104.666</v>
      </c>
      <c r="K27" s="20">
        <f>J27-H27</f>
        <v>-104.66400000000002</v>
      </c>
      <c r="L27" s="133"/>
      <c r="M27" s="135"/>
    </row>
    <row r="28" spans="1:13" x14ac:dyDescent="0.35">
      <c r="A28" s="1"/>
      <c r="B28" s="54"/>
      <c r="C28" s="119"/>
      <c r="D28" s="3" t="s">
        <v>129</v>
      </c>
      <c r="E28" s="123" t="s">
        <v>291</v>
      </c>
      <c r="F28" s="184">
        <v>7408507.8700000001</v>
      </c>
      <c r="G28" s="71" t="s">
        <v>292</v>
      </c>
      <c r="H28" s="159">
        <v>148170.16</v>
      </c>
      <c r="I28" s="126">
        <v>62.5</v>
      </c>
      <c r="J28" s="159">
        <f t="shared" si="4"/>
        <v>118536.12592000001</v>
      </c>
      <c r="K28" s="20">
        <f t="shared" ref="K28:K35" si="5">J28-H28</f>
        <v>-29634.034079999998</v>
      </c>
      <c r="L28" s="133"/>
      <c r="M28" s="135"/>
    </row>
    <row r="29" spans="1:13" x14ac:dyDescent="0.35">
      <c r="A29" s="1"/>
      <c r="B29" s="54"/>
      <c r="C29" s="119"/>
      <c r="D29" s="3" t="s">
        <v>130</v>
      </c>
      <c r="E29" s="123" t="s">
        <v>291</v>
      </c>
      <c r="F29" s="184">
        <v>613130.63</v>
      </c>
      <c r="G29" s="71" t="s">
        <v>292</v>
      </c>
      <c r="H29" s="159">
        <v>30527.53</v>
      </c>
      <c r="I29" s="126">
        <v>45</v>
      </c>
      <c r="J29" s="159">
        <f t="shared" si="4"/>
        <v>13625.125111111111</v>
      </c>
      <c r="K29" s="20">
        <f t="shared" si="5"/>
        <v>-16902.404888888886</v>
      </c>
      <c r="L29" s="133"/>
      <c r="M29" s="135"/>
    </row>
    <row r="30" spans="1:13" x14ac:dyDescent="0.35">
      <c r="A30" s="1"/>
      <c r="B30" s="54"/>
      <c r="C30" s="119"/>
      <c r="D30" s="3" t="s">
        <v>131</v>
      </c>
      <c r="E30" s="123" t="s">
        <v>291</v>
      </c>
      <c r="F30" s="184">
        <v>1870298</v>
      </c>
      <c r="G30" s="71" t="s">
        <v>292</v>
      </c>
      <c r="H30" s="159">
        <v>82997.929999999993</v>
      </c>
      <c r="I30" s="126">
        <v>15</v>
      </c>
      <c r="J30" s="159">
        <f t="shared" si="4"/>
        <v>124686.53333333334</v>
      </c>
      <c r="K30" s="20">
        <f t="shared" si="5"/>
        <v>41688.603333333347</v>
      </c>
      <c r="L30" s="133"/>
      <c r="M30" s="135"/>
    </row>
    <row r="31" spans="1:13" hidden="1" x14ac:dyDescent="0.35">
      <c r="A31" s="1"/>
      <c r="B31" s="54"/>
      <c r="C31" s="119"/>
      <c r="D31" s="3" t="s">
        <v>132</v>
      </c>
      <c r="E31" s="123" t="s">
        <v>291</v>
      </c>
      <c r="F31" s="184"/>
      <c r="G31" s="71" t="s">
        <v>292</v>
      </c>
      <c r="H31" s="159"/>
      <c r="I31" s="126">
        <v>20</v>
      </c>
      <c r="J31" s="159">
        <f t="shared" si="4"/>
        <v>0</v>
      </c>
      <c r="K31" s="20">
        <f t="shared" si="5"/>
        <v>0</v>
      </c>
      <c r="L31" s="133"/>
      <c r="M31" s="135"/>
    </row>
    <row r="32" spans="1:13" x14ac:dyDescent="0.35">
      <c r="A32" s="1"/>
      <c r="B32" s="54"/>
      <c r="C32" s="119"/>
      <c r="D32" s="3" t="s">
        <v>133</v>
      </c>
      <c r="E32" s="123" t="s">
        <v>291</v>
      </c>
      <c r="F32" s="184">
        <v>13700</v>
      </c>
      <c r="G32" s="71" t="s">
        <v>292</v>
      </c>
      <c r="H32" s="159">
        <v>685</v>
      </c>
      <c r="I32" s="126">
        <v>37.5</v>
      </c>
      <c r="J32" s="159">
        <f t="shared" si="4"/>
        <v>365.33333333333331</v>
      </c>
      <c r="K32" s="20">
        <f t="shared" si="5"/>
        <v>-319.66666666666669</v>
      </c>
      <c r="L32" s="133"/>
      <c r="M32" s="135"/>
    </row>
    <row r="33" spans="1:14" x14ac:dyDescent="0.35">
      <c r="A33" s="1"/>
      <c r="B33" s="54"/>
      <c r="C33" s="119"/>
      <c r="D33" s="3" t="s">
        <v>134</v>
      </c>
      <c r="E33" s="123" t="s">
        <v>291</v>
      </c>
      <c r="F33" s="184">
        <v>1468.33</v>
      </c>
      <c r="G33" s="71" t="s">
        <v>292</v>
      </c>
      <c r="H33" s="159">
        <v>29.37</v>
      </c>
      <c r="I33" s="126">
        <v>40</v>
      </c>
      <c r="J33" s="159">
        <f t="shared" si="4"/>
        <v>36.70825</v>
      </c>
      <c r="K33" s="20">
        <f t="shared" si="5"/>
        <v>7.3382499999999986</v>
      </c>
      <c r="L33" s="133"/>
      <c r="M33" s="135"/>
    </row>
    <row r="34" spans="1:14" x14ac:dyDescent="0.35">
      <c r="A34" s="1"/>
      <c r="B34" s="54"/>
      <c r="C34" s="119"/>
      <c r="D34" s="3" t="s">
        <v>135</v>
      </c>
      <c r="E34" s="123" t="s">
        <v>291</v>
      </c>
      <c r="F34" s="184">
        <v>940272.68</v>
      </c>
      <c r="G34" s="71" t="s">
        <v>292</v>
      </c>
      <c r="H34" s="159">
        <v>18805.45</v>
      </c>
      <c r="I34" s="126">
        <v>45</v>
      </c>
      <c r="J34" s="159">
        <f t="shared" si="4"/>
        <v>20894.948444444446</v>
      </c>
      <c r="K34" s="20">
        <f t="shared" si="5"/>
        <v>2089.4984444444453</v>
      </c>
      <c r="L34" s="133"/>
      <c r="M34" s="135"/>
    </row>
    <row r="35" spans="1:14" hidden="1" x14ac:dyDescent="0.35">
      <c r="A35" s="1"/>
      <c r="B35" s="54"/>
      <c r="C35" s="119"/>
      <c r="D35" s="3" t="s">
        <v>136</v>
      </c>
      <c r="E35" s="123" t="s">
        <v>291</v>
      </c>
      <c r="F35" s="184"/>
      <c r="G35" s="71" t="s">
        <v>292</v>
      </c>
      <c r="H35" s="159"/>
      <c r="I35" s="126">
        <v>15</v>
      </c>
      <c r="J35" s="159">
        <f t="shared" si="4"/>
        <v>0</v>
      </c>
      <c r="K35" s="20">
        <f t="shared" si="5"/>
        <v>0</v>
      </c>
      <c r="L35" s="133"/>
      <c r="M35" s="135"/>
    </row>
    <row r="36" spans="1:14" x14ac:dyDescent="0.35">
      <c r="A36" s="1"/>
      <c r="B36" s="54"/>
      <c r="C36" s="119"/>
      <c r="E36" s="123"/>
      <c r="G36" s="127"/>
      <c r="H36" s="160"/>
      <c r="I36" s="127"/>
      <c r="J36" s="160"/>
      <c r="K36" s="20"/>
      <c r="L36" s="133"/>
      <c r="M36" s="135"/>
    </row>
    <row r="37" spans="1:14" x14ac:dyDescent="0.35">
      <c r="A37" s="1"/>
      <c r="B37" s="54"/>
      <c r="C37" s="119" t="s">
        <v>117</v>
      </c>
      <c r="E37" s="123"/>
      <c r="G37" s="126"/>
      <c r="H37" s="160"/>
      <c r="I37" s="131"/>
      <c r="J37" s="160"/>
      <c r="K37" s="2"/>
      <c r="L37" s="133"/>
      <c r="M37" s="135"/>
    </row>
    <row r="38" spans="1:14" x14ac:dyDescent="0.35">
      <c r="A38" s="1"/>
      <c r="B38" s="54"/>
      <c r="C38" s="3"/>
      <c r="D38" s="1" t="s">
        <v>137</v>
      </c>
      <c r="E38" s="123" t="s">
        <v>291</v>
      </c>
      <c r="F38" s="179">
        <v>230326.6</v>
      </c>
      <c r="G38" s="71" t="s">
        <v>292</v>
      </c>
      <c r="H38" s="160">
        <v>46065.3</v>
      </c>
      <c r="I38" s="131">
        <v>7</v>
      </c>
      <c r="J38" s="160">
        <f>F38/I38</f>
        <v>32903.800000000003</v>
      </c>
      <c r="K38" s="2">
        <f>J38-H38</f>
        <v>-13161.5</v>
      </c>
      <c r="L38" s="133"/>
      <c r="M38" s="135"/>
    </row>
    <row r="39" spans="1:14" x14ac:dyDescent="0.35">
      <c r="A39" s="1"/>
      <c r="B39" s="54"/>
      <c r="C39" s="118"/>
      <c r="D39" s="118"/>
      <c r="E39" s="118"/>
      <c r="G39" s="127"/>
      <c r="H39" s="160"/>
      <c r="I39" s="127"/>
      <c r="J39" s="160"/>
      <c r="K39" s="2"/>
      <c r="L39" s="133"/>
      <c r="M39" s="135"/>
    </row>
    <row r="40" spans="1:14" x14ac:dyDescent="0.35">
      <c r="A40" s="1"/>
      <c r="B40" s="54"/>
      <c r="C40" s="119" t="s">
        <v>118</v>
      </c>
      <c r="D40" s="3"/>
      <c r="E40" s="123"/>
      <c r="G40" s="128"/>
      <c r="H40" s="160"/>
      <c r="I40" s="126"/>
      <c r="J40" s="160"/>
      <c r="K40" s="2"/>
      <c r="L40" s="133"/>
      <c r="M40" s="135"/>
    </row>
    <row r="41" spans="1:14" x14ac:dyDescent="0.35">
      <c r="A41" s="1"/>
      <c r="B41" s="54"/>
      <c r="C41" s="119"/>
      <c r="D41" s="1" t="s">
        <v>183</v>
      </c>
      <c r="E41" s="123" t="s">
        <v>291</v>
      </c>
      <c r="F41" s="179">
        <v>466133.78</v>
      </c>
      <c r="G41" s="71" t="s">
        <v>292</v>
      </c>
      <c r="H41" s="160">
        <v>7859.96</v>
      </c>
      <c r="I41" s="131">
        <v>62.5</v>
      </c>
      <c r="J41" s="160">
        <f>F41/I41</f>
        <v>7458.14048</v>
      </c>
      <c r="K41" s="2">
        <f>J41-H41</f>
        <v>-401.81952000000001</v>
      </c>
      <c r="L41" s="133"/>
      <c r="M41" s="135"/>
    </row>
    <row r="42" spans="1:14" x14ac:dyDescent="0.35">
      <c r="A42" s="1"/>
      <c r="B42" s="54"/>
      <c r="C42" s="119"/>
      <c r="D42" s="1" t="s">
        <v>184</v>
      </c>
      <c r="E42" s="123" t="s">
        <v>291</v>
      </c>
      <c r="F42" s="179">
        <v>88354.05</v>
      </c>
      <c r="G42" s="71" t="s">
        <v>292</v>
      </c>
      <c r="H42" s="160">
        <v>1560.02</v>
      </c>
      <c r="I42" s="131">
        <v>27.5</v>
      </c>
      <c r="J42" s="160">
        <f>F42/I42</f>
        <v>3212.8745454545456</v>
      </c>
      <c r="K42" s="2">
        <f>J42-H42</f>
        <v>1652.8545454545456</v>
      </c>
      <c r="L42" s="133"/>
      <c r="M42" s="135"/>
    </row>
    <row r="43" spans="1:14" x14ac:dyDescent="0.35">
      <c r="A43" s="1"/>
      <c r="B43" s="54"/>
      <c r="C43" s="3"/>
      <c r="D43" s="3"/>
      <c r="E43" s="3"/>
      <c r="G43" s="2"/>
      <c r="H43" s="159"/>
      <c r="I43" s="2"/>
      <c r="J43" s="178"/>
      <c r="K43" s="2"/>
      <c r="L43" s="133"/>
      <c r="M43" s="135"/>
    </row>
    <row r="44" spans="1:14" x14ac:dyDescent="0.35">
      <c r="A44" s="1"/>
      <c r="B44" s="54"/>
      <c r="C44" s="120" t="s">
        <v>293</v>
      </c>
      <c r="F44" s="176">
        <f>SUM(F10:F43)</f>
        <v>14820551.870000001</v>
      </c>
      <c r="G44" s="129"/>
      <c r="H44" s="176">
        <f>SUM(H10:H43)</f>
        <v>445529.01</v>
      </c>
      <c r="I44" s="130"/>
      <c r="J44" s="176">
        <f>SUM(J10:J43)</f>
        <v>426794.83559989906</v>
      </c>
      <c r="K44" s="130">
        <f>SUM(K10:K43)</f>
        <v>-18734.174400100997</v>
      </c>
      <c r="L44" s="133"/>
      <c r="M44" s="135"/>
      <c r="N44" s="18"/>
    </row>
    <row r="45" spans="1:14" x14ac:dyDescent="0.35">
      <c r="A45" s="1"/>
      <c r="B45" s="54"/>
      <c r="C45" s="120"/>
      <c r="F45" s="176"/>
      <c r="G45" s="129"/>
      <c r="H45" s="176"/>
      <c r="I45" s="130"/>
      <c r="J45" s="176"/>
      <c r="K45" s="130"/>
      <c r="L45" s="133"/>
      <c r="M45" s="135"/>
      <c r="N45" s="18"/>
    </row>
    <row r="46" spans="1:14" x14ac:dyDescent="0.35">
      <c r="A46" s="1"/>
      <c r="B46" s="54"/>
      <c r="C46" s="120"/>
      <c r="D46" s="1" t="s">
        <v>294</v>
      </c>
      <c r="F46" s="176"/>
      <c r="G46" s="129"/>
      <c r="H46" s="176">
        <f>SAO!D43</f>
        <v>418590</v>
      </c>
      <c r="I46" s="130"/>
      <c r="J46" s="176">
        <f>J44</f>
        <v>426794.83559989906</v>
      </c>
      <c r="K46" s="130">
        <f>J46-H46</f>
        <v>8204.8355998990592</v>
      </c>
      <c r="L46" s="133"/>
      <c r="M46" s="135"/>
      <c r="N46" s="18"/>
    </row>
    <row r="47" spans="1:14" x14ac:dyDescent="0.35">
      <c r="A47" s="1"/>
      <c r="B47" s="54"/>
      <c r="C47" s="120"/>
      <c r="F47" s="176"/>
      <c r="G47" s="129"/>
      <c r="H47" s="176"/>
      <c r="I47" s="130"/>
      <c r="J47" s="176"/>
      <c r="K47" s="130"/>
      <c r="L47" s="133"/>
      <c r="M47" s="135"/>
      <c r="N47" s="18"/>
    </row>
    <row r="48" spans="1:14" x14ac:dyDescent="0.35">
      <c r="A48" s="1"/>
      <c r="B48" s="115"/>
      <c r="C48" s="121"/>
      <c r="D48" s="121"/>
      <c r="E48" s="121"/>
      <c r="F48" s="185"/>
      <c r="G48" s="121"/>
      <c r="H48" s="177"/>
      <c r="I48" s="121"/>
      <c r="J48" s="177"/>
      <c r="K48" s="121"/>
      <c r="L48" s="134"/>
      <c r="M48" s="136"/>
    </row>
    <row r="49" spans="1:13" x14ac:dyDescent="0.35">
      <c r="A49" s="1"/>
      <c r="B49" s="1"/>
      <c r="C49" s="3"/>
      <c r="D49" s="3"/>
      <c r="E49" s="3"/>
      <c r="G49" s="3"/>
      <c r="H49" s="178"/>
      <c r="I49" s="3"/>
      <c r="J49" s="178"/>
      <c r="K49" s="3"/>
      <c r="L49" s="3"/>
      <c r="M49" s="3"/>
    </row>
    <row r="50" spans="1:13" x14ac:dyDescent="0.35">
      <c r="D50" s="3" t="s">
        <v>138</v>
      </c>
    </row>
    <row r="53" spans="1:13" x14ac:dyDescent="0.35">
      <c r="D53" s="1" t="s">
        <v>295</v>
      </c>
      <c r="F53" s="179">
        <f>J44</f>
        <v>426794.83559989906</v>
      </c>
    </row>
    <row r="54" spans="1:13" ht="17" x14ac:dyDescent="0.5">
      <c r="D54" s="1" t="s">
        <v>188</v>
      </c>
      <c r="E54"/>
      <c r="F54" s="186">
        <f>-SAO!D43</f>
        <v>-418590</v>
      </c>
    </row>
    <row r="55" spans="1:13" x14ac:dyDescent="0.35">
      <c r="D55" s="1" t="s">
        <v>189</v>
      </c>
      <c r="F55" s="179">
        <f>F53+F54</f>
        <v>8204.8355998990592</v>
      </c>
      <c r="G55" s="18" t="s">
        <v>376</v>
      </c>
    </row>
  </sheetData>
  <mergeCells count="5">
    <mergeCell ref="C3:K3"/>
    <mergeCell ref="C4:K4"/>
    <mergeCell ref="C5:K5"/>
    <mergeCell ref="G7:H7"/>
    <mergeCell ref="I7:J7"/>
  </mergeCells>
  <pageMargins left="0.7" right="0.7" top="0.75" bottom="0.75" header="0.3" footer="0.3"/>
  <pageSetup scale="80"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7B32F-4CA1-4F84-B54A-FE6CF749D13D}">
  <sheetPr>
    <tabColor rgb="FF92D050"/>
  </sheetPr>
  <dimension ref="A1:E11"/>
  <sheetViews>
    <sheetView workbookViewId="0">
      <selection activeCell="D9" sqref="D9"/>
    </sheetView>
  </sheetViews>
  <sheetFormatPr defaultRowHeight="15.5" x14ac:dyDescent="0.35"/>
  <sheetData>
    <row r="1" spans="1:5" x14ac:dyDescent="0.35">
      <c r="A1" s="1" t="s">
        <v>169</v>
      </c>
      <c r="B1" s="1"/>
      <c r="C1" s="1"/>
      <c r="D1" s="1"/>
    </row>
    <row r="2" spans="1:5" x14ac:dyDescent="0.35">
      <c r="A2" s="1" t="s">
        <v>259</v>
      </c>
      <c r="B2" s="1"/>
      <c r="C2" s="1"/>
      <c r="D2" s="1"/>
    </row>
    <row r="3" spans="1:5" x14ac:dyDescent="0.35">
      <c r="A3" s="1"/>
      <c r="B3" s="1"/>
      <c r="C3" s="1"/>
      <c r="D3" s="1"/>
    </row>
    <row r="4" spans="1:5" x14ac:dyDescent="0.35">
      <c r="A4" s="1"/>
      <c r="B4" s="1" t="s">
        <v>270</v>
      </c>
      <c r="C4" s="1">
        <v>41</v>
      </c>
      <c r="D4" s="1"/>
    </row>
    <row r="5" spans="1:5" x14ac:dyDescent="0.35">
      <c r="A5" s="1" t="s">
        <v>172</v>
      </c>
      <c r="B5" s="1"/>
      <c r="C5" s="165">
        <f>1400*C4</f>
        <v>57400</v>
      </c>
      <c r="D5" s="1"/>
      <c r="E5" s="167"/>
    </row>
    <row r="6" spans="1:5" x14ac:dyDescent="0.35">
      <c r="A6" s="1"/>
      <c r="B6" s="1"/>
      <c r="C6" s="1"/>
      <c r="D6" s="1"/>
    </row>
    <row r="7" spans="1:5" x14ac:dyDescent="0.35">
      <c r="A7" s="1" t="s">
        <v>170</v>
      </c>
      <c r="B7" s="166">
        <v>0.3</v>
      </c>
      <c r="C7" s="165">
        <f>B7*C5</f>
        <v>17220</v>
      </c>
      <c r="D7" s="18" t="s">
        <v>353</v>
      </c>
    </row>
    <row r="8" spans="1:5" x14ac:dyDescent="0.35">
      <c r="A8" s="1" t="s">
        <v>171</v>
      </c>
      <c r="B8" s="166">
        <v>0.7</v>
      </c>
      <c r="C8" s="165">
        <f>B8*C5</f>
        <v>40180</v>
      </c>
      <c r="D8" s="18" t="s">
        <v>211</v>
      </c>
    </row>
    <row r="10" spans="1:5" x14ac:dyDescent="0.35">
      <c r="A10" s="1"/>
    </row>
    <row r="11" spans="1:5" x14ac:dyDescent="0.35">
      <c r="A11" s="1"/>
    </row>
  </sheetData>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36"/>
  <sheetViews>
    <sheetView workbookViewId="0">
      <selection activeCell="H5" sqref="H5"/>
    </sheetView>
  </sheetViews>
  <sheetFormatPr defaultColWidth="8.84375" defaultRowHeight="14.5" x14ac:dyDescent="0.35"/>
  <cols>
    <col min="1" max="1" width="12.69140625" style="1" customWidth="1"/>
    <col min="2" max="2" width="11.53515625" style="208" bestFit="1" customWidth="1"/>
    <col min="3" max="4" width="11.53515625" style="208" customWidth="1"/>
    <col min="5" max="5" width="9.84375" style="208" customWidth="1"/>
    <col min="6" max="6" width="9.765625" style="170" customWidth="1"/>
    <col min="7" max="7" width="9.765625" style="169" customWidth="1"/>
    <col min="8" max="8" width="7" style="168" bestFit="1" customWidth="1"/>
    <col min="9" max="9" width="11.4609375" style="168" customWidth="1"/>
    <col min="10" max="10" width="10.69140625" style="208" customWidth="1"/>
    <col min="11" max="11" width="10.07421875" style="168" customWidth="1"/>
    <col min="12" max="12" width="10.53515625" style="208" customWidth="1"/>
    <col min="13" max="13" width="10.84375" style="19" bestFit="1" customWidth="1"/>
    <col min="14" max="14" width="8.84375" style="1"/>
    <col min="15" max="15" width="10.07421875" style="1" customWidth="1"/>
    <col min="16" max="16" width="9" style="1" bestFit="1" customWidth="1"/>
    <col min="17" max="17" width="9.765625" style="1" bestFit="1" customWidth="1"/>
    <col min="18" max="16384" width="8.84375" style="1"/>
  </cols>
  <sheetData>
    <row r="1" spans="1:13" x14ac:dyDescent="0.35">
      <c r="A1" s="218" t="s">
        <v>173</v>
      </c>
    </row>
    <row r="2" spans="1:13" x14ac:dyDescent="0.35">
      <c r="B2" s="291">
        <v>2023</v>
      </c>
      <c r="C2" s="210"/>
      <c r="D2" s="210"/>
    </row>
    <row r="3" spans="1:13" x14ac:dyDescent="0.35">
      <c r="B3" s="208" t="s">
        <v>174</v>
      </c>
      <c r="C3" s="208" t="s">
        <v>174</v>
      </c>
      <c r="D3" s="208" t="s">
        <v>55</v>
      </c>
      <c r="E3" s="208" t="s">
        <v>174</v>
      </c>
      <c r="I3" s="168" t="s">
        <v>12</v>
      </c>
      <c r="J3" s="208" t="s">
        <v>202</v>
      </c>
      <c r="K3" s="168" t="s">
        <v>175</v>
      </c>
      <c r="L3" s="208" t="s">
        <v>175</v>
      </c>
      <c r="M3" s="19" t="s">
        <v>203</v>
      </c>
    </row>
    <row r="4" spans="1:13" x14ac:dyDescent="0.35">
      <c r="B4" s="282" t="s">
        <v>283</v>
      </c>
      <c r="C4" s="216"/>
      <c r="D4" s="216" t="s">
        <v>174</v>
      </c>
      <c r="E4" s="208" t="s">
        <v>176</v>
      </c>
      <c r="F4" s="170" t="s">
        <v>176</v>
      </c>
      <c r="G4" s="169" t="s">
        <v>199</v>
      </c>
      <c r="H4" s="168" t="s">
        <v>197</v>
      </c>
      <c r="I4" s="168" t="s">
        <v>201</v>
      </c>
      <c r="J4" s="208" t="s">
        <v>201</v>
      </c>
      <c r="K4" s="168" t="s">
        <v>177</v>
      </c>
      <c r="L4" s="208" t="s">
        <v>177</v>
      </c>
      <c r="M4" s="19" t="s">
        <v>177</v>
      </c>
    </row>
    <row r="5" spans="1:13" x14ac:dyDescent="0.35">
      <c r="A5" s="218"/>
      <c r="B5" s="208" t="s">
        <v>178</v>
      </c>
      <c r="C5" s="208" t="s">
        <v>178</v>
      </c>
      <c r="D5" s="208" t="s">
        <v>178</v>
      </c>
      <c r="E5" s="208" t="s">
        <v>179</v>
      </c>
      <c r="F5" s="170" t="s">
        <v>180</v>
      </c>
      <c r="G5" s="169" t="s">
        <v>180</v>
      </c>
      <c r="H5" s="168" t="s">
        <v>406</v>
      </c>
      <c r="I5" s="168" t="s">
        <v>182</v>
      </c>
      <c r="J5" s="208" t="s">
        <v>182</v>
      </c>
      <c r="K5" s="168" t="s">
        <v>181</v>
      </c>
      <c r="L5" s="208" t="s">
        <v>182</v>
      </c>
      <c r="M5" s="19" t="s">
        <v>182</v>
      </c>
    </row>
    <row r="6" spans="1:13" x14ac:dyDescent="0.35">
      <c r="A6" s="1" t="s">
        <v>288</v>
      </c>
      <c r="B6" s="208">
        <v>226.73</v>
      </c>
      <c r="D6" s="208">
        <f>B6+C6</f>
        <v>226.73</v>
      </c>
      <c r="E6" s="208">
        <v>0</v>
      </c>
      <c r="F6" s="170">
        <f t="shared" ref="F6:F13" si="0">E6/D6</f>
        <v>0</v>
      </c>
      <c r="G6" s="207">
        <f t="shared" ref="G6:G13" si="1">1-F6</f>
        <v>1</v>
      </c>
      <c r="H6" s="285">
        <v>1</v>
      </c>
      <c r="I6" s="168">
        <f>D6*12</f>
        <v>2720.7599999999998</v>
      </c>
      <c r="J6" s="208">
        <f t="shared" ref="J6:J13" si="2">D6*G6*H6*12</f>
        <v>2720.7599999999998</v>
      </c>
      <c r="K6" s="168">
        <v>0.78</v>
      </c>
      <c r="L6" s="208">
        <f t="shared" ref="L6:L13" si="3">D6*H6*12*K6</f>
        <v>2122.1927999999998</v>
      </c>
      <c r="M6" s="168">
        <f t="shared" ref="M6:M13" si="4">IF(J6&lt;L6,0,L6-J6)</f>
        <v>-598.56719999999996</v>
      </c>
    </row>
    <row r="7" spans="1:13" x14ac:dyDescent="0.35">
      <c r="A7" s="1" t="s">
        <v>285</v>
      </c>
      <c r="B7" s="208">
        <v>742.06</v>
      </c>
      <c r="D7" s="208">
        <f t="shared" ref="D7:D13" si="5">B7+C7</f>
        <v>742.06</v>
      </c>
      <c r="E7" s="208">
        <f>D7*0.25</f>
        <v>185.51499999999999</v>
      </c>
      <c r="F7" s="170">
        <f t="shared" si="0"/>
        <v>0.25</v>
      </c>
      <c r="G7" s="207">
        <f t="shared" si="1"/>
        <v>0.75</v>
      </c>
      <c r="H7" s="285">
        <v>1</v>
      </c>
      <c r="I7" s="168">
        <f t="shared" ref="I7:I17" si="6">D7*12</f>
        <v>8904.7199999999993</v>
      </c>
      <c r="J7" s="208">
        <f t="shared" si="2"/>
        <v>6678.5399999999991</v>
      </c>
      <c r="K7" s="168">
        <v>0.67</v>
      </c>
      <c r="L7" s="208">
        <f t="shared" si="3"/>
        <v>5966.1624000000002</v>
      </c>
      <c r="M7" s="168">
        <f t="shared" si="4"/>
        <v>-712.37759999999889</v>
      </c>
    </row>
    <row r="8" spans="1:13" x14ac:dyDescent="0.35">
      <c r="A8" s="1" t="s">
        <v>288</v>
      </c>
      <c r="B8" s="208">
        <v>580.64</v>
      </c>
      <c r="D8" s="208">
        <f t="shared" si="5"/>
        <v>580.64</v>
      </c>
      <c r="F8" s="170">
        <f t="shared" si="0"/>
        <v>0</v>
      </c>
      <c r="G8" s="207">
        <f t="shared" si="1"/>
        <v>1</v>
      </c>
      <c r="H8" s="285">
        <v>1</v>
      </c>
      <c r="I8" s="168">
        <f t="shared" si="6"/>
        <v>6967.68</v>
      </c>
      <c r="J8" s="208">
        <f t="shared" si="2"/>
        <v>6967.68</v>
      </c>
      <c r="K8" s="168">
        <v>0.78</v>
      </c>
      <c r="L8" s="208">
        <f t="shared" si="3"/>
        <v>5434.7904000000008</v>
      </c>
      <c r="M8" s="168">
        <f t="shared" si="4"/>
        <v>-1532.8895999999995</v>
      </c>
    </row>
    <row r="9" spans="1:13" x14ac:dyDescent="0.35">
      <c r="A9" s="1" t="s">
        <v>288</v>
      </c>
      <c r="B9" s="208">
        <v>607.27</v>
      </c>
      <c r="D9" s="208">
        <f t="shared" si="5"/>
        <v>607.27</v>
      </c>
      <c r="F9" s="170">
        <f t="shared" si="0"/>
        <v>0</v>
      </c>
      <c r="G9" s="207">
        <f t="shared" si="1"/>
        <v>1</v>
      </c>
      <c r="H9" s="285">
        <v>1</v>
      </c>
      <c r="I9" s="168">
        <f t="shared" si="6"/>
        <v>7287.24</v>
      </c>
      <c r="J9" s="208">
        <f t="shared" si="2"/>
        <v>7287.24</v>
      </c>
      <c r="K9" s="168">
        <v>0.78</v>
      </c>
      <c r="L9" s="208">
        <f t="shared" si="3"/>
        <v>5684.0472</v>
      </c>
      <c r="M9" s="168">
        <f t="shared" si="4"/>
        <v>-1603.1927999999998</v>
      </c>
    </row>
    <row r="10" spans="1:13" x14ac:dyDescent="0.35">
      <c r="A10" s="1" t="s">
        <v>286</v>
      </c>
      <c r="B10" s="208">
        <v>1511.03</v>
      </c>
      <c r="D10" s="208">
        <f t="shared" si="5"/>
        <v>1511.03</v>
      </c>
      <c r="E10" s="208">
        <f>D10*0.25</f>
        <v>377.75749999999999</v>
      </c>
      <c r="F10" s="170">
        <f t="shared" si="0"/>
        <v>0.25</v>
      </c>
      <c r="G10" s="207">
        <f t="shared" si="1"/>
        <v>0.75</v>
      </c>
      <c r="H10" s="285">
        <v>1</v>
      </c>
      <c r="I10" s="168">
        <f t="shared" si="6"/>
        <v>18132.36</v>
      </c>
      <c r="J10" s="208">
        <f t="shared" si="2"/>
        <v>13599.27</v>
      </c>
      <c r="K10" s="168">
        <v>0.67</v>
      </c>
      <c r="L10" s="208">
        <f t="shared" si="3"/>
        <v>12148.681200000001</v>
      </c>
      <c r="M10" s="168">
        <f t="shared" si="4"/>
        <v>-1450.5887999999995</v>
      </c>
    </row>
    <row r="11" spans="1:13" x14ac:dyDescent="0.35">
      <c r="A11" s="1" t="s">
        <v>287</v>
      </c>
      <c r="B11" s="208">
        <v>957.44</v>
      </c>
      <c r="D11" s="208">
        <f t="shared" si="5"/>
        <v>957.44</v>
      </c>
      <c r="E11" s="208">
        <f t="shared" ref="E11:E12" si="7">D11*0.25</f>
        <v>239.36</v>
      </c>
      <c r="F11" s="170">
        <f t="shared" si="0"/>
        <v>0.25</v>
      </c>
      <c r="G11" s="207">
        <f t="shared" si="1"/>
        <v>0.75</v>
      </c>
      <c r="H11" s="285">
        <v>1</v>
      </c>
      <c r="I11" s="168">
        <f t="shared" si="6"/>
        <v>11489.28</v>
      </c>
      <c r="J11" s="208">
        <f t="shared" si="2"/>
        <v>8616.9600000000009</v>
      </c>
      <c r="K11" s="168">
        <v>0.67</v>
      </c>
      <c r="L11" s="208">
        <f t="shared" si="3"/>
        <v>7697.8176000000012</v>
      </c>
      <c r="M11" s="168">
        <f t="shared" si="4"/>
        <v>-919.14239999999972</v>
      </c>
    </row>
    <row r="12" spans="1:13" x14ac:dyDescent="0.35">
      <c r="A12" s="1" t="s">
        <v>286</v>
      </c>
      <c r="B12" s="208">
        <v>1719.41</v>
      </c>
      <c r="D12" s="208">
        <f t="shared" si="5"/>
        <v>1719.41</v>
      </c>
      <c r="E12" s="208">
        <f t="shared" si="7"/>
        <v>429.85250000000002</v>
      </c>
      <c r="F12" s="170">
        <f t="shared" si="0"/>
        <v>0.25</v>
      </c>
      <c r="G12" s="207">
        <f t="shared" si="1"/>
        <v>0.75</v>
      </c>
      <c r="H12" s="285">
        <v>1</v>
      </c>
      <c r="I12" s="168">
        <f t="shared" si="6"/>
        <v>20632.920000000002</v>
      </c>
      <c r="J12" s="208">
        <f t="shared" si="2"/>
        <v>15474.690000000002</v>
      </c>
      <c r="K12" s="168">
        <v>0.67</v>
      </c>
      <c r="L12" s="208">
        <f t="shared" si="3"/>
        <v>13824.056400000001</v>
      </c>
      <c r="M12" s="168">
        <f t="shared" si="4"/>
        <v>-1650.633600000001</v>
      </c>
    </row>
    <row r="13" spans="1:13" x14ac:dyDescent="0.35">
      <c r="A13" s="1" t="s">
        <v>288</v>
      </c>
      <c r="B13" s="283">
        <v>726.64</v>
      </c>
      <c r="C13" s="283"/>
      <c r="D13" s="208">
        <f t="shared" si="5"/>
        <v>726.64</v>
      </c>
      <c r="F13" s="170">
        <f t="shared" si="0"/>
        <v>0</v>
      </c>
      <c r="G13" s="207">
        <f t="shared" si="1"/>
        <v>1</v>
      </c>
      <c r="H13" s="285">
        <v>1</v>
      </c>
      <c r="I13" s="168">
        <f t="shared" si="6"/>
        <v>8719.68</v>
      </c>
      <c r="J13" s="208">
        <f t="shared" si="2"/>
        <v>8719.68</v>
      </c>
      <c r="K13" s="168">
        <v>0.78</v>
      </c>
      <c r="L13" s="208">
        <f t="shared" si="3"/>
        <v>6801.3504000000003</v>
      </c>
      <c r="M13" s="168">
        <f t="shared" si="4"/>
        <v>-1918.3296</v>
      </c>
    </row>
    <row r="14" spans="1:13" x14ac:dyDescent="0.35">
      <c r="A14" s="1" t="s">
        <v>289</v>
      </c>
      <c r="B14" s="284">
        <v>1479.44</v>
      </c>
      <c r="C14" s="284"/>
      <c r="D14" s="208">
        <f>B14+C14</f>
        <v>1479.44</v>
      </c>
      <c r="F14" s="170">
        <f t="shared" ref="F14" si="8">E14/D14</f>
        <v>0</v>
      </c>
      <c r="G14" s="207">
        <f t="shared" ref="G14" si="9">1-F14</f>
        <v>1</v>
      </c>
      <c r="H14" s="285">
        <v>1</v>
      </c>
      <c r="I14" s="168">
        <f t="shared" si="6"/>
        <v>17753.28</v>
      </c>
      <c r="J14" s="208">
        <f>D14*G14*H14*12</f>
        <v>17753.28</v>
      </c>
      <c r="K14" s="169">
        <v>0.78</v>
      </c>
      <c r="L14" s="208">
        <f>D14*H14*12*K14</f>
        <v>13847.5584</v>
      </c>
      <c r="M14" s="168">
        <f>IF(J14&lt;L14,0,L14-J14)</f>
        <v>-3905.7215999999989</v>
      </c>
    </row>
    <row r="15" spans="1:13" x14ac:dyDescent="0.35">
      <c r="A15" s="1" t="s">
        <v>286</v>
      </c>
      <c r="B15" s="284">
        <v>1960.02</v>
      </c>
      <c r="C15" s="284"/>
      <c r="D15" s="208">
        <f>B15+C15</f>
        <v>1960.02</v>
      </c>
      <c r="E15" s="208">
        <f t="shared" ref="E15" si="10">D15*0.25</f>
        <v>490.005</v>
      </c>
      <c r="F15" s="170">
        <f t="shared" ref="F15" si="11">E15/D15</f>
        <v>0.25</v>
      </c>
      <c r="G15" s="207">
        <f t="shared" ref="G15" si="12">1-F15</f>
        <v>0.75</v>
      </c>
      <c r="H15" s="285">
        <v>1</v>
      </c>
      <c r="I15" s="168">
        <f t="shared" si="6"/>
        <v>23520.239999999998</v>
      </c>
      <c r="J15" s="208">
        <f>D15*G15*H15*12</f>
        <v>17640.18</v>
      </c>
      <c r="K15" s="169">
        <v>0.67</v>
      </c>
      <c r="L15" s="208">
        <f>D15*H15*12*K15</f>
        <v>15758.560799999999</v>
      </c>
      <c r="M15" s="168">
        <f>IF(J15&lt;L15,0,L15-J15)</f>
        <v>-1881.619200000001</v>
      </c>
    </row>
    <row r="16" spans="1:13" x14ac:dyDescent="0.35">
      <c r="B16" s="1"/>
      <c r="C16" s="1"/>
      <c r="D16" s="1"/>
      <c r="E16" s="1"/>
      <c r="G16" s="207"/>
      <c r="H16" s="215"/>
      <c r="I16" s="168">
        <f t="shared" si="6"/>
        <v>0</v>
      </c>
      <c r="J16" s="208">
        <f>D15*G16*H16*12</f>
        <v>0</v>
      </c>
      <c r="K16" s="169">
        <v>0.79</v>
      </c>
      <c r="L16" s="208">
        <f>D15*H16*12*K16</f>
        <v>0</v>
      </c>
      <c r="M16" s="168">
        <f t="shared" ref="M16" si="13">IF(J16&lt;L16,0,L16-J16)</f>
        <v>0</v>
      </c>
    </row>
    <row r="17" spans="1:15" x14ac:dyDescent="0.35">
      <c r="B17" s="284"/>
      <c r="C17" s="284"/>
      <c r="D17" s="211"/>
      <c r="E17" s="224"/>
      <c r="G17" s="207"/>
      <c r="H17" s="215"/>
      <c r="I17" s="168">
        <f t="shared" si="6"/>
        <v>0</v>
      </c>
      <c r="J17" s="211">
        <f t="shared" ref="J17" si="14">D17*G17*H17*12</f>
        <v>0</v>
      </c>
      <c r="K17" s="169">
        <v>0.66</v>
      </c>
      <c r="L17" s="208">
        <f>D17*H17*12*K17</f>
        <v>0</v>
      </c>
      <c r="M17" s="213">
        <f t="shared" ref="M17" si="15">IF(J17&lt;L17,0,L17-J17)</f>
        <v>0</v>
      </c>
    </row>
    <row r="18" spans="1:15" x14ac:dyDescent="0.35">
      <c r="A18" s="1" t="s">
        <v>55</v>
      </c>
      <c r="B18" s="208">
        <f>SUM(B6:B17)</f>
        <v>10510.68</v>
      </c>
      <c r="C18" s="208">
        <f t="shared" ref="C18:E18" si="16">SUM(C6:C17)</f>
        <v>0</v>
      </c>
      <c r="D18" s="208">
        <f t="shared" si="16"/>
        <v>10510.68</v>
      </c>
      <c r="E18" s="208">
        <f t="shared" si="16"/>
        <v>1722.4900000000002</v>
      </c>
      <c r="G18" s="171"/>
      <c r="I18" s="208">
        <f t="shared" ref="I18" si="17">SUM(I6:I17)</f>
        <v>126128.16</v>
      </c>
      <c r="J18" s="208">
        <f t="shared" ref="J18" si="18">SUM(J6:J17)</f>
        <v>105458.28</v>
      </c>
      <c r="K18" s="208"/>
      <c r="L18" s="208">
        <f t="shared" ref="L18" si="19">SUM(L6:L17)</f>
        <v>89285.217600000004</v>
      </c>
      <c r="M18" s="208">
        <f t="shared" ref="M18" si="20">SUM(M6:M17)</f>
        <v>-16173.062400000001</v>
      </c>
      <c r="N18" s="2"/>
      <c r="O18" s="167"/>
    </row>
    <row r="19" spans="1:15" x14ac:dyDescent="0.35">
      <c r="G19" s="171"/>
    </row>
    <row r="20" spans="1:15" x14ac:dyDescent="0.35">
      <c r="A20" s="219" t="s">
        <v>205</v>
      </c>
      <c r="J20" s="209"/>
      <c r="K20" s="172"/>
      <c r="L20" s="209"/>
    </row>
    <row r="21" spans="1:15" x14ac:dyDescent="0.35">
      <c r="A21" s="212" t="s">
        <v>287</v>
      </c>
      <c r="B21" s="208">
        <v>64.099999999999994</v>
      </c>
      <c r="D21" s="208">
        <f>B21</f>
        <v>64.099999999999994</v>
      </c>
      <c r="E21" s="208">
        <v>0</v>
      </c>
      <c r="F21" s="170">
        <f t="shared" ref="F21:F23" si="21">E21/D21</f>
        <v>0</v>
      </c>
      <c r="G21" s="207">
        <f t="shared" ref="G21:G24" si="22">1-F21</f>
        <v>1</v>
      </c>
      <c r="H21" s="215">
        <v>1</v>
      </c>
      <c r="I21" s="168">
        <f>D21*H21*12</f>
        <v>769.19999999999993</v>
      </c>
      <c r="J21" s="208">
        <f>D21*G21*H21*12</f>
        <v>769.19999999999993</v>
      </c>
      <c r="K21" s="217">
        <v>0.6</v>
      </c>
      <c r="L21" s="208">
        <f>D21*H21*12*K21</f>
        <v>461.51999999999992</v>
      </c>
      <c r="M21" s="168">
        <f t="shared" ref="M21" si="23">IF(J21&lt;L21,0,L21-J21)</f>
        <v>-307.68</v>
      </c>
    </row>
    <row r="22" spans="1:15" x14ac:dyDescent="0.35">
      <c r="A22" s="212" t="s">
        <v>284</v>
      </c>
      <c r="B22" s="208">
        <v>56.94</v>
      </c>
      <c r="D22" s="208">
        <f t="shared" ref="D22:D24" si="24">B22</f>
        <v>56.94</v>
      </c>
      <c r="E22" s="208">
        <v>0</v>
      </c>
      <c r="F22" s="170">
        <f t="shared" ref="F22" si="25">E22/D22</f>
        <v>0</v>
      </c>
      <c r="G22" s="207">
        <f t="shared" ref="G22" si="26">1-F22</f>
        <v>1</v>
      </c>
      <c r="H22" s="215">
        <v>1</v>
      </c>
      <c r="I22" s="168">
        <f>D22*H22*12</f>
        <v>683.28</v>
      </c>
      <c r="J22" s="208">
        <f>D22*G22*H22*12</f>
        <v>683.28</v>
      </c>
      <c r="K22" s="217">
        <v>0.6</v>
      </c>
      <c r="L22" s="208">
        <f>D22*H22*12*K22</f>
        <v>409.96799999999996</v>
      </c>
      <c r="M22" s="168">
        <f t="shared" ref="M22" si="27">IF(J22&lt;L22,0,L22-J22)</f>
        <v>-273.31200000000001</v>
      </c>
    </row>
    <row r="23" spans="1:15" x14ac:dyDescent="0.35">
      <c r="A23" s="212" t="s">
        <v>285</v>
      </c>
      <c r="B23" s="208">
        <v>112.98</v>
      </c>
      <c r="D23" s="208">
        <f t="shared" si="24"/>
        <v>112.98</v>
      </c>
      <c r="E23" s="208">
        <v>0</v>
      </c>
      <c r="F23" s="170">
        <f t="shared" si="21"/>
        <v>0</v>
      </c>
      <c r="G23" s="207">
        <f t="shared" si="22"/>
        <v>1</v>
      </c>
      <c r="H23" s="215">
        <v>1</v>
      </c>
      <c r="I23" s="168">
        <f>D23*H23*12</f>
        <v>1355.76</v>
      </c>
      <c r="J23" s="208">
        <f>D23*G23*H23*12</f>
        <v>1355.76</v>
      </c>
      <c r="K23" s="217">
        <v>0.6</v>
      </c>
      <c r="L23" s="208">
        <f>D23*H23*12*K23</f>
        <v>813.45600000000002</v>
      </c>
      <c r="M23" s="168">
        <f t="shared" ref="M23" si="28">IF(J23&lt;L23,0,L23-J23)</f>
        <v>-542.30399999999997</v>
      </c>
    </row>
    <row r="24" spans="1:15" x14ac:dyDescent="0.35">
      <c r="A24" s="1" t="s">
        <v>286</v>
      </c>
      <c r="B24" s="211">
        <v>522.25</v>
      </c>
      <c r="C24" s="211"/>
      <c r="D24" s="211">
        <f t="shared" si="24"/>
        <v>522.25</v>
      </c>
      <c r="E24" s="208">
        <v>0</v>
      </c>
      <c r="F24" s="170">
        <f>E24/D24</f>
        <v>0</v>
      </c>
      <c r="G24" s="207">
        <f t="shared" si="22"/>
        <v>1</v>
      </c>
      <c r="H24" s="215">
        <v>1</v>
      </c>
      <c r="I24" s="213">
        <f>D24*H24*12</f>
        <v>6267</v>
      </c>
      <c r="J24" s="211">
        <f>D24*G24*H24*12</f>
        <v>6267</v>
      </c>
      <c r="K24" s="171">
        <v>0.6</v>
      </c>
      <c r="L24" s="211">
        <f>D24*H24*12*K24</f>
        <v>3760.2</v>
      </c>
      <c r="M24" s="213">
        <f>IF(J24&lt;L24,0,L24-J24)</f>
        <v>-2506.8000000000002</v>
      </c>
    </row>
    <row r="25" spans="1:15" x14ac:dyDescent="0.35">
      <c r="A25" s="1" t="s">
        <v>200</v>
      </c>
      <c r="B25" s="208">
        <f>SUM(B21:B24)</f>
        <v>756.27</v>
      </c>
      <c r="D25" s="208">
        <f>SUM(D21:D24)</f>
        <v>756.27</v>
      </c>
      <c r="I25" s="208">
        <f>SUM(I21:I24)</f>
        <v>9075.24</v>
      </c>
      <c r="J25" s="208">
        <f>SUM(J21:J24)</f>
        <v>9075.24</v>
      </c>
      <c r="L25" s="208">
        <f>SUM(L21:L24)</f>
        <v>5445.1440000000002</v>
      </c>
      <c r="M25" s="208">
        <f>SUM(M21:M24)</f>
        <v>-3630.096</v>
      </c>
    </row>
    <row r="26" spans="1:15" x14ac:dyDescent="0.35">
      <c r="I26" s="208"/>
      <c r="M26" s="208"/>
    </row>
    <row r="27" spans="1:15" x14ac:dyDescent="0.35">
      <c r="A27" s="1" t="s">
        <v>290</v>
      </c>
      <c r="B27" s="211">
        <v>66</v>
      </c>
      <c r="I27" s="211">
        <f>B27*12</f>
        <v>792</v>
      </c>
      <c r="L27" s="211">
        <f>I27</f>
        <v>792</v>
      </c>
      <c r="M27" s="208"/>
    </row>
    <row r="28" spans="1:15" x14ac:dyDescent="0.35">
      <c r="A28" s="1" t="s">
        <v>308</v>
      </c>
      <c r="B28" s="208">
        <f>B18+B25+B27</f>
        <v>11332.95</v>
      </c>
      <c r="I28" s="168">
        <f>I18+I25+I27</f>
        <v>135995.4</v>
      </c>
      <c r="L28" s="168"/>
    </row>
    <row r="29" spans="1:15" x14ac:dyDescent="0.35">
      <c r="A29" s="218" t="s">
        <v>309</v>
      </c>
      <c r="J29" s="221"/>
      <c r="K29" s="292"/>
      <c r="L29" s="221">
        <f>L18+L25+L27</f>
        <v>95522.361600000004</v>
      </c>
    </row>
    <row r="30" spans="1:15" x14ac:dyDescent="0.35">
      <c r="A30" s="218" t="s">
        <v>208</v>
      </c>
      <c r="J30" s="226"/>
      <c r="K30" s="292"/>
      <c r="L30" s="294">
        <v>95125.79</v>
      </c>
    </row>
    <row r="31" spans="1:15" x14ac:dyDescent="0.35">
      <c r="A31" s="218" t="s">
        <v>209</v>
      </c>
      <c r="J31" s="221"/>
      <c r="K31" s="293"/>
      <c r="L31" s="221">
        <f>L29-L30</f>
        <v>396.57160000001022</v>
      </c>
      <c r="M31" s="320" t="s">
        <v>355</v>
      </c>
    </row>
    <row r="34" spans="1:14" ht="15" thickBot="1" x14ac:dyDescent="0.4">
      <c r="A34" s="218" t="s">
        <v>206</v>
      </c>
      <c r="M34" s="220">
        <f>M18+M25</f>
        <v>-19803.1584</v>
      </c>
      <c r="N34" s="18" t="s">
        <v>168</v>
      </c>
    </row>
    <row r="35" spans="1:14" ht="15" thickTop="1" x14ac:dyDescent="0.35"/>
    <row r="36" spans="1:14" x14ac:dyDescent="0.35">
      <c r="A36" s="1" t="s">
        <v>198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2889-0321-45D3-A9A4-AE60C9D6113F}">
  <sheetPr>
    <tabColor rgb="FF92D050"/>
  </sheetPr>
  <dimension ref="A1:K37"/>
  <sheetViews>
    <sheetView showGridLines="0" workbookViewId="0">
      <selection activeCell="A17" sqref="A17"/>
    </sheetView>
  </sheetViews>
  <sheetFormatPr defaultColWidth="8.84375" defaultRowHeight="14" x14ac:dyDescent="0.3"/>
  <cols>
    <col min="1" max="1" width="22.07421875" style="143" customWidth="1"/>
    <col min="2" max="3" width="10.15234375" style="144" bestFit="1" customWidth="1"/>
    <col min="4" max="4" width="10.61328125" style="143" customWidth="1"/>
    <col min="5" max="16384" width="8.84375" style="143"/>
  </cols>
  <sheetData>
    <row r="1" spans="1:7" ht="14.5" x14ac:dyDescent="0.35">
      <c r="A1" s="1" t="s">
        <v>141</v>
      </c>
      <c r="B1" s="7"/>
      <c r="C1" s="7"/>
      <c r="D1" s="1"/>
      <c r="E1" s="1"/>
      <c r="F1" s="1"/>
      <c r="G1" s="1"/>
    </row>
    <row r="2" spans="1:7" ht="14.5" x14ac:dyDescent="0.35">
      <c r="A2" s="1" t="s">
        <v>147</v>
      </c>
      <c r="B2" s="7"/>
      <c r="C2" s="7">
        <v>504608000</v>
      </c>
      <c r="D2" s="1"/>
      <c r="E2" s="1"/>
      <c r="F2" s="1"/>
      <c r="G2" s="1"/>
    </row>
    <row r="3" spans="1:7" ht="14.5" x14ac:dyDescent="0.35">
      <c r="A3" s="1" t="s">
        <v>148</v>
      </c>
      <c r="B3" s="7"/>
      <c r="C3" s="5">
        <v>4126000</v>
      </c>
      <c r="D3" s="1" t="s">
        <v>278</v>
      </c>
      <c r="E3" s="1"/>
      <c r="F3" s="1"/>
      <c r="G3" s="1"/>
    </row>
    <row r="4" spans="1:7" ht="14.5" x14ac:dyDescent="0.35">
      <c r="A4" s="1" t="s">
        <v>149</v>
      </c>
      <c r="B4" s="7"/>
      <c r="C4" s="7">
        <f>C2+C3</f>
        <v>508734000</v>
      </c>
      <c r="D4" s="1"/>
      <c r="E4" s="1"/>
      <c r="F4" s="1"/>
      <c r="G4" s="1"/>
    </row>
    <row r="5" spans="1:7" ht="14.5" x14ac:dyDescent="0.35">
      <c r="A5" s="1"/>
      <c r="B5" s="7"/>
      <c r="C5" s="7"/>
      <c r="D5" s="1"/>
      <c r="E5" s="1"/>
      <c r="F5" s="1"/>
      <c r="G5" s="1"/>
    </row>
    <row r="6" spans="1:7" ht="14.5" x14ac:dyDescent="0.35">
      <c r="A6" s="1" t="s">
        <v>142</v>
      </c>
      <c r="B6" s="7"/>
      <c r="C6" s="7">
        <v>372520000</v>
      </c>
      <c r="D6" s="1"/>
      <c r="E6" s="1"/>
      <c r="F6" s="1"/>
      <c r="G6" s="1"/>
    </row>
    <row r="7" spans="1:7" ht="14.5" x14ac:dyDescent="0.35">
      <c r="A7" s="1"/>
      <c r="B7" s="7"/>
      <c r="C7" s="7"/>
      <c r="D7" s="1"/>
      <c r="E7" s="1"/>
      <c r="F7" s="1"/>
      <c r="G7" s="1"/>
    </row>
    <row r="8" spans="1:7" ht="14.5" x14ac:dyDescent="0.35">
      <c r="A8" s="1" t="s">
        <v>143</v>
      </c>
      <c r="B8" s="7"/>
      <c r="C8" s="7"/>
      <c r="D8" s="1"/>
      <c r="E8" s="1"/>
      <c r="F8" s="1"/>
      <c r="G8" s="1"/>
    </row>
    <row r="9" spans="1:7" ht="14.5" x14ac:dyDescent="0.35">
      <c r="A9" s="1" t="s">
        <v>152</v>
      </c>
      <c r="B9" s="7">
        <v>2863000</v>
      </c>
      <c r="D9" s="1"/>
      <c r="E9" s="1"/>
      <c r="F9" s="1"/>
      <c r="G9" s="1"/>
    </row>
    <row r="10" spans="1:7" ht="14.5" x14ac:dyDescent="0.35">
      <c r="A10" s="1" t="s">
        <v>153</v>
      </c>
      <c r="B10" s="7">
        <v>978000</v>
      </c>
      <c r="D10" s="1"/>
      <c r="E10" s="1"/>
      <c r="F10" s="1"/>
      <c r="G10" s="1"/>
    </row>
    <row r="11" spans="1:7" ht="14.5" x14ac:dyDescent="0.35">
      <c r="A11" s="1" t="s">
        <v>154</v>
      </c>
      <c r="B11" s="7">
        <v>785000</v>
      </c>
      <c r="D11" s="1"/>
      <c r="E11" s="1"/>
      <c r="F11" s="1"/>
      <c r="G11" s="1"/>
    </row>
    <row r="12" spans="1:7" ht="14.5" x14ac:dyDescent="0.35">
      <c r="A12" s="1" t="s">
        <v>155</v>
      </c>
      <c r="B12" s="7">
        <v>0</v>
      </c>
      <c r="C12" s="7"/>
      <c r="D12" s="1"/>
      <c r="E12" s="1"/>
      <c r="F12" s="1"/>
      <c r="G12" s="1"/>
    </row>
    <row r="13" spans="1:7" ht="14.5" x14ac:dyDescent="0.35">
      <c r="A13" s="1" t="s">
        <v>150</v>
      </c>
      <c r="B13" s="7"/>
      <c r="C13" s="7">
        <f>SUM(B9:B12)</f>
        <v>4626000</v>
      </c>
      <c r="D13" s="1"/>
      <c r="E13" s="1"/>
      <c r="F13" s="1"/>
      <c r="G13" s="1"/>
    </row>
    <row r="14" spans="1:7" ht="14.5" x14ac:dyDescent="0.35">
      <c r="A14" s="1"/>
      <c r="B14" s="7"/>
      <c r="C14" s="7"/>
      <c r="D14" s="1"/>
      <c r="E14" s="1"/>
      <c r="F14" s="1"/>
      <c r="G14" s="1"/>
    </row>
    <row r="15" spans="1:7" ht="14.5" x14ac:dyDescent="0.35">
      <c r="A15" s="1" t="s">
        <v>151</v>
      </c>
      <c r="B15" s="7"/>
      <c r="C15" s="7"/>
      <c r="D15" s="1"/>
      <c r="E15" s="1"/>
      <c r="F15" s="1"/>
      <c r="G15" s="1"/>
    </row>
    <row r="16" spans="1:7" ht="14.5" x14ac:dyDescent="0.35">
      <c r="A16" s="1" t="s">
        <v>156</v>
      </c>
      <c r="B16" s="7">
        <v>0</v>
      </c>
      <c r="C16" s="7"/>
      <c r="D16" s="1"/>
      <c r="E16" s="1"/>
      <c r="F16" s="1"/>
      <c r="G16" s="1"/>
    </row>
    <row r="17" spans="1:7" ht="14.5" x14ac:dyDescent="0.35">
      <c r="A17" s="1" t="s">
        <v>157</v>
      </c>
      <c r="B17" s="7">
        <v>7226000</v>
      </c>
      <c r="C17" s="7"/>
      <c r="D17" s="1"/>
      <c r="E17" s="1"/>
      <c r="F17" s="1"/>
      <c r="G17" s="1"/>
    </row>
    <row r="18" spans="1:7" ht="14.5" x14ac:dyDescent="0.35">
      <c r="A18" s="1" t="s">
        <v>158</v>
      </c>
      <c r="B18" s="7">
        <v>5778000</v>
      </c>
      <c r="C18" s="7"/>
      <c r="D18" s="1"/>
      <c r="E18" s="1"/>
      <c r="F18" s="1"/>
      <c r="G18" s="1"/>
    </row>
    <row r="19" spans="1:7" ht="14.5" x14ac:dyDescent="0.35">
      <c r="A19" s="1" t="s">
        <v>195</v>
      </c>
      <c r="B19" s="7">
        <v>0</v>
      </c>
      <c r="C19" s="7"/>
      <c r="D19" s="1"/>
      <c r="E19" s="1"/>
      <c r="F19" s="1"/>
      <c r="G19" s="1"/>
    </row>
    <row r="20" spans="1:7" ht="14.5" x14ac:dyDescent="0.35">
      <c r="A20" s="1" t="s">
        <v>159</v>
      </c>
      <c r="B20" s="7">
        <v>118584000</v>
      </c>
      <c r="C20" s="7"/>
    </row>
    <row r="21" spans="1:7" ht="14.5" x14ac:dyDescent="0.35">
      <c r="A21" s="1" t="s">
        <v>160</v>
      </c>
      <c r="B21" s="7"/>
      <c r="C21" s="5">
        <f>SUM(B16:B20)</f>
        <v>131588000</v>
      </c>
    </row>
    <row r="22" spans="1:7" ht="14.5" x14ac:dyDescent="0.35">
      <c r="A22" s="1" t="s">
        <v>161</v>
      </c>
      <c r="B22" s="7"/>
      <c r="C22" s="7">
        <f>C6+C13+C21</f>
        <v>508734000</v>
      </c>
    </row>
    <row r="23" spans="1:7" ht="14.5" x14ac:dyDescent="0.35">
      <c r="A23" s="1"/>
    </row>
    <row r="25" spans="1:7" ht="14.5" x14ac:dyDescent="0.35">
      <c r="D25" s="50">
        <f>C21/C4</f>
        <v>0.25865776614104818</v>
      </c>
      <c r="E25" s="1" t="s">
        <v>144</v>
      </c>
      <c r="F25" s="1"/>
      <c r="G25" s="1"/>
    </row>
    <row r="26" spans="1:7" ht="14.5" x14ac:dyDescent="0.35">
      <c r="D26" s="50">
        <v>0.15</v>
      </c>
      <c r="E26" s="1" t="s">
        <v>145</v>
      </c>
      <c r="F26" s="1"/>
      <c r="G26" s="1"/>
    </row>
    <row r="27" spans="1:7" ht="14.5" x14ac:dyDescent="0.35">
      <c r="D27" s="50">
        <f>D25-D26</f>
        <v>0.10865776614104819</v>
      </c>
      <c r="E27" s="1" t="s">
        <v>146</v>
      </c>
      <c r="F27" s="1"/>
      <c r="G27" s="18"/>
    </row>
    <row r="29" spans="1:7" ht="14.5" x14ac:dyDescent="0.35">
      <c r="A29" s="1" t="s">
        <v>196</v>
      </c>
      <c r="B29" s="7"/>
      <c r="C29" s="7"/>
    </row>
    <row r="30" spans="1:7" ht="14.5" x14ac:dyDescent="0.35">
      <c r="A30" s="1" t="str">
        <f>SAO!C24</f>
        <v>Purchased Water</v>
      </c>
      <c r="B30" s="200">
        <f>SAO!D24</f>
        <v>0</v>
      </c>
      <c r="C30" s="201">
        <f>D27</f>
        <v>0.10865776614104819</v>
      </c>
      <c r="D30" s="189">
        <f>B30*C30</f>
        <v>0</v>
      </c>
      <c r="E30" s="227"/>
    </row>
    <row r="31" spans="1:7" ht="14.5" x14ac:dyDescent="0.35">
      <c r="A31" s="1" t="str">
        <f>SAO!C25</f>
        <v>Purchased Power</v>
      </c>
      <c r="B31" s="200">
        <f>SAO!D25</f>
        <v>167123</v>
      </c>
      <c r="C31" s="201">
        <f>D27</f>
        <v>0.10865776614104819</v>
      </c>
      <c r="D31" s="189">
        <f t="shared" ref="D31:D32" si="0">B31*C31</f>
        <v>18159.211850790398</v>
      </c>
      <c r="E31" s="227" t="s">
        <v>168</v>
      </c>
    </row>
    <row r="32" spans="1:7" ht="16" x14ac:dyDescent="0.5">
      <c r="A32" s="1" t="str">
        <f>SAO!C26</f>
        <v>Chemicals</v>
      </c>
      <c r="B32" s="200">
        <f>SAO!D26</f>
        <v>26167</v>
      </c>
      <c r="C32" s="202">
        <f>D27</f>
        <v>0.10865776614104819</v>
      </c>
      <c r="D32" s="203">
        <f t="shared" si="0"/>
        <v>2843.2477666128079</v>
      </c>
      <c r="E32" s="227" t="s">
        <v>168</v>
      </c>
    </row>
    <row r="33" spans="1:11" ht="16" x14ac:dyDescent="0.5">
      <c r="A33" s="1"/>
      <c r="B33" s="200"/>
      <c r="C33" s="202"/>
      <c r="D33" s="203"/>
    </row>
    <row r="34" spans="1:11" ht="16" x14ac:dyDescent="0.5">
      <c r="A34" s="1" t="s">
        <v>367</v>
      </c>
      <c r="B34" s="200"/>
      <c r="C34" s="202"/>
      <c r="D34" s="203"/>
    </row>
    <row r="35" spans="1:11" ht="14.5" x14ac:dyDescent="0.35">
      <c r="A35" s="1" t="s">
        <v>192</v>
      </c>
      <c r="B35" s="7"/>
      <c r="C35" s="190"/>
      <c r="D35" s="189">
        <f>SUM(D30:D32)</f>
        <v>21002.459617403205</v>
      </c>
    </row>
    <row r="36" spans="1:11" ht="14.5" x14ac:dyDescent="0.35">
      <c r="A36" s="1" t="s">
        <v>194</v>
      </c>
      <c r="B36" s="7"/>
      <c r="C36" s="6"/>
      <c r="D36" s="31">
        <f>ExBA!D6</f>
        <v>34086</v>
      </c>
    </row>
    <row r="37" spans="1:11" ht="14.5" x14ac:dyDescent="0.35">
      <c r="A37" s="1" t="s">
        <v>307</v>
      </c>
      <c r="B37" s="7"/>
      <c r="C37" s="190"/>
      <c r="D37" s="189">
        <f>D35/D36</f>
        <v>0.61616087594329649</v>
      </c>
      <c r="E37" s="143" t="s">
        <v>279</v>
      </c>
      <c r="F37" s="314" t="s">
        <v>388</v>
      </c>
      <c r="G37" s="314"/>
      <c r="H37" s="314"/>
      <c r="I37" s="314"/>
      <c r="J37" s="314"/>
      <c r="K37" s="314"/>
    </row>
  </sheetData>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2:GH21"/>
  <sheetViews>
    <sheetView showGridLines="0" workbookViewId="0">
      <selection sqref="A1:J22"/>
    </sheetView>
  </sheetViews>
  <sheetFormatPr defaultColWidth="8.84375" defaultRowHeight="14.5" x14ac:dyDescent="0.35"/>
  <cols>
    <col min="1" max="1" width="2.84375" style="25" customWidth="1"/>
    <col min="2" max="2" width="9.69140625" style="25" customWidth="1"/>
    <col min="3" max="3" width="11.07421875" style="25" customWidth="1"/>
    <col min="4" max="4" width="8.4609375" style="25" customWidth="1"/>
    <col min="5" max="5" width="9.69140625" style="25" customWidth="1"/>
    <col min="6" max="6" width="9.69140625" style="25" hidden="1" customWidth="1"/>
    <col min="7" max="8" width="9.69140625" style="53" customWidth="1"/>
    <col min="9" max="9" width="2.765625" style="25" customWidth="1"/>
    <col min="10" max="10" width="2" style="25" customWidth="1"/>
    <col min="11" max="11" width="9.69140625" style="187" customWidth="1"/>
    <col min="12" max="190" width="9.69140625" style="25" customWidth="1"/>
    <col min="191" max="16384" width="8.84375" style="14"/>
  </cols>
  <sheetData>
    <row r="2" spans="2:9" ht="18" customHeight="1" x14ac:dyDescent="0.45">
      <c r="B2" s="382"/>
      <c r="C2" s="383"/>
      <c r="D2" s="383"/>
      <c r="E2" s="383"/>
      <c r="F2" s="383"/>
      <c r="G2" s="383"/>
      <c r="H2" s="383"/>
      <c r="I2" s="384"/>
    </row>
    <row r="3" spans="2:9" ht="18" customHeight="1" x14ac:dyDescent="0.45">
      <c r="B3" s="397" t="s">
        <v>212</v>
      </c>
      <c r="C3" s="398"/>
      <c r="D3" s="398"/>
      <c r="E3" s="398"/>
      <c r="F3" s="398"/>
      <c r="G3" s="398"/>
      <c r="H3" s="398"/>
      <c r="I3" s="399"/>
    </row>
    <row r="4" spans="2:9" ht="21" x14ac:dyDescent="0.5">
      <c r="B4" s="385" t="s">
        <v>58</v>
      </c>
      <c r="C4" s="386"/>
      <c r="D4" s="386"/>
      <c r="E4" s="386"/>
      <c r="F4" s="386"/>
      <c r="G4" s="386"/>
      <c r="H4" s="386"/>
      <c r="I4" s="387"/>
    </row>
    <row r="5" spans="2:9" ht="18" customHeight="1" x14ac:dyDescent="0.35">
      <c r="B5" s="388" t="s">
        <v>216</v>
      </c>
      <c r="C5" s="389"/>
      <c r="D5" s="389"/>
      <c r="E5" s="389"/>
      <c r="F5" s="389"/>
      <c r="G5" s="389"/>
      <c r="H5" s="389"/>
      <c r="I5" s="390"/>
    </row>
    <row r="6" spans="2:9" ht="6" customHeight="1" x14ac:dyDescent="0.35">
      <c r="B6" s="191"/>
      <c r="I6" s="192"/>
    </row>
    <row r="7" spans="2:9" x14ac:dyDescent="0.35">
      <c r="B7" s="191"/>
      <c r="I7" s="192"/>
    </row>
    <row r="8" spans="2:9" ht="18.5" x14ac:dyDescent="0.45">
      <c r="B8" s="394" t="s">
        <v>223</v>
      </c>
      <c r="C8" s="395"/>
      <c r="D8" s="395"/>
      <c r="E8" s="395"/>
      <c r="F8" s="395"/>
      <c r="G8" s="395"/>
      <c r="H8" s="395"/>
      <c r="I8" s="396"/>
    </row>
    <row r="9" spans="2:9" ht="8" customHeight="1" x14ac:dyDescent="0.45">
      <c r="B9" s="232"/>
      <c r="C9" s="233"/>
      <c r="D9" s="233"/>
      <c r="E9" s="233"/>
      <c r="F9" s="233"/>
      <c r="G9" s="233"/>
      <c r="H9" s="233"/>
      <c r="I9" s="234"/>
    </row>
    <row r="10" spans="2:9" ht="19" x14ac:dyDescent="0.5">
      <c r="B10" s="391" t="s">
        <v>224</v>
      </c>
      <c r="C10" s="392"/>
      <c r="D10" s="28" t="s">
        <v>59</v>
      </c>
      <c r="E10" s="28" t="s">
        <v>10</v>
      </c>
      <c r="F10" s="28"/>
      <c r="G10" s="393" t="s">
        <v>70</v>
      </c>
      <c r="H10" s="393"/>
      <c r="I10" s="234"/>
    </row>
    <row r="11" spans="2:9" ht="18.5" x14ac:dyDescent="0.45">
      <c r="B11" s="400" t="s">
        <v>225</v>
      </c>
      <c r="C11" s="401"/>
      <c r="D11" s="197">
        <v>23.49</v>
      </c>
      <c r="E11" s="30">
        <f>ROUND(D11*(1+SAO!$G$62),2)</f>
        <v>28.99</v>
      </c>
      <c r="F11" s="29" t="e">
        <f>#REF!*(1+#REF!)</f>
        <v>#REF!</v>
      </c>
      <c r="G11" s="197">
        <f t="shared" ref="G11:G17" si="0">E11-D11</f>
        <v>5.5</v>
      </c>
      <c r="H11" s="198">
        <f t="shared" ref="H11:H17" si="1">G11/D11</f>
        <v>0.23414218816517668</v>
      </c>
      <c r="I11" s="234"/>
    </row>
    <row r="12" spans="2:9" ht="18.5" x14ac:dyDescent="0.45">
      <c r="B12" s="236"/>
      <c r="C12" s="235" t="s">
        <v>226</v>
      </c>
      <c r="D12" s="197">
        <v>32.79</v>
      </c>
      <c r="E12" s="30">
        <f>ROUND(D12*(1+SAO!$G$62),2)</f>
        <v>40.47</v>
      </c>
      <c r="F12" s="29" t="e">
        <f>#REF!*(1+#REF!)</f>
        <v>#REF!</v>
      </c>
      <c r="G12" s="197">
        <f t="shared" si="0"/>
        <v>7.68</v>
      </c>
      <c r="H12" s="198">
        <f t="shared" si="1"/>
        <v>0.23421774931381517</v>
      </c>
      <c r="I12" s="234"/>
    </row>
    <row r="13" spans="2:9" ht="18.5" x14ac:dyDescent="0.45">
      <c r="B13" s="236"/>
      <c r="C13" s="235" t="s">
        <v>227</v>
      </c>
      <c r="D13" s="197">
        <v>48.3</v>
      </c>
      <c r="E13" s="30">
        <f>ROUND(D13*(1+SAO!$G$62),2)</f>
        <v>59.61</v>
      </c>
      <c r="F13" s="29" t="e">
        <f>#REF!*(1+#REF!)</f>
        <v>#REF!</v>
      </c>
      <c r="G13" s="197">
        <f t="shared" si="0"/>
        <v>11.310000000000002</v>
      </c>
      <c r="H13" s="198">
        <f t="shared" si="1"/>
        <v>0.23416149068322986</v>
      </c>
      <c r="I13" s="234"/>
    </row>
    <row r="14" spans="2:9" ht="18.5" x14ac:dyDescent="0.45">
      <c r="B14" s="236"/>
      <c r="C14" s="235" t="s">
        <v>228</v>
      </c>
      <c r="D14" s="197">
        <v>66.95</v>
      </c>
      <c r="E14" s="30">
        <f>ROUND(D14*(1+SAO!$G$62),2)</f>
        <v>82.62</v>
      </c>
      <c r="F14" s="29" t="e">
        <f>#REF!*(1+#REF!)</f>
        <v>#REF!</v>
      </c>
      <c r="G14" s="197">
        <f t="shared" si="0"/>
        <v>15.670000000000002</v>
      </c>
      <c r="H14" s="198">
        <f t="shared" si="1"/>
        <v>0.2340552651232263</v>
      </c>
      <c r="I14" s="234"/>
    </row>
    <row r="15" spans="2:9" ht="18.5" x14ac:dyDescent="0.45">
      <c r="B15" s="236"/>
      <c r="C15" s="235" t="s">
        <v>229</v>
      </c>
      <c r="D15" s="197">
        <v>110.4</v>
      </c>
      <c r="E15" s="30">
        <f>ROUND(D15*(1+SAO!$G$62),2)</f>
        <v>136.24</v>
      </c>
      <c r="F15" s="29" t="e">
        <f>#REF!*(1+#REF!)</f>
        <v>#REF!</v>
      </c>
      <c r="G15" s="197">
        <f t="shared" si="0"/>
        <v>25.840000000000003</v>
      </c>
      <c r="H15" s="198">
        <f t="shared" si="1"/>
        <v>0.23405797101449277</v>
      </c>
      <c r="I15" s="234"/>
    </row>
    <row r="16" spans="2:9" ht="18.5" x14ac:dyDescent="0.45">
      <c r="B16" s="236"/>
      <c r="C16" s="235" t="s">
        <v>230</v>
      </c>
      <c r="D16" s="197">
        <v>172.51</v>
      </c>
      <c r="E16" s="30">
        <f>ROUND(D16*(1+SAO!$G$62),2)</f>
        <v>212.89</v>
      </c>
      <c r="F16" s="29" t="e">
        <f>#REF!*(1+#REF!)</f>
        <v>#REF!</v>
      </c>
      <c r="G16" s="197">
        <f t="shared" si="0"/>
        <v>40.379999999999995</v>
      </c>
      <c r="H16" s="198">
        <f t="shared" si="1"/>
        <v>0.23407338705002606</v>
      </c>
      <c r="I16" s="234"/>
    </row>
    <row r="17" spans="2:13" ht="18.5" x14ac:dyDescent="0.45">
      <c r="B17" s="236"/>
      <c r="C17" s="235" t="s">
        <v>231</v>
      </c>
      <c r="D17" s="197">
        <v>327.73</v>
      </c>
      <c r="E17" s="30">
        <f>ROUND(D17*(1+SAO!$G$62),2)</f>
        <v>404.44</v>
      </c>
      <c r="F17" s="29" t="e">
        <f>#REF!*(1+#REF!)</f>
        <v>#REF!</v>
      </c>
      <c r="G17" s="197">
        <f t="shared" si="0"/>
        <v>76.70999999999998</v>
      </c>
      <c r="H17" s="198">
        <f t="shared" si="1"/>
        <v>0.23406462636926731</v>
      </c>
      <c r="I17" s="234"/>
    </row>
    <row r="18" spans="2:13" x14ac:dyDescent="0.35">
      <c r="B18" s="191"/>
      <c r="I18" s="192"/>
    </row>
    <row r="19" spans="2:13" ht="14.4" customHeight="1" x14ac:dyDescent="0.5">
      <c r="B19" s="391" t="s">
        <v>222</v>
      </c>
      <c r="C19" s="392"/>
      <c r="D19" s="28" t="s">
        <v>59</v>
      </c>
      <c r="E19" s="28" t="s">
        <v>10</v>
      </c>
      <c r="F19" s="28"/>
      <c r="G19" s="393" t="s">
        <v>70</v>
      </c>
      <c r="H19" s="393"/>
      <c r="I19" s="193"/>
    </row>
    <row r="20" spans="2:13" x14ac:dyDescent="0.35">
      <c r="B20" s="27"/>
      <c r="C20" s="26" t="s">
        <v>221</v>
      </c>
      <c r="D20" s="231">
        <v>3.2699999999999999E-3</v>
      </c>
      <c r="E20" s="237">
        <f>ROUND(D20*(1+SAO!$G$62),5)</f>
        <v>4.0400000000000002E-3</v>
      </c>
      <c r="F20" s="29" t="e">
        <f>#REF!*(1+#REF!)</f>
        <v>#REF!</v>
      </c>
      <c r="G20" s="267">
        <f>E20-D20</f>
        <v>7.7000000000000028E-4</v>
      </c>
      <c r="H20" s="198">
        <f>G20/D20</f>
        <v>0.23547400611620806</v>
      </c>
      <c r="I20" s="194"/>
      <c r="L20" s="188"/>
      <c r="M20" s="188"/>
    </row>
    <row r="21" spans="2:13" x14ac:dyDescent="0.35">
      <c r="B21" s="324"/>
      <c r="C21" s="195"/>
      <c r="D21" s="42"/>
      <c r="E21" s="195"/>
      <c r="F21" s="195"/>
      <c r="G21" s="301"/>
      <c r="H21" s="199"/>
      <c r="I21" s="196"/>
      <c r="L21" s="188"/>
      <c r="M21" s="188"/>
    </row>
  </sheetData>
  <mergeCells count="10">
    <mergeCell ref="B2:I2"/>
    <mergeCell ref="B4:I4"/>
    <mergeCell ref="B5:I5"/>
    <mergeCell ref="B10:C10"/>
    <mergeCell ref="G19:H19"/>
    <mergeCell ref="B8:I8"/>
    <mergeCell ref="B3:I3"/>
    <mergeCell ref="G10:H10"/>
    <mergeCell ref="B19:C19"/>
    <mergeCell ref="B11:C11"/>
  </mergeCells>
  <printOptions horizontalCentered="1"/>
  <pageMargins left="0.55000000000000004" right="0.55000000000000004" top="1.6" bottom="0.5"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SAO</vt:lpstr>
      <vt:lpstr>References</vt:lpstr>
      <vt:lpstr>Wages</vt:lpstr>
      <vt:lpstr>Debt Service</vt:lpstr>
      <vt:lpstr>Depreciation</vt:lpstr>
      <vt:lpstr>Capital</vt:lpstr>
      <vt:lpstr>Medical</vt:lpstr>
      <vt:lpstr>Water Loss</vt:lpstr>
      <vt:lpstr>Rates</vt:lpstr>
      <vt:lpstr>Bills</vt:lpstr>
      <vt:lpstr>ExBA</vt:lpstr>
      <vt:lpstr>PrBA</vt:lpstr>
      <vt:lpstr>Bills!Print_Area</vt:lpstr>
      <vt:lpstr>'Debt Service'!Print_Area</vt:lpstr>
      <vt:lpstr>Depreciation!Print_Area</vt:lpstr>
      <vt:lpstr>PrBA!Print_Area</vt:lpstr>
      <vt:lpstr>Rates!Print_Area</vt:lpstr>
      <vt:lpstr>SAO!Print_Area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dc:creator>
  <cp:lastModifiedBy>18595</cp:lastModifiedBy>
  <cp:lastPrinted>2022-01-17T21:23:27Z</cp:lastPrinted>
  <dcterms:created xsi:type="dcterms:W3CDTF">2016-05-18T14:12:06Z</dcterms:created>
  <dcterms:modified xsi:type="dcterms:W3CDTF">2023-06-06T14:55:20Z</dcterms:modified>
</cp:coreProperties>
</file>