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i\Google Drive\East Laurel WD\RFI #1 Files\"/>
    </mc:Choice>
  </mc:AlternateContent>
  <xr:revisionPtr revIDLastSave="0" documentId="13_ncr:1_{397BCE3E-9124-44A1-A6BA-A79E754BD233}" xr6:coauthVersionLast="47" xr6:coauthVersionMax="47" xr10:uidLastSave="{00000000-0000-0000-0000-000000000000}"/>
  <bookViews>
    <workbookView xWindow="14385" yWindow="-15" windowWidth="14430" windowHeight="15630" xr2:uid="{C1ECEDC6-2DC2-4DEE-9572-5363345F3343}"/>
  </bookViews>
  <sheets>
    <sheet name="ExBA" sheetId="1" r:id="rId1"/>
    <sheet name="PropB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E18" i="2"/>
  <c r="F18" i="2"/>
  <c r="G18" i="2"/>
  <c r="H18" i="2"/>
  <c r="I18" i="2"/>
  <c r="C19" i="2"/>
  <c r="C24" i="2" s="1"/>
  <c r="D19" i="2"/>
  <c r="D24" i="2" s="1"/>
  <c r="F6" i="2" s="1"/>
  <c r="E19" i="2"/>
  <c r="C20" i="2"/>
  <c r="D20" i="2"/>
  <c r="E20" i="2"/>
  <c r="F20" i="2"/>
  <c r="C21" i="2"/>
  <c r="E21" i="2" s="1"/>
  <c r="D21" i="2"/>
  <c r="C22" i="2"/>
  <c r="D22" i="2"/>
  <c r="E22" i="2"/>
  <c r="F22" i="2"/>
  <c r="G22" i="2"/>
  <c r="H22" i="2"/>
  <c r="H24" i="2" s="1"/>
  <c r="D31" i="2" s="1"/>
  <c r="F31" i="2" s="1"/>
  <c r="C23" i="2"/>
  <c r="D23" i="2"/>
  <c r="I23" i="2" s="1"/>
  <c r="I24" i="2" s="1"/>
  <c r="D32" i="2" s="1"/>
  <c r="F32" i="2" s="1"/>
  <c r="E23" i="2"/>
  <c r="F23" i="2"/>
  <c r="G23" i="2"/>
  <c r="H23" i="2"/>
  <c r="B28" i="2"/>
  <c r="B29" i="2"/>
  <c r="B30" i="2"/>
  <c r="B31" i="2"/>
  <c r="B32" i="2"/>
  <c r="E37" i="2"/>
  <c r="F37" i="2"/>
  <c r="G37" i="2"/>
  <c r="C38" i="2"/>
  <c r="D38" i="2"/>
  <c r="D41" i="2" s="1"/>
  <c r="F7" i="2" s="1"/>
  <c r="E38" i="2"/>
  <c r="E41" i="2" s="1"/>
  <c r="D45" i="2" s="1"/>
  <c r="C39" i="2"/>
  <c r="D39" i="2"/>
  <c r="E39" i="2"/>
  <c r="F39" i="2"/>
  <c r="F41" i="2" s="1"/>
  <c r="D46" i="2" s="1"/>
  <c r="F46" i="2" s="1"/>
  <c r="C40" i="2"/>
  <c r="D40" i="2"/>
  <c r="E40" i="2"/>
  <c r="F40" i="2"/>
  <c r="G40" i="2"/>
  <c r="G41" i="2" s="1"/>
  <c r="D47" i="2" s="1"/>
  <c r="F47" i="2" s="1"/>
  <c r="C41" i="2"/>
  <c r="E7" i="2" s="1"/>
  <c r="E52" i="2"/>
  <c r="F52" i="2"/>
  <c r="C53" i="2"/>
  <c r="D53" i="2"/>
  <c r="E53" i="2"/>
  <c r="F53" i="2"/>
  <c r="C54" i="2"/>
  <c r="D54" i="2"/>
  <c r="E54" i="2"/>
  <c r="F54" i="2"/>
  <c r="C55" i="2"/>
  <c r="C59" i="2" s="1"/>
  <c r="C61" i="2" s="1"/>
  <c r="E8" i="2" s="1"/>
  <c r="D55" i="2"/>
  <c r="E55" i="2"/>
  <c r="D59" i="2" s="1"/>
  <c r="D61" i="2" s="1"/>
  <c r="F8" i="2" s="1"/>
  <c r="F55" i="2"/>
  <c r="D60" i="2" s="1"/>
  <c r="F60" i="2" s="1"/>
  <c r="B59" i="2"/>
  <c r="F59" i="2"/>
  <c r="B60" i="2"/>
  <c r="E65" i="2"/>
  <c r="E67" i="2" s="1"/>
  <c r="F67" i="2" s="1"/>
  <c r="F65" i="2"/>
  <c r="C66" i="2"/>
  <c r="C68" i="2" s="1"/>
  <c r="D66" i="2"/>
  <c r="F66" i="2" s="1"/>
  <c r="F68" i="2" s="1"/>
  <c r="D73" i="2" s="1"/>
  <c r="E66" i="2"/>
  <c r="E68" i="2" s="1"/>
  <c r="D72" i="2" s="1"/>
  <c r="D74" i="2" s="1"/>
  <c r="D67" i="2"/>
  <c r="B72" i="2"/>
  <c r="B73" i="2"/>
  <c r="D78" i="2"/>
  <c r="G13" i="2" s="1"/>
  <c r="D78" i="1"/>
  <c r="G13" i="1" s="1"/>
  <c r="B73" i="1"/>
  <c r="B72" i="1"/>
  <c r="D67" i="1"/>
  <c r="D66" i="1"/>
  <c r="D68" i="1" s="1"/>
  <c r="F9" i="1" s="1"/>
  <c r="C66" i="1"/>
  <c r="C68" i="1" s="1"/>
  <c r="F65" i="1"/>
  <c r="E65" i="1"/>
  <c r="E67" i="1" s="1"/>
  <c r="B60" i="1"/>
  <c r="B59" i="1"/>
  <c r="D54" i="1"/>
  <c r="D55" i="1" s="1"/>
  <c r="C54" i="1"/>
  <c r="C55" i="1" s="1"/>
  <c r="C59" i="1" s="1"/>
  <c r="C61" i="1" s="1"/>
  <c r="E8" i="1" s="1"/>
  <c r="D53" i="1"/>
  <c r="E53" i="1" s="1"/>
  <c r="C53" i="1"/>
  <c r="F52" i="1"/>
  <c r="E52" i="1"/>
  <c r="D40" i="1"/>
  <c r="C40" i="1"/>
  <c r="D39" i="1"/>
  <c r="C39" i="1"/>
  <c r="D38" i="1"/>
  <c r="E38" i="1" s="1"/>
  <c r="C38" i="1"/>
  <c r="G37" i="1"/>
  <c r="F37" i="1"/>
  <c r="E37" i="1"/>
  <c r="B32" i="1"/>
  <c r="B31" i="1"/>
  <c r="B30" i="1"/>
  <c r="B29" i="1"/>
  <c r="B28" i="1"/>
  <c r="D23" i="1"/>
  <c r="C23" i="1"/>
  <c r="G22" i="1"/>
  <c r="F22" i="1"/>
  <c r="E22" i="1"/>
  <c r="H22" i="1" s="1"/>
  <c r="D22" i="1"/>
  <c r="C22" i="1"/>
  <c r="D21" i="1"/>
  <c r="C21" i="1"/>
  <c r="D20" i="1"/>
  <c r="C20" i="1"/>
  <c r="D19" i="1"/>
  <c r="D24" i="1" s="1"/>
  <c r="F6" i="1" s="1"/>
  <c r="C19" i="1"/>
  <c r="C24" i="1" s="1"/>
  <c r="I18" i="1"/>
  <c r="H18" i="1"/>
  <c r="G18" i="1"/>
  <c r="F18" i="1"/>
  <c r="E18" i="1"/>
  <c r="F13" i="1"/>
  <c r="F61" i="2" l="1"/>
  <c r="G8" i="2" s="1"/>
  <c r="E24" i="2"/>
  <c r="D28" i="2" s="1"/>
  <c r="D48" i="2"/>
  <c r="E6" i="2"/>
  <c r="C28" i="2"/>
  <c r="E9" i="2"/>
  <c r="C72" i="2"/>
  <c r="F73" i="2"/>
  <c r="D68" i="2"/>
  <c r="F9" i="2" s="1"/>
  <c r="F10" i="2" s="1"/>
  <c r="C45" i="2"/>
  <c r="F21" i="2"/>
  <c r="F24" i="2" s="1"/>
  <c r="D29" i="2" s="1"/>
  <c r="F29" i="2" s="1"/>
  <c r="E20" i="1"/>
  <c r="E23" i="1"/>
  <c r="F40" i="1"/>
  <c r="F21" i="1"/>
  <c r="E39" i="1"/>
  <c r="F39" i="1"/>
  <c r="F41" i="1" s="1"/>
  <c r="D46" i="1" s="1"/>
  <c r="E9" i="1"/>
  <c r="C72" i="1"/>
  <c r="C74" i="1" s="1"/>
  <c r="C28" i="1"/>
  <c r="C33" i="1" s="1"/>
  <c r="E6" i="1"/>
  <c r="F46" i="1"/>
  <c r="F20" i="1"/>
  <c r="F24" i="1" s="1"/>
  <c r="D29" i="1" s="1"/>
  <c r="F29" i="1" s="1"/>
  <c r="F59" i="1"/>
  <c r="F67" i="1"/>
  <c r="F72" i="1"/>
  <c r="F53" i="1"/>
  <c r="E54" i="1"/>
  <c r="F54" i="1" s="1"/>
  <c r="H23" i="1"/>
  <c r="H24" i="1" s="1"/>
  <c r="D31" i="1" s="1"/>
  <c r="F31" i="1" s="1"/>
  <c r="C41" i="1"/>
  <c r="E66" i="1"/>
  <c r="E68" i="1" s="1"/>
  <c r="D72" i="1" s="1"/>
  <c r="E19" i="1"/>
  <c r="D41" i="1"/>
  <c r="F7" i="1" s="1"/>
  <c r="F23" i="1"/>
  <c r="E21" i="1"/>
  <c r="G21" i="1" s="1"/>
  <c r="E40" i="1"/>
  <c r="E41" i="1" s="1"/>
  <c r="D45" i="1" s="1"/>
  <c r="G23" i="1"/>
  <c r="I23" i="1" s="1"/>
  <c r="I24" i="1" s="1"/>
  <c r="D32" i="1" s="1"/>
  <c r="F32" i="1" s="1"/>
  <c r="F45" i="2" l="1"/>
  <c r="F48" i="2" s="1"/>
  <c r="G7" i="2" s="1"/>
  <c r="C48" i="2"/>
  <c r="C74" i="2"/>
  <c r="F72" i="2"/>
  <c r="F74" i="2" s="1"/>
  <c r="G9" i="2" s="1"/>
  <c r="G21" i="2"/>
  <c r="G24" i="2" s="1"/>
  <c r="D30" i="2" s="1"/>
  <c r="F30" i="2" s="1"/>
  <c r="C33" i="2"/>
  <c r="F28" i="2"/>
  <c r="E10" i="2"/>
  <c r="D33" i="2"/>
  <c r="E24" i="1"/>
  <c r="D28" i="1" s="1"/>
  <c r="E55" i="1"/>
  <c r="D59" i="1" s="1"/>
  <c r="C45" i="1"/>
  <c r="E7" i="1"/>
  <c r="E10" i="1" s="1"/>
  <c r="F28" i="1"/>
  <c r="G24" i="1"/>
  <c r="D30" i="1" s="1"/>
  <c r="F30" i="1" s="1"/>
  <c r="F55" i="1"/>
  <c r="D60" i="1" s="1"/>
  <c r="F60" i="1" s="1"/>
  <c r="F61" i="1" s="1"/>
  <c r="G8" i="1" s="1"/>
  <c r="G40" i="1"/>
  <c r="G41" i="1" s="1"/>
  <c r="D47" i="1" s="1"/>
  <c r="F47" i="1" s="1"/>
  <c r="F66" i="1"/>
  <c r="F68" i="1" s="1"/>
  <c r="D73" i="1" s="1"/>
  <c r="F73" i="1" s="1"/>
  <c r="F74" i="1" s="1"/>
  <c r="G9" i="1" s="1"/>
  <c r="F33" i="2" l="1"/>
  <c r="G6" i="2" s="1"/>
  <c r="G10" i="2" s="1"/>
  <c r="G14" i="2" s="1"/>
  <c r="C48" i="1"/>
  <c r="F45" i="1"/>
  <c r="F48" i="1" s="1"/>
  <c r="G7" i="1" s="1"/>
  <c r="D33" i="1"/>
  <c r="D74" i="1"/>
  <c r="D61" i="1"/>
  <c r="F8" i="1" s="1"/>
  <c r="F10" i="1" s="1"/>
  <c r="F33" i="1"/>
  <c r="G6" i="1" s="1"/>
  <c r="D48" i="1"/>
  <c r="G12" i="2" l="1"/>
  <c r="G10" i="1"/>
  <c r="G14" i="1" s="1"/>
  <c r="G12" i="1" l="1"/>
</calcChain>
</file>

<file path=xl/sharedStrings.xml><?xml version="1.0" encoding="utf-8"?>
<sst xmlns="http://schemas.openxmlformats.org/spreadsheetml/2006/main" count="190" uniqueCount="32">
  <si>
    <t>CURRENT BILLING ANALYSIS - 2021 USAGE &amp; EXISTING RATES</t>
  </si>
  <si>
    <t>East Laurel Water District</t>
  </si>
  <si>
    <t xml:space="preserve">  SUMMARY  </t>
  </si>
  <si>
    <t>No. of Bills</t>
  </si>
  <si>
    <t>Gallons Sold</t>
  </si>
  <si>
    <t>Revenue</t>
  </si>
  <si>
    <t xml:space="preserve">     5/8" X 3/4" Meters</t>
  </si>
  <si>
    <t xml:space="preserve">     1" Meters</t>
  </si>
  <si>
    <t xml:space="preserve">     2" Meters</t>
  </si>
  <si>
    <t xml:space="preserve">     3" Meters</t>
  </si>
  <si>
    <t>Retail Sales</t>
  </si>
  <si>
    <t>Pro forma Retail Sales</t>
  </si>
  <si>
    <t>Sales for Resale</t>
  </si>
  <si>
    <t>Total Pro Forma Sales Revenue</t>
  </si>
  <si>
    <t>5/8" x 3/4" METERS</t>
  </si>
  <si>
    <t>FIRST</t>
  </si>
  <si>
    <t>NEXT</t>
  </si>
  <si>
    <t>ALL OVER</t>
  </si>
  <si>
    <t>USAGE</t>
  </si>
  <si>
    <t>BILLS</t>
  </si>
  <si>
    <t>GALLONS</t>
  </si>
  <si>
    <t xml:space="preserve">     REVENUE BY RATE INCREMENT</t>
  </si>
  <si>
    <t>RATE</t>
  </si>
  <si>
    <t>REVENUE</t>
  </si>
  <si>
    <t>TOTAL</t>
  </si>
  <si>
    <t>1" METERS</t>
  </si>
  <si>
    <t>2" METERS</t>
  </si>
  <si>
    <t>3" METERS</t>
  </si>
  <si>
    <t>SALES FOR RESALE</t>
  </si>
  <si>
    <t>K GALS</t>
  </si>
  <si>
    <t>Manchester</t>
  </si>
  <si>
    <t xml:space="preserve">PROPOSED BILLING ANALYSIS - 2021 USAGE &amp; PROPOSED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</si>
</sst>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u val="singleAccounting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5" fontId="2" fillId="0" borderId="0" xfId="2" applyNumberFormat="1" applyFont="1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/>
    <xf numFmtId="165" fontId="2" fillId="0" borderId="0" xfId="2" applyNumberFormat="1" applyFont="1" applyBorder="1"/>
    <xf numFmtId="3" fontId="6" fillId="0" borderId="0" xfId="0" applyNumberFormat="1" applyFont="1" applyAlignment="1">
      <alignment horizontal="left"/>
    </xf>
    <xf numFmtId="0" fontId="6" fillId="0" borderId="0" xfId="0" applyFont="1"/>
    <xf numFmtId="165" fontId="6" fillId="0" borderId="0" xfId="0" applyNumberFormat="1" applyFont="1"/>
    <xf numFmtId="0" fontId="2" fillId="0" borderId="0" xfId="0" applyFont="1" applyAlignment="1">
      <alignment horizontal="right"/>
    </xf>
    <xf numFmtId="164" fontId="5" fillId="0" borderId="0" xfId="1" applyNumberFormat="1" applyFont="1" applyFill="1"/>
    <xf numFmtId="0" fontId="7" fillId="0" borderId="0" xfId="0" applyFont="1"/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 applyFill="1"/>
    <xf numFmtId="164" fontId="2" fillId="0" borderId="0" xfId="1" applyNumberFormat="1" applyFont="1" applyFill="1" applyBorder="1"/>
    <xf numFmtId="37" fontId="2" fillId="0" borderId="1" xfId="0" applyNumberFormat="1" applyFont="1" applyBorder="1"/>
    <xf numFmtId="164" fontId="2" fillId="0" borderId="1" xfId="1" applyNumberFormat="1" applyFont="1" applyFill="1" applyBorder="1"/>
    <xf numFmtId="164" fontId="2" fillId="0" borderId="0" xfId="1" applyNumberFormat="1" applyFont="1" applyBorder="1"/>
    <xf numFmtId="0" fontId="6" fillId="0" borderId="0" xfId="0" applyFont="1" applyAlignment="1">
      <alignment horizontal="left"/>
    </xf>
    <xf numFmtId="44" fontId="2" fillId="0" borderId="0" xfId="2" applyFont="1"/>
    <xf numFmtId="43" fontId="2" fillId="0" borderId="0" xfId="1" applyFont="1"/>
    <xf numFmtId="43" fontId="2" fillId="0" borderId="1" xfId="1" applyFont="1" applyBorder="1"/>
    <xf numFmtId="164" fontId="2" fillId="0" borderId="1" xfId="1" applyNumberFormat="1" applyFont="1" applyBorder="1"/>
    <xf numFmtId="0" fontId="2" fillId="0" borderId="0" xfId="0" applyFont="1" applyAlignment="1">
      <alignment vertical="center"/>
    </xf>
    <xf numFmtId="164" fontId="2" fillId="0" borderId="0" xfId="1" applyNumberFormat="1" applyFont="1" applyAlignment="1"/>
    <xf numFmtId="165" fontId="2" fillId="0" borderId="0" xfId="2" applyNumberFormat="1" applyFont="1" applyAlignment="1"/>
    <xf numFmtId="164" fontId="5" fillId="0" borderId="0" xfId="1" applyNumberFormat="1" applyFont="1" applyAlignment="1"/>
  </cellXfs>
  <cellStyles count="3">
    <cellStyle name="Comma 2" xfId="1" xr:uid="{03B8997D-00B0-42F6-AB05-113ED364F2FD}"/>
    <cellStyle name="Currency 2" xfId="2" xr:uid="{600AA521-3E81-4090-8CF2-1700C9313A4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992C1-4341-4242-BC11-3560A3D4B362}">
  <dimension ref="A1:I78"/>
  <sheetViews>
    <sheetView tabSelected="1" workbookViewId="0">
      <selection activeCell="A3" sqref="A3"/>
    </sheetView>
  </sheetViews>
  <sheetFormatPr defaultRowHeight="15" x14ac:dyDescent="0.25"/>
  <cols>
    <col min="1" max="1" width="12.5703125" customWidth="1"/>
    <col min="2" max="2" width="10.7109375" customWidth="1"/>
    <col min="3" max="3" width="9.7109375" customWidth="1"/>
    <col min="4" max="4" width="13.5703125" customWidth="1"/>
    <col min="5" max="5" width="13.140625" customWidth="1"/>
    <col min="6" max="7" width="13.28515625" customWidth="1"/>
    <col min="8" max="9" width="12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3"/>
      <c r="B4" s="3"/>
      <c r="C4" s="4" t="s">
        <v>2</v>
      </c>
      <c r="D4" s="3"/>
      <c r="E4" s="3"/>
      <c r="F4" s="3"/>
      <c r="G4" s="3"/>
      <c r="H4" s="3"/>
      <c r="I4" s="3"/>
    </row>
    <row r="5" spans="1:9" x14ac:dyDescent="0.25">
      <c r="A5" s="3"/>
      <c r="B5" s="3"/>
      <c r="C5" s="5"/>
      <c r="D5" s="6"/>
      <c r="E5" s="7" t="s">
        <v>3</v>
      </c>
      <c r="F5" s="7" t="s">
        <v>4</v>
      </c>
      <c r="G5" s="7" t="s">
        <v>5</v>
      </c>
      <c r="H5" s="8"/>
      <c r="I5" s="3"/>
    </row>
    <row r="6" spans="1:9" x14ac:dyDescent="0.25">
      <c r="A6" s="3"/>
      <c r="B6" s="3"/>
      <c r="C6" s="3" t="s">
        <v>6</v>
      </c>
      <c r="D6" s="3"/>
      <c r="E6" s="9">
        <f>C24</f>
        <v>67908</v>
      </c>
      <c r="F6" s="10">
        <f>D24</f>
        <v>271869000</v>
      </c>
      <c r="G6" s="11">
        <f>F33</f>
        <v>2730906.0819999995</v>
      </c>
      <c r="H6" s="11"/>
      <c r="I6" s="3"/>
    </row>
    <row r="7" spans="1:9" x14ac:dyDescent="0.25">
      <c r="A7" s="3"/>
      <c r="B7" s="3"/>
      <c r="C7" s="3" t="s">
        <v>7</v>
      </c>
      <c r="D7" s="3"/>
      <c r="E7" s="9">
        <f>C41</f>
        <v>185</v>
      </c>
      <c r="F7" s="10">
        <f>D41</f>
        <v>2414500</v>
      </c>
      <c r="G7" s="9">
        <f>F48</f>
        <v>22799.869999999995</v>
      </c>
      <c r="H7" s="9"/>
      <c r="I7" s="3"/>
    </row>
    <row r="8" spans="1:9" x14ac:dyDescent="0.25">
      <c r="A8" s="3"/>
      <c r="B8" s="3"/>
      <c r="C8" s="3" t="s">
        <v>8</v>
      </c>
      <c r="D8" s="3"/>
      <c r="E8" s="9">
        <f>C61</f>
        <v>122</v>
      </c>
      <c r="F8" s="10">
        <f>D61</f>
        <v>4590100</v>
      </c>
      <c r="G8" s="9">
        <f>F61</f>
        <v>42530.8</v>
      </c>
      <c r="H8" s="9"/>
      <c r="I8" s="3"/>
    </row>
    <row r="9" spans="1:9" ht="17.25" x14ac:dyDescent="0.4">
      <c r="A9" s="3"/>
      <c r="B9" s="3"/>
      <c r="C9" s="3" t="s">
        <v>9</v>
      </c>
      <c r="D9" s="3"/>
      <c r="E9" s="12">
        <f>C68</f>
        <v>48</v>
      </c>
      <c r="F9" s="13">
        <f>D68</f>
        <v>5771400</v>
      </c>
      <c r="G9" s="12">
        <f>F74</f>
        <v>44821.35</v>
      </c>
      <c r="H9" s="9"/>
      <c r="I9" s="3"/>
    </row>
    <row r="10" spans="1:9" x14ac:dyDescent="0.25">
      <c r="A10" s="3"/>
      <c r="B10" s="3"/>
      <c r="C10" s="3" t="s">
        <v>10</v>
      </c>
      <c r="D10" s="3"/>
      <c r="E10" s="14">
        <f>SUM(E6:E9)</f>
        <v>68263</v>
      </c>
      <c r="F10" s="14">
        <f>SUM(F6:F9)</f>
        <v>284645000</v>
      </c>
      <c r="G10" s="15">
        <f>SUM(G6:G9)</f>
        <v>2841058.1019999995</v>
      </c>
      <c r="H10" s="16"/>
      <c r="I10" s="9"/>
    </row>
    <row r="11" spans="1:9" ht="17.25" x14ac:dyDescent="0.4">
      <c r="A11" s="3"/>
      <c r="B11" s="3"/>
      <c r="C11" s="3"/>
      <c r="D11" s="3"/>
      <c r="E11" s="14"/>
      <c r="F11" s="14"/>
      <c r="G11" s="12"/>
      <c r="H11" s="16"/>
      <c r="I11" s="9"/>
    </row>
    <row r="12" spans="1:9" x14ac:dyDescent="0.25">
      <c r="A12" s="3"/>
      <c r="B12" s="3"/>
      <c r="C12" s="3" t="s">
        <v>11</v>
      </c>
      <c r="D12" s="3"/>
      <c r="E12" s="14"/>
      <c r="F12" s="14"/>
      <c r="G12" s="15">
        <f>G10+G11</f>
        <v>2841058.1019999995</v>
      </c>
      <c r="H12" s="16"/>
      <c r="I12" s="9"/>
    </row>
    <row r="13" spans="1:9" ht="17.25" x14ac:dyDescent="0.4">
      <c r="A13" s="3"/>
      <c r="B13" s="3"/>
      <c r="C13" s="3" t="s">
        <v>12</v>
      </c>
      <c r="D13" s="3"/>
      <c r="E13" s="3"/>
      <c r="F13" s="10">
        <f>B78*1000</f>
        <v>17486000</v>
      </c>
      <c r="G13" s="12">
        <f>D78</f>
        <v>88654.02</v>
      </c>
      <c r="H13" s="12"/>
      <c r="I13" s="9"/>
    </row>
    <row r="14" spans="1:9" x14ac:dyDescent="0.25">
      <c r="A14" s="3"/>
      <c r="B14" s="3"/>
      <c r="C14" s="17" t="s">
        <v>13</v>
      </c>
      <c r="D14" s="18"/>
      <c r="E14" s="18"/>
      <c r="F14" s="18"/>
      <c r="G14" s="19">
        <f>G10+G13</f>
        <v>2929712.1219999995</v>
      </c>
      <c r="H14" s="15"/>
      <c r="I14" s="15"/>
    </row>
    <row r="15" spans="1:9" ht="17.25" x14ac:dyDescent="0.4">
      <c r="A15" s="3"/>
      <c r="B15" s="3"/>
      <c r="C15" s="3"/>
      <c r="D15" s="3"/>
      <c r="E15" s="3"/>
      <c r="F15" s="20"/>
      <c r="G15" s="21"/>
      <c r="H15" s="3"/>
      <c r="I15" s="15"/>
    </row>
    <row r="16" spans="1:9" ht="15.75" x14ac:dyDescent="0.25">
      <c r="A16" s="22" t="s">
        <v>14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8" t="s">
        <v>15</v>
      </c>
      <c r="F17" s="8" t="s">
        <v>16</v>
      </c>
      <c r="G17" s="8" t="s">
        <v>16</v>
      </c>
      <c r="H17" s="8" t="s">
        <v>16</v>
      </c>
      <c r="I17" s="8" t="s">
        <v>17</v>
      </c>
    </row>
    <row r="18" spans="1:9" x14ac:dyDescent="0.25">
      <c r="A18" s="3"/>
      <c r="B18" s="7" t="s">
        <v>18</v>
      </c>
      <c r="C18" s="23" t="s">
        <v>19</v>
      </c>
      <c r="D18" s="23" t="s">
        <v>20</v>
      </c>
      <c r="E18" s="23">
        <f>B19</f>
        <v>2000</v>
      </c>
      <c r="F18" s="23">
        <f>B20</f>
        <v>2000</v>
      </c>
      <c r="G18" s="23">
        <f>B21</f>
        <v>2000</v>
      </c>
      <c r="H18" s="23">
        <f>B22</f>
        <v>4000</v>
      </c>
      <c r="I18" s="23">
        <f>B23</f>
        <v>10000</v>
      </c>
    </row>
    <row r="19" spans="1:9" x14ac:dyDescent="0.25">
      <c r="A19" s="20" t="s">
        <v>15</v>
      </c>
      <c r="B19" s="24">
        <v>2000</v>
      </c>
      <c r="C19" s="25">
        <f>20535+1282</f>
        <v>21817</v>
      </c>
      <c r="D19" s="25">
        <f>20941800+1223600</f>
        <v>22165400</v>
      </c>
      <c r="E19" s="25">
        <f>D19</f>
        <v>22165400</v>
      </c>
      <c r="F19" s="25">
        <v>0</v>
      </c>
      <c r="G19" s="25"/>
      <c r="H19" s="25"/>
      <c r="I19" s="25">
        <v>0</v>
      </c>
    </row>
    <row r="20" spans="1:9" x14ac:dyDescent="0.25">
      <c r="A20" s="20" t="s">
        <v>16</v>
      </c>
      <c r="B20" s="24">
        <v>2000</v>
      </c>
      <c r="C20" s="25">
        <f>22704+592</f>
        <v>23296</v>
      </c>
      <c r="D20" s="25">
        <f>67786300+1723500</f>
        <v>69509800</v>
      </c>
      <c r="E20" s="25">
        <f>C20*E$18</f>
        <v>46592000</v>
      </c>
      <c r="F20" s="25">
        <f>D20-E20</f>
        <v>22917800</v>
      </c>
      <c r="G20" s="25"/>
      <c r="H20" s="25"/>
      <c r="I20" s="25">
        <v>0</v>
      </c>
    </row>
    <row r="21" spans="1:9" x14ac:dyDescent="0.25">
      <c r="A21" s="20" t="s">
        <v>16</v>
      </c>
      <c r="B21" s="24">
        <v>2000</v>
      </c>
      <c r="C21" s="25">
        <f>11944+241</f>
        <v>12185</v>
      </c>
      <c r="D21" s="25">
        <f>58610300+1179900</f>
        <v>59790200</v>
      </c>
      <c r="E21" s="25">
        <f>C21*E$18</f>
        <v>24370000</v>
      </c>
      <c r="F21" s="25">
        <f>$C21*F$18</f>
        <v>24370000</v>
      </c>
      <c r="G21" s="25">
        <f>D21-(E21+F21)</f>
        <v>11050200</v>
      </c>
      <c r="H21" s="25"/>
      <c r="I21" s="25"/>
    </row>
    <row r="22" spans="1:9" x14ac:dyDescent="0.25">
      <c r="A22" s="20" t="s">
        <v>16</v>
      </c>
      <c r="B22" s="24">
        <v>4000</v>
      </c>
      <c r="C22" s="25">
        <f>7033+123</f>
        <v>7156</v>
      </c>
      <c r="D22" s="25">
        <f>52726100+948900</f>
        <v>53675000</v>
      </c>
      <c r="E22" s="25">
        <f>C22*E$18</f>
        <v>14312000</v>
      </c>
      <c r="F22" s="25">
        <f>$C22*F$18</f>
        <v>14312000</v>
      </c>
      <c r="G22" s="26">
        <f>$C22*G$18</f>
        <v>14312000</v>
      </c>
      <c r="H22" s="25">
        <f>D22-E22-F22-G22</f>
        <v>10739000</v>
      </c>
      <c r="I22" s="25"/>
    </row>
    <row r="23" spans="1:9" x14ac:dyDescent="0.25">
      <c r="A23" s="20" t="s">
        <v>17</v>
      </c>
      <c r="B23" s="27">
        <v>10000</v>
      </c>
      <c r="C23" s="28">
        <f>3339+115</f>
        <v>3454</v>
      </c>
      <c r="D23" s="28">
        <f>63315400+3413200</f>
        <v>66728600</v>
      </c>
      <c r="E23" s="28">
        <f>C23*E$18</f>
        <v>6908000</v>
      </c>
      <c r="F23" s="28">
        <f>$C23*F$18</f>
        <v>6908000</v>
      </c>
      <c r="G23" s="28">
        <f>$C23*G$18</f>
        <v>6908000</v>
      </c>
      <c r="H23" s="28">
        <f>C23*H18</f>
        <v>13816000</v>
      </c>
      <c r="I23" s="28">
        <f>D23-(F23+E23+G23+H23)</f>
        <v>32188600</v>
      </c>
    </row>
    <row r="24" spans="1:9" x14ac:dyDescent="0.25">
      <c r="A24" s="20"/>
      <c r="B24" s="24"/>
      <c r="C24" s="29">
        <f t="shared" ref="C24:I24" si="0">SUM(C19:C23)</f>
        <v>67908</v>
      </c>
      <c r="D24" s="29">
        <f t="shared" si="0"/>
        <v>271869000</v>
      </c>
      <c r="E24" s="29">
        <f t="shared" si="0"/>
        <v>114347400</v>
      </c>
      <c r="F24" s="29">
        <f t="shared" si="0"/>
        <v>68507800</v>
      </c>
      <c r="G24" s="29">
        <f t="shared" si="0"/>
        <v>32270200</v>
      </c>
      <c r="H24" s="29">
        <f t="shared" si="0"/>
        <v>24555000</v>
      </c>
      <c r="I24" s="29">
        <f t="shared" si="0"/>
        <v>32188600</v>
      </c>
    </row>
    <row r="25" spans="1:9" x14ac:dyDescent="0.25">
      <c r="A25" s="20"/>
      <c r="B25" s="24"/>
      <c r="C25" s="3"/>
      <c r="D25" s="24"/>
      <c r="E25" s="24"/>
      <c r="F25" s="24"/>
      <c r="G25" s="24"/>
      <c r="H25" s="24"/>
      <c r="I25" s="24"/>
    </row>
    <row r="26" spans="1:9" x14ac:dyDescent="0.25">
      <c r="A26" s="30" t="s">
        <v>21</v>
      </c>
      <c r="B26" s="30"/>
      <c r="C26" s="3"/>
      <c r="D26" s="24"/>
      <c r="E26" s="24"/>
      <c r="F26" s="24"/>
      <c r="G26" s="24"/>
      <c r="H26" s="24"/>
      <c r="I26" s="24"/>
    </row>
    <row r="27" spans="1:9" x14ac:dyDescent="0.25">
      <c r="A27" s="20"/>
      <c r="B27" s="7"/>
      <c r="C27" s="23" t="s">
        <v>19</v>
      </c>
      <c r="D27" s="7" t="s">
        <v>20</v>
      </c>
      <c r="E27" s="23" t="s">
        <v>22</v>
      </c>
      <c r="F27" s="23" t="s">
        <v>23</v>
      </c>
      <c r="G27" s="24"/>
      <c r="H27" s="24"/>
      <c r="I27" s="24"/>
    </row>
    <row r="28" spans="1:9" x14ac:dyDescent="0.25">
      <c r="A28" s="20" t="s">
        <v>15</v>
      </c>
      <c r="B28" s="24">
        <f>B19</f>
        <v>2000</v>
      </c>
      <c r="C28" s="9">
        <f>C24</f>
        <v>67908</v>
      </c>
      <c r="D28" s="25">
        <f>E24</f>
        <v>114347400</v>
      </c>
      <c r="E28" s="31">
        <v>21.61</v>
      </c>
      <c r="F28" s="11">
        <f>E28*C28</f>
        <v>1467491.88</v>
      </c>
      <c r="G28" s="24"/>
      <c r="H28" s="3"/>
      <c r="I28" s="3"/>
    </row>
    <row r="29" spans="1:9" x14ac:dyDescent="0.25">
      <c r="A29" s="20" t="s">
        <v>16</v>
      </c>
      <c r="B29" s="24">
        <f>B20</f>
        <v>2000</v>
      </c>
      <c r="C29" s="3"/>
      <c r="D29" s="25">
        <f>F24</f>
        <v>68507800</v>
      </c>
      <c r="E29" s="32">
        <v>8.57</v>
      </c>
      <c r="F29" s="9">
        <f>E29*(D29/1000)</f>
        <v>587111.84600000002</v>
      </c>
      <c r="G29" s="24"/>
      <c r="H29" s="3"/>
      <c r="I29" s="3"/>
    </row>
    <row r="30" spans="1:9" x14ac:dyDescent="0.25">
      <c r="A30" s="20" t="s">
        <v>16</v>
      </c>
      <c r="B30" s="24">
        <f>B21</f>
        <v>2000</v>
      </c>
      <c r="C30" s="3"/>
      <c r="D30" s="25">
        <f>G24</f>
        <v>32270200</v>
      </c>
      <c r="E30" s="32">
        <v>8.33</v>
      </c>
      <c r="F30" s="9">
        <f>E30*(D30/1000)</f>
        <v>268810.766</v>
      </c>
      <c r="G30" s="24"/>
      <c r="H30" s="3"/>
      <c r="I30" s="3"/>
    </row>
    <row r="31" spans="1:9" x14ac:dyDescent="0.25">
      <c r="A31" s="20" t="s">
        <v>16</v>
      </c>
      <c r="B31" s="24">
        <f>B22</f>
        <v>4000</v>
      </c>
      <c r="C31" s="3"/>
      <c r="D31" s="25">
        <f>H24</f>
        <v>24555000</v>
      </c>
      <c r="E31" s="32">
        <v>7.55</v>
      </c>
      <c r="F31" s="9">
        <f>E31*(D31/1000)</f>
        <v>185390.25</v>
      </c>
      <c r="G31" s="24"/>
      <c r="H31" s="3"/>
      <c r="I31" s="3"/>
    </row>
    <row r="32" spans="1:9" x14ac:dyDescent="0.25">
      <c r="A32" s="20" t="s">
        <v>17</v>
      </c>
      <c r="B32" s="27">
        <f>B23</f>
        <v>10000</v>
      </c>
      <c r="C32" s="6"/>
      <c r="D32" s="28">
        <f>I24</f>
        <v>32188600</v>
      </c>
      <c r="E32" s="33">
        <v>6.9</v>
      </c>
      <c r="F32" s="34">
        <f>E32*(D32/1000)</f>
        <v>222101.34</v>
      </c>
      <c r="G32" s="24"/>
      <c r="H32" s="3"/>
      <c r="I32" s="3"/>
    </row>
    <row r="33" spans="1:9" x14ac:dyDescent="0.25">
      <c r="A33" s="20"/>
      <c r="B33" s="24" t="s">
        <v>24</v>
      </c>
      <c r="C33" s="9">
        <f>SUM(C28:C32)</f>
        <v>67908</v>
      </c>
      <c r="D33" s="29">
        <f>SUM(D28:D32)</f>
        <v>271869000</v>
      </c>
      <c r="E33" s="3"/>
      <c r="F33" s="11">
        <f>SUM(F28:F32)</f>
        <v>2730906.0819999995</v>
      </c>
      <c r="G33" s="24"/>
      <c r="H33" s="24"/>
      <c r="I33" s="24"/>
    </row>
    <row r="34" spans="1:9" x14ac:dyDescent="0.25">
      <c r="A34" s="20"/>
      <c r="B34" s="24"/>
      <c r="C34" s="9"/>
      <c r="D34" s="29"/>
      <c r="E34" s="3"/>
      <c r="F34" s="11"/>
      <c r="G34" s="24"/>
      <c r="H34" s="24"/>
      <c r="I34" s="24"/>
    </row>
    <row r="35" spans="1:9" ht="15.75" x14ac:dyDescent="0.25">
      <c r="A35" s="22" t="s">
        <v>25</v>
      </c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8" t="s">
        <v>15</v>
      </c>
      <c r="F36" s="8" t="s">
        <v>16</v>
      </c>
      <c r="G36" s="8" t="s">
        <v>17</v>
      </c>
      <c r="H36" s="3"/>
      <c r="I36" s="3"/>
    </row>
    <row r="37" spans="1:9" x14ac:dyDescent="0.25">
      <c r="A37" s="3"/>
      <c r="B37" s="7" t="s">
        <v>18</v>
      </c>
      <c r="C37" s="23" t="s">
        <v>19</v>
      </c>
      <c r="D37" s="23" t="s">
        <v>20</v>
      </c>
      <c r="E37" s="23">
        <f>B38</f>
        <v>6000</v>
      </c>
      <c r="F37" s="23">
        <f>B39</f>
        <v>4000</v>
      </c>
      <c r="G37" s="23">
        <f>B40</f>
        <v>10000</v>
      </c>
      <c r="H37" s="3"/>
      <c r="I37" s="3"/>
    </row>
    <row r="38" spans="1:9" x14ac:dyDescent="0.25">
      <c r="A38" s="20" t="s">
        <v>15</v>
      </c>
      <c r="B38" s="24">
        <v>6000</v>
      </c>
      <c r="C38" s="25">
        <f>34+77</f>
        <v>111</v>
      </c>
      <c r="D38" s="25">
        <f>93000+79300</f>
        <v>172300</v>
      </c>
      <c r="E38" s="25">
        <f>D38</f>
        <v>172300</v>
      </c>
      <c r="F38" s="25">
        <v>0</v>
      </c>
      <c r="G38" s="25">
        <v>0</v>
      </c>
      <c r="H38" s="3"/>
      <c r="I38" s="3"/>
    </row>
    <row r="39" spans="1:9" x14ac:dyDescent="0.25">
      <c r="A39" s="20" t="s">
        <v>16</v>
      </c>
      <c r="B39" s="24">
        <v>4000</v>
      </c>
      <c r="C39" s="25">
        <f>24+7</f>
        <v>31</v>
      </c>
      <c r="D39" s="25">
        <f>174100+57500</f>
        <v>231600</v>
      </c>
      <c r="E39" s="25">
        <f>$C39*E$37</f>
        <v>186000</v>
      </c>
      <c r="F39" s="25">
        <f>D39-E39</f>
        <v>45600</v>
      </c>
      <c r="G39" s="25">
        <v>0</v>
      </c>
      <c r="H39" s="3"/>
      <c r="I39" s="3"/>
    </row>
    <row r="40" spans="1:9" x14ac:dyDescent="0.25">
      <c r="A40" s="20" t="s">
        <v>17</v>
      </c>
      <c r="B40" s="27">
        <v>10000</v>
      </c>
      <c r="C40" s="28">
        <f>26+17</f>
        <v>43</v>
      </c>
      <c r="D40" s="28">
        <f>841000+1169600</f>
        <v>2010600</v>
      </c>
      <c r="E40" s="28">
        <f>$C40*E$37</f>
        <v>258000</v>
      </c>
      <c r="F40" s="28">
        <f>$C40*F$37</f>
        <v>172000</v>
      </c>
      <c r="G40" s="28">
        <f>D40-(F40+E40)</f>
        <v>1580600</v>
      </c>
      <c r="H40" s="3"/>
      <c r="I40" s="3"/>
    </row>
    <row r="41" spans="1:9" x14ac:dyDescent="0.25">
      <c r="A41" s="20"/>
      <c r="B41" s="24"/>
      <c r="C41" s="29">
        <f t="shared" ref="C41:G41" si="1">SUM(C38:C40)</f>
        <v>185</v>
      </c>
      <c r="D41" s="29">
        <f t="shared" si="1"/>
        <v>2414500</v>
      </c>
      <c r="E41" s="29">
        <f t="shared" si="1"/>
        <v>616300</v>
      </c>
      <c r="F41" s="29">
        <f t="shared" si="1"/>
        <v>217600</v>
      </c>
      <c r="G41" s="29">
        <f t="shared" si="1"/>
        <v>1580600</v>
      </c>
      <c r="H41" s="3"/>
      <c r="I41" s="3"/>
    </row>
    <row r="42" spans="1:9" x14ac:dyDescent="0.25">
      <c r="A42" s="20"/>
      <c r="B42" s="24"/>
      <c r="C42" s="3"/>
      <c r="D42" s="24"/>
      <c r="E42" s="24"/>
      <c r="F42" s="24"/>
      <c r="G42" s="24"/>
      <c r="H42" s="24"/>
      <c r="I42" s="24"/>
    </row>
    <row r="43" spans="1:9" x14ac:dyDescent="0.25">
      <c r="A43" s="30" t="s">
        <v>21</v>
      </c>
      <c r="B43" s="30"/>
      <c r="C43" s="3"/>
      <c r="D43" s="24"/>
      <c r="E43" s="24"/>
      <c r="F43" s="24"/>
      <c r="G43" s="24"/>
      <c r="H43" s="24"/>
      <c r="I43" s="24"/>
    </row>
    <row r="44" spans="1:9" x14ac:dyDescent="0.25">
      <c r="A44" s="20"/>
      <c r="B44" s="7"/>
      <c r="C44" s="23" t="s">
        <v>19</v>
      </c>
      <c r="D44" s="7" t="s">
        <v>20</v>
      </c>
      <c r="E44" s="23" t="s">
        <v>22</v>
      </c>
      <c r="F44" s="23" t="s">
        <v>23</v>
      </c>
      <c r="G44" s="24"/>
      <c r="H44" s="24"/>
      <c r="I44" s="24"/>
    </row>
    <row r="45" spans="1:9" x14ac:dyDescent="0.25">
      <c r="A45" s="20" t="s">
        <v>15</v>
      </c>
      <c r="B45" s="24">
        <v>6000</v>
      </c>
      <c r="C45" s="9">
        <f>C41</f>
        <v>185</v>
      </c>
      <c r="D45" s="25">
        <f>E41</f>
        <v>616300</v>
      </c>
      <c r="E45" s="31">
        <v>55.41</v>
      </c>
      <c r="F45" s="11">
        <f>E45*C45</f>
        <v>10250.849999999999</v>
      </c>
      <c r="G45" s="24"/>
      <c r="H45" s="3"/>
      <c r="I45" s="3"/>
    </row>
    <row r="46" spans="1:9" x14ac:dyDescent="0.25">
      <c r="A46" s="20" t="s">
        <v>16</v>
      </c>
      <c r="B46" s="24">
        <v>4000</v>
      </c>
      <c r="C46" s="3"/>
      <c r="D46" s="25">
        <f>F41</f>
        <v>217600</v>
      </c>
      <c r="E46" s="32">
        <v>7.55</v>
      </c>
      <c r="F46" s="9">
        <f>E46*(D46/1000)</f>
        <v>1642.8799999999999</v>
      </c>
      <c r="G46" s="24"/>
      <c r="H46" s="3"/>
      <c r="I46" s="3"/>
    </row>
    <row r="47" spans="1:9" x14ac:dyDescent="0.25">
      <c r="A47" s="20" t="s">
        <v>17</v>
      </c>
      <c r="B47" s="27">
        <v>10000</v>
      </c>
      <c r="C47" s="6"/>
      <c r="D47" s="28">
        <f>G41</f>
        <v>1580600</v>
      </c>
      <c r="E47" s="33">
        <v>6.9</v>
      </c>
      <c r="F47" s="34">
        <f>E47*(D47/1000)</f>
        <v>10906.14</v>
      </c>
      <c r="G47" s="24"/>
      <c r="H47" s="3"/>
      <c r="I47" s="3"/>
    </row>
    <row r="48" spans="1:9" x14ac:dyDescent="0.25">
      <c r="A48" s="20"/>
      <c r="B48" s="24" t="s">
        <v>24</v>
      </c>
      <c r="C48" s="9">
        <f>SUM(C45:C47)</f>
        <v>185</v>
      </c>
      <c r="D48" s="29">
        <f>SUM(D45:D47)</f>
        <v>2414500</v>
      </c>
      <c r="E48" s="3"/>
      <c r="F48" s="11">
        <f>SUM(F45:F47)</f>
        <v>22799.869999999995</v>
      </c>
      <c r="G48" s="24"/>
      <c r="H48" s="24"/>
      <c r="I48" s="24"/>
    </row>
    <row r="49" spans="1:9" x14ac:dyDescent="0.25">
      <c r="A49" s="20"/>
      <c r="B49" s="24"/>
      <c r="C49" s="9"/>
      <c r="D49" s="29"/>
      <c r="E49" s="3"/>
      <c r="F49" s="11"/>
      <c r="G49" s="24"/>
      <c r="H49" s="24"/>
      <c r="I49" s="24"/>
    </row>
    <row r="50" spans="1:9" ht="15.75" x14ac:dyDescent="0.25">
      <c r="A50" s="22" t="s">
        <v>26</v>
      </c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8" t="s">
        <v>15</v>
      </c>
      <c r="F51" s="8" t="s">
        <v>17</v>
      </c>
      <c r="G51" s="3"/>
      <c r="H51" s="3"/>
      <c r="I51" s="3"/>
    </row>
    <row r="52" spans="1:9" x14ac:dyDescent="0.25">
      <c r="A52" s="3"/>
      <c r="B52" s="7" t="s">
        <v>18</v>
      </c>
      <c r="C52" s="23" t="s">
        <v>19</v>
      </c>
      <c r="D52" s="23" t="s">
        <v>20</v>
      </c>
      <c r="E52" s="23">
        <f>B53</f>
        <v>20000</v>
      </c>
      <c r="F52" s="23">
        <f>B54</f>
        <v>20000</v>
      </c>
      <c r="G52" s="3"/>
      <c r="H52" s="3"/>
      <c r="I52" s="3"/>
    </row>
    <row r="53" spans="1:9" x14ac:dyDescent="0.25">
      <c r="A53" s="20" t="s">
        <v>15</v>
      </c>
      <c r="B53" s="24">
        <v>20000</v>
      </c>
      <c r="C53" s="25">
        <f>68+17</f>
        <v>85</v>
      </c>
      <c r="D53" s="25">
        <f>325300+94600</f>
        <v>419900</v>
      </c>
      <c r="E53" s="25">
        <f>D53</f>
        <v>419900</v>
      </c>
      <c r="F53" s="25">
        <f>D53-E53</f>
        <v>0</v>
      </c>
      <c r="G53" s="3"/>
      <c r="H53" s="3"/>
      <c r="I53" s="3"/>
    </row>
    <row r="54" spans="1:9" x14ac:dyDescent="0.25">
      <c r="A54" s="20" t="s">
        <v>17</v>
      </c>
      <c r="B54" s="27">
        <v>20000</v>
      </c>
      <c r="C54" s="28">
        <f>28+9</f>
        <v>37</v>
      </c>
      <c r="D54" s="28">
        <f>3818100+352100</f>
        <v>4170200</v>
      </c>
      <c r="E54" s="28">
        <f>$C54*E$52</f>
        <v>740000</v>
      </c>
      <c r="F54" s="28">
        <f>D54-E54</f>
        <v>3430200</v>
      </c>
      <c r="G54" s="3"/>
      <c r="H54" s="3"/>
      <c r="I54" s="3"/>
    </row>
    <row r="55" spans="1:9" x14ac:dyDescent="0.25">
      <c r="A55" s="20"/>
      <c r="B55" s="24"/>
      <c r="C55" s="29">
        <f>SUM(C53:C54)</f>
        <v>122</v>
      </c>
      <c r="D55" s="29">
        <f>SUM(D53:D54)</f>
        <v>4590100</v>
      </c>
      <c r="E55" s="29">
        <f>SUM(E53:E54)</f>
        <v>1159900</v>
      </c>
      <c r="F55" s="29">
        <f>SUM(F53:F54)</f>
        <v>3430200</v>
      </c>
      <c r="G55" s="3"/>
      <c r="H55" s="3"/>
      <c r="I55" s="3"/>
    </row>
    <row r="56" spans="1:9" x14ac:dyDescent="0.25">
      <c r="A56" s="20"/>
      <c r="B56" s="24"/>
      <c r="C56" s="3"/>
      <c r="D56" s="24"/>
      <c r="E56" s="24"/>
      <c r="F56" s="24"/>
      <c r="G56" s="24"/>
      <c r="H56" s="24"/>
      <c r="I56" s="3"/>
    </row>
    <row r="57" spans="1:9" x14ac:dyDescent="0.25">
      <c r="A57" s="30" t="s">
        <v>21</v>
      </c>
      <c r="B57" s="30"/>
      <c r="C57" s="3"/>
      <c r="D57" s="24"/>
      <c r="E57" s="24"/>
      <c r="F57" s="24"/>
      <c r="G57" s="24"/>
      <c r="H57" s="24"/>
      <c r="I57" s="3"/>
    </row>
    <row r="58" spans="1:9" x14ac:dyDescent="0.25">
      <c r="A58" s="20"/>
      <c r="B58" s="7"/>
      <c r="C58" s="23" t="s">
        <v>19</v>
      </c>
      <c r="D58" s="7" t="s">
        <v>20</v>
      </c>
      <c r="E58" s="23" t="s">
        <v>22</v>
      </c>
      <c r="F58" s="23" t="s">
        <v>23</v>
      </c>
      <c r="G58" s="24"/>
      <c r="H58" s="24"/>
      <c r="I58" s="3"/>
    </row>
    <row r="59" spans="1:9" x14ac:dyDescent="0.25">
      <c r="A59" s="20" t="s">
        <v>15</v>
      </c>
      <c r="B59" s="24">
        <f>B53</f>
        <v>20000</v>
      </c>
      <c r="C59" s="9">
        <f>C55</f>
        <v>122</v>
      </c>
      <c r="D59" s="25">
        <f>E55</f>
        <v>1159900</v>
      </c>
      <c r="E59" s="31">
        <v>154.61000000000001</v>
      </c>
      <c r="F59" s="11">
        <f>E59*C59</f>
        <v>18862.420000000002</v>
      </c>
      <c r="G59" s="24"/>
      <c r="H59" s="3"/>
      <c r="I59" s="3"/>
    </row>
    <row r="60" spans="1:9" x14ac:dyDescent="0.25">
      <c r="A60" s="20" t="s">
        <v>17</v>
      </c>
      <c r="B60" s="27">
        <f>B54</f>
        <v>20000</v>
      </c>
      <c r="C60" s="6"/>
      <c r="D60" s="28">
        <f>F55</f>
        <v>3430200</v>
      </c>
      <c r="E60" s="33">
        <v>6.9</v>
      </c>
      <c r="F60" s="34">
        <f>E60*(D60/1000)</f>
        <v>23668.38</v>
      </c>
      <c r="G60" s="24"/>
      <c r="H60" s="3"/>
      <c r="I60" s="3"/>
    </row>
    <row r="61" spans="1:9" x14ac:dyDescent="0.25">
      <c r="A61" s="20"/>
      <c r="B61" s="24" t="s">
        <v>24</v>
      </c>
      <c r="C61" s="9">
        <f>SUM(C59:C60)</f>
        <v>122</v>
      </c>
      <c r="D61" s="29">
        <f>SUM(D59:D60)</f>
        <v>4590100</v>
      </c>
      <c r="E61" s="3"/>
      <c r="F61" s="11">
        <f>SUM(F59:F60)</f>
        <v>42530.8</v>
      </c>
      <c r="G61" s="24"/>
      <c r="H61" s="24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ht="15.75" x14ac:dyDescent="0.25">
      <c r="A63" s="22" t="s">
        <v>27</v>
      </c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8" t="s">
        <v>15</v>
      </c>
      <c r="F64" s="8" t="s">
        <v>17</v>
      </c>
      <c r="G64" s="3"/>
      <c r="H64" s="3"/>
      <c r="I64" s="3"/>
    </row>
    <row r="65" spans="1:9" x14ac:dyDescent="0.25">
      <c r="A65" s="3"/>
      <c r="B65" s="7" t="s">
        <v>18</v>
      </c>
      <c r="C65" s="23" t="s">
        <v>19</v>
      </c>
      <c r="D65" s="23" t="s">
        <v>20</v>
      </c>
      <c r="E65" s="23">
        <f>B66</f>
        <v>30000</v>
      </c>
      <c r="F65" s="23">
        <f>B67</f>
        <v>30000</v>
      </c>
      <c r="G65" s="3"/>
      <c r="H65" s="3"/>
      <c r="I65" s="3"/>
    </row>
    <row r="66" spans="1:9" x14ac:dyDescent="0.25">
      <c r="A66" s="20" t="s">
        <v>15</v>
      </c>
      <c r="B66" s="24">
        <v>30000</v>
      </c>
      <c r="C66" s="25">
        <f>14+12</f>
        <v>26</v>
      </c>
      <c r="D66" s="25">
        <f>152900+18200</f>
        <v>171100</v>
      </c>
      <c r="E66" s="25">
        <f>D66</f>
        <v>171100</v>
      </c>
      <c r="F66" s="25">
        <f>D66-E66</f>
        <v>0</v>
      </c>
      <c r="G66" s="3"/>
      <c r="H66" s="3"/>
      <c r="I66" s="3"/>
    </row>
    <row r="67" spans="1:9" x14ac:dyDescent="0.25">
      <c r="A67" s="20" t="s">
        <v>17</v>
      </c>
      <c r="B67" s="27">
        <v>30000</v>
      </c>
      <c r="C67" s="28">
        <v>22</v>
      </c>
      <c r="D67" s="28">
        <f>5600300</f>
        <v>5600300</v>
      </c>
      <c r="E67" s="28">
        <f>$C67*E65</f>
        <v>660000</v>
      </c>
      <c r="F67" s="28">
        <f>D67-E67</f>
        <v>4940300</v>
      </c>
      <c r="G67" s="3"/>
      <c r="H67" s="3"/>
      <c r="I67" s="3"/>
    </row>
    <row r="68" spans="1:9" x14ac:dyDescent="0.25">
      <c r="A68" s="20"/>
      <c r="B68" s="24"/>
      <c r="C68" s="29">
        <f>SUM(C66:C67)</f>
        <v>48</v>
      </c>
      <c r="D68" s="29">
        <f>SUM(D66:D67)</f>
        <v>5771400</v>
      </c>
      <c r="E68" s="29">
        <f>SUM(E66:E67)</f>
        <v>831100</v>
      </c>
      <c r="F68" s="29">
        <f>SUM(F66:F67)</f>
        <v>4940300</v>
      </c>
      <c r="G68" s="3"/>
      <c r="H68" s="3"/>
      <c r="I68" s="3"/>
    </row>
    <row r="69" spans="1:9" x14ac:dyDescent="0.25">
      <c r="A69" s="20"/>
      <c r="B69" s="24"/>
      <c r="C69" s="3"/>
      <c r="D69" s="24"/>
      <c r="E69" s="24"/>
      <c r="F69" s="24"/>
      <c r="G69" s="24"/>
      <c r="H69" s="3"/>
      <c r="I69" s="3"/>
    </row>
    <row r="70" spans="1:9" x14ac:dyDescent="0.25">
      <c r="A70" s="30" t="s">
        <v>21</v>
      </c>
      <c r="B70" s="30"/>
      <c r="C70" s="3"/>
      <c r="D70" s="24"/>
      <c r="E70" s="24"/>
      <c r="F70" s="24"/>
      <c r="G70" s="24"/>
      <c r="H70" s="3"/>
      <c r="I70" s="3"/>
    </row>
    <row r="71" spans="1:9" x14ac:dyDescent="0.25">
      <c r="A71" s="20"/>
      <c r="B71" s="7"/>
      <c r="C71" s="23" t="s">
        <v>19</v>
      </c>
      <c r="D71" s="7" t="s">
        <v>20</v>
      </c>
      <c r="E71" s="23" t="s">
        <v>22</v>
      </c>
      <c r="F71" s="23" t="s">
        <v>23</v>
      </c>
      <c r="G71" s="24"/>
      <c r="H71" s="3"/>
      <c r="I71" s="3"/>
    </row>
    <row r="72" spans="1:9" x14ac:dyDescent="0.25">
      <c r="A72" s="20" t="s">
        <v>15</v>
      </c>
      <c r="B72" s="24">
        <f>B66</f>
        <v>30000</v>
      </c>
      <c r="C72" s="9">
        <f>C68</f>
        <v>48</v>
      </c>
      <c r="D72" s="25">
        <f>E68</f>
        <v>831100</v>
      </c>
      <c r="E72" s="31">
        <v>223.61</v>
      </c>
      <c r="F72" s="11">
        <f>E72*C72</f>
        <v>10733.28</v>
      </c>
      <c r="G72" s="24"/>
      <c r="H72" s="3"/>
      <c r="I72" s="3"/>
    </row>
    <row r="73" spans="1:9" x14ac:dyDescent="0.25">
      <c r="A73" s="20" t="s">
        <v>17</v>
      </c>
      <c r="B73" s="27">
        <f>B67</f>
        <v>30000</v>
      </c>
      <c r="C73" s="6"/>
      <c r="D73" s="28">
        <f>F68</f>
        <v>4940300</v>
      </c>
      <c r="E73" s="33">
        <v>6.9</v>
      </c>
      <c r="F73" s="34">
        <f>E73*(D73/1000)</f>
        <v>34088.07</v>
      </c>
      <c r="G73" s="24"/>
      <c r="H73" s="3"/>
      <c r="I73" s="3"/>
    </row>
    <row r="74" spans="1:9" x14ac:dyDescent="0.25">
      <c r="A74" s="20"/>
      <c r="B74" s="24" t="s">
        <v>24</v>
      </c>
      <c r="C74" s="9">
        <f>SUM(C72:C73)</f>
        <v>48</v>
      </c>
      <c r="D74" s="29">
        <f>SUM(D72:D73)</f>
        <v>5771400</v>
      </c>
      <c r="E74" s="3"/>
      <c r="F74" s="11">
        <f>SUM(F72:F73)</f>
        <v>44821.35</v>
      </c>
      <c r="G74" s="24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ht="15.75" x14ac:dyDescent="0.25">
      <c r="A76" s="22" t="s">
        <v>28</v>
      </c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/>
      <c r="B77" s="23" t="s">
        <v>29</v>
      </c>
      <c r="C77" s="23" t="s">
        <v>22</v>
      </c>
      <c r="D77" s="7" t="s">
        <v>24</v>
      </c>
      <c r="E77" s="3"/>
      <c r="F77" s="3"/>
      <c r="G77" s="3"/>
      <c r="H77" s="3"/>
      <c r="I77" s="3"/>
    </row>
    <row r="78" spans="1:9" x14ac:dyDescent="0.25">
      <c r="A78" s="20" t="s">
        <v>30</v>
      </c>
      <c r="B78" s="9">
        <v>17486</v>
      </c>
      <c r="C78" s="32">
        <v>5.07</v>
      </c>
      <c r="D78" s="11">
        <f>B78*C78</f>
        <v>88654.02</v>
      </c>
      <c r="E78" s="3"/>
      <c r="F78" s="3"/>
      <c r="G78" s="3"/>
      <c r="H78" s="3"/>
      <c r="I78" s="3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C5E6-3214-4F9E-A20C-D7A7AB0F5EFA}">
  <dimension ref="A1:I78"/>
  <sheetViews>
    <sheetView workbookViewId="0">
      <selection activeCell="A3" sqref="A3"/>
    </sheetView>
  </sheetViews>
  <sheetFormatPr defaultRowHeight="15" x14ac:dyDescent="0.25"/>
  <cols>
    <col min="1" max="1" width="12.5703125" customWidth="1"/>
    <col min="2" max="2" width="10.7109375" customWidth="1"/>
    <col min="3" max="3" width="9.7109375" customWidth="1"/>
    <col min="4" max="4" width="13.5703125" customWidth="1"/>
    <col min="5" max="5" width="13.140625" customWidth="1"/>
    <col min="6" max="7" width="13.28515625" customWidth="1"/>
    <col min="8" max="9" width="12" customWidth="1"/>
  </cols>
  <sheetData>
    <row r="1" spans="1:9" ht="18.75" x14ac:dyDescent="0.3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18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/>
      <c r="B3" s="3"/>
      <c r="C3" s="3"/>
      <c r="D3" s="3"/>
      <c r="E3" s="3"/>
      <c r="F3" s="3"/>
      <c r="G3" s="3"/>
      <c r="H3" s="3"/>
      <c r="I3" s="3"/>
    </row>
    <row r="4" spans="1:9" x14ac:dyDescent="0.25">
      <c r="A4" s="3"/>
      <c r="B4" s="3"/>
      <c r="C4" s="4" t="s">
        <v>2</v>
      </c>
      <c r="D4" s="3"/>
      <c r="E4" s="3"/>
      <c r="F4" s="3"/>
      <c r="G4" s="3"/>
      <c r="H4" s="3"/>
      <c r="I4" s="3"/>
    </row>
    <row r="5" spans="1:9" x14ac:dyDescent="0.25">
      <c r="A5" s="3"/>
      <c r="B5" s="3"/>
      <c r="C5" s="5"/>
      <c r="D5" s="6"/>
      <c r="E5" s="7" t="s">
        <v>3</v>
      </c>
      <c r="F5" s="7" t="s">
        <v>4</v>
      </c>
      <c r="G5" s="7" t="s">
        <v>5</v>
      </c>
      <c r="H5" s="8"/>
      <c r="I5" s="3"/>
    </row>
    <row r="6" spans="1:9" x14ac:dyDescent="0.25">
      <c r="A6" s="3"/>
      <c r="B6" s="3"/>
      <c r="C6" s="35" t="s">
        <v>6</v>
      </c>
      <c r="D6" s="35"/>
      <c r="E6" s="36">
        <f>C24</f>
        <v>67908</v>
      </c>
      <c r="F6" s="10">
        <f>D24</f>
        <v>271869000</v>
      </c>
      <c r="G6" s="37">
        <f>F33</f>
        <v>3142790.52</v>
      </c>
      <c r="H6" s="11"/>
      <c r="I6" s="3"/>
    </row>
    <row r="7" spans="1:9" x14ac:dyDescent="0.25">
      <c r="A7" s="3"/>
      <c r="B7" s="3"/>
      <c r="C7" s="35" t="s">
        <v>7</v>
      </c>
      <c r="D7" s="35"/>
      <c r="E7" s="36">
        <f>C41</f>
        <v>185</v>
      </c>
      <c r="F7" s="10">
        <f>D41</f>
        <v>2414500</v>
      </c>
      <c r="G7" s="36">
        <f>F48</f>
        <v>26238.358</v>
      </c>
      <c r="H7" s="9"/>
      <c r="I7" s="3"/>
    </row>
    <row r="8" spans="1:9" x14ac:dyDescent="0.25">
      <c r="A8" s="3"/>
      <c r="B8" s="3"/>
      <c r="C8" s="35" t="s">
        <v>8</v>
      </c>
      <c r="D8" s="35"/>
      <c r="E8" s="36">
        <f>C61</f>
        <v>122</v>
      </c>
      <c r="F8" s="10">
        <f>D61</f>
        <v>4590100</v>
      </c>
      <c r="G8" s="36">
        <f>F61</f>
        <v>48943.248</v>
      </c>
      <c r="H8" s="9"/>
      <c r="I8" s="3"/>
    </row>
    <row r="9" spans="1:9" ht="17.25" x14ac:dyDescent="0.4">
      <c r="A9" s="3"/>
      <c r="B9" s="3"/>
      <c r="C9" s="35" t="s">
        <v>9</v>
      </c>
      <c r="D9" s="35"/>
      <c r="E9" s="38">
        <f>C68</f>
        <v>48</v>
      </c>
      <c r="F9" s="13">
        <f>D68</f>
        <v>5771400</v>
      </c>
      <c r="G9" s="38">
        <f>F74</f>
        <v>51577.822</v>
      </c>
      <c r="H9" s="9"/>
      <c r="I9" s="3"/>
    </row>
    <row r="10" spans="1:9" x14ac:dyDescent="0.25">
      <c r="A10" s="3"/>
      <c r="B10" s="3"/>
      <c r="C10" s="3" t="s">
        <v>10</v>
      </c>
      <c r="D10" s="3"/>
      <c r="E10" s="14">
        <f>SUM(E6:E9)</f>
        <v>68263</v>
      </c>
      <c r="F10" s="14">
        <f>SUM(F6:F9)</f>
        <v>284645000</v>
      </c>
      <c r="G10" s="15">
        <f>SUM(G6:G9)</f>
        <v>3269549.9480000003</v>
      </c>
      <c r="H10" s="16"/>
      <c r="I10" s="9"/>
    </row>
    <row r="11" spans="1:9" ht="17.25" x14ac:dyDescent="0.4">
      <c r="A11" s="3"/>
      <c r="B11" s="3"/>
      <c r="C11" s="3"/>
      <c r="D11" s="3"/>
      <c r="E11" s="14"/>
      <c r="F11" s="14"/>
      <c r="G11" s="12"/>
      <c r="H11" s="16"/>
      <c r="I11" s="9"/>
    </row>
    <row r="12" spans="1:9" x14ac:dyDescent="0.25">
      <c r="A12" s="3"/>
      <c r="B12" s="3"/>
      <c r="C12" s="3" t="s">
        <v>11</v>
      </c>
      <c r="D12" s="3"/>
      <c r="E12" s="14"/>
      <c r="F12" s="14"/>
      <c r="G12" s="15">
        <f>G10+G11</f>
        <v>3269549.9480000003</v>
      </c>
      <c r="H12" s="16"/>
      <c r="I12" s="9"/>
    </row>
    <row r="13" spans="1:9" ht="17.25" x14ac:dyDescent="0.4">
      <c r="A13" s="3"/>
      <c r="B13" s="3"/>
      <c r="C13" s="3" t="s">
        <v>12</v>
      </c>
      <c r="D13" s="3"/>
      <c r="E13" s="3"/>
      <c r="F13" s="10">
        <f>B78*1000</f>
        <v>17486000</v>
      </c>
      <c r="G13" s="12">
        <f>D78</f>
        <v>102118.23999999999</v>
      </c>
      <c r="H13" s="12"/>
      <c r="I13" s="9"/>
    </row>
    <row r="14" spans="1:9" x14ac:dyDescent="0.25">
      <c r="A14" s="3"/>
      <c r="B14" s="3"/>
      <c r="C14" s="17" t="s">
        <v>13</v>
      </c>
      <c r="D14" s="18"/>
      <c r="E14" s="18"/>
      <c r="F14" s="18"/>
      <c r="G14" s="19">
        <f>G10+G13</f>
        <v>3371668.1880000001</v>
      </c>
      <c r="H14" s="15"/>
      <c r="I14" s="15"/>
    </row>
    <row r="15" spans="1:9" ht="17.25" x14ac:dyDescent="0.4">
      <c r="A15" s="3"/>
      <c r="B15" s="3"/>
      <c r="C15" s="3"/>
      <c r="D15" s="3"/>
      <c r="E15" s="3"/>
      <c r="F15" s="20"/>
      <c r="G15" s="21"/>
      <c r="H15" s="3"/>
      <c r="I15" s="15"/>
    </row>
    <row r="16" spans="1:9" ht="15.75" x14ac:dyDescent="0.25">
      <c r="A16" s="22" t="s">
        <v>14</v>
      </c>
      <c r="B16" s="3"/>
      <c r="C16" s="3"/>
      <c r="D16" s="3"/>
      <c r="E16" s="3"/>
      <c r="F16" s="3"/>
      <c r="G16" s="3"/>
      <c r="H16" s="3"/>
      <c r="I16" s="3"/>
    </row>
    <row r="17" spans="1:9" x14ac:dyDescent="0.25">
      <c r="A17" s="3"/>
      <c r="B17" s="3"/>
      <c r="C17" s="3"/>
      <c r="D17" s="3"/>
      <c r="E17" s="8" t="s">
        <v>15</v>
      </c>
      <c r="F17" s="8" t="s">
        <v>16</v>
      </c>
      <c r="G17" s="8" t="s">
        <v>16</v>
      </c>
      <c r="H17" s="8" t="s">
        <v>16</v>
      </c>
      <c r="I17" s="8" t="s">
        <v>17</v>
      </c>
    </row>
    <row r="18" spans="1:9" x14ac:dyDescent="0.25">
      <c r="A18" s="3"/>
      <c r="B18" s="7" t="s">
        <v>18</v>
      </c>
      <c r="C18" s="23" t="s">
        <v>19</v>
      </c>
      <c r="D18" s="23" t="s">
        <v>20</v>
      </c>
      <c r="E18" s="23">
        <f>B19</f>
        <v>2000</v>
      </c>
      <c r="F18" s="23">
        <f>B20</f>
        <v>2000</v>
      </c>
      <c r="G18" s="23">
        <f>B21</f>
        <v>2000</v>
      </c>
      <c r="H18" s="23">
        <f>B22</f>
        <v>4000</v>
      </c>
      <c r="I18" s="23">
        <f>B23</f>
        <v>10000</v>
      </c>
    </row>
    <row r="19" spans="1:9" x14ac:dyDescent="0.25">
      <c r="A19" s="20" t="s">
        <v>15</v>
      </c>
      <c r="B19" s="24">
        <v>2000</v>
      </c>
      <c r="C19" s="25">
        <f>20535+1282</f>
        <v>21817</v>
      </c>
      <c r="D19" s="25">
        <f>20941800+1223600</f>
        <v>22165400</v>
      </c>
      <c r="E19" s="25">
        <f>D19</f>
        <v>22165400</v>
      </c>
      <c r="F19" s="25">
        <v>0</v>
      </c>
      <c r="G19" s="25"/>
      <c r="H19" s="25"/>
      <c r="I19" s="25">
        <v>0</v>
      </c>
    </row>
    <row r="20" spans="1:9" x14ac:dyDescent="0.25">
      <c r="A20" s="20" t="s">
        <v>16</v>
      </c>
      <c r="B20" s="24">
        <v>2000</v>
      </c>
      <c r="C20" s="25">
        <f>22704+592</f>
        <v>23296</v>
      </c>
      <c r="D20" s="25">
        <f>67786300+1723500</f>
        <v>69509800</v>
      </c>
      <c r="E20" s="25">
        <f>C20*E$18</f>
        <v>46592000</v>
      </c>
      <c r="F20" s="25">
        <f>D20-E20</f>
        <v>22917800</v>
      </c>
      <c r="G20" s="25"/>
      <c r="H20" s="25"/>
      <c r="I20" s="25">
        <v>0</v>
      </c>
    </row>
    <row r="21" spans="1:9" x14ac:dyDescent="0.25">
      <c r="A21" s="20" t="s">
        <v>16</v>
      </c>
      <c r="B21" s="24">
        <v>2000</v>
      </c>
      <c r="C21" s="25">
        <f>11944+241</f>
        <v>12185</v>
      </c>
      <c r="D21" s="25">
        <f>58610300+1179900</f>
        <v>59790200</v>
      </c>
      <c r="E21" s="25">
        <f>C21*E$18</f>
        <v>24370000</v>
      </c>
      <c r="F21" s="25">
        <f>$C21*F$18</f>
        <v>24370000</v>
      </c>
      <c r="G21" s="25">
        <f>D21-(E21+F21)</f>
        <v>11050200</v>
      </c>
      <c r="H21" s="25"/>
      <c r="I21" s="25"/>
    </row>
    <row r="22" spans="1:9" x14ac:dyDescent="0.25">
      <c r="A22" s="20" t="s">
        <v>16</v>
      </c>
      <c r="B22" s="24">
        <v>4000</v>
      </c>
      <c r="C22" s="25">
        <f>7033+123</f>
        <v>7156</v>
      </c>
      <c r="D22" s="25">
        <f>52726100+948900</f>
        <v>53675000</v>
      </c>
      <c r="E22" s="25">
        <f>C22*E$18</f>
        <v>14312000</v>
      </c>
      <c r="F22" s="25">
        <f>$C22*F$18</f>
        <v>14312000</v>
      </c>
      <c r="G22" s="26">
        <f>$C22*G$18</f>
        <v>14312000</v>
      </c>
      <c r="H22" s="25">
        <f>D22-E22-F22-G22</f>
        <v>10739000</v>
      </c>
      <c r="I22" s="25"/>
    </row>
    <row r="23" spans="1:9" x14ac:dyDescent="0.25">
      <c r="A23" s="20" t="s">
        <v>17</v>
      </c>
      <c r="B23" s="27">
        <v>10000</v>
      </c>
      <c r="C23" s="28">
        <f>3339+115</f>
        <v>3454</v>
      </c>
      <c r="D23" s="28">
        <f>63315400+3413200</f>
        <v>66728600</v>
      </c>
      <c r="E23" s="28">
        <f>C23*E$18</f>
        <v>6908000</v>
      </c>
      <c r="F23" s="28">
        <f>$C23*F$18</f>
        <v>6908000</v>
      </c>
      <c r="G23" s="28">
        <f>$C23*G$18</f>
        <v>6908000</v>
      </c>
      <c r="H23" s="28">
        <f>C23*H18</f>
        <v>13816000</v>
      </c>
      <c r="I23" s="28">
        <f>D23-(F23+E23+G23+H23)</f>
        <v>32188600</v>
      </c>
    </row>
    <row r="24" spans="1:9" x14ac:dyDescent="0.25">
      <c r="A24" s="20"/>
      <c r="B24" s="24"/>
      <c r="C24" s="29">
        <f t="shared" ref="C24:I24" si="0">SUM(C19:C23)</f>
        <v>67908</v>
      </c>
      <c r="D24" s="29">
        <f t="shared" si="0"/>
        <v>271869000</v>
      </c>
      <c r="E24" s="29">
        <f t="shared" si="0"/>
        <v>114347400</v>
      </c>
      <c r="F24" s="29">
        <f t="shared" si="0"/>
        <v>68507800</v>
      </c>
      <c r="G24" s="29">
        <f t="shared" si="0"/>
        <v>32270200</v>
      </c>
      <c r="H24" s="29">
        <f t="shared" si="0"/>
        <v>24555000</v>
      </c>
      <c r="I24" s="29">
        <f t="shared" si="0"/>
        <v>32188600</v>
      </c>
    </row>
    <row r="25" spans="1:9" x14ac:dyDescent="0.25">
      <c r="A25" s="20"/>
      <c r="B25" s="24"/>
      <c r="C25" s="3"/>
      <c r="D25" s="24"/>
      <c r="E25" s="24"/>
      <c r="F25" s="24"/>
      <c r="G25" s="24"/>
      <c r="H25" s="24"/>
      <c r="I25" s="24"/>
    </row>
    <row r="26" spans="1:9" x14ac:dyDescent="0.25">
      <c r="A26" s="30" t="s">
        <v>21</v>
      </c>
      <c r="B26" s="30"/>
      <c r="C26" s="3"/>
      <c r="D26" s="24"/>
      <c r="E26" s="24"/>
      <c r="F26" s="24"/>
      <c r="G26" s="24"/>
      <c r="H26" s="24"/>
      <c r="I26" s="24"/>
    </row>
    <row r="27" spans="1:9" x14ac:dyDescent="0.25">
      <c r="A27" s="20"/>
      <c r="B27" s="7"/>
      <c r="C27" s="23" t="s">
        <v>19</v>
      </c>
      <c r="D27" s="7" t="s">
        <v>20</v>
      </c>
      <c r="E27" s="23" t="s">
        <v>22</v>
      </c>
      <c r="F27" s="23" t="s">
        <v>23</v>
      </c>
      <c r="G27" s="24"/>
      <c r="H27" s="24"/>
      <c r="I27" s="24"/>
    </row>
    <row r="28" spans="1:9" x14ac:dyDescent="0.25">
      <c r="A28" s="20" t="s">
        <v>15</v>
      </c>
      <c r="B28" s="24">
        <f>B19</f>
        <v>2000</v>
      </c>
      <c r="C28" s="9">
        <f>C24</f>
        <v>67908</v>
      </c>
      <c r="D28" s="25">
        <f>E24</f>
        <v>114347400</v>
      </c>
      <c r="E28" s="31">
        <v>24.87</v>
      </c>
      <c r="F28" s="11">
        <f>E28*C28</f>
        <v>1688871.96</v>
      </c>
      <c r="G28" s="24"/>
      <c r="H28" s="3"/>
      <c r="I28" s="3"/>
    </row>
    <row r="29" spans="1:9" x14ac:dyDescent="0.25">
      <c r="A29" s="20" t="s">
        <v>16</v>
      </c>
      <c r="B29" s="24">
        <f>B20</f>
        <v>2000</v>
      </c>
      <c r="C29" s="3"/>
      <c r="D29" s="25">
        <f>F24</f>
        <v>68507800</v>
      </c>
      <c r="E29" s="32">
        <v>9.86</v>
      </c>
      <c r="F29" s="9">
        <f>E29*(D29/1000)</f>
        <v>675486.90799999994</v>
      </c>
      <c r="G29" s="24"/>
      <c r="H29" s="3"/>
      <c r="I29" s="3"/>
    </row>
    <row r="30" spans="1:9" x14ac:dyDescent="0.25">
      <c r="A30" s="20" t="s">
        <v>16</v>
      </c>
      <c r="B30" s="24">
        <f>B21</f>
        <v>2000</v>
      </c>
      <c r="C30" s="3"/>
      <c r="D30" s="25">
        <f>G24</f>
        <v>32270200</v>
      </c>
      <c r="E30" s="32">
        <v>9.59</v>
      </c>
      <c r="F30" s="9">
        <f>E30*(D30/1000)</f>
        <v>309471.21799999999</v>
      </c>
      <c r="G30" s="24"/>
      <c r="H30" s="3"/>
      <c r="I30" s="3"/>
    </row>
    <row r="31" spans="1:9" x14ac:dyDescent="0.25">
      <c r="A31" s="20" t="s">
        <v>16</v>
      </c>
      <c r="B31" s="24">
        <f>B22</f>
        <v>4000</v>
      </c>
      <c r="C31" s="3"/>
      <c r="D31" s="25">
        <f>H24</f>
        <v>24555000</v>
      </c>
      <c r="E31" s="32">
        <v>8.69</v>
      </c>
      <c r="F31" s="9">
        <f>E31*(D31/1000)</f>
        <v>213382.94999999998</v>
      </c>
      <c r="G31" s="24"/>
      <c r="H31" s="3"/>
      <c r="I31" s="3"/>
    </row>
    <row r="32" spans="1:9" x14ac:dyDescent="0.25">
      <c r="A32" s="20" t="s">
        <v>17</v>
      </c>
      <c r="B32" s="27">
        <f>B23</f>
        <v>10000</v>
      </c>
      <c r="C32" s="6"/>
      <c r="D32" s="28">
        <f>I24</f>
        <v>32188600</v>
      </c>
      <c r="E32" s="33">
        <v>7.94</v>
      </c>
      <c r="F32" s="34">
        <f>E32*(D32/1000)</f>
        <v>255577.484</v>
      </c>
      <c r="G32" s="24"/>
      <c r="H32" s="3"/>
      <c r="I32" s="3"/>
    </row>
    <row r="33" spans="1:9" x14ac:dyDescent="0.25">
      <c r="A33" s="20"/>
      <c r="B33" s="24" t="s">
        <v>24</v>
      </c>
      <c r="C33" s="9">
        <f>SUM(C28:C32)</f>
        <v>67908</v>
      </c>
      <c r="D33" s="29">
        <f>SUM(D28:D32)</f>
        <v>271869000</v>
      </c>
      <c r="E33" s="3"/>
      <c r="F33" s="11">
        <f>SUM(F28:F32)</f>
        <v>3142790.52</v>
      </c>
      <c r="G33" s="24"/>
      <c r="H33" s="24"/>
      <c r="I33" s="24"/>
    </row>
    <row r="34" spans="1:9" x14ac:dyDescent="0.25">
      <c r="A34" s="20"/>
      <c r="B34" s="24"/>
      <c r="C34" s="9"/>
      <c r="D34" s="29"/>
      <c r="E34" s="3"/>
      <c r="F34" s="11"/>
      <c r="G34" s="24"/>
      <c r="H34" s="24"/>
      <c r="I34" s="24"/>
    </row>
    <row r="35" spans="1:9" ht="15.75" x14ac:dyDescent="0.25">
      <c r="A35" s="22" t="s">
        <v>25</v>
      </c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8" t="s">
        <v>15</v>
      </c>
      <c r="F36" s="8" t="s">
        <v>16</v>
      </c>
      <c r="G36" s="8" t="s">
        <v>17</v>
      </c>
      <c r="H36" s="3"/>
      <c r="I36" s="3"/>
    </row>
    <row r="37" spans="1:9" x14ac:dyDescent="0.25">
      <c r="A37" s="3"/>
      <c r="B37" s="7" t="s">
        <v>18</v>
      </c>
      <c r="C37" s="23" t="s">
        <v>19</v>
      </c>
      <c r="D37" s="23" t="s">
        <v>20</v>
      </c>
      <c r="E37" s="23">
        <f>B38</f>
        <v>6000</v>
      </c>
      <c r="F37" s="23">
        <f>B39</f>
        <v>4000</v>
      </c>
      <c r="G37" s="23">
        <f>B40</f>
        <v>10000</v>
      </c>
      <c r="H37" s="3"/>
      <c r="I37" s="3"/>
    </row>
    <row r="38" spans="1:9" x14ac:dyDescent="0.25">
      <c r="A38" s="20" t="s">
        <v>15</v>
      </c>
      <c r="B38" s="24">
        <v>6000</v>
      </c>
      <c r="C38" s="25">
        <f>34+77</f>
        <v>111</v>
      </c>
      <c r="D38" s="25">
        <f>93000+79300</f>
        <v>172300</v>
      </c>
      <c r="E38" s="25">
        <f>D38</f>
        <v>172300</v>
      </c>
      <c r="F38" s="25">
        <v>0</v>
      </c>
      <c r="G38" s="25">
        <v>0</v>
      </c>
      <c r="H38" s="3"/>
      <c r="I38" s="3"/>
    </row>
    <row r="39" spans="1:9" x14ac:dyDescent="0.25">
      <c r="A39" s="20" t="s">
        <v>16</v>
      </c>
      <c r="B39" s="24">
        <v>4000</v>
      </c>
      <c r="C39" s="25">
        <f>24+7</f>
        <v>31</v>
      </c>
      <c r="D39" s="25">
        <f>174100+57500</f>
        <v>231600</v>
      </c>
      <c r="E39" s="25">
        <f>$C39*E$37</f>
        <v>186000</v>
      </c>
      <c r="F39" s="25">
        <f>D39-E39</f>
        <v>45600</v>
      </c>
      <c r="G39" s="25">
        <v>0</v>
      </c>
      <c r="H39" s="3"/>
      <c r="I39" s="3"/>
    </row>
    <row r="40" spans="1:9" x14ac:dyDescent="0.25">
      <c r="A40" s="20" t="s">
        <v>17</v>
      </c>
      <c r="B40" s="27">
        <v>10000</v>
      </c>
      <c r="C40" s="28">
        <f>26+17</f>
        <v>43</v>
      </c>
      <c r="D40" s="28">
        <f>841000+1169600</f>
        <v>2010600</v>
      </c>
      <c r="E40" s="28">
        <f>$C40*E$37</f>
        <v>258000</v>
      </c>
      <c r="F40" s="28">
        <f>$C40*F$37</f>
        <v>172000</v>
      </c>
      <c r="G40" s="28">
        <f>D40-(F40+E40)</f>
        <v>1580600</v>
      </c>
      <c r="H40" s="3"/>
      <c r="I40" s="3"/>
    </row>
    <row r="41" spans="1:9" x14ac:dyDescent="0.25">
      <c r="A41" s="20"/>
      <c r="B41" s="24"/>
      <c r="C41" s="29">
        <f t="shared" ref="C41:G41" si="1">SUM(C38:C40)</f>
        <v>185</v>
      </c>
      <c r="D41" s="29">
        <f t="shared" si="1"/>
        <v>2414500</v>
      </c>
      <c r="E41" s="29">
        <f t="shared" si="1"/>
        <v>616300</v>
      </c>
      <c r="F41" s="29">
        <f t="shared" si="1"/>
        <v>217600</v>
      </c>
      <c r="G41" s="29">
        <f t="shared" si="1"/>
        <v>1580600</v>
      </c>
      <c r="H41" s="3"/>
      <c r="I41" s="3"/>
    </row>
    <row r="42" spans="1:9" x14ac:dyDescent="0.25">
      <c r="A42" s="20"/>
      <c r="B42" s="24"/>
      <c r="C42" s="3"/>
      <c r="D42" s="24"/>
      <c r="E42" s="24"/>
      <c r="F42" s="24"/>
      <c r="G42" s="24"/>
      <c r="H42" s="24"/>
      <c r="I42" s="24"/>
    </row>
    <row r="43" spans="1:9" x14ac:dyDescent="0.25">
      <c r="A43" s="30" t="s">
        <v>21</v>
      </c>
      <c r="B43" s="30"/>
      <c r="C43" s="3"/>
      <c r="D43" s="24"/>
      <c r="E43" s="24"/>
      <c r="F43" s="24"/>
      <c r="G43" s="24"/>
      <c r="H43" s="24"/>
      <c r="I43" s="24"/>
    </row>
    <row r="44" spans="1:9" x14ac:dyDescent="0.25">
      <c r="A44" s="20"/>
      <c r="B44" s="7"/>
      <c r="C44" s="23" t="s">
        <v>19</v>
      </c>
      <c r="D44" s="7" t="s">
        <v>20</v>
      </c>
      <c r="E44" s="23" t="s">
        <v>22</v>
      </c>
      <c r="F44" s="23" t="s">
        <v>23</v>
      </c>
      <c r="G44" s="24"/>
      <c r="H44" s="24"/>
      <c r="I44" s="24"/>
    </row>
    <row r="45" spans="1:9" x14ac:dyDescent="0.25">
      <c r="A45" s="20" t="s">
        <v>15</v>
      </c>
      <c r="B45" s="24">
        <v>6000</v>
      </c>
      <c r="C45" s="9">
        <f>C41</f>
        <v>185</v>
      </c>
      <c r="D45" s="25">
        <f>E41</f>
        <v>616300</v>
      </c>
      <c r="E45" s="31">
        <v>63.77</v>
      </c>
      <c r="F45" s="11">
        <f>E45*C45</f>
        <v>11797.45</v>
      </c>
      <c r="G45" s="24"/>
      <c r="H45" s="3"/>
      <c r="I45" s="3"/>
    </row>
    <row r="46" spans="1:9" x14ac:dyDescent="0.25">
      <c r="A46" s="20" t="s">
        <v>16</v>
      </c>
      <c r="B46" s="24">
        <v>4000</v>
      </c>
      <c r="C46" s="3"/>
      <c r="D46" s="25">
        <f>F41</f>
        <v>217600</v>
      </c>
      <c r="E46" s="32">
        <v>8.69</v>
      </c>
      <c r="F46" s="9">
        <f>E46*(D46/1000)</f>
        <v>1890.9439999999997</v>
      </c>
      <c r="G46" s="24"/>
      <c r="H46" s="3"/>
      <c r="I46" s="3"/>
    </row>
    <row r="47" spans="1:9" x14ac:dyDescent="0.25">
      <c r="A47" s="20" t="s">
        <v>17</v>
      </c>
      <c r="B47" s="27">
        <v>10000</v>
      </c>
      <c r="C47" s="6"/>
      <c r="D47" s="28">
        <f>G41</f>
        <v>1580600</v>
      </c>
      <c r="E47" s="33">
        <v>7.94</v>
      </c>
      <c r="F47" s="34">
        <f>E47*(D47/1000)</f>
        <v>12549.964</v>
      </c>
      <c r="G47" s="24"/>
      <c r="H47" s="3"/>
      <c r="I47" s="3"/>
    </row>
    <row r="48" spans="1:9" x14ac:dyDescent="0.25">
      <c r="A48" s="20"/>
      <c r="B48" s="24" t="s">
        <v>24</v>
      </c>
      <c r="C48" s="9">
        <f>SUM(C45:C47)</f>
        <v>185</v>
      </c>
      <c r="D48" s="29">
        <f>SUM(D45:D47)</f>
        <v>2414500</v>
      </c>
      <c r="E48" s="3"/>
      <c r="F48" s="11">
        <f>SUM(F45:F47)</f>
        <v>26238.358</v>
      </c>
      <c r="G48" s="24"/>
      <c r="H48" s="24"/>
      <c r="I48" s="24"/>
    </row>
    <row r="49" spans="1:9" x14ac:dyDescent="0.25">
      <c r="A49" s="20"/>
      <c r="B49" s="24"/>
      <c r="C49" s="9"/>
      <c r="D49" s="29"/>
      <c r="E49" s="3"/>
      <c r="F49" s="11"/>
      <c r="G49" s="24"/>
      <c r="H49" s="24"/>
      <c r="I49" s="24"/>
    </row>
    <row r="50" spans="1:9" ht="15.75" x14ac:dyDescent="0.25">
      <c r="A50" s="22" t="s">
        <v>26</v>
      </c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8" t="s">
        <v>15</v>
      </c>
      <c r="F51" s="8" t="s">
        <v>17</v>
      </c>
      <c r="G51" s="3"/>
      <c r="H51" s="3"/>
      <c r="I51" s="3"/>
    </row>
    <row r="52" spans="1:9" x14ac:dyDescent="0.25">
      <c r="A52" s="3"/>
      <c r="B52" s="7" t="s">
        <v>18</v>
      </c>
      <c r="C52" s="23" t="s">
        <v>19</v>
      </c>
      <c r="D52" s="23" t="s">
        <v>20</v>
      </c>
      <c r="E52" s="23">
        <f>B53</f>
        <v>20000</v>
      </c>
      <c r="F52" s="23">
        <f>B54</f>
        <v>20000</v>
      </c>
      <c r="G52" s="3"/>
      <c r="H52" s="3"/>
      <c r="I52" s="3"/>
    </row>
    <row r="53" spans="1:9" x14ac:dyDescent="0.25">
      <c r="A53" s="20" t="s">
        <v>15</v>
      </c>
      <c r="B53" s="24">
        <v>20000</v>
      </c>
      <c r="C53" s="25">
        <f>68+17</f>
        <v>85</v>
      </c>
      <c r="D53" s="25">
        <f>325300+94600</f>
        <v>419900</v>
      </c>
      <c r="E53" s="25">
        <f>D53</f>
        <v>419900</v>
      </c>
      <c r="F53" s="25">
        <f>D53-E53</f>
        <v>0</v>
      </c>
      <c r="G53" s="3"/>
      <c r="H53" s="3"/>
      <c r="I53" s="3"/>
    </row>
    <row r="54" spans="1:9" x14ac:dyDescent="0.25">
      <c r="A54" s="20" t="s">
        <v>17</v>
      </c>
      <c r="B54" s="27">
        <v>20000</v>
      </c>
      <c r="C54" s="28">
        <f>28+9</f>
        <v>37</v>
      </c>
      <c r="D54" s="28">
        <f>3818100+352100</f>
        <v>4170200</v>
      </c>
      <c r="E54" s="28">
        <f>$C54*E$52</f>
        <v>740000</v>
      </c>
      <c r="F54" s="28">
        <f>D54-E54</f>
        <v>3430200</v>
      </c>
      <c r="G54" s="3"/>
      <c r="H54" s="3"/>
      <c r="I54" s="3"/>
    </row>
    <row r="55" spans="1:9" x14ac:dyDescent="0.25">
      <c r="A55" s="20"/>
      <c r="B55" s="24"/>
      <c r="C55" s="29">
        <f>SUM(C53:C54)</f>
        <v>122</v>
      </c>
      <c r="D55" s="29">
        <f>SUM(D53:D54)</f>
        <v>4590100</v>
      </c>
      <c r="E55" s="29">
        <f>SUM(E53:E54)</f>
        <v>1159900</v>
      </c>
      <c r="F55" s="29">
        <f>SUM(F53:F54)</f>
        <v>3430200</v>
      </c>
      <c r="G55" s="3"/>
      <c r="H55" s="3"/>
      <c r="I55" s="3"/>
    </row>
    <row r="56" spans="1:9" x14ac:dyDescent="0.25">
      <c r="A56" s="20"/>
      <c r="B56" s="24"/>
      <c r="C56" s="3"/>
      <c r="D56" s="24"/>
      <c r="E56" s="24"/>
      <c r="F56" s="24"/>
      <c r="G56" s="24"/>
      <c r="H56" s="24"/>
      <c r="I56" s="3"/>
    </row>
    <row r="57" spans="1:9" x14ac:dyDescent="0.25">
      <c r="A57" s="30" t="s">
        <v>21</v>
      </c>
      <c r="B57" s="30"/>
      <c r="C57" s="3"/>
      <c r="D57" s="24"/>
      <c r="E57" s="24"/>
      <c r="F57" s="24"/>
      <c r="G57" s="24"/>
      <c r="H57" s="24"/>
      <c r="I57" s="3"/>
    </row>
    <row r="58" spans="1:9" x14ac:dyDescent="0.25">
      <c r="A58" s="20"/>
      <c r="B58" s="7"/>
      <c r="C58" s="23" t="s">
        <v>19</v>
      </c>
      <c r="D58" s="7" t="s">
        <v>20</v>
      </c>
      <c r="E58" s="23" t="s">
        <v>22</v>
      </c>
      <c r="F58" s="23" t="s">
        <v>23</v>
      </c>
      <c r="G58" s="24"/>
      <c r="H58" s="24"/>
      <c r="I58" s="3"/>
    </row>
    <row r="59" spans="1:9" x14ac:dyDescent="0.25">
      <c r="A59" s="20" t="s">
        <v>15</v>
      </c>
      <c r="B59" s="24">
        <f>B53</f>
        <v>20000</v>
      </c>
      <c r="C59" s="9">
        <f>C55</f>
        <v>122</v>
      </c>
      <c r="D59" s="25">
        <f>E55</f>
        <v>1159900</v>
      </c>
      <c r="E59" s="31">
        <v>177.93</v>
      </c>
      <c r="F59" s="11">
        <f>E59*C59</f>
        <v>21707.46</v>
      </c>
      <c r="G59" s="24"/>
      <c r="H59" s="3"/>
      <c r="I59" s="3"/>
    </row>
    <row r="60" spans="1:9" x14ac:dyDescent="0.25">
      <c r="A60" s="20" t="s">
        <v>17</v>
      </c>
      <c r="B60" s="27">
        <f>B54</f>
        <v>20000</v>
      </c>
      <c r="C60" s="6"/>
      <c r="D60" s="28">
        <f>F55</f>
        <v>3430200</v>
      </c>
      <c r="E60" s="33">
        <v>7.94</v>
      </c>
      <c r="F60" s="34">
        <f>E60*(D60/1000)</f>
        <v>27235.788</v>
      </c>
      <c r="G60" s="24"/>
      <c r="H60" s="3"/>
      <c r="I60" s="3"/>
    </row>
    <row r="61" spans="1:9" x14ac:dyDescent="0.25">
      <c r="A61" s="20"/>
      <c r="B61" s="24" t="s">
        <v>24</v>
      </c>
      <c r="C61" s="9">
        <f>SUM(C59:C60)</f>
        <v>122</v>
      </c>
      <c r="D61" s="29">
        <f>SUM(D59:D60)</f>
        <v>4590100</v>
      </c>
      <c r="E61" s="3"/>
      <c r="F61" s="11">
        <f>SUM(F59:F60)</f>
        <v>48943.248</v>
      </c>
      <c r="G61" s="24"/>
      <c r="H61" s="24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ht="15.75" x14ac:dyDescent="0.25">
      <c r="A63" s="22" t="s">
        <v>27</v>
      </c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8" t="s">
        <v>15</v>
      </c>
      <c r="F64" s="8" t="s">
        <v>17</v>
      </c>
      <c r="G64" s="3"/>
      <c r="H64" s="3"/>
      <c r="I64" s="3"/>
    </row>
    <row r="65" spans="1:9" x14ac:dyDescent="0.25">
      <c r="A65" s="3"/>
      <c r="B65" s="7" t="s">
        <v>18</v>
      </c>
      <c r="C65" s="23" t="s">
        <v>19</v>
      </c>
      <c r="D65" s="23" t="s">
        <v>20</v>
      </c>
      <c r="E65" s="23">
        <f>B66</f>
        <v>30000</v>
      </c>
      <c r="F65" s="23">
        <f>B67</f>
        <v>30000</v>
      </c>
      <c r="G65" s="3"/>
      <c r="H65" s="3"/>
      <c r="I65" s="3"/>
    </row>
    <row r="66" spans="1:9" x14ac:dyDescent="0.25">
      <c r="A66" s="20" t="s">
        <v>15</v>
      </c>
      <c r="B66" s="24">
        <v>30000</v>
      </c>
      <c r="C66" s="25">
        <f>14+12</f>
        <v>26</v>
      </c>
      <c r="D66" s="25">
        <f>152900+18200</f>
        <v>171100</v>
      </c>
      <c r="E66" s="25">
        <f>D66</f>
        <v>171100</v>
      </c>
      <c r="F66" s="25">
        <f>D66-E66</f>
        <v>0</v>
      </c>
      <c r="G66" s="3"/>
      <c r="H66" s="3"/>
      <c r="I66" s="3"/>
    </row>
    <row r="67" spans="1:9" x14ac:dyDescent="0.25">
      <c r="A67" s="20" t="s">
        <v>17</v>
      </c>
      <c r="B67" s="27">
        <v>30000</v>
      </c>
      <c r="C67" s="28">
        <v>22</v>
      </c>
      <c r="D67" s="28">
        <f>5600300</f>
        <v>5600300</v>
      </c>
      <c r="E67" s="28">
        <f>$C67*E65</f>
        <v>660000</v>
      </c>
      <c r="F67" s="28">
        <f>D67-E67</f>
        <v>4940300</v>
      </c>
      <c r="G67" s="3"/>
      <c r="H67" s="3"/>
      <c r="I67" s="3"/>
    </row>
    <row r="68" spans="1:9" x14ac:dyDescent="0.25">
      <c r="A68" s="20"/>
      <c r="B68" s="24"/>
      <c r="C68" s="29">
        <f>SUM(C66:C67)</f>
        <v>48</v>
      </c>
      <c r="D68" s="29">
        <f>SUM(D66:D67)</f>
        <v>5771400</v>
      </c>
      <c r="E68" s="29">
        <f>SUM(E66:E67)</f>
        <v>831100</v>
      </c>
      <c r="F68" s="29">
        <f>SUM(F66:F67)</f>
        <v>4940300</v>
      </c>
      <c r="G68" s="3"/>
      <c r="H68" s="3"/>
      <c r="I68" s="3"/>
    </row>
    <row r="69" spans="1:9" x14ac:dyDescent="0.25">
      <c r="A69" s="20"/>
      <c r="B69" s="24"/>
      <c r="C69" s="3"/>
      <c r="D69" s="24"/>
      <c r="E69" s="24"/>
      <c r="F69" s="24"/>
      <c r="G69" s="24"/>
      <c r="H69" s="3"/>
      <c r="I69" s="3"/>
    </row>
    <row r="70" spans="1:9" x14ac:dyDescent="0.25">
      <c r="A70" s="30" t="s">
        <v>21</v>
      </c>
      <c r="B70" s="30"/>
      <c r="C70" s="3"/>
      <c r="D70" s="24"/>
      <c r="E70" s="24"/>
      <c r="F70" s="24"/>
      <c r="G70" s="24"/>
      <c r="H70" s="3"/>
      <c r="I70" s="3"/>
    </row>
    <row r="71" spans="1:9" x14ac:dyDescent="0.25">
      <c r="A71" s="20"/>
      <c r="B71" s="7"/>
      <c r="C71" s="23" t="s">
        <v>19</v>
      </c>
      <c r="D71" s="7" t="s">
        <v>20</v>
      </c>
      <c r="E71" s="23" t="s">
        <v>22</v>
      </c>
      <c r="F71" s="23" t="s">
        <v>23</v>
      </c>
      <c r="G71" s="24"/>
      <c r="H71" s="3"/>
      <c r="I71" s="3"/>
    </row>
    <row r="72" spans="1:9" x14ac:dyDescent="0.25">
      <c r="A72" s="20" t="s">
        <v>15</v>
      </c>
      <c r="B72" s="24">
        <f>B66</f>
        <v>30000</v>
      </c>
      <c r="C72" s="9">
        <f>C68</f>
        <v>48</v>
      </c>
      <c r="D72" s="25">
        <f>E68</f>
        <v>831100</v>
      </c>
      <c r="E72" s="31">
        <v>257.33</v>
      </c>
      <c r="F72" s="11">
        <f>E72*C72</f>
        <v>12351.84</v>
      </c>
      <c r="G72" s="24"/>
      <c r="H72" s="3"/>
      <c r="I72" s="3"/>
    </row>
    <row r="73" spans="1:9" x14ac:dyDescent="0.25">
      <c r="A73" s="20" t="s">
        <v>17</v>
      </c>
      <c r="B73" s="27">
        <f>B67</f>
        <v>30000</v>
      </c>
      <c r="C73" s="6"/>
      <c r="D73" s="28">
        <f>F68</f>
        <v>4940300</v>
      </c>
      <c r="E73" s="33">
        <v>7.94</v>
      </c>
      <c r="F73" s="34">
        <f>E73*(D73/1000)</f>
        <v>39225.982000000004</v>
      </c>
      <c r="G73" s="24"/>
      <c r="H73" s="3"/>
      <c r="I73" s="3"/>
    </row>
    <row r="74" spans="1:9" x14ac:dyDescent="0.25">
      <c r="A74" s="20"/>
      <c r="B74" s="24" t="s">
        <v>24</v>
      </c>
      <c r="C74" s="9">
        <f>SUM(C72:C73)</f>
        <v>48</v>
      </c>
      <c r="D74" s="29">
        <f>SUM(D72:D73)</f>
        <v>5771400</v>
      </c>
      <c r="E74" s="3"/>
      <c r="F74" s="11">
        <f>SUM(F72:F73)</f>
        <v>51577.822</v>
      </c>
      <c r="G74" s="24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ht="15.75" x14ac:dyDescent="0.25">
      <c r="A76" s="22" t="s">
        <v>28</v>
      </c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/>
      <c r="B77" s="23" t="s">
        <v>29</v>
      </c>
      <c r="C77" s="23" t="s">
        <v>22</v>
      </c>
      <c r="D77" s="7" t="s">
        <v>24</v>
      </c>
      <c r="E77" s="3"/>
      <c r="F77" s="3"/>
      <c r="G77" s="3"/>
      <c r="H77" s="3"/>
      <c r="I77" s="3"/>
    </row>
    <row r="78" spans="1:9" x14ac:dyDescent="0.25">
      <c r="A78" s="20" t="s">
        <v>30</v>
      </c>
      <c r="B78" s="9">
        <v>17486</v>
      </c>
      <c r="C78" s="32">
        <v>5.84</v>
      </c>
      <c r="D78" s="11">
        <f>B78*C78</f>
        <v>102118.23999999999</v>
      </c>
      <c r="E78" s="3"/>
      <c r="F78" s="3"/>
      <c r="G78" s="3"/>
      <c r="H78" s="3"/>
      <c r="I78" s="3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ExBA</vt:lpstr>
      <vt:lpstr>PropBA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2023-06-21T15:00:00Z</dcterms:created>
  <dcterms:modified xsi:type="dcterms:W3CDTF">2023-06-21T15:08:38Z</dcterms:modified>
</cp:coreProperties>
</file>