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City of Dawson Springs/"/>
    </mc:Choice>
  </mc:AlternateContent>
  <xr:revisionPtr revIDLastSave="32" documentId="8_{7A66EA7D-6405-426C-816F-4CACB55628E7}" xr6:coauthVersionLast="47" xr6:coauthVersionMax="47" xr10:uidLastSave="{E649F379-A547-4C6E-AF78-0CED4987850C}"/>
  <bookViews>
    <workbookView xWindow="-98" yWindow="-98" windowWidth="20715" windowHeight="13155" xr2:uid="{00000000-000D-0000-FFFF-FFFF00000000}"/>
  </bookViews>
  <sheets>
    <sheet name="Trial Balance" sheetId="41" r:id="rId1"/>
    <sheet name="Matrix" sheetId="33" r:id="rId2"/>
    <sheet name="Depreciation" sheetId="17" r:id="rId3"/>
    <sheet name="Debt Service" sheetId="36" r:id="rId4"/>
    <sheet name="DS Allocation" sheetId="37" r:id="rId5"/>
    <sheet name="System Information" sheetId="18" r:id="rId6"/>
    <sheet name="Wholesale Factors" sheetId="19" r:id="rId7"/>
    <sheet name="Rate Computation" sheetId="16" r:id="rId8"/>
    <sheet name="Breakout" sheetId="42" r:id="rId9"/>
  </sheets>
  <definedNames>
    <definedName name="_xlnm.Print_Area" localSheetId="8">Breakout!$A$1:$B$24</definedName>
    <definedName name="_xlnm.Print_Area" localSheetId="3">'Debt Service'!$A$1:$Q$17</definedName>
    <definedName name="_xlnm.Print_Area" localSheetId="2">Depreciation!$A$1:$K$27</definedName>
    <definedName name="_xlnm.Print_Area" localSheetId="4">'DS Allocation'!$A$1:$J$17</definedName>
    <definedName name="_xlnm.Print_Area" localSheetId="1">Matrix!$A$1:$L$76</definedName>
    <definedName name="_xlnm.Print_Area" localSheetId="7">'Rate Computation'!$A$1:$K$61</definedName>
    <definedName name="_xlnm.Print_Area" localSheetId="5">'System Information'!$A$1:$J$39</definedName>
    <definedName name="_xlnm.Print_Area" localSheetId="0">'Trial Balance'!$A$1:$K$60</definedName>
    <definedName name="_xlnm.Print_Area" localSheetId="6">'Wholesale Factors'!$A$1:$K$46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41" l="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D39" i="41"/>
  <c r="E39" i="41" s="1"/>
  <c r="D25" i="41"/>
  <c r="E25" i="41" s="1"/>
  <c r="D17" i="41"/>
  <c r="E17" i="41" s="1"/>
  <c r="D16" i="41"/>
  <c r="E16" i="41" s="1"/>
  <c r="D47" i="41"/>
  <c r="D45" i="41"/>
  <c r="D44" i="41"/>
  <c r="E44" i="41" s="1"/>
  <c r="D43" i="41"/>
  <c r="E43" i="41" s="1"/>
  <c r="D42" i="41"/>
  <c r="D41" i="41"/>
  <c r="E41" i="41" s="1"/>
  <c r="D34" i="41"/>
  <c r="E34" i="41" s="1"/>
  <c r="D33" i="41"/>
  <c r="D32" i="41"/>
  <c r="D30" i="41"/>
  <c r="D29" i="41"/>
  <c r="D28" i="41"/>
  <c r="E28" i="41" s="1"/>
  <c r="D27" i="41"/>
  <c r="D26" i="41"/>
  <c r="D12" i="41"/>
  <c r="E12" i="41" s="1"/>
  <c r="D11" i="41"/>
  <c r="D10" i="41"/>
  <c r="D9" i="41"/>
  <c r="E9" i="41" s="1"/>
  <c r="D8" i="41"/>
  <c r="E8" i="41" s="1"/>
  <c r="D7" i="41"/>
  <c r="E7" i="41" s="1"/>
  <c r="C60" i="41"/>
  <c r="E59" i="41"/>
  <c r="E58" i="41"/>
  <c r="E57" i="41"/>
  <c r="E56" i="41"/>
  <c r="E55" i="41"/>
  <c r="E54" i="41"/>
  <c r="E53" i="41"/>
  <c r="E52" i="41"/>
  <c r="E51" i="41"/>
  <c r="E50" i="41"/>
  <c r="E49" i="41"/>
  <c r="E48" i="41"/>
  <c r="E47" i="41"/>
  <c r="E46" i="41"/>
  <c r="E45" i="41"/>
  <c r="E42" i="41"/>
  <c r="E40" i="41"/>
  <c r="E38" i="41"/>
  <c r="E37" i="41"/>
  <c r="E36" i="41"/>
  <c r="E35" i="41"/>
  <c r="E33" i="41"/>
  <c r="E32" i="41"/>
  <c r="E31" i="41"/>
  <c r="E30" i="41"/>
  <c r="E29" i="41"/>
  <c r="E27" i="41"/>
  <c r="E26" i="41"/>
  <c r="E24" i="41"/>
  <c r="E23" i="41"/>
  <c r="E22" i="41"/>
  <c r="E21" i="41"/>
  <c r="E20" i="41"/>
  <c r="E19" i="41"/>
  <c r="E18" i="41"/>
  <c r="E15" i="41"/>
  <c r="E14" i="41"/>
  <c r="E13" i="41"/>
  <c r="E10" i="41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F31" i="18"/>
  <c r="D60" i="41" l="1"/>
  <c r="E11" i="41"/>
  <c r="E60" i="41"/>
  <c r="E51" i="16"/>
  <c r="E50" i="16"/>
  <c r="E49" i="16"/>
  <c r="H13" i="37" l="1"/>
  <c r="F13" i="37"/>
  <c r="G12" i="37"/>
  <c r="H11" i="37"/>
  <c r="E11" i="37"/>
  <c r="C11" i="37" l="1"/>
  <c r="M12" i="36"/>
  <c r="N12" i="36" l="1"/>
  <c r="O12" i="36" s="1"/>
  <c r="C13" i="37" l="1"/>
  <c r="C12" i="37"/>
  <c r="L14" i="36" l="1"/>
  <c r="K14" i="36"/>
  <c r="J14" i="36"/>
  <c r="I14" i="36"/>
  <c r="H14" i="36"/>
  <c r="G14" i="36"/>
  <c r="F14" i="36"/>
  <c r="E14" i="36"/>
  <c r="D14" i="36"/>
  <c r="C14" i="36"/>
  <c r="L13" i="36"/>
  <c r="K13" i="36"/>
  <c r="J13" i="36"/>
  <c r="I13" i="36"/>
  <c r="H13" i="36"/>
  <c r="G13" i="36"/>
  <c r="F13" i="36"/>
  <c r="E13" i="36"/>
  <c r="D13" i="36"/>
  <c r="C13" i="36"/>
  <c r="M14" i="36" l="1"/>
  <c r="N14" i="36" s="1"/>
  <c r="O14" i="36" s="1"/>
  <c r="E13" i="37" s="1"/>
  <c r="M13" i="36"/>
  <c r="F15" i="37" l="1"/>
  <c r="N13" i="36"/>
  <c r="O13" i="36" s="1"/>
  <c r="E12" i="37" s="1"/>
  <c r="H15" i="37" s="1"/>
  <c r="E15" i="37" l="1"/>
  <c r="G15" i="37"/>
  <c r="K15" i="37" s="1"/>
  <c r="G15" i="17"/>
  <c r="E13" i="17"/>
  <c r="E12" i="17"/>
  <c r="D25" i="17" l="1"/>
  <c r="F22" i="17"/>
  <c r="E22" i="17"/>
  <c r="E14" i="33"/>
  <c r="C14" i="33"/>
  <c r="E59" i="33"/>
  <c r="C59" i="33"/>
  <c r="E58" i="33"/>
  <c r="C58" i="33"/>
  <c r="E57" i="33"/>
  <c r="C57" i="33"/>
  <c r="E56" i="33"/>
  <c r="C56" i="33"/>
  <c r="E37" i="33"/>
  <c r="C37" i="33"/>
  <c r="E36" i="33"/>
  <c r="C36" i="33"/>
  <c r="E35" i="33"/>
  <c r="C35" i="33"/>
  <c r="E34" i="33"/>
  <c r="C34" i="33"/>
  <c r="E33" i="33"/>
  <c r="C33" i="33"/>
  <c r="E32" i="33"/>
  <c r="C32" i="33"/>
  <c r="E31" i="33"/>
  <c r="C31" i="33"/>
  <c r="E52" i="33"/>
  <c r="C52" i="33"/>
  <c r="E29" i="33"/>
  <c r="C29" i="33"/>
  <c r="E28" i="33"/>
  <c r="C28" i="33"/>
  <c r="E27" i="33"/>
  <c r="C27" i="33"/>
  <c r="E26" i="33"/>
  <c r="C26" i="33"/>
  <c r="E72" i="33"/>
  <c r="C72" i="33"/>
  <c r="E71" i="33"/>
  <c r="C71" i="33"/>
  <c r="E70" i="33"/>
  <c r="C70" i="33"/>
  <c r="E10" i="33"/>
  <c r="C10" i="33"/>
  <c r="E13" i="33"/>
  <c r="C13" i="33"/>
  <c r="E55" i="33"/>
  <c r="C55" i="33"/>
  <c r="E40" i="33"/>
  <c r="C40" i="33"/>
  <c r="E62" i="33"/>
  <c r="C62" i="33"/>
  <c r="E51" i="33"/>
  <c r="C51" i="33"/>
  <c r="E50" i="33"/>
  <c r="C50" i="33"/>
  <c r="E49" i="33"/>
  <c r="C49" i="33"/>
  <c r="E25" i="33"/>
  <c r="C25" i="33"/>
  <c r="E24" i="33"/>
  <c r="C24" i="33"/>
  <c r="E23" i="33"/>
  <c r="C23" i="33"/>
  <c r="E22" i="33"/>
  <c r="C22" i="33"/>
  <c r="E69" i="33"/>
  <c r="C69" i="33"/>
  <c r="E68" i="33"/>
  <c r="C68" i="33"/>
  <c r="E9" i="33"/>
  <c r="C9" i="33"/>
  <c r="E12" i="33"/>
  <c r="C12" i="33"/>
  <c r="E54" i="33"/>
  <c r="C54" i="33"/>
  <c r="E42" i="33"/>
  <c r="C42" i="33"/>
  <c r="E39" i="33"/>
  <c r="C39" i="33"/>
  <c r="E61" i="33"/>
  <c r="C61" i="33"/>
  <c r="E16" i="33"/>
  <c r="C16" i="33"/>
  <c r="E64" i="33"/>
  <c r="C64" i="33"/>
  <c r="E48" i="33"/>
  <c r="C48" i="33"/>
  <c r="E47" i="33"/>
  <c r="C47" i="33"/>
  <c r="E46" i="33"/>
  <c r="C46" i="33"/>
  <c r="E45" i="33"/>
  <c r="C45" i="33"/>
  <c r="E21" i="33"/>
  <c r="C21" i="33"/>
  <c r="E20" i="33"/>
  <c r="C20" i="33"/>
  <c r="E19" i="33"/>
  <c r="C19" i="33"/>
  <c r="E18" i="33"/>
  <c r="C18" i="33"/>
  <c r="E44" i="33"/>
  <c r="C44" i="33"/>
  <c r="E67" i="33"/>
  <c r="C67" i="33"/>
  <c r="E66" i="33"/>
  <c r="C66" i="33"/>
  <c r="B24" i="42"/>
  <c r="B23" i="42" s="1"/>
  <c r="B9" i="42"/>
  <c r="B15" i="42" s="1"/>
  <c r="B13" i="42" s="1"/>
  <c r="B21" i="42" l="1"/>
  <c r="B10" i="42"/>
  <c r="F40" i="41" s="1"/>
  <c r="F39" i="41" l="1"/>
  <c r="F56" i="41"/>
  <c r="F53" i="41"/>
  <c r="F36" i="33" s="1"/>
  <c r="F52" i="41"/>
  <c r="F35" i="33" s="1"/>
  <c r="F51" i="41"/>
  <c r="F34" i="33" s="1"/>
  <c r="F50" i="41"/>
  <c r="F33" i="33" s="1"/>
  <c r="F49" i="41"/>
  <c r="F32" i="33" s="1"/>
  <c r="F41" i="41"/>
  <c r="F71" i="33" s="1"/>
  <c r="F30" i="41"/>
  <c r="F58" i="41"/>
  <c r="F48" i="41"/>
  <c r="F31" i="33" s="1"/>
  <c r="F37" i="41"/>
  <c r="F29" i="41"/>
  <c r="F57" i="41"/>
  <c r="F58" i="33" s="1"/>
  <c r="F47" i="41"/>
  <c r="F52" i="33" s="1"/>
  <c r="F36" i="41"/>
  <c r="F40" i="33" s="1"/>
  <c r="F28" i="41"/>
  <c r="F46" i="41"/>
  <c r="F35" i="41"/>
  <c r="F62" i="33" s="1"/>
  <c r="F27" i="41"/>
  <c r="F45" i="41"/>
  <c r="F34" i="41"/>
  <c r="F51" i="33" s="1"/>
  <c r="F26" i="41"/>
  <c r="F44" i="41"/>
  <c r="F27" i="33" s="1"/>
  <c r="F33" i="41"/>
  <c r="F43" i="41"/>
  <c r="F26" i="33" s="1"/>
  <c r="F32" i="41"/>
  <c r="F42" i="41"/>
  <c r="F72" i="33" s="1"/>
  <c r="F31" i="41"/>
  <c r="F25" i="33" s="1"/>
  <c r="F23" i="33"/>
  <c r="F22" i="33"/>
  <c r="F19" i="33"/>
  <c r="F18" i="33"/>
  <c r="F59" i="33"/>
  <c r="F10" i="33"/>
  <c r="F55" i="33"/>
  <c r="F9" i="33"/>
  <c r="F54" i="33"/>
  <c r="F42" i="33"/>
  <c r="F43" i="33" s="1"/>
  <c r="F57" i="33"/>
  <c r="F39" i="33"/>
  <c r="F14" i="33"/>
  <c r="F56" i="33"/>
  <c r="F13" i="33"/>
  <c r="F12" i="33"/>
  <c r="F48" i="33"/>
  <c r="F47" i="33"/>
  <c r="F37" i="33"/>
  <c r="F46" i="33"/>
  <c r="F61" i="33"/>
  <c r="F45" i="33"/>
  <c r="F16" i="33"/>
  <c r="F17" i="33" s="1"/>
  <c r="F64" i="33"/>
  <c r="F65" i="33" s="1"/>
  <c r="F29" i="33"/>
  <c r="F28" i="33"/>
  <c r="F24" i="33"/>
  <c r="F21" i="33"/>
  <c r="F20" i="33"/>
  <c r="F70" i="33"/>
  <c r="F50" i="33"/>
  <c r="F49" i="33"/>
  <c r="F69" i="33"/>
  <c r="F68" i="33"/>
  <c r="F44" i="33"/>
  <c r="F67" i="33"/>
  <c r="F66" i="33"/>
  <c r="F73" i="33" l="1"/>
  <c r="F41" i="33"/>
  <c r="F11" i="33"/>
  <c r="F38" i="33"/>
  <c r="F53" i="33"/>
  <c r="F15" i="33"/>
  <c r="F30" i="33"/>
  <c r="F63" i="33"/>
  <c r="F60" i="33"/>
  <c r="I46" i="33"/>
  <c r="J46" i="33"/>
  <c r="H46" i="33"/>
  <c r="G46" i="33"/>
  <c r="J18" i="33"/>
  <c r="I18" i="33"/>
  <c r="H18" i="33"/>
  <c r="G18" i="33"/>
  <c r="I66" i="33"/>
  <c r="H66" i="33"/>
  <c r="G66" i="33"/>
  <c r="J66" i="33"/>
  <c r="I19" i="33"/>
  <c r="J19" i="33"/>
  <c r="H19" i="33"/>
  <c r="G19" i="33"/>
  <c r="I9" i="33"/>
  <c r="H9" i="33"/>
  <c r="G9" i="33"/>
  <c r="J9" i="33"/>
  <c r="I39" i="33"/>
  <c r="J39" i="33"/>
  <c r="H39" i="33"/>
  <c r="G39" i="33"/>
  <c r="H67" i="33"/>
  <c r="J67" i="33"/>
  <c r="I67" i="33"/>
  <c r="G67" i="33"/>
  <c r="J64" i="33"/>
  <c r="J65" i="33" s="1"/>
  <c r="I64" i="33"/>
  <c r="I65" i="33" s="1"/>
  <c r="H64" i="33"/>
  <c r="H65" i="33" s="1"/>
  <c r="G64" i="33"/>
  <c r="G65" i="33" s="1"/>
  <c r="E18" i="16" s="1"/>
  <c r="J47" i="33"/>
  <c r="I47" i="33"/>
  <c r="H47" i="33"/>
  <c r="G47" i="33"/>
  <c r="I44" i="33"/>
  <c r="H44" i="33"/>
  <c r="G44" i="33"/>
  <c r="J44" i="33"/>
  <c r="I16" i="33"/>
  <c r="I17" i="33" s="1"/>
  <c r="H16" i="33"/>
  <c r="H17" i="33" s="1"/>
  <c r="G16" i="33"/>
  <c r="G17" i="33" s="1"/>
  <c r="E19" i="16" s="1"/>
  <c r="J16" i="33"/>
  <c r="J17" i="33" s="1"/>
  <c r="I48" i="33"/>
  <c r="J48" i="33"/>
  <c r="H48" i="33"/>
  <c r="G48" i="33"/>
  <c r="J20" i="33"/>
  <c r="I20" i="33"/>
  <c r="H20" i="33"/>
  <c r="G20" i="33"/>
  <c r="J45" i="33"/>
  <c r="I45" i="33"/>
  <c r="H45" i="33"/>
  <c r="G45" i="33"/>
  <c r="J12" i="33"/>
  <c r="I12" i="33"/>
  <c r="H12" i="33"/>
  <c r="G12" i="33"/>
  <c r="J42" i="33"/>
  <c r="J43" i="33" s="1"/>
  <c r="I42" i="33"/>
  <c r="I43" i="33" s="1"/>
  <c r="H42" i="33"/>
  <c r="H43" i="33" s="1"/>
  <c r="G42" i="33"/>
  <c r="G43" i="33" s="1"/>
  <c r="E26" i="16" s="1"/>
  <c r="I21" i="33"/>
  <c r="H21" i="33"/>
  <c r="G21" i="33"/>
  <c r="J21" i="33"/>
  <c r="J61" i="33"/>
  <c r="I61" i="33"/>
  <c r="H61" i="33"/>
  <c r="G61" i="33"/>
  <c r="J13" i="33"/>
  <c r="I13" i="33"/>
  <c r="H13" i="33"/>
  <c r="G13" i="33"/>
  <c r="I54" i="33"/>
  <c r="H54" i="33"/>
  <c r="G54" i="33"/>
  <c r="J54" i="33"/>
  <c r="J49" i="33"/>
  <c r="G49" i="33"/>
  <c r="I49" i="33"/>
  <c r="H49" i="33"/>
  <c r="H62" i="33"/>
  <c r="G62" i="33"/>
  <c r="J62" i="33"/>
  <c r="I62" i="33"/>
  <c r="H25" i="33"/>
  <c r="G25" i="33"/>
  <c r="J25" i="33"/>
  <c r="I25" i="33"/>
  <c r="G51" i="33"/>
  <c r="H51" i="33"/>
  <c r="J51" i="33"/>
  <c r="I51" i="33"/>
  <c r="H71" i="33"/>
  <c r="G71" i="33"/>
  <c r="J71" i="33"/>
  <c r="I71" i="33"/>
  <c r="H35" i="33"/>
  <c r="J35" i="33"/>
  <c r="I35" i="33"/>
  <c r="G35" i="33"/>
  <c r="H58" i="33"/>
  <c r="G58" i="33"/>
  <c r="J58" i="33"/>
  <c r="I58" i="33"/>
  <c r="J59" i="33"/>
  <c r="H59" i="33"/>
  <c r="I59" i="33"/>
  <c r="G59" i="33"/>
  <c r="H10" i="33"/>
  <c r="G10" i="33"/>
  <c r="J10" i="33"/>
  <c r="I10" i="33"/>
  <c r="H32" i="33"/>
  <c r="G32" i="33"/>
  <c r="J32" i="33"/>
  <c r="I32" i="33"/>
  <c r="H50" i="33"/>
  <c r="G50" i="33"/>
  <c r="J50" i="33"/>
  <c r="I50" i="33"/>
  <c r="H55" i="33"/>
  <c r="G55" i="33"/>
  <c r="J55" i="33"/>
  <c r="I55" i="33"/>
  <c r="H28" i="33"/>
  <c r="G28" i="33"/>
  <c r="J28" i="33"/>
  <c r="I28" i="33"/>
  <c r="G29" i="33"/>
  <c r="J29" i="33"/>
  <c r="H29" i="33"/>
  <c r="I29" i="33"/>
  <c r="H52" i="33"/>
  <c r="G52" i="33"/>
  <c r="J52" i="33"/>
  <c r="I52" i="33"/>
  <c r="H22" i="33"/>
  <c r="G22" i="33"/>
  <c r="J22" i="33"/>
  <c r="I22" i="33"/>
  <c r="H26" i="33"/>
  <c r="G26" i="33"/>
  <c r="J26" i="33"/>
  <c r="I26" i="33"/>
  <c r="G24" i="33"/>
  <c r="J24" i="33"/>
  <c r="H24" i="33"/>
  <c r="I24" i="33"/>
  <c r="H56" i="33"/>
  <c r="G56" i="33"/>
  <c r="J56" i="33"/>
  <c r="I56" i="33"/>
  <c r="H14" i="33"/>
  <c r="G14" i="33"/>
  <c r="J14" i="33"/>
  <c r="I14" i="33"/>
  <c r="H36" i="33"/>
  <c r="G36" i="33"/>
  <c r="J36" i="33"/>
  <c r="I36" i="33"/>
  <c r="H37" i="33"/>
  <c r="G37" i="33"/>
  <c r="J37" i="33"/>
  <c r="I37" i="33"/>
  <c r="H40" i="33"/>
  <c r="G40" i="33"/>
  <c r="J40" i="33"/>
  <c r="I40" i="33"/>
  <c r="G72" i="33"/>
  <c r="H72" i="33"/>
  <c r="J72" i="33"/>
  <c r="I72" i="33"/>
  <c r="H31" i="33"/>
  <c r="G31" i="33"/>
  <c r="J31" i="33"/>
  <c r="I31" i="33"/>
  <c r="H70" i="33"/>
  <c r="J70" i="33"/>
  <c r="I70" i="33"/>
  <c r="G70" i="33"/>
  <c r="G57" i="33"/>
  <c r="J57" i="33"/>
  <c r="I57" i="33"/>
  <c r="H57" i="33"/>
  <c r="H23" i="33"/>
  <c r="G23" i="33"/>
  <c r="J23" i="33"/>
  <c r="I23" i="33"/>
  <c r="H68" i="33"/>
  <c r="J68" i="33"/>
  <c r="I68" i="33"/>
  <c r="G68" i="33"/>
  <c r="H33" i="33"/>
  <c r="J33" i="33"/>
  <c r="I33" i="33"/>
  <c r="G33" i="33"/>
  <c r="H69" i="33"/>
  <c r="G69" i="33"/>
  <c r="J69" i="33"/>
  <c r="I69" i="33"/>
  <c r="H34" i="33"/>
  <c r="G34" i="33"/>
  <c r="J34" i="33"/>
  <c r="I34" i="33"/>
  <c r="G27" i="33"/>
  <c r="J27" i="33"/>
  <c r="I27" i="33"/>
  <c r="H27" i="33"/>
  <c r="G60" i="41"/>
  <c r="J41" i="33" l="1"/>
  <c r="I41" i="33"/>
  <c r="G60" i="33"/>
  <c r="E28" i="16" s="1"/>
  <c r="H63" i="33"/>
  <c r="E22" i="16" s="1"/>
  <c r="G53" i="33"/>
  <c r="E16" i="16" s="1"/>
  <c r="H41" i="33"/>
  <c r="E25" i="16" s="1"/>
  <c r="I63" i="33"/>
  <c r="F74" i="33"/>
  <c r="H30" i="33"/>
  <c r="E14" i="16" s="1"/>
  <c r="H60" i="33"/>
  <c r="E29" i="16" s="1"/>
  <c r="H53" i="33"/>
  <c r="E17" i="16" s="1"/>
  <c r="I30" i="33"/>
  <c r="I53" i="33"/>
  <c r="I38" i="33"/>
  <c r="E38" i="16" s="1"/>
  <c r="H38" i="16" s="1"/>
  <c r="G15" i="33"/>
  <c r="E34" i="16" s="1"/>
  <c r="J11" i="33"/>
  <c r="J73" i="33"/>
  <c r="J30" i="33"/>
  <c r="H15" i="33"/>
  <c r="E35" i="16" s="1"/>
  <c r="G11" i="33"/>
  <c r="E31" i="16" s="1"/>
  <c r="G73" i="33"/>
  <c r="E10" i="16" s="1"/>
  <c r="I60" i="33"/>
  <c r="G38" i="33"/>
  <c r="I15" i="33"/>
  <c r="H11" i="33"/>
  <c r="E32" i="16" s="1"/>
  <c r="H73" i="33"/>
  <c r="E11" i="16" s="1"/>
  <c r="J63" i="33"/>
  <c r="J38" i="33"/>
  <c r="E37" i="16" s="1"/>
  <c r="H38" i="33"/>
  <c r="J15" i="33"/>
  <c r="I11" i="33"/>
  <c r="I73" i="33"/>
  <c r="J60" i="33"/>
  <c r="G63" i="33"/>
  <c r="E21" i="16" s="1"/>
  <c r="J53" i="33"/>
  <c r="G41" i="33"/>
  <c r="E24" i="16" s="1"/>
  <c r="G30" i="33"/>
  <c r="E13" i="16" s="1"/>
  <c r="F17" i="17"/>
  <c r="I74" i="33" l="1"/>
  <c r="G74" i="33"/>
  <c r="H74" i="33"/>
  <c r="J74" i="33"/>
  <c r="E14" i="18" l="1"/>
  <c r="G14" i="18" s="1"/>
  <c r="H14" i="18" s="1"/>
  <c r="F14" i="18" l="1"/>
  <c r="S16" i="18"/>
  <c r="S17" i="18" s="1"/>
  <c r="S18" i="18" s="1"/>
  <c r="R16" i="18"/>
  <c r="R17" i="18" s="1"/>
  <c r="R18" i="18" s="1"/>
  <c r="Q16" i="18"/>
  <c r="Q17" i="18" s="1"/>
  <c r="Q18" i="18" s="1"/>
  <c r="G15" i="18" s="1"/>
  <c r="P16" i="18"/>
  <c r="P17" i="18" s="1"/>
  <c r="P18" i="18" s="1"/>
  <c r="O16" i="18"/>
  <c r="O17" i="18" s="1"/>
  <c r="O18" i="18" s="1"/>
  <c r="G17" i="18" s="1"/>
  <c r="N16" i="18"/>
  <c r="N17" i="18" s="1"/>
  <c r="N18" i="18" s="1"/>
  <c r="G18" i="18" s="1"/>
  <c r="M16" i="18"/>
  <c r="M17" i="18" s="1"/>
  <c r="M18" i="18" s="1"/>
  <c r="G19" i="18" s="1"/>
  <c r="H19" i="18" s="1"/>
  <c r="D22" i="18"/>
  <c r="E20" i="18"/>
  <c r="E19" i="18"/>
  <c r="E18" i="18"/>
  <c r="E17" i="18"/>
  <c r="E16" i="18"/>
  <c r="G16" i="18" s="1"/>
  <c r="H16" i="18" s="1"/>
  <c r="E15" i="18"/>
  <c r="E13" i="18"/>
  <c r="F13" i="18" s="1"/>
  <c r="F16" i="17"/>
  <c r="F25" i="17" s="1"/>
  <c r="G13" i="18" l="1"/>
  <c r="G22" i="18" s="1"/>
  <c r="E22" i="18"/>
  <c r="H13" i="18" l="1"/>
  <c r="G35" i="18" l="1"/>
  <c r="I10" i="19" s="1"/>
  <c r="G28" i="19" s="1"/>
  <c r="F33" i="18"/>
  <c r="F37" i="18" s="1"/>
  <c r="H15" i="18"/>
  <c r="F16" i="18"/>
  <c r="F15" i="18"/>
  <c r="I14" i="19"/>
  <c r="G34" i="19" s="1"/>
  <c r="G36" i="18"/>
  <c r="F20" i="18"/>
  <c r="F19" i="18"/>
  <c r="H18" i="18"/>
  <c r="F18" i="18"/>
  <c r="H17" i="18"/>
  <c r="I15" i="19" l="1"/>
  <c r="E40" i="19" s="1"/>
  <c r="G31" i="18"/>
  <c r="G32" i="18"/>
  <c r="H22" i="18"/>
  <c r="I12" i="19" s="1"/>
  <c r="G21" i="19" s="1"/>
  <c r="G37" i="18"/>
  <c r="I9" i="19" s="1"/>
  <c r="I11" i="19" s="1"/>
  <c r="I18" i="19" s="1"/>
  <c r="E36" i="19" s="1"/>
  <c r="H55" i="16"/>
  <c r="G42" i="19"/>
  <c r="E38" i="19"/>
  <c r="G44" i="19"/>
  <c r="G36" i="19" l="1"/>
  <c r="E25" i="19"/>
  <c r="G19" i="19"/>
  <c r="I38" i="16"/>
  <c r="I43" i="19"/>
  <c r="F17" i="18"/>
  <c r="F22" i="18" s="1"/>
  <c r="G45" i="16" l="1"/>
  <c r="G51" i="16"/>
  <c r="H51" i="16" s="1"/>
  <c r="I51" i="16" s="1"/>
  <c r="I13" i="19"/>
  <c r="G23" i="19" s="1"/>
  <c r="I22" i="19" s="1"/>
  <c r="I39" i="19" l="1"/>
  <c r="G25" i="19"/>
  <c r="I25" i="19" s="1"/>
  <c r="G39" i="19"/>
  <c r="G32" i="16" l="1"/>
  <c r="H32" i="16" s="1"/>
  <c r="I32" i="16" s="1"/>
  <c r="G25" i="16"/>
  <c r="H25" i="16" s="1"/>
  <c r="I25" i="16" s="1"/>
  <c r="G37" i="16"/>
  <c r="H37" i="16" s="1"/>
  <c r="I37" i="16" s="1"/>
  <c r="G35" i="16"/>
  <c r="H35" i="16" s="1"/>
  <c r="I35" i="16" s="1"/>
  <c r="G29" i="16"/>
  <c r="H29" i="16" s="1"/>
  <c r="I29" i="16" s="1"/>
  <c r="G17" i="16"/>
  <c r="H17" i="16" s="1"/>
  <c r="I17" i="16" s="1"/>
  <c r="G22" i="16"/>
  <c r="H22" i="16" s="1"/>
  <c r="I22" i="16" s="1"/>
  <c r="G46" i="16"/>
  <c r="E28" i="19"/>
  <c r="I28" i="19" s="1"/>
  <c r="G32" i="19" s="1"/>
  <c r="I31" i="19" s="1"/>
  <c r="G14" i="16"/>
  <c r="G11" i="16"/>
  <c r="H11" i="16" s="1"/>
  <c r="I11" i="16" s="1"/>
  <c r="I35" i="19" l="1"/>
  <c r="E34" i="19"/>
  <c r="G13" i="16" l="1"/>
  <c r="G26" i="16"/>
  <c r="H26" i="16" s="1"/>
  <c r="I26" i="16" s="1"/>
  <c r="G34" i="16"/>
  <c r="H34" i="16" s="1"/>
  <c r="I34" i="16" s="1"/>
  <c r="G28" i="16"/>
  <c r="H28" i="16" s="1"/>
  <c r="I28" i="16" s="1"/>
  <c r="G16" i="16"/>
  <c r="H16" i="16" s="1"/>
  <c r="I16" i="16" s="1"/>
  <c r="G18" i="16"/>
  <c r="H18" i="16" s="1"/>
  <c r="I18" i="16" s="1"/>
  <c r="G31" i="16"/>
  <c r="H31" i="16" s="1"/>
  <c r="I31" i="16" s="1"/>
  <c r="G24" i="16"/>
  <c r="H24" i="16" s="1"/>
  <c r="I24" i="16" s="1"/>
  <c r="G49" i="16"/>
  <c r="G21" i="16"/>
  <c r="H21" i="16" s="1"/>
  <c r="I21" i="16" s="1"/>
  <c r="G19" i="16"/>
  <c r="H19" i="16" s="1"/>
  <c r="I19" i="16" s="1"/>
  <c r="G43" i="16"/>
  <c r="G10" i="16"/>
  <c r="H10" i="16" s="1"/>
  <c r="I10" i="16" s="1"/>
  <c r="H14" i="16" l="1"/>
  <c r="I14" i="16" s="1"/>
  <c r="H13" i="16"/>
  <c r="I13" i="16" s="1"/>
  <c r="H40" i="16" l="1"/>
  <c r="H53" i="16" s="1"/>
  <c r="E40" i="16"/>
  <c r="I40" i="16" l="1"/>
  <c r="L40" i="16" l="1"/>
  <c r="H50" i="16" l="1"/>
  <c r="I50" i="16" s="1"/>
  <c r="H49" i="16" l="1"/>
  <c r="I49" i="16" l="1"/>
  <c r="I20" i="17" l="1"/>
  <c r="G14" i="17"/>
  <c r="G25" i="17" l="1"/>
  <c r="E45" i="16" s="1"/>
  <c r="H45" i="16" s="1"/>
  <c r="I45" i="16" s="1"/>
  <c r="E11" i="17"/>
  <c r="E25" i="17" s="1"/>
  <c r="I23" i="17" l="1"/>
  <c r="H23" i="17" s="1"/>
  <c r="I21" i="17"/>
  <c r="H21" i="17" s="1"/>
  <c r="I18" i="17"/>
  <c r="H25" i="17" l="1"/>
  <c r="E46" i="16" s="1"/>
  <c r="H46" i="16" s="1"/>
  <c r="I46" i="16" s="1"/>
  <c r="I19" i="17"/>
  <c r="E44" i="16"/>
  <c r="H44" i="16" s="1"/>
  <c r="I44" i="16" s="1"/>
  <c r="I25" i="17" l="1"/>
  <c r="E47" i="16" s="1"/>
  <c r="E43" i="16"/>
  <c r="E53" i="16" l="1"/>
  <c r="I47" i="16"/>
  <c r="H47" i="16"/>
  <c r="H43" i="16"/>
  <c r="I43" i="16" l="1"/>
  <c r="I53" i="16" s="1"/>
  <c r="H57" i="16" l="1"/>
  <c r="L53" i="16"/>
  <c r="L5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tc={669C8F9A-A52A-4FC0-8AA3-68E2E121FF3D}</author>
  </authors>
  <commentList>
    <comment ref="L14" authorId="0" shapeId="0" xr:uid="{669C8F9A-A52A-4FC0-8AA3-68E2E121FF3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Map scale of 1 inch equals 650 feet
</t>
      </text>
    </comment>
  </commentList>
</comments>
</file>

<file path=xl/sharedStrings.xml><?xml version="1.0" encoding="utf-8"?>
<sst xmlns="http://schemas.openxmlformats.org/spreadsheetml/2006/main" count="539" uniqueCount="300">
  <si>
    <t>Table B</t>
  </si>
  <si>
    <t>TOTALS</t>
  </si>
  <si>
    <t>Total Operating Expenses</t>
  </si>
  <si>
    <t>Depreciation Expense</t>
  </si>
  <si>
    <t>Purchased Power</t>
  </si>
  <si>
    <t>DEBT SERVICE SCHDULE</t>
  </si>
  <si>
    <t>Principal</t>
  </si>
  <si>
    <t>Interest</t>
  </si>
  <si>
    <t>Totals</t>
  </si>
  <si>
    <t>Transportation Equipment</t>
  </si>
  <si>
    <t>Size</t>
  </si>
  <si>
    <t>Percent</t>
  </si>
  <si>
    <t>Office Furniture &amp; Equipment</t>
  </si>
  <si>
    <t>WHOLESALE RATE COMPUTATION</t>
  </si>
  <si>
    <t>Allocation</t>
  </si>
  <si>
    <t>Wholesale</t>
  </si>
  <si>
    <t>Total</t>
  </si>
  <si>
    <t>Factor</t>
  </si>
  <si>
    <t>Retail</t>
  </si>
  <si>
    <t>Salaries &amp; Wages</t>
  </si>
  <si>
    <t>Trans./Distribution</t>
  </si>
  <si>
    <t>PTF</t>
  </si>
  <si>
    <t>Admin &amp; General</t>
  </si>
  <si>
    <t>UF</t>
  </si>
  <si>
    <t>Trans. / Distribution</t>
  </si>
  <si>
    <t>Customer</t>
  </si>
  <si>
    <t>Total Revenue Required</t>
  </si>
  <si>
    <t>Wholesale Gallons Sold (x 1,000)</t>
  </si>
  <si>
    <t>Wholesale Rate per 1,000 Gallons</t>
  </si>
  <si>
    <t>Distribution</t>
  </si>
  <si>
    <t>Table C</t>
  </si>
  <si>
    <t>SYSTEM INFORMATION</t>
  </si>
  <si>
    <t>Schedule of All Mains and Jointly Used Mains</t>
  </si>
  <si>
    <t>Total System</t>
  </si>
  <si>
    <t>Joint Use</t>
  </si>
  <si>
    <t>Main</t>
  </si>
  <si>
    <t>Length</t>
  </si>
  <si>
    <t>Miles of</t>
  </si>
  <si>
    <t>Inch -</t>
  </si>
  <si>
    <t>(feet)</t>
  </si>
  <si>
    <t>Mains</t>
  </si>
  <si>
    <t>Miles</t>
  </si>
  <si>
    <t>Water Purchased, Sold and Used</t>
  </si>
  <si>
    <t>Gallons</t>
  </si>
  <si>
    <t>x 1,000</t>
  </si>
  <si>
    <t xml:space="preserve">   Retail Sales</t>
  </si>
  <si>
    <t xml:space="preserve">   Wholesale Sales</t>
  </si>
  <si>
    <t>Total Water Sold</t>
  </si>
  <si>
    <t>System Flushing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</si>
  <si>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</si>
  <si>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</si>
  <si>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</si>
  <si>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</si>
  <si>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</si>
  <si>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</si>
  <si>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</si>
  <si>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</si>
  <si>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</si>
  <si>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</si>
  <si>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</si>
  <si>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</si>
  <si>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</si>
  <si>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</si>
  <si>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</si>
  <si>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</si>
  <si>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</si>
  <si>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Use Factor</t>
  </si>
  <si>
    <t>Water Production</t>
  </si>
  <si>
    <t>Employee Benefits + Taxes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</si>
  <si>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</si>
  <si>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</si>
  <si>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</si>
  <si>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</si>
  <si>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</si>
  <si>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</si>
  <si>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</si>
  <si>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</si>
  <si>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Debt Service &amp; Coverage</t>
  </si>
  <si>
    <t>Table E</t>
  </si>
  <si>
    <t>Table F</t>
  </si>
  <si>
    <t>Insurance</t>
  </si>
  <si>
    <t>Miscellaneous</t>
  </si>
  <si>
    <t>Maintenance</t>
  </si>
  <si>
    <t>Power Purchased</t>
  </si>
  <si>
    <t>Operating Supplies</t>
  </si>
  <si>
    <t>Laboratory</t>
  </si>
  <si>
    <t>Allocated Admin. Expense</t>
  </si>
  <si>
    <t>Allocated Truck Expense</t>
  </si>
  <si>
    <t>Office Salaries</t>
  </si>
  <si>
    <t>Telephone</t>
  </si>
  <si>
    <t>Postage</t>
  </si>
  <si>
    <t>Office Rent</t>
  </si>
  <si>
    <t>Dawson Springs Municipal Waterworks</t>
  </si>
  <si>
    <t>Use of Funds</t>
  </si>
  <si>
    <t>Elevated Water Tank</t>
  </si>
  <si>
    <t>Coverage</t>
  </si>
  <si>
    <t>Debt Service</t>
  </si>
  <si>
    <t>ALLOCATION OF DEBT SERVICE</t>
  </si>
  <si>
    <t>Distribution Reservoirs</t>
  </si>
  <si>
    <t>Fire Hydrants</t>
  </si>
  <si>
    <t>Meters</t>
  </si>
  <si>
    <t>Tools &amp; Shop Equipment</t>
  </si>
  <si>
    <t>Transmission Mains</t>
  </si>
  <si>
    <t>Water Line Replacement</t>
  </si>
  <si>
    <t>Water Services</t>
  </si>
  <si>
    <t>6"</t>
  </si>
  <si>
    <t>8"</t>
  </si>
  <si>
    <t>12"</t>
  </si>
  <si>
    <t>16"</t>
  </si>
  <si>
    <t>20"</t>
  </si>
  <si>
    <t>10"</t>
  </si>
  <si>
    <t>4"</t>
  </si>
  <si>
    <t>inches</t>
  </si>
  <si>
    <t>feet</t>
  </si>
  <si>
    <t>miles</t>
  </si>
  <si>
    <t>Chemicals &amp; Chlorine</t>
  </si>
  <si>
    <t>General Expenses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</si>
  <si>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</si>
  <si>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</si>
  <si>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</si>
  <si>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</si>
  <si>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</si>
  <si>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</si>
  <si>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</si>
  <si>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</si>
  <si>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</si>
  <si>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</si>
  <si>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&amp; Coverage</t>
  </si>
  <si>
    <t>Water Production Factor</t>
  </si>
  <si>
    <t>WPF</t>
  </si>
  <si>
    <t>Table A</t>
  </si>
  <si>
    <t>SUMMARY OF OPERATING EXPENSES BY CATEGORY</t>
  </si>
  <si>
    <t>ALLOCATION OF DEPRECIATION EXPENSE</t>
  </si>
  <si>
    <t>Table G</t>
  </si>
  <si>
    <t>Allocation Factors</t>
  </si>
  <si>
    <t>Type</t>
  </si>
  <si>
    <t>*  The PTF/cc Factor is a version of the PTF that is reduced to recognize that South Hopkins paid for the</t>
  </si>
  <si>
    <t xml:space="preserve">     construction of the 16" water main and therefore reduces capital costs allocated to South Hopkins.</t>
  </si>
  <si>
    <t>PTF/cc *</t>
  </si>
  <si>
    <t>Joint Share of Line Loss</t>
  </si>
  <si>
    <t>Pro Forma Totals</t>
  </si>
  <si>
    <r>
      <rPr>
        <sz val="11"/>
        <color rgb="FF3A3A3A"/>
        <rFont val="Calibri"/>
        <family val="2"/>
      </rPr>
      <t>51-701</t>
    </r>
  </si>
  <si>
    <r>
      <rPr>
        <sz val="11"/>
        <color rgb="FF3A3A3A"/>
        <rFont val="Calibri"/>
        <family val="2"/>
      </rPr>
      <t>51-702</t>
    </r>
  </si>
  <si>
    <r>
      <rPr>
        <sz val="11"/>
        <color rgb="FF3A3A3A"/>
        <rFont val="Calibri"/>
        <family val="2"/>
      </rPr>
      <t>51-704</t>
    </r>
  </si>
  <si>
    <r>
      <rPr>
        <sz val="11"/>
        <color rgb="FF3B3B3B"/>
        <rFont val="Calibri"/>
        <family val="2"/>
      </rPr>
      <t>51-753-1</t>
    </r>
  </si>
  <si>
    <r>
      <rPr>
        <sz val="11"/>
        <color rgb="FF3B3B3B"/>
        <rFont val="Calibri"/>
        <family val="2"/>
      </rPr>
      <t>51-753-5</t>
    </r>
  </si>
  <si>
    <r>
      <rPr>
        <sz val="11"/>
        <color rgb="FF3B3B3B"/>
        <rFont val="Calibri"/>
        <family val="2"/>
      </rPr>
      <t>51-758</t>
    </r>
  </si>
  <si>
    <r>
      <rPr>
        <sz val="11"/>
        <color rgb="FF3B3B3B"/>
        <rFont val="Calibri"/>
        <family val="2"/>
      </rPr>
      <t>51-759</t>
    </r>
  </si>
  <si>
    <r>
      <rPr>
        <sz val="11"/>
        <color rgb="FF3B3B3B"/>
        <rFont val="Calibri"/>
        <family val="2"/>
      </rPr>
      <t>51-760</t>
    </r>
  </si>
  <si>
    <r>
      <rPr>
        <sz val="11"/>
        <color rgb="FF3B3B3B"/>
        <rFont val="Calibri"/>
        <family val="2"/>
      </rPr>
      <t>51-852</t>
    </r>
  </si>
  <si>
    <r>
      <rPr>
        <sz val="11"/>
        <color rgb="FF3B3B3B"/>
        <rFont val="Calibri"/>
        <family val="2"/>
      </rPr>
      <t>51-853</t>
    </r>
  </si>
  <si>
    <r>
      <rPr>
        <sz val="11"/>
        <color rgb="FF3B3B3B"/>
        <rFont val="Calibri"/>
        <family val="2"/>
      </rPr>
      <t>51-851</t>
    </r>
  </si>
  <si>
    <r>
      <rPr>
        <sz val="11"/>
        <color rgb="FF3A3A3A"/>
        <rFont val="Calibri"/>
        <family val="2"/>
      </rPr>
      <t>51-707</t>
    </r>
  </si>
  <si>
    <r>
      <rPr>
        <sz val="11"/>
        <color rgb="FF3A3A3A"/>
        <rFont val="Calibri"/>
        <family val="2"/>
      </rPr>
      <t>51-707A</t>
    </r>
  </si>
  <si>
    <r>
      <rPr>
        <sz val="11"/>
        <color rgb="FF3B3B3B"/>
        <rFont val="Calibri"/>
        <family val="2"/>
      </rPr>
      <t>51-757</t>
    </r>
  </si>
  <si>
    <r>
      <rPr>
        <sz val="11"/>
        <color rgb="FF3B3B3B"/>
        <rFont val="Calibri"/>
        <family val="2"/>
      </rPr>
      <t>51-757A</t>
    </r>
  </si>
  <si>
    <r>
      <rPr>
        <sz val="11"/>
        <color rgb="FF3B3B3B"/>
        <rFont val="Calibri"/>
        <family val="2"/>
      </rPr>
      <t>51-857</t>
    </r>
  </si>
  <si>
    <r>
      <rPr>
        <sz val="11"/>
        <color rgb="FF3B3B3B"/>
        <rFont val="Calibri"/>
        <family val="2"/>
      </rPr>
      <t>51-857A</t>
    </r>
  </si>
  <si>
    <r>
      <rPr>
        <sz val="11"/>
        <color rgb="FF3A3A3A"/>
        <rFont val="Calibri"/>
        <family val="2"/>
      </rPr>
      <t>51-712</t>
    </r>
  </si>
  <si>
    <r>
      <rPr>
        <sz val="11"/>
        <color rgb="FF3A3A3A"/>
        <rFont val="Calibri"/>
        <family val="2"/>
      </rPr>
      <t>51-713</t>
    </r>
  </si>
  <si>
    <r>
      <rPr>
        <sz val="11"/>
        <color rgb="FF3A3A3A"/>
        <rFont val="Calibri"/>
        <family val="2"/>
      </rPr>
      <t>51-708</t>
    </r>
  </si>
  <si>
    <r>
      <rPr>
        <sz val="11"/>
        <color rgb="FF3A3A3A"/>
        <rFont val="Calibri"/>
        <family val="2"/>
      </rPr>
      <t>51-714</t>
    </r>
  </si>
  <si>
    <r>
      <rPr>
        <sz val="11"/>
        <color rgb="FF3B3B3B"/>
        <rFont val="Calibri"/>
        <family val="2"/>
      </rPr>
      <t>51-764</t>
    </r>
  </si>
  <si>
    <r>
      <rPr>
        <sz val="11"/>
        <color rgb="FF3A3A3A"/>
        <rFont val="Calibri"/>
        <family val="2"/>
      </rPr>
      <t>51-709</t>
    </r>
  </si>
  <si>
    <r>
      <rPr>
        <sz val="11"/>
        <color rgb="FF3B3B3B"/>
        <rFont val="Calibri"/>
        <family val="2"/>
      </rPr>
      <t>51-867</t>
    </r>
  </si>
  <si>
    <r>
      <rPr>
        <sz val="11"/>
        <color rgb="FF3B3B3B"/>
        <rFont val="Calibri"/>
        <family val="2"/>
      </rPr>
      <t>51-868</t>
    </r>
  </si>
  <si>
    <r>
      <rPr>
        <sz val="11"/>
        <color rgb="FF3A3A3A"/>
        <rFont val="Calibri"/>
        <family val="2"/>
      </rPr>
      <t>51-710</t>
    </r>
  </si>
  <si>
    <r>
      <rPr>
        <sz val="11"/>
        <color rgb="FF3A3A3A"/>
        <rFont val="Calibri"/>
        <family val="2"/>
      </rPr>
      <t>51-711</t>
    </r>
  </si>
  <si>
    <r>
      <rPr>
        <sz val="11"/>
        <color rgb="FF3B3B3B"/>
        <rFont val="Calibri"/>
        <family val="2"/>
      </rPr>
      <t>51-724</t>
    </r>
  </si>
  <si>
    <r>
      <rPr>
        <sz val="11"/>
        <color rgb="FF3B3B3B"/>
        <rFont val="Calibri"/>
        <family val="2"/>
      </rPr>
      <t>51-774</t>
    </r>
  </si>
  <si>
    <r>
      <rPr>
        <sz val="11"/>
        <color rgb="FF3B3B3B"/>
        <rFont val="Calibri"/>
        <family val="2"/>
      </rPr>
      <t>51-869</t>
    </r>
  </si>
  <si>
    <r>
      <rPr>
        <sz val="11"/>
        <color rgb="FF3B3B3B"/>
        <rFont val="Calibri"/>
        <family val="2"/>
      </rPr>
      <t>51-890</t>
    </r>
  </si>
  <si>
    <r>
      <rPr>
        <sz val="11"/>
        <color rgb="FF3A3A3A"/>
        <rFont val="Calibri"/>
        <family val="2"/>
      </rPr>
      <t>51-715</t>
    </r>
  </si>
  <si>
    <r>
      <rPr>
        <sz val="11"/>
        <color rgb="FF3B3B3B"/>
        <rFont val="Calibri"/>
        <family val="2"/>
      </rPr>
      <t>51-765</t>
    </r>
  </si>
  <si>
    <r>
      <rPr>
        <sz val="11"/>
        <color rgb="FF3B3B3B"/>
        <rFont val="Calibri"/>
        <family val="2"/>
      </rPr>
      <t>51-865</t>
    </r>
  </si>
  <si>
    <r>
      <rPr>
        <sz val="11"/>
        <color rgb="FF3B3B3B"/>
        <rFont val="Calibri"/>
        <family val="2"/>
      </rPr>
      <t>51-870</t>
    </r>
  </si>
  <si>
    <r>
      <rPr>
        <sz val="11"/>
        <color rgb="FF3A3A3A"/>
        <rFont val="Calibri"/>
        <family val="2"/>
      </rPr>
      <t>51-716</t>
    </r>
  </si>
  <si>
    <r>
      <rPr>
        <sz val="11"/>
        <color rgb="FF3B3B3B"/>
        <rFont val="Calibri"/>
        <family val="2"/>
      </rPr>
      <t>51-723</t>
    </r>
  </si>
  <si>
    <r>
      <rPr>
        <sz val="11"/>
        <color rgb="FF3B3B3B"/>
        <rFont val="Calibri"/>
        <family val="2"/>
      </rPr>
      <t>51-725</t>
    </r>
  </si>
  <si>
    <r>
      <rPr>
        <sz val="11"/>
        <color rgb="FF3B3B3B"/>
        <rFont val="Calibri"/>
        <family val="2"/>
      </rPr>
      <t>51-773</t>
    </r>
  </si>
  <si>
    <r>
      <rPr>
        <sz val="11"/>
        <color rgb="FF3B3B3B"/>
        <rFont val="Calibri"/>
        <family val="2"/>
      </rPr>
      <t>51-775</t>
    </r>
  </si>
  <si>
    <r>
      <rPr>
        <sz val="11"/>
        <color rgb="FF3B3B3B"/>
        <rFont val="Calibri"/>
        <family val="2"/>
      </rPr>
      <t>51-858</t>
    </r>
  </si>
  <si>
    <r>
      <rPr>
        <sz val="11"/>
        <color rgb="FF3B3B3B"/>
        <rFont val="Calibri"/>
        <family val="2"/>
      </rPr>
      <t>51-859</t>
    </r>
  </si>
  <si>
    <r>
      <rPr>
        <sz val="11"/>
        <color rgb="FF3B3B3B"/>
        <rFont val="Calibri"/>
        <family val="2"/>
      </rPr>
      <t>51-860</t>
    </r>
  </si>
  <si>
    <r>
      <rPr>
        <sz val="11"/>
        <color rgb="FF3B3B3B"/>
        <rFont val="Calibri"/>
        <family val="2"/>
      </rPr>
      <t>51-861</t>
    </r>
  </si>
  <si>
    <r>
      <rPr>
        <sz val="11"/>
        <color rgb="FF3B3B3B"/>
        <rFont val="Calibri"/>
        <family val="2"/>
      </rPr>
      <t>51-864</t>
    </r>
  </si>
  <si>
    <r>
      <rPr>
        <sz val="11"/>
        <color rgb="FF3B3B3B"/>
        <rFont val="Calibri"/>
        <family val="2"/>
      </rPr>
      <t>51-871</t>
    </r>
  </si>
  <si>
    <r>
      <rPr>
        <sz val="11"/>
        <color rgb="FF3B3B3B"/>
        <rFont val="Calibri"/>
        <family val="2"/>
      </rPr>
      <t>51-873</t>
    </r>
  </si>
  <si>
    <r>
      <rPr>
        <sz val="11"/>
        <color rgb="FF3A3A3A"/>
        <rFont val="Calibri"/>
        <family val="2"/>
      </rPr>
      <t>51-705</t>
    </r>
  </si>
  <si>
    <r>
      <rPr>
        <sz val="11"/>
        <color rgb="FF3A3A3A"/>
        <rFont val="Calibri"/>
        <family val="2"/>
      </rPr>
      <t>51-706</t>
    </r>
  </si>
  <si>
    <r>
      <rPr>
        <sz val="11"/>
        <color rgb="FF3B3B3B"/>
        <rFont val="Calibri"/>
        <family val="2"/>
      </rPr>
      <t>51-755</t>
    </r>
  </si>
  <si>
    <r>
      <rPr>
        <sz val="11"/>
        <color rgb="FF3B3B3B"/>
        <rFont val="Calibri"/>
        <family val="2"/>
      </rPr>
      <t>51-756</t>
    </r>
  </si>
  <si>
    <r>
      <rPr>
        <sz val="11"/>
        <color rgb="FF3B3B3B"/>
        <rFont val="Calibri"/>
        <family val="2"/>
      </rPr>
      <t>51-855</t>
    </r>
  </si>
  <si>
    <r>
      <rPr>
        <sz val="11"/>
        <color rgb="FF3B3B3B"/>
        <rFont val="Calibri"/>
        <family val="2"/>
      </rPr>
      <t>51-856</t>
    </r>
  </si>
  <si>
    <t>July 1 2021 through June 30 2022</t>
  </si>
  <si>
    <t>Account ID</t>
  </si>
  <si>
    <t>Account Description</t>
  </si>
  <si>
    <t>Operation Supervision</t>
  </si>
  <si>
    <t>Operation Labor</t>
  </si>
  <si>
    <t>Amount</t>
  </si>
  <si>
    <t>Maintenance Building, Dam, and Equipment</t>
  </si>
  <si>
    <t>Payroll Taxes FICA</t>
  </si>
  <si>
    <t>Payrol Taxes Unemployment Insurance</t>
  </si>
  <si>
    <t>Employee Retirement Benefits</t>
  </si>
  <si>
    <t>Group Health Insurance</t>
  </si>
  <si>
    <t>Maintenance Materials</t>
  </si>
  <si>
    <t>Maintenance Contractors</t>
  </si>
  <si>
    <t>Maintenance Building and Grounds</t>
  </si>
  <si>
    <t>Maintenance Equipment</t>
  </si>
  <si>
    <t>Chemicals</t>
  </si>
  <si>
    <t>Operation Supplies</t>
  </si>
  <si>
    <t>Laboratory Expense</t>
  </si>
  <si>
    <t>Miscellaneous Expense</t>
  </si>
  <si>
    <t>Allocated Truck and Equipment Expense</t>
  </si>
  <si>
    <t>Allocated Administrative Expense</t>
  </si>
  <si>
    <t>Maintenance Labor Water Mains</t>
  </si>
  <si>
    <t>Maintenance Labor Other</t>
  </si>
  <si>
    <t>Payroll Taxes Unemployment Insurance</t>
  </si>
  <si>
    <t>Maintenance Water Mains</t>
  </si>
  <si>
    <t>Maintenance Meters</t>
  </si>
  <si>
    <t>Maintenance Service Lines</t>
  </si>
  <si>
    <t>Commissioners Salaries</t>
  </si>
  <si>
    <t>Salary Meter Collection School</t>
  </si>
  <si>
    <t>Maintenance Office Building and Telephones</t>
  </si>
  <si>
    <t>Publishing and Printing</t>
  </si>
  <si>
    <t>Office Supplies and Expense</t>
  </si>
  <si>
    <t>Legal, Audit, and Bond Expenses</t>
  </si>
  <si>
    <t>Operatiion Expense Garage and Building</t>
  </si>
  <si>
    <t>Bad Debts Written Off</t>
  </si>
  <si>
    <t>Write Offs Tornado Disaster</t>
  </si>
  <si>
    <t>Unallocated Truck and Equipment</t>
  </si>
  <si>
    <t>Grand Total</t>
  </si>
  <si>
    <t>Administrative</t>
  </si>
  <si>
    <t>Based Upon Revenues</t>
  </si>
  <si>
    <t>Metered Residential Water Sales</t>
  </si>
  <si>
    <t>Metered Commercial Water Sales</t>
  </si>
  <si>
    <t>Water Sales for Resale</t>
  </si>
  <si>
    <t>Tank Water Sales</t>
  </si>
  <si>
    <t>Total Water Sales</t>
  </si>
  <si>
    <t>Water Portion</t>
  </si>
  <si>
    <t>Sewer Service Sales</t>
  </si>
  <si>
    <t>Sewer Portion</t>
  </si>
  <si>
    <t>Total Water and Sewer Sales</t>
  </si>
  <si>
    <t>Based Upon Customers</t>
  </si>
  <si>
    <t>Water Customers</t>
  </si>
  <si>
    <t>Sewer Customers</t>
  </si>
  <si>
    <t>Total Customers</t>
  </si>
  <si>
    <t>Water Treatment Equipment</t>
  </si>
  <si>
    <t>Source of Supply Intakes</t>
  </si>
  <si>
    <t>Plant Structures and Improvements</t>
  </si>
  <si>
    <t>Tank Painting</t>
  </si>
  <si>
    <t>Transmission &amp;</t>
  </si>
  <si>
    <t>General &amp;</t>
  </si>
  <si>
    <t>Administration</t>
  </si>
  <si>
    <t>FY 2023/2024 - 2027/2028</t>
  </si>
  <si>
    <t>FY 2023/2024</t>
  </si>
  <si>
    <t>FY 2024/2025</t>
  </si>
  <si>
    <t>FY 2025/2026</t>
  </si>
  <si>
    <t>FY 2026/2027</t>
  </si>
  <si>
    <t>FY 2027/2028</t>
  </si>
  <si>
    <t>&amp; Fees</t>
  </si>
  <si>
    <t>Average</t>
  </si>
  <si>
    <t>Annual</t>
  </si>
  <si>
    <t>Average Annual</t>
  </si>
  <si>
    <t>Issue</t>
  </si>
  <si>
    <t>2014 KIA Loan #F209-12</t>
  </si>
  <si>
    <t>2009 KIA Loan #B14-002</t>
  </si>
  <si>
    <t>Series 2007 Bonds #91-03</t>
  </si>
  <si>
    <t>Water Line Rehabilitation</t>
  </si>
  <si>
    <t>Water Treatment Plant and Tank Improvements</t>
  </si>
  <si>
    <t>Ratio of Joint Use pipes to all pipes in the system. (In-miles are used instead of miles to recognize additional first cost and maintenance for larger mains.)</t>
  </si>
  <si>
    <t>Allocation of line loss to Joint Use mains.</t>
  </si>
  <si>
    <t>Total percentage allocation of non-revenue water to Joint Use.</t>
  </si>
  <si>
    <t>Water produced for wholesale customers divided by total water produced.  (Percentage of all water produced that is for wholesale water sales.)</t>
  </si>
  <si>
    <t>Portion of Joint Use pipes allocated to wholesale customers.</t>
  </si>
  <si>
    <t>Allocation for tank expenses and sometimes other costs where water losses and transmission system issues don't apply.</t>
  </si>
  <si>
    <t>Water System Operating Expenses from Trial Balance</t>
  </si>
  <si>
    <t>Reference</t>
  </si>
  <si>
    <t>Retail Rate</t>
  </si>
  <si>
    <t>Model</t>
  </si>
  <si>
    <t>Category</t>
  </si>
  <si>
    <t>Employee Benefits &amp; Taxes</t>
  </si>
  <si>
    <t>Allocated Administration Expense</t>
  </si>
  <si>
    <t>Allocated Administration Expense Total</t>
  </si>
  <si>
    <t>Allocated Truck Expense Total</t>
  </si>
  <si>
    <t>Chemicals Total</t>
  </si>
  <si>
    <t>Employee Benefits &amp; Taxes Total</t>
  </si>
  <si>
    <t>General Expenses Total</t>
  </si>
  <si>
    <t>Insurance Total</t>
  </si>
  <si>
    <t>Laboratory Total</t>
  </si>
  <si>
    <t>Maintenance Total</t>
  </si>
  <si>
    <t>Miscellaneous Total</t>
  </si>
  <si>
    <t>Operating Supplies Total</t>
  </si>
  <si>
    <t>Purchased Power Total</t>
  </si>
  <si>
    <t>Salaries &amp; Wages Total</t>
  </si>
  <si>
    <t>Expense Breakout Between Water and Sewer</t>
  </si>
  <si>
    <t>Factor to determine quantity that must be produced to service all sales. (For each gal sold, 1.1433 gals must be produced)</t>
  </si>
  <si>
    <t>Factor to determine quantity that must be produced to service wholesale sales.  For each gal sold to wholesale customers, 1.0936 gals must be produced.</t>
  </si>
  <si>
    <t>Adjustments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</si>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</sst>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0.0000"/>
    <numFmt numFmtId="171" formatCode="_(* #,##0.0000_);_(* \(#,##0.0000\);_(* &quot;-&quot;??_);_(@_)"/>
  </numFmts>
  <fonts count="35" x14ac:knownFonts="1">
    <font>
      <sz val="12"/>
      <name val="Arial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Arial"/>
      <family val="2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1"/>
      <name val="Arial"/>
      <family val="2"/>
    </font>
    <font>
      <sz val="14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sz val="11"/>
      <name val="Calibri"/>
      <family val="2"/>
    </font>
    <font>
      <sz val="11"/>
      <color rgb="FF3A3A3A"/>
      <name val="Calibri"/>
      <family val="2"/>
    </font>
    <font>
      <sz val="11"/>
      <color rgb="FF000000"/>
      <name val="Calibri"/>
      <family val="2"/>
    </font>
    <font>
      <sz val="11"/>
      <color rgb="FF3B3B3B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6"/>
      <color rgb="FFFF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3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2" fillId="0" borderId="0" xfId="0" applyNumberFormat="1" applyFont="1"/>
    <xf numFmtId="0" fontId="7" fillId="0" borderId="0" xfId="0" applyFont="1"/>
    <xf numFmtId="0" fontId="7" fillId="0" borderId="5" xfId="0" applyFont="1" applyBorder="1"/>
    <xf numFmtId="168" fontId="2" fillId="0" borderId="0" xfId="1" applyNumberFormat="1" applyFont="1" applyBorder="1" applyAlignment="1"/>
    <xf numFmtId="3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1" applyNumberFormat="1" applyFont="1"/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/>
    <xf numFmtId="0" fontId="12" fillId="0" borderId="0" xfId="0" applyFont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3" fontId="7" fillId="0" borderId="9" xfId="0" applyNumberFormat="1" applyFont="1" applyBorder="1"/>
    <xf numFmtId="3" fontId="6" fillId="0" borderId="0" xfId="0" applyNumberFormat="1" applyFont="1"/>
    <xf numFmtId="0" fontId="7" fillId="0" borderId="10" xfId="0" applyFont="1" applyBorder="1"/>
    <xf numFmtId="3" fontId="7" fillId="0" borderId="3" xfId="0" applyNumberFormat="1" applyFont="1" applyBorder="1"/>
    <xf numFmtId="3" fontId="7" fillId="0" borderId="11" xfId="0" applyNumberFormat="1" applyFont="1" applyBorder="1"/>
    <xf numFmtId="167" fontId="7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3" xfId="0" applyFont="1" applyBorder="1"/>
    <xf numFmtId="166" fontId="2" fillId="0" borderId="3" xfId="0" applyNumberFormat="1" applyFont="1" applyBorder="1"/>
    <xf numFmtId="0" fontId="0" fillId="0" borderId="11" xfId="0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43" fontId="2" fillId="0" borderId="0" xfId="1" applyFont="1" applyBorder="1" applyAlignment="1"/>
    <xf numFmtId="43" fontId="2" fillId="0" borderId="0" xfId="1" applyFont="1" applyBorder="1"/>
    <xf numFmtId="165" fontId="2" fillId="0" borderId="0" xfId="1" applyNumberFormat="1" applyFont="1" applyBorder="1" applyAlignment="1"/>
    <xf numFmtId="168" fontId="2" fillId="0" borderId="2" xfId="1" applyNumberFormat="1" applyFont="1" applyBorder="1"/>
    <xf numFmtId="166" fontId="0" fillId="0" borderId="0" xfId="0" applyNumberFormat="1"/>
    <xf numFmtId="3" fontId="12" fillId="0" borderId="0" xfId="0" applyNumberFormat="1" applyFont="1" applyAlignment="1">
      <alignment horizontal="center"/>
    </xf>
    <xf numFmtId="10" fontId="7" fillId="0" borderId="0" xfId="3" applyNumberFormat="1" applyFont="1" applyBorder="1"/>
    <xf numFmtId="165" fontId="7" fillId="0" borderId="0" xfId="1" applyNumberFormat="1" applyFont="1" applyBorder="1" applyAlignment="1"/>
    <xf numFmtId="164" fontId="7" fillId="0" borderId="0" xfId="2" applyNumberFormat="1" applyFont="1" applyBorder="1"/>
    <xf numFmtId="0" fontId="6" fillId="0" borderId="3" xfId="0" applyFont="1" applyBorder="1"/>
    <xf numFmtId="164" fontId="6" fillId="0" borderId="3" xfId="2" applyNumberFormat="1" applyFont="1" applyBorder="1"/>
    <xf numFmtId="165" fontId="7" fillId="0" borderId="0" xfId="1" applyNumberFormat="1" applyFont="1"/>
    <xf numFmtId="167" fontId="7" fillId="0" borderId="0" xfId="3" applyNumberFormat="1" applyFont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8" xfId="1" applyNumberFormat="1" applyFont="1" applyBorder="1"/>
    <xf numFmtId="165" fontId="7" fillId="0" borderId="9" xfId="1" applyNumberFormat="1" applyFont="1" applyBorder="1"/>
    <xf numFmtId="165" fontId="7" fillId="0" borderId="0" xfId="1" applyNumberFormat="1" applyFont="1" applyBorder="1"/>
    <xf numFmtId="165" fontId="7" fillId="0" borderId="11" xfId="1" applyNumberFormat="1" applyFont="1" applyBorder="1"/>
    <xf numFmtId="165" fontId="6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1" applyFont="1"/>
    <xf numFmtId="43" fontId="2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7" fillId="0" borderId="0" xfId="0" quotePrefix="1" applyFont="1"/>
    <xf numFmtId="0" fontId="19" fillId="0" borderId="0" xfId="0" applyFont="1" applyAlignment="1">
      <alignment horizontal="centerContinuous"/>
    </xf>
    <xf numFmtId="164" fontId="7" fillId="0" borderId="0" xfId="0" applyNumberFormat="1" applyFont="1"/>
    <xf numFmtId="165" fontId="7" fillId="0" borderId="5" xfId="1" applyNumberFormat="1" applyFont="1" applyBorder="1"/>
    <xf numFmtId="165" fontId="6" fillId="0" borderId="0" xfId="1" applyNumberFormat="1" applyFont="1" applyBorder="1"/>
    <xf numFmtId="165" fontId="7" fillId="0" borderId="10" xfId="1" applyNumberFormat="1" applyFont="1" applyBorder="1"/>
    <xf numFmtId="165" fontId="7" fillId="0" borderId="3" xfId="1" applyNumberFormat="1" applyFont="1" applyBorder="1"/>
    <xf numFmtId="171" fontId="7" fillId="0" borderId="0" xfId="1" applyNumberFormat="1" applyFont="1" applyBorder="1"/>
    <xf numFmtId="171" fontId="7" fillId="0" borderId="0" xfId="1" applyNumberFormat="1" applyFont="1" applyBorder="1" applyAlignment="1"/>
    <xf numFmtId="0" fontId="7" fillId="0" borderId="9" xfId="0" applyFont="1" applyBorder="1" applyAlignment="1">
      <alignment horizontal="centerContinuous"/>
    </xf>
    <xf numFmtId="0" fontId="12" fillId="0" borderId="9" xfId="0" applyFont="1" applyBorder="1" applyAlignment="1">
      <alignment horizontal="center"/>
    </xf>
    <xf numFmtId="165" fontId="7" fillId="0" borderId="9" xfId="1" applyNumberFormat="1" applyFont="1" applyBorder="1" applyAlignment="1"/>
    <xf numFmtId="4" fontId="7" fillId="0" borderId="9" xfId="0" applyNumberFormat="1" applyFont="1" applyBorder="1"/>
    <xf numFmtId="0" fontId="7" fillId="0" borderId="3" xfId="0" applyFont="1" applyBorder="1"/>
    <xf numFmtId="0" fontId="15" fillId="0" borderId="0" xfId="0" applyFont="1"/>
    <xf numFmtId="3" fontId="17" fillId="0" borderId="0" xfId="0" applyNumberFormat="1" applyFont="1"/>
    <xf numFmtId="164" fontId="7" fillId="0" borderId="0" xfId="2" applyNumberFormat="1" applyFont="1" applyBorder="1" applyAlignment="1"/>
    <xf numFmtId="44" fontId="20" fillId="0" borderId="0" xfId="2" applyFont="1" applyBorder="1" applyAlignme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43" fontId="22" fillId="0" borderId="0" xfId="1" applyFont="1" applyBorder="1" applyAlignment="1">
      <alignment horizontal="right" vertical="top" shrinkToFit="1"/>
    </xf>
    <xf numFmtId="167" fontId="23" fillId="0" borderId="0" xfId="3" applyNumberFormat="1" applyFont="1" applyAlignment="1">
      <alignment horizontal="right" vertical="top"/>
    </xf>
    <xf numFmtId="43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43" fontId="24" fillId="0" borderId="0" xfId="1" applyFont="1" applyBorder="1" applyAlignment="1">
      <alignment horizontal="right" vertical="top" shrinkToFit="1"/>
    </xf>
    <xf numFmtId="43" fontId="23" fillId="0" borderId="0" xfId="1" applyFont="1" applyBorder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horizontal="left" vertical="top"/>
    </xf>
    <xf numFmtId="43" fontId="21" fillId="0" borderId="0" xfId="0" applyNumberFormat="1" applyFont="1"/>
    <xf numFmtId="0" fontId="26" fillId="0" borderId="0" xfId="0" applyFont="1" applyAlignment="1">
      <alignment horizontal="right"/>
    </xf>
    <xf numFmtId="0" fontId="26" fillId="0" borderId="0" xfId="0" applyFont="1"/>
    <xf numFmtId="164" fontId="21" fillId="0" borderId="0" xfId="2" applyNumberFormat="1" applyFont="1"/>
    <xf numFmtId="164" fontId="21" fillId="0" borderId="3" xfId="2" applyNumberFormat="1" applyFont="1" applyBorder="1"/>
    <xf numFmtId="167" fontId="26" fillId="0" borderId="0" xfId="3" applyNumberFormat="1" applyFont="1"/>
    <xf numFmtId="165" fontId="21" fillId="0" borderId="0" xfId="1" applyNumberFormat="1" applyFont="1"/>
    <xf numFmtId="165" fontId="7" fillId="0" borderId="3" xfId="1" applyNumberFormat="1" applyFont="1" applyBorder="1" applyAlignment="1"/>
    <xf numFmtId="165" fontId="7" fillId="0" borderId="0" xfId="4" applyNumberFormat="1" applyFont="1"/>
    <xf numFmtId="165" fontId="7" fillId="0" borderId="6" xfId="4" applyNumberFormat="1" applyFont="1" applyBorder="1"/>
    <xf numFmtId="165" fontId="7" fillId="0" borderId="7" xfId="4" applyNumberFormat="1" applyFont="1" applyBorder="1"/>
    <xf numFmtId="165" fontId="7" fillId="0" borderId="8" xfId="4" applyNumberFormat="1" applyFont="1" applyBorder="1"/>
    <xf numFmtId="165" fontId="11" fillId="0" borderId="5" xfId="4" applyNumberFormat="1" applyFont="1" applyBorder="1" applyAlignment="1">
      <alignment horizontal="centerContinuous"/>
    </xf>
    <xf numFmtId="165" fontId="6" fillId="0" borderId="0" xfId="4" applyNumberFormat="1" applyFont="1" applyAlignment="1">
      <alignment horizontal="centerContinuous"/>
    </xf>
    <xf numFmtId="165" fontId="7" fillId="0" borderId="9" xfId="4" applyNumberFormat="1" applyFont="1" applyBorder="1"/>
    <xf numFmtId="165" fontId="10" fillId="0" borderId="5" xfId="4" applyNumberFormat="1" applyFont="1" applyBorder="1" applyAlignment="1">
      <alignment horizontal="centerContinuous"/>
    </xf>
    <xf numFmtId="165" fontId="16" fillId="0" borderId="0" xfId="4" applyNumberFormat="1" applyFont="1" applyAlignment="1">
      <alignment horizontal="centerContinuous"/>
    </xf>
    <xf numFmtId="165" fontId="17" fillId="0" borderId="5" xfId="4" applyNumberFormat="1" applyFont="1" applyBorder="1" applyAlignment="1">
      <alignment horizontal="centerContinuous"/>
    </xf>
    <xf numFmtId="165" fontId="7" fillId="0" borderId="0" xfId="4" applyNumberFormat="1" applyFont="1" applyAlignment="1">
      <alignment horizontal="centerContinuous"/>
    </xf>
    <xf numFmtId="165" fontId="7" fillId="0" borderId="5" xfId="4" applyNumberFormat="1" applyFont="1" applyBorder="1" applyAlignment="1">
      <alignment horizontal="centerContinuous"/>
    </xf>
    <xf numFmtId="165" fontId="7" fillId="0" borderId="12" xfId="4" applyNumberFormat="1" applyFont="1" applyBorder="1" applyAlignment="1">
      <alignment horizontal="left"/>
    </xf>
    <xf numFmtId="165" fontId="7" fillId="0" borderId="6" xfId="4" applyNumberFormat="1" applyFont="1" applyBorder="1" applyAlignment="1">
      <alignment horizontal="left"/>
    </xf>
    <xf numFmtId="165" fontId="7" fillId="0" borderId="7" xfId="4" applyNumberFormat="1" applyFont="1" applyBorder="1" applyAlignment="1">
      <alignment horizontal="left"/>
    </xf>
    <xf numFmtId="165" fontId="7" fillId="0" borderId="8" xfId="4" applyNumberFormat="1" applyFont="1" applyBorder="1" applyAlignment="1">
      <alignment horizontal="left"/>
    </xf>
    <xf numFmtId="165" fontId="7" fillId="0" borderId="14" xfId="4" applyNumberFormat="1" applyFont="1" applyBorder="1"/>
    <xf numFmtId="165" fontId="9" fillId="0" borderId="9" xfId="4" applyNumberFormat="1" applyFont="1" applyBorder="1" applyAlignment="1">
      <alignment horizontal="center" vertical="center"/>
    </xf>
    <xf numFmtId="165" fontId="9" fillId="0" borderId="0" xfId="4" applyNumberFormat="1" applyFont="1" applyAlignment="1">
      <alignment horizontal="center" vertical="center"/>
    </xf>
    <xf numFmtId="165" fontId="6" fillId="0" borderId="9" xfId="4" applyNumberFormat="1" applyFont="1" applyBorder="1" applyAlignment="1">
      <alignment horizontal="center" vertical="center"/>
    </xf>
    <xf numFmtId="165" fontId="6" fillId="0" borderId="0" xfId="4" applyNumberFormat="1" applyFont="1" applyAlignment="1">
      <alignment horizontal="center" vertical="center"/>
    </xf>
    <xf numFmtId="165" fontId="9" fillId="0" borderId="0" xfId="4" applyNumberFormat="1" applyFont="1" applyBorder="1" applyAlignment="1">
      <alignment horizontal="center" vertical="center"/>
    </xf>
    <xf numFmtId="165" fontId="7" fillId="0" borderId="0" xfId="4" quotePrefix="1" applyNumberFormat="1" applyFont="1" applyBorder="1" applyAlignment="1">
      <alignment horizontal="center"/>
    </xf>
    <xf numFmtId="165" fontId="7" fillId="0" borderId="14" xfId="4" applyNumberFormat="1" applyFont="1" applyBorder="1" applyAlignment="1">
      <alignment horizontal="left"/>
    </xf>
    <xf numFmtId="165" fontId="7" fillId="0" borderId="5" xfId="4" applyNumberFormat="1" applyFont="1" applyBorder="1" applyAlignment="1">
      <alignment horizontal="center"/>
    </xf>
    <xf numFmtId="165" fontId="7" fillId="0" borderId="0" xfId="4" applyNumberFormat="1" applyFont="1" applyAlignment="1">
      <alignment horizontal="center"/>
    </xf>
    <xf numFmtId="165" fontId="7" fillId="0" borderId="9" xfId="4" applyNumberFormat="1" applyFont="1" applyBorder="1" applyAlignment="1">
      <alignment horizontal="center"/>
    </xf>
    <xf numFmtId="165" fontId="7" fillId="0" borderId="0" xfId="4" applyNumberFormat="1" applyFont="1" applyBorder="1" applyAlignment="1">
      <alignment horizontal="center"/>
    </xf>
    <xf numFmtId="165" fontId="6" fillId="0" borderId="5" xfId="4" applyNumberFormat="1" applyFont="1" applyBorder="1" applyAlignment="1">
      <alignment horizontal="center"/>
    </xf>
    <xf numFmtId="165" fontId="6" fillId="0" borderId="5" xfId="4" quotePrefix="1" applyNumberFormat="1" applyFont="1" applyBorder="1" applyAlignment="1">
      <alignment horizontal="left"/>
    </xf>
    <xf numFmtId="165" fontId="6" fillId="0" borderId="9" xfId="4" quotePrefix="1" applyNumberFormat="1" applyFont="1" applyBorder="1" applyAlignment="1">
      <alignment horizontal="left"/>
    </xf>
    <xf numFmtId="165" fontId="6" fillId="0" borderId="0" xfId="4" quotePrefix="1" applyNumberFormat="1" applyFont="1" applyBorder="1" applyAlignment="1">
      <alignment horizontal="left"/>
    </xf>
    <xf numFmtId="165" fontId="6" fillId="0" borderId="13" xfId="4" applyNumberFormat="1" applyFont="1" applyBorder="1" applyAlignment="1">
      <alignment horizontal="right"/>
    </xf>
    <xf numFmtId="165" fontId="6" fillId="0" borderId="10" xfId="4" applyNumberFormat="1" applyFont="1" applyBorder="1" applyAlignment="1">
      <alignment horizontal="right"/>
    </xf>
    <xf numFmtId="165" fontId="6" fillId="0" borderId="3" xfId="4" applyNumberFormat="1" applyFont="1" applyBorder="1" applyAlignment="1">
      <alignment horizontal="right"/>
    </xf>
    <xf numFmtId="165" fontId="6" fillId="0" borderId="11" xfId="4" applyNumberFormat="1" applyFont="1" applyBorder="1" applyAlignment="1">
      <alignment horizontal="right"/>
    </xf>
    <xf numFmtId="165" fontId="7" fillId="0" borderId="11" xfId="4" applyNumberFormat="1" applyFont="1" applyBorder="1"/>
    <xf numFmtId="165" fontId="7" fillId="0" borderId="10" xfId="4" applyNumberFormat="1" applyFont="1" applyBorder="1" applyAlignment="1">
      <alignment horizontal="center"/>
    </xf>
    <xf numFmtId="165" fontId="7" fillId="0" borderId="3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5" fontId="7" fillId="0" borderId="3" xfId="4" quotePrefix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7" fillId="0" borderId="0" xfId="1" quotePrefix="1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7" fillId="0" borderId="11" xfId="1" applyNumberFormat="1" applyFont="1" applyBorder="1" applyAlignment="1"/>
    <xf numFmtId="165" fontId="7" fillId="0" borderId="11" xfId="4" applyNumberFormat="1" applyFont="1" applyBorder="1" applyAlignment="1">
      <alignment horizontal="center"/>
    </xf>
    <xf numFmtId="165" fontId="21" fillId="0" borderId="3" xfId="1" applyNumberFormat="1" applyFont="1" applyBorder="1"/>
    <xf numFmtId="165" fontId="7" fillId="0" borderId="0" xfId="0" applyNumberFormat="1" applyFont="1"/>
    <xf numFmtId="3" fontId="14" fillId="0" borderId="9" xfId="0" applyNumberFormat="1" applyFont="1" applyBorder="1"/>
    <xf numFmtId="165" fontId="7" fillId="0" borderId="3" xfId="0" applyNumberFormat="1" applyFont="1" applyBorder="1"/>
    <xf numFmtId="165" fontId="7" fillId="0" borderId="0" xfId="4" applyNumberFormat="1" applyFont="1" applyAlignment="1">
      <alignment horizontal="center" vertical="center"/>
    </xf>
    <xf numFmtId="165" fontId="7" fillId="0" borderId="0" xfId="4" applyNumberFormat="1" applyFont="1" applyBorder="1" applyAlignment="1">
      <alignment horizontal="center" vertical="center"/>
    </xf>
    <xf numFmtId="165" fontId="7" fillId="0" borderId="9" xfId="4" applyNumberFormat="1" applyFont="1" applyBorder="1" applyAlignment="1">
      <alignment horizontal="center" vertical="center"/>
    </xf>
    <xf numFmtId="0" fontId="21" fillId="0" borderId="6" xfId="0" applyFont="1" applyBorder="1"/>
    <xf numFmtId="3" fontId="27" fillId="0" borderId="8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8" fillId="0" borderId="0" xfId="0" applyFont="1"/>
    <xf numFmtId="0" fontId="21" fillId="0" borderId="5" xfId="0" applyFont="1" applyBorder="1"/>
    <xf numFmtId="0" fontId="21" fillId="0" borderId="9" xfId="0" applyFont="1" applyBorder="1"/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3" fontId="32" fillId="0" borderId="0" xfId="0" applyNumberFormat="1" applyFont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1" fontId="21" fillId="0" borderId="0" xfId="1" applyNumberFormat="1" applyFont="1" applyBorder="1" applyAlignment="1">
      <alignment vertical="center"/>
    </xf>
    <xf numFmtId="43" fontId="21" fillId="0" borderId="0" xfId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70" fontId="21" fillId="0" borderId="0" xfId="0" applyNumberFormat="1" applyFont="1" applyAlignment="1">
      <alignment horizontal="left" vertical="center"/>
    </xf>
    <xf numFmtId="170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169" fontId="21" fillId="0" borderId="0" xfId="0" applyNumberFormat="1" applyFont="1" applyAlignment="1">
      <alignment horizontal="center" vertical="center"/>
    </xf>
    <xf numFmtId="169" fontId="21" fillId="0" borderId="0" xfId="0" applyNumberFormat="1" applyFont="1" applyAlignment="1">
      <alignment vertical="center"/>
    </xf>
    <xf numFmtId="169" fontId="21" fillId="0" borderId="0" xfId="0" applyNumberFormat="1" applyFont="1" applyAlignment="1">
      <alignment horizontal="left" vertical="center"/>
    </xf>
    <xf numFmtId="171" fontId="33" fillId="0" borderId="0" xfId="1" applyNumberFormat="1" applyFont="1" applyBorder="1" applyAlignment="1">
      <alignment vertical="center"/>
    </xf>
    <xf numFmtId="170" fontId="21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71" fontId="26" fillId="0" borderId="0" xfId="1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171" fontId="21" fillId="0" borderId="0" xfId="1" applyNumberFormat="1" applyFont="1" applyBorder="1" applyAlignment="1"/>
    <xf numFmtId="0" fontId="21" fillId="0" borderId="10" xfId="0" applyFont="1" applyBorder="1"/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wrapText="1"/>
    </xf>
    <xf numFmtId="0" fontId="3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3" fontId="25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/>
    </xf>
    <xf numFmtId="165" fontId="26" fillId="0" borderId="0" xfId="0" applyNumberFormat="1" applyFont="1"/>
    <xf numFmtId="165" fontId="2" fillId="0" borderId="0" xfId="1" applyNumberFormat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/>
    <xf numFmtId="0" fontId="12" fillId="0" borderId="0" xfId="0" applyFont="1" applyAlignment="1">
      <alignment horizontal="right"/>
    </xf>
    <xf numFmtId="164" fontId="7" fillId="0" borderId="0" xfId="2" applyNumberFormat="1" applyFont="1" applyFill="1" applyBorder="1" applyAlignment="1"/>
    <xf numFmtId="0" fontId="8" fillId="0" borderId="0" xfId="0" quotePrefix="1" applyFont="1" applyAlignment="1">
      <alignment horizontal="center"/>
    </xf>
    <xf numFmtId="43" fontId="2" fillId="0" borderId="0" xfId="1" applyFont="1" applyFill="1"/>
    <xf numFmtId="43" fontId="18" fillId="0" borderId="0" xfId="1" applyFont="1" applyFill="1"/>
    <xf numFmtId="43" fontId="8" fillId="0" borderId="0" xfId="1" applyFont="1" applyFill="1"/>
    <xf numFmtId="166" fontId="2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horizontal="centerContinuous" vertical="center"/>
    </xf>
    <xf numFmtId="43" fontId="26" fillId="0" borderId="0" xfId="1" applyFont="1"/>
    <xf numFmtId="0" fontId="26" fillId="0" borderId="0" xfId="0" applyFont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165" fontId="9" fillId="0" borderId="5" xfId="4" applyNumberFormat="1" applyFont="1" applyBorder="1" applyAlignment="1">
      <alignment horizontal="center" vertical="center"/>
    </xf>
    <xf numFmtId="165" fontId="9" fillId="0" borderId="9" xfId="4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Comma" xfId="1" builtinId="3"/>
    <cellStyle name="Comma 2" xfId="4" xr:uid="{C7F7EE13-2743-4215-A128-6460504B592A}"/>
    <cellStyle name="Currency" xfId="2" builtinId="4"/>
    <cellStyle name="Currency 2" xfId="5" xr:uid="{6B24F497-2B46-4348-B228-7FDE38B0B2E4}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 Miller" id="{A4D59D3B-EB6A-4D18-ACB1-5201E883C13F}" userId="4620783bd5d64ab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4" dT="2023-01-07T02:20:18.02" personId="{A4D59D3B-EB6A-4D18-ACB1-5201E883C13F}" id="{669C8F9A-A52A-4FC0-8AA3-68E2E121FF3D}">
    <text xml:space="preserve">Map scale of 1 inch equals 650 feet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48AE-14F9-4529-82D7-13FB3BC23AF2}">
  <sheetPr>
    <pageSetUpPr fitToPage="1"/>
  </sheetPr>
  <dimension ref="A1:K62"/>
  <sheetViews>
    <sheetView tabSelected="1" topLeftCell="A45" workbookViewId="0">
      <selection activeCell="K60" sqref="A1:K60"/>
    </sheetView>
  </sheetViews>
  <sheetFormatPr defaultRowHeight="14.25" x14ac:dyDescent="0.45"/>
  <cols>
    <col min="1" max="1" width="8.88671875" style="99"/>
    <col min="2" max="2" width="30.1640625" style="99" bestFit="1" customWidth="1"/>
    <col min="3" max="7" width="10.609375" style="99" customWidth="1"/>
    <col min="8" max="8" width="3.609375" style="99" customWidth="1"/>
    <col min="9" max="9" width="8.88671875" style="99" hidden="1" customWidth="1"/>
    <col min="10" max="10" width="3.609375" style="99" customWidth="1"/>
    <col min="11" max="11" width="23.27734375" style="99" customWidth="1"/>
    <col min="12" max="16384" width="8.88671875" style="99"/>
  </cols>
  <sheetData>
    <row r="1" spans="1:11" x14ac:dyDescent="0.45">
      <c r="A1" s="223" t="s">
        <v>92</v>
      </c>
      <c r="B1" s="223"/>
      <c r="C1" s="223"/>
      <c r="D1" s="223"/>
      <c r="E1" s="223"/>
      <c r="F1" s="223"/>
      <c r="G1" s="223"/>
      <c r="H1" s="205"/>
    </row>
    <row r="2" spans="1:11" x14ac:dyDescent="0.45">
      <c r="A2" s="223" t="s">
        <v>276</v>
      </c>
      <c r="B2" s="223"/>
      <c r="C2" s="223"/>
      <c r="D2" s="223"/>
      <c r="E2" s="223"/>
      <c r="F2" s="223"/>
      <c r="G2" s="223"/>
      <c r="H2" s="205"/>
    </row>
    <row r="3" spans="1:11" x14ac:dyDescent="0.45">
      <c r="A3" s="223" t="s">
        <v>194</v>
      </c>
      <c r="B3" s="223"/>
      <c r="C3" s="223"/>
      <c r="D3" s="223"/>
      <c r="E3" s="223"/>
      <c r="F3" s="223"/>
      <c r="G3" s="223"/>
      <c r="H3" s="205"/>
    </row>
    <row r="4" spans="1:11" x14ac:dyDescent="0.45">
      <c r="A4" s="205"/>
      <c r="B4" s="205"/>
      <c r="C4" s="205"/>
      <c r="D4" s="205"/>
      <c r="E4" s="205"/>
      <c r="F4" s="205"/>
      <c r="G4" s="205"/>
      <c r="H4" s="205"/>
      <c r="I4" s="192" t="s">
        <v>277</v>
      </c>
      <c r="K4" s="198"/>
    </row>
    <row r="5" spans="1:11" x14ac:dyDescent="0.45">
      <c r="A5" s="103"/>
      <c r="B5" s="103"/>
      <c r="C5" s="102"/>
      <c r="D5" s="102"/>
      <c r="E5" s="102" t="s">
        <v>299</v>
      </c>
      <c r="F5" s="102" t="s">
        <v>75</v>
      </c>
      <c r="G5" s="102" t="s">
        <v>75</v>
      </c>
      <c r="H5" s="102"/>
      <c r="I5" s="192" t="s">
        <v>278</v>
      </c>
      <c r="K5" s="198"/>
    </row>
    <row r="6" spans="1:11" x14ac:dyDescent="0.45">
      <c r="A6" s="103" t="s">
        <v>195</v>
      </c>
      <c r="B6" s="103" t="s">
        <v>196</v>
      </c>
      <c r="C6" s="102" t="s">
        <v>199</v>
      </c>
      <c r="D6" s="102" t="s">
        <v>298</v>
      </c>
      <c r="E6" s="102" t="s">
        <v>199</v>
      </c>
      <c r="F6" s="102" t="s">
        <v>14</v>
      </c>
      <c r="G6" s="102" t="s">
        <v>199</v>
      </c>
      <c r="H6" s="102"/>
      <c r="I6" s="192" t="s">
        <v>279</v>
      </c>
      <c r="K6" s="207" t="s">
        <v>280</v>
      </c>
    </row>
    <row r="7" spans="1:11" x14ac:dyDescent="0.45">
      <c r="A7" s="91" t="s">
        <v>141</v>
      </c>
      <c r="B7" s="100" t="s">
        <v>197</v>
      </c>
      <c r="C7" s="92">
        <v>25347</v>
      </c>
      <c r="D7" s="92">
        <f>C7*0.1</f>
        <v>2534.7000000000003</v>
      </c>
      <c r="E7" s="92">
        <f>C7+D7</f>
        <v>27881.7</v>
      </c>
      <c r="F7" s="93">
        <v>1</v>
      </c>
      <c r="G7" s="94">
        <f>E7*F7</f>
        <v>27881.7</v>
      </c>
      <c r="H7" s="94"/>
      <c r="I7" s="95">
        <v>7</v>
      </c>
      <c r="K7" s="99" t="s">
        <v>19</v>
      </c>
    </row>
    <row r="8" spans="1:11" x14ac:dyDescent="0.45">
      <c r="A8" s="91" t="s">
        <v>142</v>
      </c>
      <c r="B8" s="100" t="s">
        <v>198</v>
      </c>
      <c r="C8" s="92">
        <v>134256.26999999999</v>
      </c>
      <c r="D8" s="92">
        <f t="shared" ref="D8:D12" si="0">C8*0.1</f>
        <v>13425.627</v>
      </c>
      <c r="E8" s="92">
        <f t="shared" ref="E8:E59" si="1">C8+D8</f>
        <v>147681.897</v>
      </c>
      <c r="F8" s="93">
        <v>1</v>
      </c>
      <c r="G8" s="94">
        <f t="shared" ref="G8:G59" si="2">E8*F8</f>
        <v>147681.897</v>
      </c>
      <c r="H8" s="94"/>
      <c r="I8" s="95">
        <v>7</v>
      </c>
      <c r="K8" s="99" t="s">
        <v>19</v>
      </c>
    </row>
    <row r="9" spans="1:11" x14ac:dyDescent="0.45">
      <c r="A9" s="91" t="s">
        <v>143</v>
      </c>
      <c r="B9" s="100" t="s">
        <v>200</v>
      </c>
      <c r="C9" s="92">
        <v>10847.82</v>
      </c>
      <c r="D9" s="92">
        <f t="shared" si="0"/>
        <v>1084.7819999999999</v>
      </c>
      <c r="E9" s="92">
        <f t="shared" si="1"/>
        <v>11932.601999999999</v>
      </c>
      <c r="F9" s="93">
        <v>1</v>
      </c>
      <c r="G9" s="94">
        <f t="shared" si="2"/>
        <v>11932.601999999999</v>
      </c>
      <c r="H9" s="94"/>
      <c r="I9" s="95">
        <v>7</v>
      </c>
      <c r="K9" s="99" t="s">
        <v>82</v>
      </c>
    </row>
    <row r="10" spans="1:11" x14ac:dyDescent="0.45">
      <c r="A10" s="91" t="s">
        <v>188</v>
      </c>
      <c r="B10" s="100" t="s">
        <v>201</v>
      </c>
      <c r="C10" s="92">
        <v>34078.82</v>
      </c>
      <c r="D10" s="92">
        <f t="shared" si="0"/>
        <v>3407.8820000000001</v>
      </c>
      <c r="E10" s="92">
        <f t="shared" si="1"/>
        <v>37486.701999999997</v>
      </c>
      <c r="F10" s="93">
        <v>1</v>
      </c>
      <c r="G10" s="94">
        <f t="shared" si="2"/>
        <v>37486.701999999997</v>
      </c>
      <c r="H10" s="94"/>
      <c r="I10" s="95">
        <v>22</v>
      </c>
      <c r="K10" s="99" t="s">
        <v>281</v>
      </c>
    </row>
    <row r="11" spans="1:11" x14ac:dyDescent="0.45">
      <c r="A11" s="91" t="s">
        <v>189</v>
      </c>
      <c r="B11" s="100" t="s">
        <v>202</v>
      </c>
      <c r="C11" s="92">
        <v>950.47</v>
      </c>
      <c r="D11" s="92">
        <f t="shared" si="0"/>
        <v>95.047000000000011</v>
      </c>
      <c r="E11" s="92">
        <f t="shared" si="1"/>
        <v>1045.5170000000001</v>
      </c>
      <c r="F11" s="93">
        <v>1</v>
      </c>
      <c r="G11" s="94">
        <f t="shared" si="2"/>
        <v>1045.5170000000001</v>
      </c>
      <c r="H11" s="94"/>
      <c r="I11" s="95">
        <v>22</v>
      </c>
      <c r="K11" s="99" t="s">
        <v>281</v>
      </c>
    </row>
    <row r="12" spans="1:11" x14ac:dyDescent="0.45">
      <c r="A12" s="91" t="s">
        <v>152</v>
      </c>
      <c r="B12" s="100" t="s">
        <v>203</v>
      </c>
      <c r="C12" s="92">
        <v>56092.56</v>
      </c>
      <c r="D12" s="92">
        <f t="shared" si="0"/>
        <v>5609.2560000000003</v>
      </c>
      <c r="E12" s="92">
        <f t="shared" si="1"/>
        <v>61701.815999999999</v>
      </c>
      <c r="F12" s="93">
        <v>1</v>
      </c>
      <c r="G12" s="94">
        <f t="shared" si="2"/>
        <v>61701.815999999999</v>
      </c>
      <c r="H12" s="94"/>
      <c r="I12" s="95">
        <v>9</v>
      </c>
      <c r="K12" s="99" t="s">
        <v>281</v>
      </c>
    </row>
    <row r="13" spans="1:11" x14ac:dyDescent="0.45">
      <c r="A13" s="91" t="s">
        <v>153</v>
      </c>
      <c r="B13" s="100" t="s">
        <v>204</v>
      </c>
      <c r="C13" s="92">
        <v>21621.919999999998</v>
      </c>
      <c r="D13" s="92"/>
      <c r="E13" s="92">
        <f t="shared" si="1"/>
        <v>21621.919999999998</v>
      </c>
      <c r="F13" s="93">
        <v>1</v>
      </c>
      <c r="G13" s="94">
        <f t="shared" si="2"/>
        <v>21621.919999999998</v>
      </c>
      <c r="H13" s="94"/>
      <c r="I13" s="95">
        <v>9</v>
      </c>
      <c r="K13" s="99" t="s">
        <v>281</v>
      </c>
    </row>
    <row r="14" spans="1:11" x14ac:dyDescent="0.45">
      <c r="A14" s="91" t="s">
        <v>160</v>
      </c>
      <c r="B14" s="100" t="s">
        <v>205</v>
      </c>
      <c r="C14" s="92">
        <v>3228.59</v>
      </c>
      <c r="D14" s="92"/>
      <c r="E14" s="92">
        <f t="shared" si="1"/>
        <v>3228.59</v>
      </c>
      <c r="F14" s="93">
        <v>1</v>
      </c>
      <c r="G14" s="94">
        <f t="shared" si="2"/>
        <v>3228.59</v>
      </c>
      <c r="H14" s="94"/>
      <c r="I14" s="95">
        <v>12</v>
      </c>
      <c r="K14" s="99" t="s">
        <v>82</v>
      </c>
    </row>
    <row r="15" spans="1:11" x14ac:dyDescent="0.45">
      <c r="A15" s="91" t="s">
        <v>163</v>
      </c>
      <c r="B15" s="100" t="s">
        <v>206</v>
      </c>
      <c r="C15" s="92">
        <v>46250.5</v>
      </c>
      <c r="D15" s="92"/>
      <c r="E15" s="92">
        <f t="shared" si="1"/>
        <v>46250.5</v>
      </c>
      <c r="F15" s="93">
        <v>1</v>
      </c>
      <c r="G15" s="94">
        <f t="shared" si="2"/>
        <v>46250.5</v>
      </c>
      <c r="H15" s="94"/>
      <c r="I15" s="95">
        <v>13</v>
      </c>
      <c r="K15" s="99" t="s">
        <v>82</v>
      </c>
    </row>
    <row r="16" spans="1:11" x14ac:dyDescent="0.45">
      <c r="A16" s="91" t="s">
        <v>166</v>
      </c>
      <c r="B16" s="100" t="s">
        <v>207</v>
      </c>
      <c r="C16" s="92">
        <v>633.98</v>
      </c>
      <c r="D16" s="92">
        <f t="shared" ref="D16:D17" si="3">C16*0.1</f>
        <v>63.398000000000003</v>
      </c>
      <c r="E16" s="92">
        <f t="shared" si="1"/>
        <v>697.37800000000004</v>
      </c>
      <c r="F16" s="93">
        <v>1</v>
      </c>
      <c r="G16" s="94">
        <f t="shared" si="2"/>
        <v>697.37800000000004</v>
      </c>
      <c r="H16" s="94"/>
      <c r="I16" s="95">
        <v>15</v>
      </c>
      <c r="K16" s="99" t="s">
        <v>82</v>
      </c>
    </row>
    <row r="17" spans="1:11" x14ac:dyDescent="0.45">
      <c r="A17" s="91" t="s">
        <v>167</v>
      </c>
      <c r="B17" s="100" t="s">
        <v>208</v>
      </c>
      <c r="C17" s="92">
        <v>4628.91</v>
      </c>
      <c r="D17" s="92">
        <f t="shared" si="3"/>
        <v>462.89100000000002</v>
      </c>
      <c r="E17" s="92">
        <f t="shared" si="1"/>
        <v>5091.8009999999995</v>
      </c>
      <c r="F17" s="93">
        <v>1</v>
      </c>
      <c r="G17" s="94">
        <f t="shared" si="2"/>
        <v>5091.8009999999995</v>
      </c>
      <c r="H17" s="94"/>
      <c r="I17" s="95">
        <v>15</v>
      </c>
      <c r="K17" s="99" t="s">
        <v>82</v>
      </c>
    </row>
    <row r="18" spans="1:11" x14ac:dyDescent="0.45">
      <c r="A18" s="91" t="s">
        <v>158</v>
      </c>
      <c r="B18" s="100" t="s">
        <v>83</v>
      </c>
      <c r="C18" s="92">
        <v>116419.75</v>
      </c>
      <c r="D18" s="92"/>
      <c r="E18" s="92">
        <f t="shared" si="1"/>
        <v>116419.75</v>
      </c>
      <c r="F18" s="93">
        <v>1</v>
      </c>
      <c r="G18" s="94">
        <f t="shared" si="2"/>
        <v>116419.75</v>
      </c>
      <c r="H18" s="94"/>
      <c r="I18" s="95">
        <v>10</v>
      </c>
      <c r="K18" s="99" t="s">
        <v>4</v>
      </c>
    </row>
    <row r="19" spans="1:11" x14ac:dyDescent="0.45">
      <c r="A19" s="91" t="s">
        <v>159</v>
      </c>
      <c r="B19" s="100" t="s">
        <v>209</v>
      </c>
      <c r="C19" s="92">
        <v>262397.65999999997</v>
      </c>
      <c r="D19" s="92"/>
      <c r="E19" s="92">
        <f t="shared" si="1"/>
        <v>262397.65999999997</v>
      </c>
      <c r="F19" s="93">
        <v>1</v>
      </c>
      <c r="G19" s="94">
        <f t="shared" si="2"/>
        <v>262397.65999999997</v>
      </c>
      <c r="H19" s="94"/>
      <c r="I19" s="95">
        <v>11</v>
      </c>
      <c r="K19" s="99" t="s">
        <v>209</v>
      </c>
    </row>
    <row r="20" spans="1:11" x14ac:dyDescent="0.45">
      <c r="A20" s="91" t="s">
        <v>161</v>
      </c>
      <c r="B20" s="100" t="s">
        <v>210</v>
      </c>
      <c r="C20" s="92">
        <v>11529.2</v>
      </c>
      <c r="D20" s="92"/>
      <c r="E20" s="92">
        <f t="shared" si="1"/>
        <v>11529.2</v>
      </c>
      <c r="F20" s="93">
        <v>1</v>
      </c>
      <c r="G20" s="94">
        <f t="shared" si="2"/>
        <v>11529.2</v>
      </c>
      <c r="H20" s="94"/>
      <c r="I20" s="95">
        <v>12</v>
      </c>
      <c r="K20" s="99" t="s">
        <v>84</v>
      </c>
    </row>
    <row r="21" spans="1:11" x14ac:dyDescent="0.45">
      <c r="A21" s="91" t="s">
        <v>172</v>
      </c>
      <c r="B21" s="100" t="s">
        <v>80</v>
      </c>
      <c r="C21" s="92">
        <v>17972.009999999998</v>
      </c>
      <c r="D21" s="92"/>
      <c r="E21" s="92">
        <f t="shared" si="1"/>
        <v>17972.009999999998</v>
      </c>
      <c r="F21" s="93">
        <v>1</v>
      </c>
      <c r="G21" s="94">
        <f t="shared" si="2"/>
        <v>17972.009999999998</v>
      </c>
      <c r="H21" s="94"/>
      <c r="I21" s="95">
        <v>16</v>
      </c>
      <c r="K21" s="99" t="s">
        <v>80</v>
      </c>
    </row>
    <row r="22" spans="1:11" x14ac:dyDescent="0.45">
      <c r="A22" s="91" t="s">
        <v>176</v>
      </c>
      <c r="B22" s="100" t="s">
        <v>211</v>
      </c>
      <c r="C22" s="92">
        <v>8283.52</v>
      </c>
      <c r="D22" s="92"/>
      <c r="E22" s="92">
        <f t="shared" si="1"/>
        <v>8283.52</v>
      </c>
      <c r="F22" s="93">
        <v>1</v>
      </c>
      <c r="G22" s="94">
        <f t="shared" si="2"/>
        <v>8283.52</v>
      </c>
      <c r="H22" s="94"/>
      <c r="I22" s="95">
        <v>20</v>
      </c>
      <c r="K22" s="99" t="s">
        <v>85</v>
      </c>
    </row>
    <row r="23" spans="1:11" x14ac:dyDescent="0.45">
      <c r="A23" s="91" t="s">
        <v>177</v>
      </c>
      <c r="B23" s="100" t="s">
        <v>212</v>
      </c>
      <c r="C23" s="96">
        <v>75.83</v>
      </c>
      <c r="D23" s="96"/>
      <c r="E23" s="92">
        <f t="shared" si="1"/>
        <v>75.83</v>
      </c>
      <c r="F23" s="93">
        <v>1</v>
      </c>
      <c r="G23" s="94">
        <f t="shared" si="2"/>
        <v>75.83</v>
      </c>
      <c r="H23" s="94"/>
      <c r="I23" s="95">
        <v>20</v>
      </c>
      <c r="K23" s="99" t="s">
        <v>81</v>
      </c>
    </row>
    <row r="24" spans="1:11" x14ac:dyDescent="0.45">
      <c r="A24" s="91" t="s">
        <v>168</v>
      </c>
      <c r="B24" s="100" t="s">
        <v>213</v>
      </c>
      <c r="C24" s="96">
        <v>36261.53</v>
      </c>
      <c r="D24" s="96"/>
      <c r="E24" s="92">
        <f t="shared" si="1"/>
        <v>36261.53</v>
      </c>
      <c r="F24" s="93">
        <v>1</v>
      </c>
      <c r="G24" s="94">
        <f t="shared" si="2"/>
        <v>36261.53</v>
      </c>
      <c r="H24" s="94"/>
      <c r="I24" s="95">
        <v>15</v>
      </c>
      <c r="K24" s="99" t="s">
        <v>87</v>
      </c>
    </row>
    <row r="25" spans="1:11" x14ac:dyDescent="0.45">
      <c r="A25" s="91" t="s">
        <v>178</v>
      </c>
      <c r="B25" s="100" t="s">
        <v>214</v>
      </c>
      <c r="C25" s="96">
        <v>5026.0200000000004</v>
      </c>
      <c r="D25" s="92">
        <f t="shared" ref="D25" si="4">C25*0.1</f>
        <v>502.60200000000009</v>
      </c>
      <c r="E25" s="92">
        <f t="shared" si="1"/>
        <v>5528.6220000000003</v>
      </c>
      <c r="F25" s="93">
        <v>1</v>
      </c>
      <c r="G25" s="94">
        <f t="shared" si="2"/>
        <v>5528.6220000000003</v>
      </c>
      <c r="H25" s="94"/>
      <c r="I25" s="95">
        <v>20</v>
      </c>
      <c r="K25" s="99" t="s">
        <v>282</v>
      </c>
    </row>
    <row r="26" spans="1:11" x14ac:dyDescent="0.45">
      <c r="A26" s="91" t="s">
        <v>144</v>
      </c>
      <c r="B26" s="100" t="s">
        <v>215</v>
      </c>
      <c r="C26" s="96">
        <v>59.26</v>
      </c>
      <c r="D26" s="92">
        <f t="shared" ref="D26:D30" si="5">C26*0.1</f>
        <v>5.9260000000000002</v>
      </c>
      <c r="E26" s="92">
        <f t="shared" si="1"/>
        <v>65.185999999999993</v>
      </c>
      <c r="F26" s="93">
        <f>Breakout!$B$21</f>
        <v>0.54427645788336931</v>
      </c>
      <c r="G26" s="94">
        <f t="shared" si="2"/>
        <v>35.479205183585307</v>
      </c>
      <c r="H26" s="94"/>
      <c r="I26" s="95">
        <v>7</v>
      </c>
      <c r="K26" s="99" t="s">
        <v>19</v>
      </c>
    </row>
    <row r="27" spans="1:11" x14ac:dyDescent="0.45">
      <c r="A27" s="91" t="s">
        <v>145</v>
      </c>
      <c r="B27" s="100" t="s">
        <v>216</v>
      </c>
      <c r="C27" s="96">
        <v>38918.75</v>
      </c>
      <c r="D27" s="92">
        <f t="shared" si="5"/>
        <v>3891.875</v>
      </c>
      <c r="E27" s="92">
        <f t="shared" si="1"/>
        <v>42810.625</v>
      </c>
      <c r="F27" s="93">
        <f>Breakout!$B$21</f>
        <v>0.54427645788336931</v>
      </c>
      <c r="G27" s="94">
        <f t="shared" si="2"/>
        <v>23300.815334773219</v>
      </c>
      <c r="H27" s="94"/>
      <c r="I27" s="95">
        <v>7</v>
      </c>
      <c r="K27" s="99" t="s">
        <v>19</v>
      </c>
    </row>
    <row r="28" spans="1:11" x14ac:dyDescent="0.45">
      <c r="A28" s="91" t="s">
        <v>190</v>
      </c>
      <c r="B28" s="100" t="s">
        <v>201</v>
      </c>
      <c r="C28" s="96">
        <v>3727.48</v>
      </c>
      <c r="D28" s="92">
        <f t="shared" si="5"/>
        <v>372.74800000000005</v>
      </c>
      <c r="E28" s="92">
        <f t="shared" si="1"/>
        <v>4100.2280000000001</v>
      </c>
      <c r="F28" s="93">
        <f>Breakout!$B$21</f>
        <v>0.54427645788336931</v>
      </c>
      <c r="G28" s="94">
        <f t="shared" si="2"/>
        <v>2231.6575723542114</v>
      </c>
      <c r="H28" s="94"/>
      <c r="I28" s="95">
        <v>22</v>
      </c>
      <c r="K28" s="99" t="s">
        <v>281</v>
      </c>
    </row>
    <row r="29" spans="1:11" x14ac:dyDescent="0.45">
      <c r="A29" s="91" t="s">
        <v>191</v>
      </c>
      <c r="B29" s="100" t="s">
        <v>217</v>
      </c>
      <c r="C29" s="96">
        <v>179.79</v>
      </c>
      <c r="D29" s="92">
        <f t="shared" si="5"/>
        <v>17.978999999999999</v>
      </c>
      <c r="E29" s="92">
        <f t="shared" si="1"/>
        <v>197.76900000000001</v>
      </c>
      <c r="F29" s="93">
        <f>Breakout!$B$21</f>
        <v>0.54427645788336931</v>
      </c>
      <c r="G29" s="94">
        <f t="shared" si="2"/>
        <v>107.64101079913607</v>
      </c>
      <c r="H29" s="94"/>
      <c r="I29" s="95">
        <v>22</v>
      </c>
      <c r="K29" s="99" t="s">
        <v>281</v>
      </c>
    </row>
    <row r="30" spans="1:11" x14ac:dyDescent="0.45">
      <c r="A30" s="91" t="s">
        <v>154</v>
      </c>
      <c r="B30" s="100" t="s">
        <v>203</v>
      </c>
      <c r="C30" s="96">
        <v>11383.61</v>
      </c>
      <c r="D30" s="92">
        <f t="shared" si="5"/>
        <v>1138.3610000000001</v>
      </c>
      <c r="E30" s="92">
        <f t="shared" si="1"/>
        <v>12521.971000000001</v>
      </c>
      <c r="F30" s="93">
        <f>Breakout!$B$21</f>
        <v>0.54427645788336931</v>
      </c>
      <c r="G30" s="94">
        <f t="shared" si="2"/>
        <v>6815.4140215982725</v>
      </c>
      <c r="H30" s="94"/>
      <c r="I30" s="95">
        <v>9</v>
      </c>
      <c r="K30" s="99" t="s">
        <v>281</v>
      </c>
    </row>
    <row r="31" spans="1:11" x14ac:dyDescent="0.45">
      <c r="A31" s="91" t="s">
        <v>155</v>
      </c>
      <c r="B31" s="100" t="s">
        <v>204</v>
      </c>
      <c r="C31" s="96">
        <v>9103.27</v>
      </c>
      <c r="D31" s="96"/>
      <c r="E31" s="92">
        <f t="shared" si="1"/>
        <v>9103.27</v>
      </c>
      <c r="F31" s="93">
        <f>Breakout!$B$21</f>
        <v>0.54427645788336931</v>
      </c>
      <c r="G31" s="94">
        <f t="shared" si="2"/>
        <v>4954.6955507559396</v>
      </c>
      <c r="H31" s="94"/>
      <c r="I31" s="95">
        <v>9</v>
      </c>
      <c r="K31" s="99" t="s">
        <v>281</v>
      </c>
    </row>
    <row r="32" spans="1:11" x14ac:dyDescent="0.45">
      <c r="A32" s="91" t="s">
        <v>146</v>
      </c>
      <c r="B32" s="100" t="s">
        <v>218</v>
      </c>
      <c r="C32" s="96">
        <v>1721.31</v>
      </c>
      <c r="D32" s="92">
        <f t="shared" ref="D32:D34" si="6">C32*0.1</f>
        <v>172.131</v>
      </c>
      <c r="E32" s="92">
        <f t="shared" si="1"/>
        <v>1893.441</v>
      </c>
      <c r="F32" s="93">
        <f>Breakout!$B$21</f>
        <v>0.54427645788336931</v>
      </c>
      <c r="G32" s="94">
        <f t="shared" si="2"/>
        <v>1030.5553606911446</v>
      </c>
      <c r="H32" s="94"/>
      <c r="I32" s="95">
        <v>7</v>
      </c>
      <c r="K32" s="99" t="s">
        <v>82</v>
      </c>
    </row>
    <row r="33" spans="1:11" x14ac:dyDescent="0.45">
      <c r="A33" s="91" t="s">
        <v>147</v>
      </c>
      <c r="B33" s="100" t="s">
        <v>219</v>
      </c>
      <c r="C33" s="96">
        <v>1304.27</v>
      </c>
      <c r="D33" s="92">
        <f t="shared" si="6"/>
        <v>130.42699999999999</v>
      </c>
      <c r="E33" s="92">
        <f t="shared" si="1"/>
        <v>1434.6969999999999</v>
      </c>
      <c r="F33" s="93">
        <f>Breakout!$B$21</f>
        <v>0.54427645788336931</v>
      </c>
      <c r="G33" s="94">
        <f t="shared" si="2"/>
        <v>780.87180129589626</v>
      </c>
      <c r="H33" s="94"/>
      <c r="I33" s="95">
        <v>7</v>
      </c>
      <c r="K33" s="99" t="s">
        <v>82</v>
      </c>
    </row>
    <row r="34" spans="1:11" x14ac:dyDescent="0.45">
      <c r="A34" s="91" t="s">
        <v>148</v>
      </c>
      <c r="B34" s="100" t="s">
        <v>220</v>
      </c>
      <c r="C34" s="96">
        <v>1105.1300000000001</v>
      </c>
      <c r="D34" s="92">
        <f t="shared" si="6"/>
        <v>110.51300000000002</v>
      </c>
      <c r="E34" s="92">
        <f t="shared" si="1"/>
        <v>1215.643</v>
      </c>
      <c r="F34" s="93">
        <f>Breakout!$B$21</f>
        <v>0.54427645788336931</v>
      </c>
      <c r="G34" s="94">
        <f t="shared" si="2"/>
        <v>661.64586609071273</v>
      </c>
      <c r="H34" s="94"/>
      <c r="I34" s="95">
        <v>7</v>
      </c>
      <c r="K34" s="99" t="s">
        <v>82</v>
      </c>
    </row>
    <row r="35" spans="1:11" x14ac:dyDescent="0.45">
      <c r="A35" s="91" t="s">
        <v>162</v>
      </c>
      <c r="B35" s="100" t="s">
        <v>210</v>
      </c>
      <c r="C35" s="96">
        <v>4176.67</v>
      </c>
      <c r="D35" s="96"/>
      <c r="E35" s="92">
        <f t="shared" si="1"/>
        <v>4176.67</v>
      </c>
      <c r="F35" s="93">
        <f>Breakout!$B$21</f>
        <v>0.54427645788336931</v>
      </c>
      <c r="G35" s="94">
        <f t="shared" si="2"/>
        <v>2273.263153347732</v>
      </c>
      <c r="H35" s="94"/>
      <c r="I35" s="95">
        <v>12</v>
      </c>
      <c r="K35" s="99" t="s">
        <v>84</v>
      </c>
    </row>
    <row r="36" spans="1:11" x14ac:dyDescent="0.45">
      <c r="A36" s="91" t="s">
        <v>173</v>
      </c>
      <c r="B36" s="100" t="s">
        <v>80</v>
      </c>
      <c r="C36" s="96">
        <v>8457.75</v>
      </c>
      <c r="D36" s="96"/>
      <c r="E36" s="92">
        <f t="shared" si="1"/>
        <v>8457.75</v>
      </c>
      <c r="F36" s="93">
        <f>Breakout!$B$21</f>
        <v>0.54427645788336931</v>
      </c>
      <c r="G36" s="94">
        <f t="shared" si="2"/>
        <v>4603.354211663067</v>
      </c>
      <c r="H36" s="94"/>
      <c r="I36" s="95">
        <v>16</v>
      </c>
      <c r="K36" s="99" t="s">
        <v>80</v>
      </c>
    </row>
    <row r="37" spans="1:11" x14ac:dyDescent="0.45">
      <c r="A37" s="91" t="s">
        <v>179</v>
      </c>
      <c r="B37" s="100" t="s">
        <v>212</v>
      </c>
      <c r="C37" s="96">
        <v>30</v>
      </c>
      <c r="D37" s="96"/>
      <c r="E37" s="92">
        <f t="shared" si="1"/>
        <v>30</v>
      </c>
      <c r="F37" s="93">
        <f>Breakout!$B$21</f>
        <v>0.54427645788336931</v>
      </c>
      <c r="G37" s="94">
        <f t="shared" si="2"/>
        <v>16.328293736501081</v>
      </c>
      <c r="H37" s="94"/>
      <c r="I37" s="95">
        <v>20</v>
      </c>
      <c r="K37" s="99" t="s">
        <v>81</v>
      </c>
    </row>
    <row r="38" spans="1:11" x14ac:dyDescent="0.45">
      <c r="A38" s="91" t="s">
        <v>169</v>
      </c>
      <c r="B38" s="100" t="s">
        <v>213</v>
      </c>
      <c r="C38" s="96">
        <v>13743.54</v>
      </c>
      <c r="D38" s="96"/>
      <c r="E38" s="92">
        <f t="shared" si="1"/>
        <v>13743.54</v>
      </c>
      <c r="F38" s="93">
        <v>0.5</v>
      </c>
      <c r="G38" s="94">
        <f t="shared" si="2"/>
        <v>6871.77</v>
      </c>
      <c r="H38" s="94"/>
      <c r="I38" s="95">
        <v>15</v>
      </c>
      <c r="K38" s="99" t="s">
        <v>87</v>
      </c>
    </row>
    <row r="39" spans="1:11" x14ac:dyDescent="0.45">
      <c r="A39" s="91" t="s">
        <v>180</v>
      </c>
      <c r="B39" s="100" t="s">
        <v>214</v>
      </c>
      <c r="C39" s="96">
        <v>1500</v>
      </c>
      <c r="D39" s="92">
        <f t="shared" ref="D39" si="7">C39*0.1</f>
        <v>150</v>
      </c>
      <c r="E39" s="92">
        <f t="shared" si="1"/>
        <v>1650</v>
      </c>
      <c r="F39" s="93">
        <f>Breakout!$B$21</f>
        <v>0.54427645788336931</v>
      </c>
      <c r="G39" s="94">
        <f t="shared" si="2"/>
        <v>898.05615550755931</v>
      </c>
      <c r="H39" s="94"/>
      <c r="I39" s="95">
        <v>20</v>
      </c>
      <c r="K39" s="99" t="s">
        <v>282</v>
      </c>
    </row>
    <row r="40" spans="1:11" x14ac:dyDescent="0.45">
      <c r="A40" s="91" t="s">
        <v>151</v>
      </c>
      <c r="B40" s="100" t="s">
        <v>221</v>
      </c>
      <c r="C40" s="97">
        <v>1860</v>
      </c>
      <c r="D40" s="97"/>
      <c r="E40" s="92">
        <f t="shared" si="1"/>
        <v>1860</v>
      </c>
      <c r="F40" s="93">
        <f>Breakout!$B$10</f>
        <v>0.75454900964110461</v>
      </c>
      <c r="G40" s="94">
        <f t="shared" si="2"/>
        <v>1403.4611579324546</v>
      </c>
      <c r="H40" s="94"/>
      <c r="I40" s="95">
        <v>8</v>
      </c>
      <c r="K40" s="99" t="s">
        <v>19</v>
      </c>
    </row>
    <row r="41" spans="1:11" x14ac:dyDescent="0.45">
      <c r="A41" s="91" t="s">
        <v>149</v>
      </c>
      <c r="B41" s="100" t="s">
        <v>88</v>
      </c>
      <c r="C41" s="97">
        <v>61669.599999999999</v>
      </c>
      <c r="D41" s="92">
        <f t="shared" ref="D41:D45" si="8">C41*0.1</f>
        <v>6166.96</v>
      </c>
      <c r="E41" s="92">
        <f t="shared" si="1"/>
        <v>67836.56</v>
      </c>
      <c r="F41" s="93">
        <f>Breakout!$B$21</f>
        <v>0.54427645788336931</v>
      </c>
      <c r="G41" s="94">
        <f t="shared" si="2"/>
        <v>36921.842591792651</v>
      </c>
      <c r="H41" s="94"/>
      <c r="I41" s="95">
        <v>7</v>
      </c>
      <c r="K41" s="99" t="s">
        <v>19</v>
      </c>
    </row>
    <row r="42" spans="1:11" x14ac:dyDescent="0.45">
      <c r="A42" s="91" t="s">
        <v>150</v>
      </c>
      <c r="B42" s="100" t="s">
        <v>222</v>
      </c>
      <c r="C42" s="97">
        <v>2218.6799999999998</v>
      </c>
      <c r="D42" s="92">
        <f t="shared" si="8"/>
        <v>221.86799999999999</v>
      </c>
      <c r="E42" s="92">
        <f t="shared" si="1"/>
        <v>2440.5479999999998</v>
      </c>
      <c r="F42" s="93">
        <f>Breakout!$B$21</f>
        <v>0.54427645788336931</v>
      </c>
      <c r="G42" s="94">
        <f t="shared" si="2"/>
        <v>1328.3328207343411</v>
      </c>
      <c r="H42" s="94"/>
      <c r="I42" s="95">
        <v>7</v>
      </c>
      <c r="K42" s="99" t="s">
        <v>19</v>
      </c>
    </row>
    <row r="43" spans="1:11" x14ac:dyDescent="0.45">
      <c r="A43" s="91" t="s">
        <v>192</v>
      </c>
      <c r="B43" s="100" t="s">
        <v>201</v>
      </c>
      <c r="C43" s="97">
        <v>5103.49</v>
      </c>
      <c r="D43" s="92">
        <f t="shared" si="8"/>
        <v>510.34899999999999</v>
      </c>
      <c r="E43" s="92">
        <f t="shared" si="1"/>
        <v>5613.8389999999999</v>
      </c>
      <c r="F43" s="93">
        <f>Breakout!$B$21</f>
        <v>0.54427645788336931</v>
      </c>
      <c r="G43" s="94">
        <f t="shared" si="2"/>
        <v>3055.4804060475162</v>
      </c>
      <c r="H43" s="94"/>
      <c r="I43" s="95">
        <v>22</v>
      </c>
      <c r="K43" s="99" t="s">
        <v>281</v>
      </c>
    </row>
    <row r="44" spans="1:11" x14ac:dyDescent="0.45">
      <c r="A44" s="91" t="s">
        <v>193</v>
      </c>
      <c r="B44" s="100" t="s">
        <v>217</v>
      </c>
      <c r="C44" s="97">
        <v>212.35</v>
      </c>
      <c r="D44" s="92">
        <f t="shared" si="8"/>
        <v>21.234999999999999</v>
      </c>
      <c r="E44" s="92">
        <f t="shared" si="1"/>
        <v>233.58499999999998</v>
      </c>
      <c r="F44" s="93">
        <f>Breakout!$B$21</f>
        <v>0.54427645788336931</v>
      </c>
      <c r="G44" s="94">
        <f t="shared" si="2"/>
        <v>127.13481641468681</v>
      </c>
      <c r="H44" s="94"/>
      <c r="I44" s="95">
        <v>22</v>
      </c>
      <c r="K44" s="99" t="s">
        <v>281</v>
      </c>
    </row>
    <row r="45" spans="1:11" x14ac:dyDescent="0.45">
      <c r="A45" s="91" t="s">
        <v>156</v>
      </c>
      <c r="B45" s="100" t="s">
        <v>203</v>
      </c>
      <c r="C45" s="97">
        <v>17738.349999999999</v>
      </c>
      <c r="D45" s="92">
        <f t="shared" si="8"/>
        <v>1773.835</v>
      </c>
      <c r="E45" s="92">
        <f t="shared" si="1"/>
        <v>19512.184999999998</v>
      </c>
      <c r="F45" s="93">
        <f>Breakout!$B$21</f>
        <v>0.54427645788336931</v>
      </c>
      <c r="G45" s="94">
        <f t="shared" si="2"/>
        <v>10620.022937365009</v>
      </c>
      <c r="H45" s="94"/>
      <c r="I45" s="95">
        <v>9</v>
      </c>
      <c r="K45" s="99" t="s">
        <v>281</v>
      </c>
    </row>
    <row r="46" spans="1:11" x14ac:dyDescent="0.45">
      <c r="A46" s="91" t="s">
        <v>157</v>
      </c>
      <c r="B46" s="100" t="s">
        <v>204</v>
      </c>
      <c r="C46" s="97">
        <v>16014.32</v>
      </c>
      <c r="D46" s="97"/>
      <c r="E46" s="92">
        <f t="shared" si="1"/>
        <v>16014.32</v>
      </c>
      <c r="F46" s="93">
        <f>Breakout!$B$21</f>
        <v>0.54427645788336931</v>
      </c>
      <c r="G46" s="94">
        <f t="shared" si="2"/>
        <v>8716.2173650107979</v>
      </c>
      <c r="H46" s="94"/>
      <c r="I46" s="95">
        <v>9</v>
      </c>
      <c r="K46" s="99" t="s">
        <v>281</v>
      </c>
    </row>
    <row r="47" spans="1:11" x14ac:dyDescent="0.45">
      <c r="A47" s="91" t="s">
        <v>181</v>
      </c>
      <c r="B47" s="100" t="s">
        <v>223</v>
      </c>
      <c r="C47" s="97">
        <v>203.8</v>
      </c>
      <c r="D47" s="92">
        <f t="shared" ref="D47" si="9">C47*0.1</f>
        <v>20.380000000000003</v>
      </c>
      <c r="E47" s="92">
        <f t="shared" si="1"/>
        <v>224.18</v>
      </c>
      <c r="F47" s="93">
        <f>Breakout!$B$21</f>
        <v>0.54427645788336931</v>
      </c>
      <c r="G47" s="94">
        <f t="shared" si="2"/>
        <v>122.01589632829373</v>
      </c>
      <c r="H47" s="94"/>
      <c r="I47" s="95">
        <v>20</v>
      </c>
      <c r="K47" s="99" t="s">
        <v>82</v>
      </c>
    </row>
    <row r="48" spans="1:11" x14ac:dyDescent="0.45">
      <c r="A48" s="91" t="s">
        <v>182</v>
      </c>
      <c r="B48" s="100" t="s">
        <v>89</v>
      </c>
      <c r="C48" s="97">
        <v>2191.79</v>
      </c>
      <c r="D48" s="97"/>
      <c r="E48" s="92">
        <f t="shared" si="1"/>
        <v>2191.79</v>
      </c>
      <c r="F48" s="93">
        <f>Breakout!$B$21</f>
        <v>0.54427645788336931</v>
      </c>
      <c r="G48" s="94">
        <f t="shared" si="2"/>
        <v>1192.9396976241901</v>
      </c>
      <c r="H48" s="94"/>
      <c r="I48" s="95">
        <v>20</v>
      </c>
      <c r="K48" s="99" t="s">
        <v>116</v>
      </c>
    </row>
    <row r="49" spans="1:11" x14ac:dyDescent="0.45">
      <c r="A49" s="91" t="s">
        <v>183</v>
      </c>
      <c r="B49" s="100" t="s">
        <v>90</v>
      </c>
      <c r="C49" s="97">
        <v>4626.57</v>
      </c>
      <c r="D49" s="97"/>
      <c r="E49" s="92">
        <f t="shared" si="1"/>
        <v>4626.57</v>
      </c>
      <c r="F49" s="93">
        <f>Breakout!$B$21</f>
        <v>0.54427645788336931</v>
      </c>
      <c r="G49" s="94">
        <f t="shared" si="2"/>
        <v>2518.1331317494596</v>
      </c>
      <c r="H49" s="94"/>
      <c r="I49" s="95">
        <v>20</v>
      </c>
      <c r="K49" s="99" t="s">
        <v>116</v>
      </c>
    </row>
    <row r="50" spans="1:11" x14ac:dyDescent="0.45">
      <c r="A50" s="91" t="s">
        <v>184</v>
      </c>
      <c r="B50" s="100" t="s">
        <v>224</v>
      </c>
      <c r="C50" s="97">
        <v>1643.13</v>
      </c>
      <c r="D50" s="97"/>
      <c r="E50" s="92">
        <f t="shared" si="1"/>
        <v>1643.13</v>
      </c>
      <c r="F50" s="93">
        <f>Breakout!$B$21</f>
        <v>0.54427645788336931</v>
      </c>
      <c r="G50" s="94">
        <f t="shared" si="2"/>
        <v>894.31697624190065</v>
      </c>
      <c r="H50" s="94"/>
      <c r="I50" s="95">
        <v>20</v>
      </c>
      <c r="K50" s="99" t="s">
        <v>116</v>
      </c>
    </row>
    <row r="51" spans="1:11" x14ac:dyDescent="0.45">
      <c r="A51" s="91" t="s">
        <v>185</v>
      </c>
      <c r="B51" s="100" t="s">
        <v>225</v>
      </c>
      <c r="C51" s="97">
        <v>12277.95</v>
      </c>
      <c r="D51" s="97"/>
      <c r="E51" s="92">
        <f t="shared" si="1"/>
        <v>12277.95</v>
      </c>
      <c r="F51" s="93">
        <f>Breakout!$B$21</f>
        <v>0.54427645788336931</v>
      </c>
      <c r="G51" s="94">
        <f t="shared" si="2"/>
        <v>6682.599136069115</v>
      </c>
      <c r="H51" s="94"/>
      <c r="I51" s="95">
        <v>20</v>
      </c>
      <c r="K51" s="99" t="s">
        <v>116</v>
      </c>
    </row>
    <row r="52" spans="1:11" x14ac:dyDescent="0.45">
      <c r="A52" s="91" t="s">
        <v>174</v>
      </c>
      <c r="B52" s="100" t="s">
        <v>80</v>
      </c>
      <c r="C52" s="97">
        <v>10213.59</v>
      </c>
      <c r="D52" s="97"/>
      <c r="E52" s="92">
        <f t="shared" si="1"/>
        <v>10213.59</v>
      </c>
      <c r="F52" s="93">
        <f>Breakout!$B$21</f>
        <v>0.54427645788336931</v>
      </c>
      <c r="G52" s="94">
        <f t="shared" si="2"/>
        <v>5559.0165874730019</v>
      </c>
      <c r="H52" s="94"/>
      <c r="I52" s="95">
        <v>16</v>
      </c>
      <c r="K52" s="99" t="s">
        <v>116</v>
      </c>
    </row>
    <row r="53" spans="1:11" x14ac:dyDescent="0.45">
      <c r="A53" s="91" t="s">
        <v>164</v>
      </c>
      <c r="B53" s="100" t="s">
        <v>226</v>
      </c>
      <c r="C53" s="97">
        <v>8000</v>
      </c>
      <c r="D53" s="97"/>
      <c r="E53" s="92">
        <f t="shared" si="1"/>
        <v>8000</v>
      </c>
      <c r="F53" s="93">
        <f>Breakout!$B$21</f>
        <v>0.54427645788336931</v>
      </c>
      <c r="G53" s="94">
        <f t="shared" si="2"/>
        <v>4354.2116630669543</v>
      </c>
      <c r="H53" s="94"/>
      <c r="I53" s="95">
        <v>13</v>
      </c>
      <c r="K53" s="99" t="s">
        <v>116</v>
      </c>
    </row>
    <row r="54" spans="1:11" x14ac:dyDescent="0.45">
      <c r="A54" s="91" t="s">
        <v>165</v>
      </c>
      <c r="B54" s="100" t="s">
        <v>91</v>
      </c>
      <c r="C54" s="97">
        <v>4875.92</v>
      </c>
      <c r="D54" s="97"/>
      <c r="E54" s="92">
        <f t="shared" si="1"/>
        <v>4875.92</v>
      </c>
      <c r="F54" s="93">
        <v>0.5</v>
      </c>
      <c r="G54" s="94">
        <f t="shared" si="2"/>
        <v>2437.96</v>
      </c>
      <c r="H54" s="94"/>
      <c r="I54" s="95">
        <v>14</v>
      </c>
      <c r="K54" s="99" t="s">
        <v>116</v>
      </c>
    </row>
    <row r="55" spans="1:11" x14ac:dyDescent="0.45">
      <c r="A55" s="91" t="s">
        <v>170</v>
      </c>
      <c r="B55" s="100" t="s">
        <v>227</v>
      </c>
      <c r="C55" s="97">
        <v>4125</v>
      </c>
      <c r="D55" s="97"/>
      <c r="E55" s="92">
        <f t="shared" si="1"/>
        <v>4125</v>
      </c>
      <c r="F55" s="93">
        <v>0.5</v>
      </c>
      <c r="G55" s="94">
        <f t="shared" si="2"/>
        <v>2062.5</v>
      </c>
      <c r="H55" s="94"/>
      <c r="I55" s="95">
        <v>15</v>
      </c>
      <c r="K55" s="99" t="s">
        <v>81</v>
      </c>
    </row>
    <row r="56" spans="1:11" x14ac:dyDescent="0.45">
      <c r="A56" s="91" t="s">
        <v>175</v>
      </c>
      <c r="B56" s="100" t="s">
        <v>228</v>
      </c>
      <c r="C56" s="97">
        <v>1489.83</v>
      </c>
      <c r="D56" s="97"/>
      <c r="E56" s="92">
        <f t="shared" si="1"/>
        <v>1489.83</v>
      </c>
      <c r="F56" s="93">
        <f>Breakout!$B$21</f>
        <v>0.54427645788336931</v>
      </c>
      <c r="G56" s="94">
        <f t="shared" si="2"/>
        <v>810.87939524838009</v>
      </c>
      <c r="H56" s="94"/>
      <c r="I56" s="95">
        <v>19</v>
      </c>
      <c r="K56" s="99" t="s">
        <v>81</v>
      </c>
    </row>
    <row r="57" spans="1:11" x14ac:dyDescent="0.45">
      <c r="A57" s="91" t="s">
        <v>186</v>
      </c>
      <c r="B57" s="100" t="s">
        <v>229</v>
      </c>
      <c r="C57" s="97">
        <v>35941.57</v>
      </c>
      <c r="D57" s="97"/>
      <c r="E57" s="92">
        <f t="shared" si="1"/>
        <v>35941.57</v>
      </c>
      <c r="F57" s="93">
        <f>Breakout!$B$21</f>
        <v>0.54427645788336931</v>
      </c>
      <c r="G57" s="94">
        <f t="shared" si="2"/>
        <v>19562.150410367169</v>
      </c>
      <c r="H57" s="94"/>
      <c r="I57" s="95">
        <v>20</v>
      </c>
      <c r="K57" s="99" t="s">
        <v>81</v>
      </c>
    </row>
    <row r="58" spans="1:11" x14ac:dyDescent="0.45">
      <c r="A58" s="91" t="s">
        <v>187</v>
      </c>
      <c r="B58" s="100" t="s">
        <v>212</v>
      </c>
      <c r="C58" s="97">
        <v>75</v>
      </c>
      <c r="D58" s="97"/>
      <c r="E58" s="92">
        <f t="shared" si="1"/>
        <v>75</v>
      </c>
      <c r="F58" s="93">
        <f>Breakout!$B$21</f>
        <v>0.54427645788336931</v>
      </c>
      <c r="G58" s="94">
        <f t="shared" si="2"/>
        <v>40.820734341252695</v>
      </c>
      <c r="H58" s="94"/>
      <c r="I58" s="95">
        <v>20</v>
      </c>
      <c r="K58" s="99" t="s">
        <v>81</v>
      </c>
    </row>
    <row r="59" spans="1:11" x14ac:dyDescent="0.45">
      <c r="A59" s="91" t="s">
        <v>171</v>
      </c>
      <c r="B59" s="100" t="s">
        <v>230</v>
      </c>
      <c r="C59" s="97">
        <v>1170.49</v>
      </c>
      <c r="D59" s="97"/>
      <c r="E59" s="92">
        <f t="shared" si="1"/>
        <v>1170.49</v>
      </c>
      <c r="F59" s="93">
        <v>0.5</v>
      </c>
      <c r="G59" s="94">
        <f t="shared" si="2"/>
        <v>585.245</v>
      </c>
      <c r="H59" s="94"/>
      <c r="I59" s="95">
        <v>15</v>
      </c>
      <c r="K59" s="99" t="s">
        <v>87</v>
      </c>
    </row>
    <row r="60" spans="1:11" x14ac:dyDescent="0.45">
      <c r="A60" s="91"/>
      <c r="B60" s="100"/>
      <c r="C60" s="206">
        <f t="shared" ref="C60:E60" si="10">SUM(C7:C59)</f>
        <v>1082964.6200000001</v>
      </c>
      <c r="D60" s="206">
        <f t="shared" si="10"/>
        <v>41890.772000000004</v>
      </c>
      <c r="E60" s="206">
        <f t="shared" si="10"/>
        <v>1124855.392</v>
      </c>
      <c r="F60" s="93"/>
      <c r="G60" s="206">
        <f>SUM(G7:G59)</f>
        <v>986665.37326160399</v>
      </c>
      <c r="H60" s="206"/>
      <c r="I60" s="98" t="s">
        <v>231</v>
      </c>
    </row>
    <row r="61" spans="1:11" x14ac:dyDescent="0.45">
      <c r="C61" s="101"/>
      <c r="D61" s="101"/>
      <c r="E61" s="101"/>
      <c r="F61" s="101"/>
      <c r="G61" s="101"/>
      <c r="H61" s="101"/>
    </row>
    <row r="62" spans="1:11" x14ac:dyDescent="0.45">
      <c r="G62" s="222"/>
    </row>
  </sheetData>
  <sortState xmlns:xlrd2="http://schemas.microsoft.com/office/spreadsheetml/2017/richdata2" ref="A7:I60">
    <sortCondition ref="A7:A60"/>
  </sortState>
  <mergeCells count="3">
    <mergeCell ref="A1:G1"/>
    <mergeCell ref="A2:G2"/>
    <mergeCell ref="A3:G3"/>
  </mergeCells>
  <pageMargins left="0.7" right="0.7" top="0.75" bottom="0.75" header="0.3" footer="0.3"/>
  <pageSetup scale="61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6BE2-2B3C-406E-B302-8265762C5E74}">
  <sheetPr>
    <pageSetUpPr fitToPage="1"/>
  </sheetPr>
  <dimension ref="B2:P75"/>
  <sheetViews>
    <sheetView topLeftCell="A50" workbookViewId="0">
      <selection activeCell="L76" sqref="A1:L76"/>
    </sheetView>
  </sheetViews>
  <sheetFormatPr defaultColWidth="8.88671875" defaultRowHeight="14.25" outlineLevelRow="2" x14ac:dyDescent="0.45"/>
  <cols>
    <col min="1" max="2" width="2.609375" style="57" customWidth="1"/>
    <col min="3" max="3" width="8.88671875" style="57"/>
    <col min="4" max="4" width="27.5546875" style="57" bestFit="1" customWidth="1"/>
    <col min="5" max="5" width="30.609375" style="57" customWidth="1"/>
    <col min="6" max="10" width="10.609375" style="57" customWidth="1"/>
    <col min="11" max="11" width="2.609375" style="57" customWidth="1"/>
    <col min="12" max="12" width="2.71875" style="57" customWidth="1"/>
    <col min="13" max="16" width="10.609375" style="57" customWidth="1"/>
    <col min="17" max="16384" width="8.88671875" style="57"/>
  </cols>
  <sheetData>
    <row r="2" spans="2:16" x14ac:dyDescent="0.45">
      <c r="B2" s="59"/>
      <c r="C2" s="60"/>
      <c r="D2" s="60"/>
      <c r="E2" s="60"/>
      <c r="F2" s="60"/>
      <c r="G2" s="60"/>
      <c r="H2" s="60"/>
      <c r="I2" s="60"/>
      <c r="J2" s="60"/>
      <c r="K2" s="61"/>
    </row>
    <row r="3" spans="2:16" ht="18" x14ac:dyDescent="0.55000000000000004">
      <c r="B3" s="74"/>
      <c r="C3" s="224" t="s">
        <v>130</v>
      </c>
      <c r="D3" s="224"/>
      <c r="E3" s="224"/>
      <c r="F3" s="224"/>
      <c r="G3" s="224"/>
      <c r="H3" s="224"/>
      <c r="I3" s="224"/>
      <c r="J3" s="224"/>
      <c r="K3" s="62"/>
    </row>
    <row r="4" spans="2:16" ht="18" x14ac:dyDescent="0.55000000000000004">
      <c r="B4" s="74"/>
      <c r="C4" s="224" t="s">
        <v>131</v>
      </c>
      <c r="D4" s="224"/>
      <c r="E4" s="224"/>
      <c r="F4" s="224"/>
      <c r="G4" s="224"/>
      <c r="H4" s="224"/>
      <c r="I4" s="224"/>
      <c r="J4" s="224"/>
      <c r="K4" s="62"/>
    </row>
    <row r="5" spans="2:16" ht="18" x14ac:dyDescent="0.55000000000000004">
      <c r="B5" s="74"/>
      <c r="C5" s="224" t="s">
        <v>92</v>
      </c>
      <c r="D5" s="224"/>
      <c r="E5" s="224"/>
      <c r="F5" s="224"/>
      <c r="G5" s="224"/>
      <c r="H5" s="224"/>
      <c r="I5" s="224"/>
      <c r="J5" s="224"/>
      <c r="K5" s="62"/>
    </row>
    <row r="6" spans="2:16" x14ac:dyDescent="0.45">
      <c r="B6" s="74"/>
      <c r="C6" s="75"/>
      <c r="D6" s="75"/>
      <c r="E6" s="75"/>
      <c r="F6" s="75"/>
      <c r="G6" s="75"/>
      <c r="H6" s="75"/>
      <c r="I6" s="75"/>
      <c r="J6" s="75"/>
      <c r="K6" s="62"/>
    </row>
    <row r="7" spans="2:16" x14ac:dyDescent="0.45">
      <c r="B7" s="74"/>
      <c r="C7" s="75"/>
      <c r="D7" s="75"/>
      <c r="E7" s="75"/>
      <c r="F7" s="102" t="s">
        <v>75</v>
      </c>
      <c r="G7" s="65" t="s">
        <v>75</v>
      </c>
      <c r="H7" s="65" t="s">
        <v>118</v>
      </c>
      <c r="I7" s="65" t="s">
        <v>25</v>
      </c>
      <c r="J7" s="65" t="s">
        <v>232</v>
      </c>
      <c r="K7" s="62"/>
      <c r="M7" s="65" t="s">
        <v>75</v>
      </c>
      <c r="N7" s="65" t="s">
        <v>118</v>
      </c>
      <c r="O7" s="65" t="s">
        <v>25</v>
      </c>
      <c r="P7" s="65" t="s">
        <v>232</v>
      </c>
    </row>
    <row r="8" spans="2:16" x14ac:dyDescent="0.45">
      <c r="B8" s="74"/>
      <c r="C8" s="103" t="s">
        <v>195</v>
      </c>
      <c r="D8" s="207" t="s">
        <v>280</v>
      </c>
      <c r="E8" s="103" t="s">
        <v>196</v>
      </c>
      <c r="F8" s="102" t="s">
        <v>199</v>
      </c>
      <c r="G8" s="65" t="s">
        <v>117</v>
      </c>
      <c r="H8" s="65" t="s">
        <v>119</v>
      </c>
      <c r="I8" s="65" t="s">
        <v>120</v>
      </c>
      <c r="J8" s="65" t="s">
        <v>121</v>
      </c>
      <c r="K8" s="62"/>
      <c r="M8" s="65" t="s">
        <v>117</v>
      </c>
      <c r="N8" s="65" t="s">
        <v>119</v>
      </c>
      <c r="O8" s="65" t="s">
        <v>120</v>
      </c>
      <c r="P8" s="65" t="s">
        <v>121</v>
      </c>
    </row>
    <row r="9" spans="2:16" outlineLevel="2" x14ac:dyDescent="0.45">
      <c r="B9" s="74"/>
      <c r="C9" s="91" t="str">
        <f>'Trial Balance'!A25</f>
        <v>51-725</v>
      </c>
      <c r="D9" s="99" t="s">
        <v>282</v>
      </c>
      <c r="E9" s="91" t="str">
        <f>'Trial Balance'!B25</f>
        <v>Allocated Administrative Expense</v>
      </c>
      <c r="F9" s="63">
        <f>'Trial Balance'!G25</f>
        <v>5528.6220000000003</v>
      </c>
      <c r="G9" s="63">
        <f>F9*M9</f>
        <v>4417.3689780000004</v>
      </c>
      <c r="H9" s="63">
        <f>F9*N9</f>
        <v>1111.2530220000001</v>
      </c>
      <c r="I9" s="63">
        <f>F9*O9</f>
        <v>0</v>
      </c>
      <c r="J9" s="63">
        <f>F9*P9</f>
        <v>0</v>
      </c>
      <c r="K9" s="62"/>
      <c r="M9" s="58">
        <v>0.79900000000000004</v>
      </c>
      <c r="N9" s="58">
        <v>0.20100000000000001</v>
      </c>
      <c r="O9" s="58">
        <v>0</v>
      </c>
      <c r="P9" s="58">
        <v>0</v>
      </c>
    </row>
    <row r="10" spans="2:16" outlineLevel="2" x14ac:dyDescent="0.45">
      <c r="B10" s="74"/>
      <c r="C10" s="91" t="str">
        <f>'Trial Balance'!A39</f>
        <v>51-775</v>
      </c>
      <c r="D10" s="99" t="s">
        <v>282</v>
      </c>
      <c r="E10" s="91" t="str">
        <f>'Trial Balance'!B39</f>
        <v>Allocated Administrative Expense</v>
      </c>
      <c r="F10" s="63">
        <f>'Trial Balance'!G39</f>
        <v>898.05615550755931</v>
      </c>
      <c r="G10" s="63">
        <f>F10*M10</f>
        <v>717.54686825053989</v>
      </c>
      <c r="H10" s="63">
        <f>F10*N10</f>
        <v>180.50928725701942</v>
      </c>
      <c r="I10" s="63">
        <f>F10*O10</f>
        <v>0</v>
      </c>
      <c r="J10" s="63">
        <f>F10*P10</f>
        <v>0</v>
      </c>
      <c r="K10" s="62"/>
      <c r="M10" s="58">
        <v>0.79900000000000004</v>
      </c>
      <c r="N10" s="58">
        <v>0.20100000000000001</v>
      </c>
      <c r="O10" s="58">
        <v>0</v>
      </c>
      <c r="P10" s="58">
        <v>0</v>
      </c>
    </row>
    <row r="11" spans="2:16" outlineLevel="1" x14ac:dyDescent="0.45">
      <c r="B11" s="74"/>
      <c r="C11" s="91"/>
      <c r="D11" s="208" t="s">
        <v>283</v>
      </c>
      <c r="E11" s="91"/>
      <c r="F11" s="63">
        <f>SUBTOTAL(9,F9:F10)</f>
        <v>6426.6781555075595</v>
      </c>
      <c r="G11" s="63">
        <f>SUBTOTAL(9,G9:G10)</f>
        <v>5134.9158462505402</v>
      </c>
      <c r="H11" s="63">
        <f>SUBTOTAL(9,H9:H10)</f>
        <v>1291.7623092570195</v>
      </c>
      <c r="I11" s="63">
        <f>SUBTOTAL(9,I9:I10)</f>
        <v>0</v>
      </c>
      <c r="J11" s="63">
        <f>SUBTOTAL(9,J9:J10)</f>
        <v>0</v>
      </c>
      <c r="K11" s="62"/>
      <c r="M11" s="58"/>
      <c r="N11" s="58"/>
      <c r="O11" s="58"/>
      <c r="P11" s="58"/>
    </row>
    <row r="12" spans="2:16" outlineLevel="2" x14ac:dyDescent="0.45">
      <c r="B12" s="74"/>
      <c r="C12" s="91" t="str">
        <f>'Trial Balance'!A24</f>
        <v>51-724</v>
      </c>
      <c r="D12" s="99" t="s">
        <v>87</v>
      </c>
      <c r="E12" s="91" t="str">
        <f>'Trial Balance'!B24</f>
        <v>Allocated Truck and Equipment Expense</v>
      </c>
      <c r="F12" s="63">
        <f>'Trial Balance'!G24</f>
        <v>36261.53</v>
      </c>
      <c r="G12" s="63">
        <f>F12*M12</f>
        <v>6418.2908099999995</v>
      </c>
      <c r="H12" s="63">
        <f>F12*N12</f>
        <v>29843.239189999997</v>
      </c>
      <c r="I12" s="63">
        <f>F12*O12</f>
        <v>0</v>
      </c>
      <c r="J12" s="63">
        <f>F12*P12</f>
        <v>0</v>
      </c>
      <c r="K12" s="62"/>
      <c r="M12" s="58">
        <v>0.17699999999999999</v>
      </c>
      <c r="N12" s="58">
        <v>0.82299999999999995</v>
      </c>
      <c r="O12" s="58">
        <v>0</v>
      </c>
      <c r="P12" s="58">
        <v>0</v>
      </c>
    </row>
    <row r="13" spans="2:16" outlineLevel="2" x14ac:dyDescent="0.45">
      <c r="B13" s="74"/>
      <c r="C13" s="91" t="str">
        <f>'Trial Balance'!A38</f>
        <v>51-774</v>
      </c>
      <c r="D13" s="99" t="s">
        <v>87</v>
      </c>
      <c r="E13" s="91" t="str">
        <f>'Trial Balance'!B38</f>
        <v>Allocated Truck and Equipment Expense</v>
      </c>
      <c r="F13" s="63">
        <f>'Trial Balance'!G38</f>
        <v>6871.77</v>
      </c>
      <c r="G13" s="63">
        <f>F13*M13</f>
        <v>1216.3032900000001</v>
      </c>
      <c r="H13" s="63">
        <f>F13*N13</f>
        <v>5655.4667099999997</v>
      </c>
      <c r="I13" s="63">
        <f>F13*O13</f>
        <v>0</v>
      </c>
      <c r="J13" s="63">
        <f>F13*P13</f>
        <v>0</v>
      </c>
      <c r="K13" s="62"/>
      <c r="M13" s="58">
        <v>0.17699999999999999</v>
      </c>
      <c r="N13" s="58">
        <v>0.82299999999999995</v>
      </c>
      <c r="O13" s="58">
        <v>0</v>
      </c>
      <c r="P13" s="58">
        <v>0</v>
      </c>
    </row>
    <row r="14" spans="2:16" outlineLevel="2" x14ac:dyDescent="0.45">
      <c r="B14" s="74"/>
      <c r="C14" s="91" t="str">
        <f>'Trial Balance'!A59</f>
        <v>51-890</v>
      </c>
      <c r="D14" s="99" t="s">
        <v>87</v>
      </c>
      <c r="E14" s="91" t="str">
        <f>'Trial Balance'!B59</f>
        <v>Unallocated Truck and Equipment</v>
      </c>
      <c r="F14" s="63">
        <f>'Trial Balance'!G59</f>
        <v>585.245</v>
      </c>
      <c r="G14" s="63">
        <f>F14*M14</f>
        <v>103.588365</v>
      </c>
      <c r="H14" s="63">
        <f>F14*N14</f>
        <v>481.65663499999999</v>
      </c>
      <c r="I14" s="63">
        <f>F14*O14</f>
        <v>0</v>
      </c>
      <c r="J14" s="63">
        <f>F14*P14</f>
        <v>0</v>
      </c>
      <c r="K14" s="62"/>
      <c r="M14" s="58">
        <v>0.17699999999999999</v>
      </c>
      <c r="N14" s="58">
        <v>0.82299999999999995</v>
      </c>
      <c r="O14" s="58">
        <v>0</v>
      </c>
      <c r="P14" s="58">
        <v>0</v>
      </c>
    </row>
    <row r="15" spans="2:16" outlineLevel="1" x14ac:dyDescent="0.45">
      <c r="B15" s="74"/>
      <c r="C15" s="91"/>
      <c r="D15" s="103" t="s">
        <v>284</v>
      </c>
      <c r="E15" s="91"/>
      <c r="F15" s="63">
        <f>SUBTOTAL(9,F12:F14)</f>
        <v>43718.545000000006</v>
      </c>
      <c r="G15" s="63">
        <f>SUBTOTAL(9,G12:G14)</f>
        <v>7738.182464999999</v>
      </c>
      <c r="H15" s="63">
        <f>SUBTOTAL(9,H12:H14)</f>
        <v>35980.362534999993</v>
      </c>
      <c r="I15" s="63">
        <f>SUBTOTAL(9,I12:I14)</f>
        <v>0</v>
      </c>
      <c r="J15" s="63">
        <f>SUBTOTAL(9,J12:J14)</f>
        <v>0</v>
      </c>
      <c r="K15" s="62"/>
      <c r="M15" s="58"/>
      <c r="N15" s="58"/>
      <c r="O15" s="58"/>
      <c r="P15" s="58"/>
    </row>
    <row r="16" spans="2:16" outlineLevel="2" x14ac:dyDescent="0.45">
      <c r="B16" s="74"/>
      <c r="C16" s="91" t="str">
        <f>'Trial Balance'!A19</f>
        <v>51-713</v>
      </c>
      <c r="D16" s="99" t="s">
        <v>209</v>
      </c>
      <c r="E16" s="91" t="str">
        <f>'Trial Balance'!B19</f>
        <v>Chemicals</v>
      </c>
      <c r="F16" s="63">
        <f>'Trial Balance'!G19</f>
        <v>262397.65999999997</v>
      </c>
      <c r="G16" s="63">
        <f>F16*M16</f>
        <v>262397.65999999997</v>
      </c>
      <c r="H16" s="63">
        <f>F16*N16</f>
        <v>0</v>
      </c>
      <c r="I16" s="63">
        <f>F16*O16</f>
        <v>0</v>
      </c>
      <c r="J16" s="63">
        <f>F16*P16</f>
        <v>0</v>
      </c>
      <c r="K16" s="62"/>
      <c r="M16" s="58">
        <v>1</v>
      </c>
      <c r="N16" s="58">
        <v>0</v>
      </c>
      <c r="O16" s="58">
        <v>0</v>
      </c>
      <c r="P16" s="58">
        <v>0</v>
      </c>
    </row>
    <row r="17" spans="2:16" outlineLevel="1" x14ac:dyDescent="0.45">
      <c r="B17" s="74"/>
      <c r="C17" s="91"/>
      <c r="D17" s="103" t="s">
        <v>285</v>
      </c>
      <c r="E17" s="91"/>
      <c r="F17" s="63">
        <f>SUBTOTAL(9,F16:F16)</f>
        <v>262397.65999999997</v>
      </c>
      <c r="G17" s="63">
        <f>SUBTOTAL(9,G16:G16)</f>
        <v>262397.65999999997</v>
      </c>
      <c r="H17" s="63">
        <f>SUBTOTAL(9,H16:H16)</f>
        <v>0</v>
      </c>
      <c r="I17" s="63">
        <f>SUBTOTAL(9,I16:I16)</f>
        <v>0</v>
      </c>
      <c r="J17" s="63">
        <f>SUBTOTAL(9,J16:J16)</f>
        <v>0</v>
      </c>
      <c r="K17" s="62"/>
      <c r="M17" s="58"/>
      <c r="N17" s="58"/>
      <c r="O17" s="58"/>
      <c r="P17" s="58"/>
    </row>
    <row r="18" spans="2:16" outlineLevel="2" x14ac:dyDescent="0.45">
      <c r="B18" s="74"/>
      <c r="C18" s="91" t="str">
        <f>'Trial Balance'!A10</f>
        <v>51-705</v>
      </c>
      <c r="D18" s="99" t="s">
        <v>281</v>
      </c>
      <c r="E18" s="91" t="str">
        <f>'Trial Balance'!B10</f>
        <v>Payroll Taxes FICA</v>
      </c>
      <c r="F18" s="63">
        <f>'Trial Balance'!G10</f>
        <v>37486.701999999997</v>
      </c>
      <c r="G18" s="63">
        <f t="shared" ref="G18:G29" si="0">F18*M18</f>
        <v>29764.441387999999</v>
      </c>
      <c r="H18" s="63">
        <f t="shared" ref="H18:H29" si="1">F18*N18</f>
        <v>7722.2606119999991</v>
      </c>
      <c r="I18" s="63">
        <f t="shared" ref="I18:I29" si="2">F18*O18</f>
        <v>0</v>
      </c>
      <c r="J18" s="63">
        <f t="shared" ref="J18:J29" si="3">F18*P18</f>
        <v>0</v>
      </c>
      <c r="K18" s="62"/>
      <c r="M18" s="58">
        <v>0.79400000000000004</v>
      </c>
      <c r="N18" s="58">
        <v>0.20599999999999999</v>
      </c>
      <c r="O18" s="58">
        <v>0</v>
      </c>
      <c r="P18" s="58">
        <v>0</v>
      </c>
    </row>
    <row r="19" spans="2:16" outlineLevel="2" x14ac:dyDescent="0.45">
      <c r="B19" s="74"/>
      <c r="C19" s="91" t="str">
        <f>'Trial Balance'!A11</f>
        <v>51-706</v>
      </c>
      <c r="D19" s="99" t="s">
        <v>281</v>
      </c>
      <c r="E19" s="91" t="str">
        <f>'Trial Balance'!B11</f>
        <v>Payrol Taxes Unemployment Insurance</v>
      </c>
      <c r="F19" s="63">
        <f>'Trial Balance'!G11</f>
        <v>1045.5170000000001</v>
      </c>
      <c r="G19" s="63">
        <f t="shared" si="0"/>
        <v>830.14049800000009</v>
      </c>
      <c r="H19" s="63">
        <f t="shared" si="1"/>
        <v>215.37650199999999</v>
      </c>
      <c r="I19" s="63">
        <f t="shared" si="2"/>
        <v>0</v>
      </c>
      <c r="J19" s="63">
        <f t="shared" si="3"/>
        <v>0</v>
      </c>
      <c r="K19" s="62"/>
      <c r="M19" s="58">
        <v>0.79400000000000004</v>
      </c>
      <c r="N19" s="58">
        <v>0.20599999999999999</v>
      </c>
      <c r="O19" s="58">
        <v>0</v>
      </c>
      <c r="P19" s="58">
        <v>0</v>
      </c>
    </row>
    <row r="20" spans="2:16" outlineLevel="2" x14ac:dyDescent="0.45">
      <c r="B20" s="74"/>
      <c r="C20" s="91" t="str">
        <f>'Trial Balance'!A12</f>
        <v>51-707</v>
      </c>
      <c r="D20" s="99" t="s">
        <v>281</v>
      </c>
      <c r="E20" s="91" t="str">
        <f>'Trial Balance'!B12</f>
        <v>Employee Retirement Benefits</v>
      </c>
      <c r="F20" s="63">
        <f>'Trial Balance'!G12</f>
        <v>61701.815999999999</v>
      </c>
      <c r="G20" s="63">
        <f t="shared" si="0"/>
        <v>48991.241904000002</v>
      </c>
      <c r="H20" s="63">
        <f t="shared" si="1"/>
        <v>12710.574095999998</v>
      </c>
      <c r="I20" s="63">
        <f t="shared" si="2"/>
        <v>0</v>
      </c>
      <c r="J20" s="63">
        <f t="shared" si="3"/>
        <v>0</v>
      </c>
      <c r="K20" s="62"/>
      <c r="M20" s="58">
        <v>0.79400000000000004</v>
      </c>
      <c r="N20" s="58">
        <v>0.20599999999999999</v>
      </c>
      <c r="O20" s="58">
        <v>0</v>
      </c>
      <c r="P20" s="58">
        <v>0</v>
      </c>
    </row>
    <row r="21" spans="2:16" outlineLevel="2" x14ac:dyDescent="0.45">
      <c r="B21" s="74"/>
      <c r="C21" s="91" t="str">
        <f>'Trial Balance'!A13</f>
        <v>51-707A</v>
      </c>
      <c r="D21" s="99" t="s">
        <v>281</v>
      </c>
      <c r="E21" s="91" t="str">
        <f>'Trial Balance'!B13</f>
        <v>Group Health Insurance</v>
      </c>
      <c r="F21" s="63">
        <f>'Trial Balance'!G13</f>
        <v>21621.919999999998</v>
      </c>
      <c r="G21" s="63">
        <f t="shared" si="0"/>
        <v>17167.804479999999</v>
      </c>
      <c r="H21" s="63">
        <f t="shared" si="1"/>
        <v>4454.1155199999994</v>
      </c>
      <c r="I21" s="63">
        <f t="shared" si="2"/>
        <v>0</v>
      </c>
      <c r="J21" s="63">
        <f t="shared" si="3"/>
        <v>0</v>
      </c>
      <c r="K21" s="62"/>
      <c r="M21" s="58">
        <v>0.79400000000000004</v>
      </c>
      <c r="N21" s="58">
        <v>0.20599999999999999</v>
      </c>
      <c r="O21" s="58">
        <v>0</v>
      </c>
      <c r="P21" s="58">
        <v>0</v>
      </c>
    </row>
    <row r="22" spans="2:16" outlineLevel="2" x14ac:dyDescent="0.45">
      <c r="B22" s="74"/>
      <c r="C22" s="91" t="str">
        <f>'Trial Balance'!A28</f>
        <v>51-755</v>
      </c>
      <c r="D22" s="99" t="s">
        <v>281</v>
      </c>
      <c r="E22" s="91" t="str">
        <f>'Trial Balance'!B28</f>
        <v>Payroll Taxes FICA</v>
      </c>
      <c r="F22" s="63">
        <f>'Trial Balance'!G28</f>
        <v>2231.6575723542114</v>
      </c>
      <c r="G22" s="63">
        <f t="shared" si="0"/>
        <v>1771.9361124492439</v>
      </c>
      <c r="H22" s="63">
        <f t="shared" si="1"/>
        <v>459.7214599049675</v>
      </c>
      <c r="I22" s="63">
        <f t="shared" si="2"/>
        <v>0</v>
      </c>
      <c r="J22" s="63">
        <f t="shared" si="3"/>
        <v>0</v>
      </c>
      <c r="K22" s="62"/>
      <c r="M22" s="58">
        <v>0.79400000000000004</v>
      </c>
      <c r="N22" s="58">
        <v>0.20599999999999999</v>
      </c>
      <c r="O22" s="58">
        <v>0</v>
      </c>
      <c r="P22" s="58">
        <v>0</v>
      </c>
    </row>
    <row r="23" spans="2:16" outlineLevel="2" x14ac:dyDescent="0.45">
      <c r="B23" s="74"/>
      <c r="C23" s="91" t="str">
        <f>'Trial Balance'!A29</f>
        <v>51-756</v>
      </c>
      <c r="D23" s="99" t="s">
        <v>281</v>
      </c>
      <c r="E23" s="91" t="str">
        <f>'Trial Balance'!B29</f>
        <v>Payroll Taxes Unemployment Insurance</v>
      </c>
      <c r="F23" s="63">
        <f>'Trial Balance'!G29</f>
        <v>107.64101079913607</v>
      </c>
      <c r="G23" s="63">
        <f t="shared" si="0"/>
        <v>85.466962574514042</v>
      </c>
      <c r="H23" s="63">
        <f t="shared" si="1"/>
        <v>22.17404822462203</v>
      </c>
      <c r="I23" s="63">
        <f t="shared" si="2"/>
        <v>0</v>
      </c>
      <c r="J23" s="63">
        <f t="shared" si="3"/>
        <v>0</v>
      </c>
      <c r="K23" s="62"/>
      <c r="M23" s="58">
        <v>0.79400000000000004</v>
      </c>
      <c r="N23" s="58">
        <v>0.20599999999999999</v>
      </c>
      <c r="O23" s="58">
        <v>0</v>
      </c>
      <c r="P23" s="58">
        <v>0</v>
      </c>
    </row>
    <row r="24" spans="2:16" outlineLevel="2" x14ac:dyDescent="0.45">
      <c r="B24" s="74"/>
      <c r="C24" s="91" t="str">
        <f>'Trial Balance'!A30</f>
        <v>51-757</v>
      </c>
      <c r="D24" s="99" t="s">
        <v>281</v>
      </c>
      <c r="E24" s="91" t="str">
        <f>'Trial Balance'!B30</f>
        <v>Employee Retirement Benefits</v>
      </c>
      <c r="F24" s="63">
        <f>'Trial Balance'!G30</f>
        <v>6815.4140215982725</v>
      </c>
      <c r="G24" s="63">
        <f t="shared" si="0"/>
        <v>5411.4387331490288</v>
      </c>
      <c r="H24" s="63">
        <f t="shared" si="1"/>
        <v>1403.9752884492441</v>
      </c>
      <c r="I24" s="63">
        <f t="shared" si="2"/>
        <v>0</v>
      </c>
      <c r="J24" s="63">
        <f t="shared" si="3"/>
        <v>0</v>
      </c>
      <c r="K24" s="62"/>
      <c r="M24" s="58">
        <v>0.79400000000000004</v>
      </c>
      <c r="N24" s="58">
        <v>0.20599999999999999</v>
      </c>
      <c r="O24" s="58">
        <v>0</v>
      </c>
      <c r="P24" s="58">
        <v>0</v>
      </c>
    </row>
    <row r="25" spans="2:16" outlineLevel="2" x14ac:dyDescent="0.45">
      <c r="B25" s="74"/>
      <c r="C25" s="91" t="str">
        <f>'Trial Balance'!A31</f>
        <v>51-757A</v>
      </c>
      <c r="D25" s="99" t="s">
        <v>281</v>
      </c>
      <c r="E25" s="91" t="str">
        <f>'Trial Balance'!B31</f>
        <v>Group Health Insurance</v>
      </c>
      <c r="F25" s="63">
        <f>'Trial Balance'!G31</f>
        <v>4954.6955507559396</v>
      </c>
      <c r="G25" s="63">
        <f t="shared" si="0"/>
        <v>3934.0282673002162</v>
      </c>
      <c r="H25" s="63">
        <f t="shared" si="1"/>
        <v>1020.6672834557235</v>
      </c>
      <c r="I25" s="63">
        <f t="shared" si="2"/>
        <v>0</v>
      </c>
      <c r="J25" s="63">
        <f t="shared" si="3"/>
        <v>0</v>
      </c>
      <c r="K25" s="62"/>
      <c r="M25" s="58">
        <v>0.79400000000000004</v>
      </c>
      <c r="N25" s="58">
        <v>0.20599999999999999</v>
      </c>
      <c r="O25" s="58">
        <v>0</v>
      </c>
      <c r="P25" s="58">
        <v>0</v>
      </c>
    </row>
    <row r="26" spans="2:16" outlineLevel="2" x14ac:dyDescent="0.45">
      <c r="B26" s="74"/>
      <c r="C26" s="91" t="str">
        <f>'Trial Balance'!A43</f>
        <v>51-855</v>
      </c>
      <c r="D26" s="99" t="s">
        <v>281</v>
      </c>
      <c r="E26" s="91" t="str">
        <f>'Trial Balance'!B43</f>
        <v>Payroll Taxes FICA</v>
      </c>
      <c r="F26" s="63">
        <f>'Trial Balance'!G43</f>
        <v>3055.4804060475162</v>
      </c>
      <c r="G26" s="63">
        <f t="shared" si="0"/>
        <v>0</v>
      </c>
      <c r="H26" s="63">
        <f t="shared" si="1"/>
        <v>0</v>
      </c>
      <c r="I26" s="63">
        <f t="shared" si="2"/>
        <v>2597.1583451403885</v>
      </c>
      <c r="J26" s="63">
        <f t="shared" si="3"/>
        <v>458.32206090712742</v>
      </c>
      <c r="K26" s="62"/>
      <c r="M26" s="58">
        <v>0</v>
      </c>
      <c r="N26" s="58">
        <v>0</v>
      </c>
      <c r="O26" s="58">
        <v>0.85</v>
      </c>
      <c r="P26" s="58">
        <v>0.15</v>
      </c>
    </row>
    <row r="27" spans="2:16" outlineLevel="2" x14ac:dyDescent="0.45">
      <c r="B27" s="74"/>
      <c r="C27" s="91" t="str">
        <f>'Trial Balance'!A44</f>
        <v>51-856</v>
      </c>
      <c r="D27" s="99" t="s">
        <v>281</v>
      </c>
      <c r="E27" s="91" t="str">
        <f>'Trial Balance'!B44</f>
        <v>Payroll Taxes Unemployment Insurance</v>
      </c>
      <c r="F27" s="63">
        <f>'Trial Balance'!G44</f>
        <v>127.13481641468681</v>
      </c>
      <c r="G27" s="63">
        <f t="shared" si="0"/>
        <v>0</v>
      </c>
      <c r="H27" s="63">
        <f t="shared" si="1"/>
        <v>0</v>
      </c>
      <c r="I27" s="63">
        <f t="shared" si="2"/>
        <v>108.06459395248379</v>
      </c>
      <c r="J27" s="63">
        <f t="shared" si="3"/>
        <v>19.07022246220302</v>
      </c>
      <c r="K27" s="62"/>
      <c r="M27" s="58">
        <v>0</v>
      </c>
      <c r="N27" s="58">
        <v>0</v>
      </c>
      <c r="O27" s="58">
        <v>0.85</v>
      </c>
      <c r="P27" s="58">
        <v>0.15</v>
      </c>
    </row>
    <row r="28" spans="2:16" outlineLevel="2" x14ac:dyDescent="0.45">
      <c r="B28" s="74"/>
      <c r="C28" s="91" t="str">
        <f>'Trial Balance'!A45</f>
        <v>51-857</v>
      </c>
      <c r="D28" s="99" t="s">
        <v>281</v>
      </c>
      <c r="E28" s="91" t="str">
        <f>'Trial Balance'!B45</f>
        <v>Employee Retirement Benefits</v>
      </c>
      <c r="F28" s="63">
        <f>'Trial Balance'!G45</f>
        <v>10620.022937365009</v>
      </c>
      <c r="G28" s="63">
        <f t="shared" si="0"/>
        <v>0</v>
      </c>
      <c r="H28" s="63">
        <f t="shared" si="1"/>
        <v>0</v>
      </c>
      <c r="I28" s="63">
        <f t="shared" si="2"/>
        <v>9027.0194967602583</v>
      </c>
      <c r="J28" s="63">
        <f t="shared" si="3"/>
        <v>1593.0034406047514</v>
      </c>
      <c r="K28" s="62"/>
      <c r="M28" s="58">
        <v>0</v>
      </c>
      <c r="N28" s="58">
        <v>0</v>
      </c>
      <c r="O28" s="58">
        <v>0.85</v>
      </c>
      <c r="P28" s="58">
        <v>0.15</v>
      </c>
    </row>
    <row r="29" spans="2:16" outlineLevel="2" x14ac:dyDescent="0.45">
      <c r="B29" s="74"/>
      <c r="C29" s="91" t="str">
        <f>'Trial Balance'!A46</f>
        <v>51-857A</v>
      </c>
      <c r="D29" s="99" t="s">
        <v>281</v>
      </c>
      <c r="E29" s="91" t="str">
        <f>'Trial Balance'!B46</f>
        <v>Group Health Insurance</v>
      </c>
      <c r="F29" s="63">
        <f>'Trial Balance'!G46</f>
        <v>8716.2173650107979</v>
      </c>
      <c r="G29" s="63">
        <f t="shared" si="0"/>
        <v>0</v>
      </c>
      <c r="H29" s="63">
        <f t="shared" si="1"/>
        <v>0</v>
      </c>
      <c r="I29" s="63">
        <f t="shared" si="2"/>
        <v>7408.7847602591783</v>
      </c>
      <c r="J29" s="63">
        <f t="shared" si="3"/>
        <v>1307.4326047516197</v>
      </c>
      <c r="K29" s="62"/>
      <c r="M29" s="58">
        <v>0</v>
      </c>
      <c r="N29" s="58">
        <v>0</v>
      </c>
      <c r="O29" s="58">
        <v>0.85</v>
      </c>
      <c r="P29" s="58">
        <v>0.15</v>
      </c>
    </row>
    <row r="30" spans="2:16" outlineLevel="1" x14ac:dyDescent="0.45">
      <c r="B30" s="74"/>
      <c r="C30" s="91"/>
      <c r="D30" s="103" t="s">
        <v>286</v>
      </c>
      <c r="E30" s="91"/>
      <c r="F30" s="63">
        <f>SUBTOTAL(9,F18:F29)</f>
        <v>158484.21868034557</v>
      </c>
      <c r="G30" s="63">
        <f>SUBTOTAL(9,G18:G29)</f>
        <v>107956.498345473</v>
      </c>
      <c r="H30" s="63">
        <f>SUBTOTAL(9,H18:H29)</f>
        <v>28008.864810034553</v>
      </c>
      <c r="I30" s="63">
        <f>SUBTOTAL(9,I18:I29)</f>
        <v>19141.027196112311</v>
      </c>
      <c r="J30" s="63">
        <f>SUBTOTAL(9,J18:J29)</f>
        <v>3377.8283287257018</v>
      </c>
      <c r="K30" s="62"/>
      <c r="M30" s="58"/>
      <c r="N30" s="58"/>
      <c r="O30" s="58"/>
      <c r="P30" s="58"/>
    </row>
    <row r="31" spans="2:16" outlineLevel="2" x14ac:dyDescent="0.45">
      <c r="B31" s="74"/>
      <c r="C31" s="91" t="str">
        <f>'Trial Balance'!A48</f>
        <v>51-859</v>
      </c>
      <c r="D31" s="99" t="s">
        <v>116</v>
      </c>
      <c r="E31" s="91" t="str">
        <f>'Trial Balance'!B48</f>
        <v>Telephone</v>
      </c>
      <c r="F31" s="63">
        <f>'Trial Balance'!G48</f>
        <v>1192.9396976241901</v>
      </c>
      <c r="G31" s="63">
        <f t="shared" ref="G31:G37" si="4">F31*M31</f>
        <v>0</v>
      </c>
      <c r="H31" s="63">
        <f t="shared" ref="H31:H37" si="5">F31*N31</f>
        <v>0</v>
      </c>
      <c r="I31" s="63">
        <f t="shared" ref="I31:I37" si="6">F31*O31</f>
        <v>1013.9987429805616</v>
      </c>
      <c r="J31" s="63">
        <f t="shared" ref="J31:J37" si="7">F31*P31</f>
        <v>178.94095464362852</v>
      </c>
      <c r="K31" s="62"/>
      <c r="M31" s="58">
        <v>0</v>
      </c>
      <c r="N31" s="58">
        <v>0</v>
      </c>
      <c r="O31" s="58">
        <v>0.85</v>
      </c>
      <c r="P31" s="58">
        <v>0.15</v>
      </c>
    </row>
    <row r="32" spans="2:16" outlineLevel="2" x14ac:dyDescent="0.45">
      <c r="B32" s="74"/>
      <c r="C32" s="91" t="str">
        <f>'Trial Balance'!A49</f>
        <v>51-860</v>
      </c>
      <c r="D32" s="99" t="s">
        <v>116</v>
      </c>
      <c r="E32" s="91" t="str">
        <f>'Trial Balance'!B49</f>
        <v>Postage</v>
      </c>
      <c r="F32" s="63">
        <f>'Trial Balance'!G49</f>
        <v>2518.1331317494596</v>
      </c>
      <c r="G32" s="63">
        <f t="shared" si="4"/>
        <v>0</v>
      </c>
      <c r="H32" s="63">
        <f t="shared" si="5"/>
        <v>0</v>
      </c>
      <c r="I32" s="63">
        <f t="shared" si="6"/>
        <v>2140.4131619870404</v>
      </c>
      <c r="J32" s="63">
        <f t="shared" si="7"/>
        <v>377.71996976241894</v>
      </c>
      <c r="K32" s="62"/>
      <c r="M32" s="58">
        <v>0</v>
      </c>
      <c r="N32" s="58">
        <v>0</v>
      </c>
      <c r="O32" s="58">
        <v>0.85</v>
      </c>
      <c r="P32" s="58">
        <v>0.15</v>
      </c>
    </row>
    <row r="33" spans="2:16" outlineLevel="2" x14ac:dyDescent="0.45">
      <c r="B33" s="74"/>
      <c r="C33" s="91" t="str">
        <f>'Trial Balance'!A50</f>
        <v>51-861</v>
      </c>
      <c r="D33" s="99" t="s">
        <v>116</v>
      </c>
      <c r="E33" s="91" t="str">
        <f>'Trial Balance'!B50</f>
        <v>Publishing and Printing</v>
      </c>
      <c r="F33" s="63">
        <f>'Trial Balance'!G50</f>
        <v>894.31697624190065</v>
      </c>
      <c r="G33" s="63">
        <f t="shared" si="4"/>
        <v>0</v>
      </c>
      <c r="H33" s="63">
        <f t="shared" si="5"/>
        <v>0</v>
      </c>
      <c r="I33" s="63">
        <f t="shared" si="6"/>
        <v>760.16942980561555</v>
      </c>
      <c r="J33" s="63">
        <f t="shared" si="7"/>
        <v>134.1475464362851</v>
      </c>
      <c r="K33" s="62"/>
      <c r="M33" s="58">
        <v>0</v>
      </c>
      <c r="N33" s="58">
        <v>0</v>
      </c>
      <c r="O33" s="58">
        <v>0.85</v>
      </c>
      <c r="P33" s="58">
        <v>0.15</v>
      </c>
    </row>
    <row r="34" spans="2:16" outlineLevel="2" x14ac:dyDescent="0.45">
      <c r="B34" s="74"/>
      <c r="C34" s="91" t="str">
        <f>'Trial Balance'!A51</f>
        <v>51-864</v>
      </c>
      <c r="D34" s="99" t="s">
        <v>116</v>
      </c>
      <c r="E34" s="91" t="str">
        <f>'Trial Balance'!B51</f>
        <v>Office Supplies and Expense</v>
      </c>
      <c r="F34" s="63">
        <f>'Trial Balance'!G51</f>
        <v>6682.599136069115</v>
      </c>
      <c r="G34" s="63">
        <f t="shared" si="4"/>
        <v>0</v>
      </c>
      <c r="H34" s="63">
        <f t="shared" si="5"/>
        <v>0</v>
      </c>
      <c r="I34" s="63">
        <f t="shared" si="6"/>
        <v>5680.2092656587474</v>
      </c>
      <c r="J34" s="63">
        <f t="shared" si="7"/>
        <v>1002.3898704103672</v>
      </c>
      <c r="K34" s="62"/>
      <c r="M34" s="58">
        <v>0</v>
      </c>
      <c r="N34" s="58">
        <v>0</v>
      </c>
      <c r="O34" s="58">
        <v>0.85</v>
      </c>
      <c r="P34" s="58">
        <v>0.15</v>
      </c>
    </row>
    <row r="35" spans="2:16" outlineLevel="2" x14ac:dyDescent="0.45">
      <c r="B35" s="74"/>
      <c r="C35" s="91" t="str">
        <f>'Trial Balance'!A52</f>
        <v>51-865</v>
      </c>
      <c r="D35" s="99" t="s">
        <v>116</v>
      </c>
      <c r="E35" s="91" t="str">
        <f>'Trial Balance'!B52</f>
        <v>Insurance</v>
      </c>
      <c r="F35" s="63">
        <f>'Trial Balance'!G52</f>
        <v>5559.0165874730019</v>
      </c>
      <c r="G35" s="63">
        <f t="shared" si="4"/>
        <v>0</v>
      </c>
      <c r="H35" s="63">
        <f t="shared" si="5"/>
        <v>0</v>
      </c>
      <c r="I35" s="63">
        <f t="shared" si="6"/>
        <v>4725.1640993520514</v>
      </c>
      <c r="J35" s="63">
        <f t="shared" si="7"/>
        <v>833.85248812095028</v>
      </c>
      <c r="K35" s="62"/>
      <c r="M35" s="58">
        <v>0</v>
      </c>
      <c r="N35" s="58">
        <v>0</v>
      </c>
      <c r="O35" s="58">
        <v>0.85</v>
      </c>
      <c r="P35" s="58">
        <v>0.15</v>
      </c>
    </row>
    <row r="36" spans="2:16" outlineLevel="2" x14ac:dyDescent="0.45">
      <c r="B36" s="74"/>
      <c r="C36" s="91" t="str">
        <f>'Trial Balance'!A53</f>
        <v>51-867</v>
      </c>
      <c r="D36" s="99" t="s">
        <v>116</v>
      </c>
      <c r="E36" s="91" t="str">
        <f>'Trial Balance'!B53</f>
        <v>Legal, Audit, and Bond Expenses</v>
      </c>
      <c r="F36" s="63">
        <f>'Trial Balance'!G53</f>
        <v>4354.2116630669543</v>
      </c>
      <c r="G36" s="63">
        <f t="shared" si="4"/>
        <v>0</v>
      </c>
      <c r="H36" s="63">
        <f t="shared" si="5"/>
        <v>0</v>
      </c>
      <c r="I36" s="63">
        <f t="shared" si="6"/>
        <v>3701.0799136069108</v>
      </c>
      <c r="J36" s="63">
        <f t="shared" si="7"/>
        <v>653.13174946004312</v>
      </c>
      <c r="K36" s="62"/>
      <c r="M36" s="58">
        <v>0</v>
      </c>
      <c r="N36" s="58">
        <v>0</v>
      </c>
      <c r="O36" s="58">
        <v>0.85</v>
      </c>
      <c r="P36" s="58">
        <v>0.15</v>
      </c>
    </row>
    <row r="37" spans="2:16" outlineLevel="2" x14ac:dyDescent="0.45">
      <c r="B37" s="74"/>
      <c r="C37" s="91" t="str">
        <f>'Trial Balance'!A54</f>
        <v>51-868</v>
      </c>
      <c r="D37" s="99" t="s">
        <v>116</v>
      </c>
      <c r="E37" s="91" t="str">
        <f>'Trial Balance'!B54</f>
        <v>Office Rent</v>
      </c>
      <c r="F37" s="63">
        <f>'Trial Balance'!G54</f>
        <v>2437.96</v>
      </c>
      <c r="G37" s="63">
        <f t="shared" si="4"/>
        <v>0</v>
      </c>
      <c r="H37" s="63">
        <f t="shared" si="5"/>
        <v>0</v>
      </c>
      <c r="I37" s="63">
        <f t="shared" si="6"/>
        <v>2072.2660000000001</v>
      </c>
      <c r="J37" s="63">
        <f t="shared" si="7"/>
        <v>365.69400000000002</v>
      </c>
      <c r="K37" s="62"/>
      <c r="M37" s="58">
        <v>0</v>
      </c>
      <c r="N37" s="58">
        <v>0</v>
      </c>
      <c r="O37" s="58">
        <v>0.85</v>
      </c>
      <c r="P37" s="58">
        <v>0.15</v>
      </c>
    </row>
    <row r="38" spans="2:16" outlineLevel="1" x14ac:dyDescent="0.45">
      <c r="B38" s="74"/>
      <c r="C38" s="91"/>
      <c r="D38" s="103" t="s">
        <v>287</v>
      </c>
      <c r="E38" s="91"/>
      <c r="F38" s="63">
        <f>SUBTOTAL(9,F31:F37)</f>
        <v>23639.177192224623</v>
      </c>
      <c r="G38" s="63">
        <f>SUBTOTAL(9,G31:G37)</f>
        <v>0</v>
      </c>
      <c r="H38" s="63">
        <f>SUBTOTAL(9,H31:H37)</f>
        <v>0</v>
      </c>
      <c r="I38" s="63">
        <f>SUBTOTAL(9,I31:I37)</f>
        <v>20093.300613390926</v>
      </c>
      <c r="J38" s="63">
        <f>SUBTOTAL(9,J31:J37)</f>
        <v>3545.8765788336932</v>
      </c>
      <c r="K38" s="62"/>
      <c r="M38" s="58"/>
      <c r="N38" s="58"/>
      <c r="O38" s="58"/>
      <c r="P38" s="58"/>
    </row>
    <row r="39" spans="2:16" outlineLevel="2" x14ac:dyDescent="0.45">
      <c r="B39" s="74"/>
      <c r="C39" s="91" t="str">
        <f>'Trial Balance'!A21</f>
        <v>51-715</v>
      </c>
      <c r="D39" s="99" t="s">
        <v>80</v>
      </c>
      <c r="E39" s="91" t="str">
        <f>'Trial Balance'!B21</f>
        <v>Insurance</v>
      </c>
      <c r="F39" s="63">
        <f>'Trial Balance'!G21</f>
        <v>17972.009999999998</v>
      </c>
      <c r="G39" s="63">
        <f>F39*M39</f>
        <v>12077.190720000001</v>
      </c>
      <c r="H39" s="63">
        <f>F39*N39</f>
        <v>5894.8192799999997</v>
      </c>
      <c r="I39" s="63">
        <f>F39*O39</f>
        <v>0</v>
      </c>
      <c r="J39" s="63">
        <f>F39*P39</f>
        <v>0</v>
      </c>
      <c r="K39" s="62"/>
      <c r="M39" s="58">
        <v>0.67200000000000004</v>
      </c>
      <c r="N39" s="58">
        <v>0.32800000000000001</v>
      </c>
      <c r="O39" s="58">
        <v>0</v>
      </c>
      <c r="P39" s="58">
        <v>0</v>
      </c>
    </row>
    <row r="40" spans="2:16" outlineLevel="2" x14ac:dyDescent="0.45">
      <c r="B40" s="74"/>
      <c r="C40" s="91" t="str">
        <f>'Trial Balance'!A36</f>
        <v>51-765</v>
      </c>
      <c r="D40" s="99" t="s">
        <v>80</v>
      </c>
      <c r="E40" s="91" t="str">
        <f>'Trial Balance'!B36</f>
        <v>Insurance</v>
      </c>
      <c r="F40" s="63">
        <f>'Trial Balance'!G36</f>
        <v>4603.354211663067</v>
      </c>
      <c r="G40" s="63">
        <f>F40*M40</f>
        <v>0</v>
      </c>
      <c r="H40" s="63">
        <f>F40*N40</f>
        <v>0</v>
      </c>
      <c r="I40" s="63">
        <f>F40*O40</f>
        <v>0</v>
      </c>
      <c r="J40" s="63">
        <f>F40*P40</f>
        <v>4603.354211663067</v>
      </c>
      <c r="K40" s="62"/>
      <c r="M40" s="58">
        <v>0</v>
      </c>
      <c r="N40" s="58">
        <v>0</v>
      </c>
      <c r="O40" s="58">
        <v>0</v>
      </c>
      <c r="P40" s="58">
        <v>1</v>
      </c>
    </row>
    <row r="41" spans="2:16" outlineLevel="1" x14ac:dyDescent="0.45">
      <c r="B41" s="74"/>
      <c r="C41" s="91"/>
      <c r="D41" s="103" t="s">
        <v>288</v>
      </c>
      <c r="E41" s="91"/>
      <c r="F41" s="63">
        <f>SUBTOTAL(9,F39:F40)</f>
        <v>22575.364211663065</v>
      </c>
      <c r="G41" s="63">
        <f>SUBTOTAL(9,G39:G40)</f>
        <v>12077.190720000001</v>
      </c>
      <c r="H41" s="63">
        <f>SUBTOTAL(9,H39:H40)</f>
        <v>5894.8192799999997</v>
      </c>
      <c r="I41" s="63">
        <f>SUBTOTAL(9,I39:I40)</f>
        <v>0</v>
      </c>
      <c r="J41" s="63">
        <f>SUBTOTAL(9,J39:J40)</f>
        <v>4603.354211663067</v>
      </c>
      <c r="K41" s="62"/>
      <c r="M41" s="58"/>
      <c r="N41" s="58"/>
      <c r="O41" s="58"/>
      <c r="P41" s="58"/>
    </row>
    <row r="42" spans="2:16" outlineLevel="2" x14ac:dyDescent="0.45">
      <c r="B42" s="74"/>
      <c r="C42" s="91" t="str">
        <f>'Trial Balance'!A22</f>
        <v>51-716</v>
      </c>
      <c r="D42" s="99" t="s">
        <v>85</v>
      </c>
      <c r="E42" s="91" t="str">
        <f>'Trial Balance'!B22</f>
        <v>Laboratory Expense</v>
      </c>
      <c r="F42" s="63">
        <f>'Trial Balance'!G22</f>
        <v>8283.52</v>
      </c>
      <c r="G42" s="63">
        <f>F42*M42</f>
        <v>8283.52</v>
      </c>
      <c r="H42" s="63">
        <f>F42*N42</f>
        <v>0</v>
      </c>
      <c r="I42" s="63">
        <f>F42*O42</f>
        <v>0</v>
      </c>
      <c r="J42" s="63">
        <f>F42*P42</f>
        <v>0</v>
      </c>
      <c r="K42" s="62"/>
      <c r="M42" s="58">
        <v>1</v>
      </c>
      <c r="N42" s="58">
        <v>0</v>
      </c>
      <c r="O42" s="58">
        <v>0</v>
      </c>
      <c r="P42" s="58">
        <v>0</v>
      </c>
    </row>
    <row r="43" spans="2:16" outlineLevel="1" x14ac:dyDescent="0.45">
      <c r="B43" s="74"/>
      <c r="C43" s="91"/>
      <c r="D43" s="103" t="s">
        <v>289</v>
      </c>
      <c r="E43" s="91"/>
      <c r="F43" s="63">
        <f>SUBTOTAL(9,F42:F42)</f>
        <v>8283.52</v>
      </c>
      <c r="G43" s="63">
        <f>SUBTOTAL(9,G42:G42)</f>
        <v>8283.52</v>
      </c>
      <c r="H43" s="63">
        <f>SUBTOTAL(9,H42:H42)</f>
        <v>0</v>
      </c>
      <c r="I43" s="63">
        <f>SUBTOTAL(9,I42:I42)</f>
        <v>0</v>
      </c>
      <c r="J43" s="63">
        <f>SUBTOTAL(9,J42:J42)</f>
        <v>0</v>
      </c>
      <c r="K43" s="62"/>
      <c r="M43" s="58"/>
      <c r="N43" s="58"/>
      <c r="O43" s="58"/>
      <c r="P43" s="58"/>
    </row>
    <row r="44" spans="2:16" outlineLevel="2" x14ac:dyDescent="0.45">
      <c r="B44" s="74"/>
      <c r="C44" s="91" t="str">
        <f>'Trial Balance'!A9</f>
        <v>51-704</v>
      </c>
      <c r="D44" s="99" t="s">
        <v>82</v>
      </c>
      <c r="E44" s="91" t="str">
        <f>'Trial Balance'!B9</f>
        <v>Maintenance Building, Dam, and Equipment</v>
      </c>
      <c r="F44" s="63">
        <f>'Trial Balance'!G9</f>
        <v>11932.601999999999</v>
      </c>
      <c r="G44" s="63">
        <f t="shared" ref="G44:G52" si="8">F44*M44</f>
        <v>9748.9358339999981</v>
      </c>
      <c r="H44" s="63">
        <f t="shared" ref="H44:H52" si="9">F44*N44</f>
        <v>2183.666166</v>
      </c>
      <c r="I44" s="63">
        <f t="shared" ref="I44:I52" si="10">F44*O44</f>
        <v>0</v>
      </c>
      <c r="J44" s="63">
        <f t="shared" ref="J44:J52" si="11">F44*P44</f>
        <v>0</v>
      </c>
      <c r="K44" s="62"/>
      <c r="M44" s="58">
        <v>0.81699999999999995</v>
      </c>
      <c r="N44" s="58">
        <v>0.183</v>
      </c>
      <c r="O44" s="58">
        <v>0</v>
      </c>
      <c r="P44" s="58">
        <v>0</v>
      </c>
    </row>
    <row r="45" spans="2:16" outlineLevel="2" x14ac:dyDescent="0.45">
      <c r="B45" s="74"/>
      <c r="C45" s="91" t="str">
        <f>'Trial Balance'!A14</f>
        <v>51-708</v>
      </c>
      <c r="D45" s="99" t="s">
        <v>82</v>
      </c>
      <c r="E45" s="91" t="str">
        <f>'Trial Balance'!B14</f>
        <v>Maintenance Materials</v>
      </c>
      <c r="F45" s="63">
        <f>'Trial Balance'!G14</f>
        <v>3228.59</v>
      </c>
      <c r="G45" s="63">
        <f t="shared" si="8"/>
        <v>2637.75803</v>
      </c>
      <c r="H45" s="63">
        <f t="shared" si="9"/>
        <v>590.83197000000007</v>
      </c>
      <c r="I45" s="63">
        <f t="shared" si="10"/>
        <v>0</v>
      </c>
      <c r="J45" s="63">
        <f t="shared" si="11"/>
        <v>0</v>
      </c>
      <c r="K45" s="62"/>
      <c r="M45" s="58">
        <v>0.81699999999999995</v>
      </c>
      <c r="N45" s="58">
        <v>0.183</v>
      </c>
      <c r="O45" s="58">
        <v>0</v>
      </c>
      <c r="P45" s="58">
        <v>0</v>
      </c>
    </row>
    <row r="46" spans="2:16" outlineLevel="2" x14ac:dyDescent="0.45">
      <c r="B46" s="74"/>
      <c r="C46" s="91" t="str">
        <f>'Trial Balance'!A15</f>
        <v>51-709</v>
      </c>
      <c r="D46" s="99" t="s">
        <v>82</v>
      </c>
      <c r="E46" s="91" t="str">
        <f>'Trial Balance'!B15</f>
        <v>Maintenance Contractors</v>
      </c>
      <c r="F46" s="63">
        <f>'Trial Balance'!G15</f>
        <v>46250.5</v>
      </c>
      <c r="G46" s="63">
        <f t="shared" si="8"/>
        <v>37786.658499999998</v>
      </c>
      <c r="H46" s="63">
        <f t="shared" si="9"/>
        <v>8463.8415000000005</v>
      </c>
      <c r="I46" s="63">
        <f t="shared" si="10"/>
        <v>0</v>
      </c>
      <c r="J46" s="63">
        <f t="shared" si="11"/>
        <v>0</v>
      </c>
      <c r="K46" s="62"/>
      <c r="M46" s="58">
        <v>0.81699999999999995</v>
      </c>
      <c r="N46" s="58">
        <v>0.183</v>
      </c>
      <c r="O46" s="58">
        <v>0</v>
      </c>
      <c r="P46" s="58">
        <v>0</v>
      </c>
    </row>
    <row r="47" spans="2:16" outlineLevel="2" x14ac:dyDescent="0.45">
      <c r="B47" s="74"/>
      <c r="C47" s="91" t="str">
        <f>'Trial Balance'!A16</f>
        <v>51-710</v>
      </c>
      <c r="D47" s="99" t="s">
        <v>82</v>
      </c>
      <c r="E47" s="91" t="str">
        <f>'Trial Balance'!B16</f>
        <v>Maintenance Building and Grounds</v>
      </c>
      <c r="F47" s="63">
        <f>'Trial Balance'!G16</f>
        <v>697.37800000000004</v>
      </c>
      <c r="G47" s="63">
        <f t="shared" si="8"/>
        <v>569.75782600000002</v>
      </c>
      <c r="H47" s="63">
        <f t="shared" si="9"/>
        <v>127.62017400000001</v>
      </c>
      <c r="I47" s="63">
        <f t="shared" si="10"/>
        <v>0</v>
      </c>
      <c r="J47" s="63">
        <f t="shared" si="11"/>
        <v>0</v>
      </c>
      <c r="K47" s="62"/>
      <c r="M47" s="58">
        <v>0.81699999999999995</v>
      </c>
      <c r="N47" s="58">
        <v>0.183</v>
      </c>
      <c r="O47" s="58">
        <v>0</v>
      </c>
      <c r="P47" s="58">
        <v>0</v>
      </c>
    </row>
    <row r="48" spans="2:16" outlineLevel="2" x14ac:dyDescent="0.45">
      <c r="B48" s="74"/>
      <c r="C48" s="91" t="str">
        <f>'Trial Balance'!A17</f>
        <v>51-711</v>
      </c>
      <c r="D48" s="99" t="s">
        <v>82</v>
      </c>
      <c r="E48" s="91" t="str">
        <f>'Trial Balance'!B17</f>
        <v>Maintenance Equipment</v>
      </c>
      <c r="F48" s="63">
        <f>'Trial Balance'!G17</f>
        <v>5091.8009999999995</v>
      </c>
      <c r="G48" s="63">
        <f t="shared" si="8"/>
        <v>4160.0014169999995</v>
      </c>
      <c r="H48" s="63">
        <f t="shared" si="9"/>
        <v>931.79958299999987</v>
      </c>
      <c r="I48" s="63">
        <f t="shared" si="10"/>
        <v>0</v>
      </c>
      <c r="J48" s="63">
        <f t="shared" si="11"/>
        <v>0</v>
      </c>
      <c r="K48" s="62"/>
      <c r="M48" s="58">
        <v>0.81699999999999995</v>
      </c>
      <c r="N48" s="58">
        <v>0.183</v>
      </c>
      <c r="O48" s="58">
        <v>0</v>
      </c>
      <c r="P48" s="58">
        <v>0</v>
      </c>
    </row>
    <row r="49" spans="2:16" outlineLevel="2" x14ac:dyDescent="0.45">
      <c r="B49" s="74"/>
      <c r="C49" s="91" t="str">
        <f>'Trial Balance'!A32</f>
        <v>51-758</v>
      </c>
      <c r="D49" s="99" t="s">
        <v>82</v>
      </c>
      <c r="E49" s="91" t="str">
        <f>'Trial Balance'!B32</f>
        <v>Maintenance Water Mains</v>
      </c>
      <c r="F49" s="63">
        <f>'Trial Balance'!G32</f>
        <v>1030.5553606911446</v>
      </c>
      <c r="G49" s="63">
        <f t="shared" si="8"/>
        <v>841.96372968466517</v>
      </c>
      <c r="H49" s="63">
        <f t="shared" si="9"/>
        <v>188.59163100647947</v>
      </c>
      <c r="I49" s="63">
        <f t="shared" si="10"/>
        <v>0</v>
      </c>
      <c r="J49" s="63">
        <f t="shared" si="11"/>
        <v>0</v>
      </c>
      <c r="K49" s="62"/>
      <c r="M49" s="58">
        <v>0.81699999999999995</v>
      </c>
      <c r="N49" s="58">
        <v>0.183</v>
      </c>
      <c r="O49" s="58">
        <v>0</v>
      </c>
      <c r="P49" s="58">
        <v>0</v>
      </c>
    </row>
    <row r="50" spans="2:16" outlineLevel="2" x14ac:dyDescent="0.45">
      <c r="B50" s="74"/>
      <c r="C50" s="91" t="str">
        <f>'Trial Balance'!A33</f>
        <v>51-759</v>
      </c>
      <c r="D50" s="99" t="s">
        <v>82</v>
      </c>
      <c r="E50" s="91" t="str">
        <f>'Trial Balance'!B33</f>
        <v>Maintenance Meters</v>
      </c>
      <c r="F50" s="63">
        <f>'Trial Balance'!G33</f>
        <v>780.87180129589626</v>
      </c>
      <c r="G50" s="63">
        <f t="shared" si="8"/>
        <v>0</v>
      </c>
      <c r="H50" s="63">
        <f t="shared" si="9"/>
        <v>0</v>
      </c>
      <c r="I50" s="63">
        <f t="shared" si="10"/>
        <v>663.74103110151179</v>
      </c>
      <c r="J50" s="63">
        <f t="shared" si="11"/>
        <v>117.13077019438444</v>
      </c>
      <c r="K50" s="62"/>
      <c r="M50" s="58">
        <v>0</v>
      </c>
      <c r="N50" s="58">
        <v>0</v>
      </c>
      <c r="O50" s="58">
        <v>0.85</v>
      </c>
      <c r="P50" s="58">
        <v>0.15</v>
      </c>
    </row>
    <row r="51" spans="2:16" outlineLevel="2" x14ac:dyDescent="0.45">
      <c r="B51" s="74"/>
      <c r="C51" s="91" t="str">
        <f>'Trial Balance'!A34</f>
        <v>51-760</v>
      </c>
      <c r="D51" s="99" t="s">
        <v>82</v>
      </c>
      <c r="E51" s="91" t="str">
        <f>'Trial Balance'!B34</f>
        <v>Maintenance Service Lines</v>
      </c>
      <c r="F51" s="63">
        <f>'Trial Balance'!G34</f>
        <v>661.64586609071273</v>
      </c>
      <c r="G51" s="63">
        <f t="shared" si="8"/>
        <v>0</v>
      </c>
      <c r="H51" s="63">
        <f t="shared" si="9"/>
        <v>0</v>
      </c>
      <c r="I51" s="63">
        <f t="shared" si="10"/>
        <v>562.39898617710583</v>
      </c>
      <c r="J51" s="63">
        <f t="shared" si="11"/>
        <v>99.246879913606904</v>
      </c>
      <c r="K51" s="62"/>
      <c r="M51" s="58">
        <v>0</v>
      </c>
      <c r="N51" s="58">
        <v>0</v>
      </c>
      <c r="O51" s="58">
        <v>0.85</v>
      </c>
      <c r="P51" s="58">
        <v>0.15</v>
      </c>
    </row>
    <row r="52" spans="2:16" outlineLevel="2" x14ac:dyDescent="0.45">
      <c r="B52" s="74"/>
      <c r="C52" s="91" t="str">
        <f>'Trial Balance'!A47</f>
        <v>51-858</v>
      </c>
      <c r="D52" s="99" t="s">
        <v>82</v>
      </c>
      <c r="E52" s="91" t="str">
        <f>'Trial Balance'!B47</f>
        <v>Maintenance Office Building and Telephones</v>
      </c>
      <c r="F52" s="63">
        <f>'Trial Balance'!G47</f>
        <v>122.01589632829373</v>
      </c>
      <c r="G52" s="63">
        <f t="shared" si="8"/>
        <v>0</v>
      </c>
      <c r="H52" s="63">
        <f t="shared" si="9"/>
        <v>0</v>
      </c>
      <c r="I52" s="63">
        <f t="shared" si="10"/>
        <v>103.71351187904968</v>
      </c>
      <c r="J52" s="63">
        <f t="shared" si="11"/>
        <v>18.302384449244059</v>
      </c>
      <c r="K52" s="62"/>
      <c r="M52" s="58">
        <v>0</v>
      </c>
      <c r="N52" s="58">
        <v>0</v>
      </c>
      <c r="O52" s="58">
        <v>0.85</v>
      </c>
      <c r="P52" s="58">
        <v>0.15</v>
      </c>
    </row>
    <row r="53" spans="2:16" outlineLevel="1" x14ac:dyDescent="0.45">
      <c r="B53" s="74"/>
      <c r="C53" s="91"/>
      <c r="D53" s="103" t="s">
        <v>290</v>
      </c>
      <c r="E53" s="91"/>
      <c r="F53" s="63">
        <f>SUBTOTAL(9,F44:F52)</f>
        <v>69795.959924406023</v>
      </c>
      <c r="G53" s="63">
        <f>SUBTOTAL(9,G44:G52)</f>
        <v>55745.075336684655</v>
      </c>
      <c r="H53" s="63">
        <f>SUBTOTAL(9,H44:H52)</f>
        <v>12486.351024006479</v>
      </c>
      <c r="I53" s="63">
        <f>SUBTOTAL(9,I44:I52)</f>
        <v>1329.8535291576673</v>
      </c>
      <c r="J53" s="63">
        <f>SUBTOTAL(9,J44:J52)</f>
        <v>234.68003455723539</v>
      </c>
      <c r="K53" s="62"/>
      <c r="M53" s="58"/>
      <c r="N53" s="58"/>
      <c r="O53" s="58"/>
      <c r="P53" s="58"/>
    </row>
    <row r="54" spans="2:16" outlineLevel="2" x14ac:dyDescent="0.45">
      <c r="B54" s="74"/>
      <c r="C54" s="91" t="str">
        <f>'Trial Balance'!A23</f>
        <v>51-723</v>
      </c>
      <c r="D54" s="99" t="s">
        <v>81</v>
      </c>
      <c r="E54" s="91" t="str">
        <f>'Trial Balance'!B23</f>
        <v>Miscellaneous Expense</v>
      </c>
      <c r="F54" s="63">
        <f>'Trial Balance'!G23</f>
        <v>75.83</v>
      </c>
      <c r="G54" s="63">
        <f t="shared" ref="G54:G59" si="12">F54*M54</f>
        <v>23.96228</v>
      </c>
      <c r="H54" s="63">
        <f t="shared" ref="H54:H59" si="13">F54*N54</f>
        <v>51.867720000000006</v>
      </c>
      <c r="I54" s="63">
        <f t="shared" ref="I54:I59" si="14">F54*O54</f>
        <v>0</v>
      </c>
      <c r="J54" s="63">
        <f t="shared" ref="J54:J59" si="15">F54*P54</f>
        <v>0</v>
      </c>
      <c r="K54" s="62"/>
      <c r="M54" s="58">
        <v>0.316</v>
      </c>
      <c r="N54" s="58">
        <v>0.68400000000000005</v>
      </c>
      <c r="O54" s="58">
        <v>0</v>
      </c>
      <c r="P54" s="58">
        <v>0</v>
      </c>
    </row>
    <row r="55" spans="2:16" outlineLevel="2" x14ac:dyDescent="0.45">
      <c r="B55" s="74"/>
      <c r="C55" s="91" t="str">
        <f>'Trial Balance'!A37</f>
        <v>51-773</v>
      </c>
      <c r="D55" s="99" t="s">
        <v>81</v>
      </c>
      <c r="E55" s="91" t="str">
        <f>'Trial Balance'!B37</f>
        <v>Miscellaneous Expense</v>
      </c>
      <c r="F55" s="63">
        <f>'Trial Balance'!G37</f>
        <v>16.328293736501081</v>
      </c>
      <c r="G55" s="63">
        <f t="shared" si="12"/>
        <v>0</v>
      </c>
      <c r="H55" s="63">
        <f t="shared" si="13"/>
        <v>0</v>
      </c>
      <c r="I55" s="63">
        <f t="shared" si="14"/>
        <v>13.879049676025918</v>
      </c>
      <c r="J55" s="63">
        <f t="shared" si="15"/>
        <v>2.449244060475162</v>
      </c>
      <c r="K55" s="62"/>
      <c r="M55" s="58">
        <v>0</v>
      </c>
      <c r="N55" s="58">
        <v>0</v>
      </c>
      <c r="O55" s="58">
        <v>0.85</v>
      </c>
      <c r="P55" s="58">
        <v>0.15</v>
      </c>
    </row>
    <row r="56" spans="2:16" outlineLevel="2" x14ac:dyDescent="0.45">
      <c r="B56" s="74"/>
      <c r="C56" s="91" t="str">
        <f>'Trial Balance'!A55</f>
        <v>51-869</v>
      </c>
      <c r="D56" s="99" t="s">
        <v>81</v>
      </c>
      <c r="E56" s="91" t="str">
        <f>'Trial Balance'!B55</f>
        <v>Operatiion Expense Garage and Building</v>
      </c>
      <c r="F56" s="63">
        <f>'Trial Balance'!G55</f>
        <v>2062.5</v>
      </c>
      <c r="G56" s="63">
        <f t="shared" si="12"/>
        <v>0</v>
      </c>
      <c r="H56" s="63">
        <f t="shared" si="13"/>
        <v>0</v>
      </c>
      <c r="I56" s="63">
        <f t="shared" si="14"/>
        <v>0</v>
      </c>
      <c r="J56" s="63">
        <f t="shared" si="15"/>
        <v>2062.5</v>
      </c>
      <c r="K56" s="62"/>
      <c r="M56" s="58">
        <v>0</v>
      </c>
      <c r="N56" s="58">
        <v>0</v>
      </c>
      <c r="O56" s="58">
        <v>0</v>
      </c>
      <c r="P56" s="58">
        <v>1</v>
      </c>
    </row>
    <row r="57" spans="2:16" outlineLevel="2" x14ac:dyDescent="0.45">
      <c r="B57" s="74"/>
      <c r="C57" s="91" t="str">
        <f>'Trial Balance'!A56</f>
        <v>51-870</v>
      </c>
      <c r="D57" s="99" t="s">
        <v>81</v>
      </c>
      <c r="E57" s="91" t="str">
        <f>'Trial Balance'!B56</f>
        <v>Bad Debts Written Off</v>
      </c>
      <c r="F57" s="63">
        <f>'Trial Balance'!G56</f>
        <v>810.87939524838009</v>
      </c>
      <c r="G57" s="63">
        <f t="shared" si="12"/>
        <v>0</v>
      </c>
      <c r="H57" s="63">
        <f t="shared" si="13"/>
        <v>0</v>
      </c>
      <c r="I57" s="63">
        <f t="shared" si="14"/>
        <v>810.87939524838009</v>
      </c>
      <c r="J57" s="63">
        <f t="shared" si="15"/>
        <v>0</v>
      </c>
      <c r="K57" s="62"/>
      <c r="M57" s="58">
        <v>0</v>
      </c>
      <c r="N57" s="58">
        <v>0</v>
      </c>
      <c r="O57" s="58">
        <v>1</v>
      </c>
      <c r="P57" s="58">
        <v>0</v>
      </c>
    </row>
    <row r="58" spans="2:16" outlineLevel="2" x14ac:dyDescent="0.45">
      <c r="B58" s="74"/>
      <c r="C58" s="91" t="str">
        <f>'Trial Balance'!A57</f>
        <v>51-871</v>
      </c>
      <c r="D58" s="99" t="s">
        <v>81</v>
      </c>
      <c r="E58" s="91" t="str">
        <f>'Trial Balance'!B57</f>
        <v>Write Offs Tornado Disaster</v>
      </c>
      <c r="F58" s="63">
        <f>'Trial Balance'!G57</f>
        <v>19562.150410367169</v>
      </c>
      <c r="G58" s="63">
        <f t="shared" si="12"/>
        <v>0</v>
      </c>
      <c r="H58" s="63">
        <f t="shared" si="13"/>
        <v>0</v>
      </c>
      <c r="I58" s="63">
        <f t="shared" si="14"/>
        <v>16627.827848812092</v>
      </c>
      <c r="J58" s="63">
        <f t="shared" si="15"/>
        <v>2934.322561555075</v>
      </c>
      <c r="K58" s="62"/>
      <c r="M58" s="58">
        <v>0</v>
      </c>
      <c r="N58" s="58">
        <v>0</v>
      </c>
      <c r="O58" s="58">
        <v>0.85</v>
      </c>
      <c r="P58" s="58">
        <v>0.15</v>
      </c>
    </row>
    <row r="59" spans="2:16" outlineLevel="2" x14ac:dyDescent="0.45">
      <c r="B59" s="74"/>
      <c r="C59" s="91" t="str">
        <f>'Trial Balance'!A58</f>
        <v>51-873</v>
      </c>
      <c r="D59" s="99" t="s">
        <v>81</v>
      </c>
      <c r="E59" s="91" t="str">
        <f>'Trial Balance'!B58</f>
        <v>Miscellaneous Expense</v>
      </c>
      <c r="F59" s="63">
        <f>'Trial Balance'!G58</f>
        <v>40.820734341252695</v>
      </c>
      <c r="G59" s="63">
        <f t="shared" si="12"/>
        <v>0</v>
      </c>
      <c r="H59" s="63">
        <f t="shared" si="13"/>
        <v>0</v>
      </c>
      <c r="I59" s="63">
        <f t="shared" si="14"/>
        <v>34.697624190064793</v>
      </c>
      <c r="J59" s="63">
        <f t="shared" si="15"/>
        <v>6.1231101511879045</v>
      </c>
      <c r="K59" s="62"/>
      <c r="M59" s="58">
        <v>0</v>
      </c>
      <c r="N59" s="58">
        <v>0</v>
      </c>
      <c r="O59" s="58">
        <v>0.85</v>
      </c>
      <c r="P59" s="58">
        <v>0.15</v>
      </c>
    </row>
    <row r="60" spans="2:16" outlineLevel="1" x14ac:dyDescent="0.45">
      <c r="B60" s="74"/>
      <c r="C60" s="91"/>
      <c r="D60" s="103" t="s">
        <v>291</v>
      </c>
      <c r="E60" s="91"/>
      <c r="F60" s="63">
        <f>SUBTOTAL(9,F54:F59)</f>
        <v>22568.508833693304</v>
      </c>
      <c r="G60" s="63">
        <f>SUBTOTAL(9,G54:G59)</f>
        <v>23.96228</v>
      </c>
      <c r="H60" s="63">
        <f>SUBTOTAL(9,H54:H59)</f>
        <v>51.867720000000006</v>
      </c>
      <c r="I60" s="63">
        <f>SUBTOTAL(9,I54:I59)</f>
        <v>17487.283917926565</v>
      </c>
      <c r="J60" s="63">
        <f>SUBTOTAL(9,J54:J59)</f>
        <v>5005.3949157667375</v>
      </c>
      <c r="K60" s="62"/>
      <c r="M60" s="58"/>
      <c r="N60" s="58"/>
      <c r="O60" s="58"/>
      <c r="P60" s="58"/>
    </row>
    <row r="61" spans="2:16" outlineLevel="2" x14ac:dyDescent="0.45">
      <c r="B61" s="74"/>
      <c r="C61" s="91" t="str">
        <f>'Trial Balance'!A20</f>
        <v>51-714</v>
      </c>
      <c r="D61" s="99" t="s">
        <v>84</v>
      </c>
      <c r="E61" s="91" t="str">
        <f>'Trial Balance'!B20</f>
        <v>Operation Supplies</v>
      </c>
      <c r="F61" s="63">
        <f>'Trial Balance'!G20</f>
        <v>11529.2</v>
      </c>
      <c r="G61" s="63">
        <f>F61*M61</f>
        <v>7874.4436000000014</v>
      </c>
      <c r="H61" s="63">
        <f>F61*N61</f>
        <v>3654.7564000000002</v>
      </c>
      <c r="I61" s="63">
        <f>F61*O61</f>
        <v>0</v>
      </c>
      <c r="J61" s="63">
        <f>F61*P61</f>
        <v>0</v>
      </c>
      <c r="K61" s="62"/>
      <c r="M61" s="58">
        <v>0.68300000000000005</v>
      </c>
      <c r="N61" s="58">
        <v>0.317</v>
      </c>
      <c r="O61" s="58">
        <v>0</v>
      </c>
      <c r="P61" s="58">
        <v>0</v>
      </c>
    </row>
    <row r="62" spans="2:16" outlineLevel="2" x14ac:dyDescent="0.45">
      <c r="B62" s="74"/>
      <c r="C62" s="91" t="str">
        <f>'Trial Balance'!A35</f>
        <v>51-764</v>
      </c>
      <c r="D62" s="99" t="s">
        <v>84</v>
      </c>
      <c r="E62" s="91" t="str">
        <f>'Trial Balance'!B35</f>
        <v>Operation Supplies</v>
      </c>
      <c r="F62" s="63">
        <f>'Trial Balance'!G35</f>
        <v>2273.263153347732</v>
      </c>
      <c r="G62" s="63">
        <f>F62*M62</f>
        <v>1552.6387337365011</v>
      </c>
      <c r="H62" s="63">
        <f>F62*N62</f>
        <v>720.62441961123102</v>
      </c>
      <c r="I62" s="63">
        <f>F62*O62</f>
        <v>0</v>
      </c>
      <c r="J62" s="63">
        <f>F62*P62</f>
        <v>0</v>
      </c>
      <c r="K62" s="62"/>
      <c r="M62" s="58">
        <v>0.68300000000000005</v>
      </c>
      <c r="N62" s="58">
        <v>0.317</v>
      </c>
      <c r="O62" s="58">
        <v>0</v>
      </c>
      <c r="P62" s="58">
        <v>0</v>
      </c>
    </row>
    <row r="63" spans="2:16" outlineLevel="1" x14ac:dyDescent="0.45">
      <c r="B63" s="74"/>
      <c r="C63" s="91"/>
      <c r="D63" s="103" t="s">
        <v>292</v>
      </c>
      <c r="E63" s="91"/>
      <c r="F63" s="63">
        <f>SUBTOTAL(9,F61:F62)</f>
        <v>13802.463153347733</v>
      </c>
      <c r="G63" s="63">
        <f>SUBTOTAL(9,G61:G62)</f>
        <v>9427.0823337365018</v>
      </c>
      <c r="H63" s="63">
        <f>SUBTOTAL(9,H61:H62)</f>
        <v>4375.3808196112313</v>
      </c>
      <c r="I63" s="63">
        <f>SUBTOTAL(9,I61:I62)</f>
        <v>0</v>
      </c>
      <c r="J63" s="63">
        <f>SUBTOTAL(9,J61:J62)</f>
        <v>0</v>
      </c>
      <c r="K63" s="62"/>
      <c r="M63" s="58"/>
      <c r="N63" s="58"/>
      <c r="O63" s="58"/>
      <c r="P63" s="58"/>
    </row>
    <row r="64" spans="2:16" outlineLevel="2" x14ac:dyDescent="0.45">
      <c r="B64" s="74"/>
      <c r="C64" s="91" t="str">
        <f>'Trial Balance'!A18</f>
        <v>51-712</v>
      </c>
      <c r="D64" s="99" t="s">
        <v>4</v>
      </c>
      <c r="E64" s="91" t="str">
        <f>'Trial Balance'!B18</f>
        <v>Power Purchased</v>
      </c>
      <c r="F64" s="63">
        <f>'Trial Balance'!G18</f>
        <v>116419.75</v>
      </c>
      <c r="G64" s="63">
        <f>F64*M64</f>
        <v>116419.75</v>
      </c>
      <c r="H64" s="63">
        <f>F64*N64</f>
        <v>0</v>
      </c>
      <c r="I64" s="63">
        <f>F64*O64</f>
        <v>0</v>
      </c>
      <c r="J64" s="63">
        <f>F64*P64</f>
        <v>0</v>
      </c>
      <c r="K64" s="62"/>
      <c r="M64" s="58">
        <v>1</v>
      </c>
      <c r="N64" s="58">
        <v>0</v>
      </c>
      <c r="O64" s="58">
        <v>0</v>
      </c>
      <c r="P64" s="58">
        <v>0</v>
      </c>
    </row>
    <row r="65" spans="2:16" outlineLevel="1" x14ac:dyDescent="0.45">
      <c r="B65" s="74"/>
      <c r="C65" s="91"/>
      <c r="D65" s="103" t="s">
        <v>293</v>
      </c>
      <c r="E65" s="91"/>
      <c r="F65" s="63">
        <f>SUBTOTAL(9,F64:F64)</f>
        <v>116419.75</v>
      </c>
      <c r="G65" s="63">
        <f>SUBTOTAL(9,G64:G64)</f>
        <v>116419.75</v>
      </c>
      <c r="H65" s="63">
        <f>SUBTOTAL(9,H64:H64)</f>
        <v>0</v>
      </c>
      <c r="I65" s="63">
        <f>SUBTOTAL(9,I64:I64)</f>
        <v>0</v>
      </c>
      <c r="J65" s="63">
        <f>SUBTOTAL(9,J64:J64)</f>
        <v>0</v>
      </c>
      <c r="K65" s="62"/>
      <c r="M65" s="58"/>
      <c r="N65" s="58"/>
      <c r="O65" s="58"/>
      <c r="P65" s="58"/>
    </row>
    <row r="66" spans="2:16" outlineLevel="2" x14ac:dyDescent="0.45">
      <c r="B66" s="74"/>
      <c r="C66" s="91" t="str">
        <f>'Trial Balance'!A7</f>
        <v>51-701</v>
      </c>
      <c r="D66" s="99" t="s">
        <v>19</v>
      </c>
      <c r="E66" s="91" t="str">
        <f>'Trial Balance'!B7</f>
        <v>Operation Supervision</v>
      </c>
      <c r="F66" s="63">
        <f>'Trial Balance'!G7</f>
        <v>27881.7</v>
      </c>
      <c r="G66" s="63">
        <f t="shared" ref="G66:G72" si="16">F66*M66</f>
        <v>21998.6613</v>
      </c>
      <c r="H66" s="63">
        <f t="shared" ref="H66:H72" si="17">F66*N66</f>
        <v>5883.0387000000001</v>
      </c>
      <c r="I66" s="63">
        <f t="shared" ref="I66:I72" si="18">F66*O66</f>
        <v>0</v>
      </c>
      <c r="J66" s="63">
        <f t="shared" ref="J66:J72" si="19">F66*P66</f>
        <v>0</v>
      </c>
      <c r="K66" s="62"/>
      <c r="M66" s="58">
        <v>0.78900000000000003</v>
      </c>
      <c r="N66" s="58">
        <v>0.21099999999999999</v>
      </c>
      <c r="O66" s="58">
        <v>0</v>
      </c>
      <c r="P66" s="58">
        <v>0</v>
      </c>
    </row>
    <row r="67" spans="2:16" outlineLevel="2" x14ac:dyDescent="0.45">
      <c r="B67" s="74"/>
      <c r="C67" s="91" t="str">
        <f>'Trial Balance'!A8</f>
        <v>51-702</v>
      </c>
      <c r="D67" s="99" t="s">
        <v>19</v>
      </c>
      <c r="E67" s="91" t="str">
        <f>'Trial Balance'!B8</f>
        <v>Operation Labor</v>
      </c>
      <c r="F67" s="63">
        <f>'Trial Balance'!G8</f>
        <v>147681.897</v>
      </c>
      <c r="G67" s="63">
        <f t="shared" si="16"/>
        <v>116521.016733</v>
      </c>
      <c r="H67" s="63">
        <f t="shared" si="17"/>
        <v>31160.880266999997</v>
      </c>
      <c r="I67" s="63">
        <f t="shared" si="18"/>
        <v>0</v>
      </c>
      <c r="J67" s="63">
        <f t="shared" si="19"/>
        <v>0</v>
      </c>
      <c r="K67" s="62"/>
      <c r="M67" s="58">
        <v>0.78900000000000003</v>
      </c>
      <c r="N67" s="58">
        <v>0.21099999999999999</v>
      </c>
      <c r="O67" s="58">
        <v>0</v>
      </c>
      <c r="P67" s="58">
        <v>0</v>
      </c>
    </row>
    <row r="68" spans="2:16" outlineLevel="2" x14ac:dyDescent="0.45">
      <c r="B68" s="74"/>
      <c r="C68" s="91" t="str">
        <f>'Trial Balance'!A26</f>
        <v>51-753-1</v>
      </c>
      <c r="D68" s="99" t="s">
        <v>19</v>
      </c>
      <c r="E68" s="91" t="str">
        <f>'Trial Balance'!B26</f>
        <v>Maintenance Labor Water Mains</v>
      </c>
      <c r="F68" s="63">
        <f>'Trial Balance'!G26</f>
        <v>35.479205183585307</v>
      </c>
      <c r="G68" s="63">
        <f t="shared" si="16"/>
        <v>27.993092889848807</v>
      </c>
      <c r="H68" s="63">
        <f t="shared" si="17"/>
        <v>7.4861122937364994</v>
      </c>
      <c r="I68" s="63">
        <f t="shared" si="18"/>
        <v>0</v>
      </c>
      <c r="J68" s="63">
        <f t="shared" si="19"/>
        <v>0</v>
      </c>
      <c r="K68" s="62"/>
      <c r="M68" s="58">
        <v>0.78900000000000003</v>
      </c>
      <c r="N68" s="58">
        <v>0.21099999999999999</v>
      </c>
      <c r="O68" s="58">
        <v>0</v>
      </c>
      <c r="P68" s="58">
        <v>0</v>
      </c>
    </row>
    <row r="69" spans="2:16" outlineLevel="2" x14ac:dyDescent="0.45">
      <c r="B69" s="74"/>
      <c r="C69" s="91" t="str">
        <f>'Trial Balance'!A27</f>
        <v>51-753-5</v>
      </c>
      <c r="D69" s="99" t="s">
        <v>19</v>
      </c>
      <c r="E69" s="91" t="str">
        <f>'Trial Balance'!B27</f>
        <v>Maintenance Labor Other</v>
      </c>
      <c r="F69" s="63">
        <f>'Trial Balance'!G27</f>
        <v>23300.815334773219</v>
      </c>
      <c r="G69" s="63">
        <f t="shared" si="16"/>
        <v>0</v>
      </c>
      <c r="H69" s="63">
        <f t="shared" si="17"/>
        <v>0</v>
      </c>
      <c r="I69" s="63">
        <f t="shared" si="18"/>
        <v>19805.693034557236</v>
      </c>
      <c r="J69" s="63">
        <f t="shared" si="19"/>
        <v>3495.1223002159827</v>
      </c>
      <c r="K69" s="62"/>
      <c r="M69" s="58">
        <v>0</v>
      </c>
      <c r="N69" s="58">
        <v>0</v>
      </c>
      <c r="O69" s="58">
        <v>0.85</v>
      </c>
      <c r="P69" s="58">
        <v>0.15</v>
      </c>
    </row>
    <row r="70" spans="2:16" outlineLevel="2" x14ac:dyDescent="0.45">
      <c r="B70" s="74"/>
      <c r="C70" s="91" t="str">
        <f>'Trial Balance'!A40</f>
        <v>51-851</v>
      </c>
      <c r="D70" s="99" t="s">
        <v>19</v>
      </c>
      <c r="E70" s="91" t="str">
        <f>'Trial Balance'!B40</f>
        <v>Commissioners Salaries</v>
      </c>
      <c r="F70" s="63">
        <f>'Trial Balance'!G40</f>
        <v>1403.4611579324546</v>
      </c>
      <c r="G70" s="63">
        <f t="shared" si="16"/>
        <v>0</v>
      </c>
      <c r="H70" s="63">
        <f t="shared" si="17"/>
        <v>0</v>
      </c>
      <c r="I70" s="63">
        <f t="shared" si="18"/>
        <v>0</v>
      </c>
      <c r="J70" s="63">
        <f t="shared" si="19"/>
        <v>1403.4611579324546</v>
      </c>
      <c r="K70" s="62"/>
      <c r="M70" s="58">
        <v>0</v>
      </c>
      <c r="N70" s="58">
        <v>0</v>
      </c>
      <c r="O70" s="58">
        <v>0</v>
      </c>
      <c r="P70" s="58">
        <v>1</v>
      </c>
    </row>
    <row r="71" spans="2:16" outlineLevel="2" x14ac:dyDescent="0.45">
      <c r="B71" s="74"/>
      <c r="C71" s="91" t="str">
        <f>'Trial Balance'!A41</f>
        <v>51-852</v>
      </c>
      <c r="D71" s="99" t="s">
        <v>19</v>
      </c>
      <c r="E71" s="91" t="str">
        <f>'Trial Balance'!B41</f>
        <v>Office Salaries</v>
      </c>
      <c r="F71" s="63">
        <f>'Trial Balance'!G41</f>
        <v>36921.842591792651</v>
      </c>
      <c r="G71" s="63">
        <f t="shared" si="16"/>
        <v>0</v>
      </c>
      <c r="H71" s="63">
        <f t="shared" si="17"/>
        <v>0</v>
      </c>
      <c r="I71" s="63">
        <f t="shared" si="18"/>
        <v>31383.566203023751</v>
      </c>
      <c r="J71" s="63">
        <f t="shared" si="19"/>
        <v>5538.276388768897</v>
      </c>
      <c r="K71" s="62"/>
      <c r="M71" s="58">
        <v>0</v>
      </c>
      <c r="N71" s="58">
        <v>0</v>
      </c>
      <c r="O71" s="58">
        <v>0.85</v>
      </c>
      <c r="P71" s="58">
        <v>0.15</v>
      </c>
    </row>
    <row r="72" spans="2:16" outlineLevel="2" x14ac:dyDescent="0.45">
      <c r="B72" s="74"/>
      <c r="C72" s="91" t="str">
        <f>'Trial Balance'!A42</f>
        <v>51-853</v>
      </c>
      <c r="D72" s="99" t="s">
        <v>19</v>
      </c>
      <c r="E72" s="91" t="str">
        <f>'Trial Balance'!B42</f>
        <v>Salary Meter Collection School</v>
      </c>
      <c r="F72" s="63">
        <f>'Trial Balance'!G42</f>
        <v>1328.3328207343411</v>
      </c>
      <c r="G72" s="63">
        <f t="shared" si="16"/>
        <v>0</v>
      </c>
      <c r="H72" s="63">
        <f t="shared" si="17"/>
        <v>0</v>
      </c>
      <c r="I72" s="63">
        <f t="shared" si="18"/>
        <v>1129.0828976241899</v>
      </c>
      <c r="J72" s="63">
        <f t="shared" si="19"/>
        <v>199.24992311015117</v>
      </c>
      <c r="K72" s="62"/>
      <c r="M72" s="58">
        <v>0</v>
      </c>
      <c r="N72" s="58">
        <v>0</v>
      </c>
      <c r="O72" s="58">
        <v>0.85</v>
      </c>
      <c r="P72" s="58">
        <v>0.15</v>
      </c>
    </row>
    <row r="73" spans="2:16" outlineLevel="1" x14ac:dyDescent="0.45">
      <c r="B73" s="74"/>
      <c r="C73" s="91"/>
      <c r="D73" s="103" t="s">
        <v>294</v>
      </c>
      <c r="E73" s="91"/>
      <c r="F73" s="63">
        <f>SUBTOTAL(9,F66:F72)</f>
        <v>238553.52811041623</v>
      </c>
      <c r="G73" s="63">
        <f>SUBTOTAL(9,G66:G72)</f>
        <v>138547.67112588984</v>
      </c>
      <c r="H73" s="63">
        <f>SUBTOTAL(9,H66:H72)</f>
        <v>37051.405079293734</v>
      </c>
      <c r="I73" s="63">
        <f>SUBTOTAL(9,I66:I72)</f>
        <v>52318.342135205181</v>
      </c>
      <c r="J73" s="63">
        <f>SUBTOTAL(9,J66:J72)</f>
        <v>10636.109770027486</v>
      </c>
      <c r="K73" s="62"/>
      <c r="M73" s="58"/>
      <c r="N73" s="58"/>
      <c r="O73" s="58"/>
      <c r="P73" s="58"/>
    </row>
    <row r="74" spans="2:16" x14ac:dyDescent="0.45">
      <c r="B74" s="74"/>
      <c r="C74" s="91"/>
      <c r="D74" s="103" t="s">
        <v>231</v>
      </c>
      <c r="E74" s="91"/>
      <c r="F74" s="63">
        <f>SUBTOTAL(9,F9:F72)</f>
        <v>986665.37326160399</v>
      </c>
      <c r="G74" s="63">
        <f>SUBTOTAL(9,G9:G72)</f>
        <v>723751.5084530348</v>
      </c>
      <c r="H74" s="63">
        <f>SUBTOTAL(9,H9:H72)</f>
        <v>125140.81357720299</v>
      </c>
      <c r="I74" s="63">
        <f>SUBTOTAL(9,I9:I72)</f>
        <v>110369.80739179264</v>
      </c>
      <c r="J74" s="63">
        <f>SUBTOTAL(9,J9:J72)</f>
        <v>27403.243839573923</v>
      </c>
      <c r="K74" s="62"/>
      <c r="M74" s="58"/>
      <c r="N74" s="58"/>
      <c r="O74" s="58"/>
      <c r="P74" s="58"/>
    </row>
    <row r="75" spans="2:16" x14ac:dyDescent="0.45">
      <c r="B75" s="76"/>
      <c r="C75" s="77"/>
      <c r="D75" s="77"/>
      <c r="E75" s="77"/>
      <c r="F75" s="77"/>
      <c r="G75" s="77"/>
      <c r="H75" s="77"/>
      <c r="I75" s="77"/>
      <c r="J75" s="77"/>
      <c r="K75" s="64"/>
    </row>
  </sheetData>
  <sortState xmlns:xlrd2="http://schemas.microsoft.com/office/spreadsheetml/2017/richdata2" ref="C9:P72">
    <sortCondition ref="D9:D72"/>
    <sortCondition ref="C9:C72"/>
  </sortState>
  <mergeCells count="3">
    <mergeCell ref="C3:J3"/>
    <mergeCell ref="C4:J4"/>
    <mergeCell ref="C5:J5"/>
  </mergeCells>
  <pageMargins left="0.7" right="0.7" top="0.75" bottom="0.75" header="0.3" footer="0.3"/>
  <pageSetup scale="5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36"/>
  <sheetViews>
    <sheetView workbookViewId="0">
      <selection activeCell="K27" sqref="A1:K27"/>
    </sheetView>
  </sheetViews>
  <sheetFormatPr defaultRowHeight="15" x14ac:dyDescent="0.4"/>
  <cols>
    <col min="1" max="1" width="3.109375" customWidth="1"/>
    <col min="2" max="2" width="1.33203125" customWidth="1"/>
    <col min="3" max="3" width="23.71875" bestFit="1" customWidth="1"/>
    <col min="4" max="4" width="9.77734375" customWidth="1"/>
    <col min="5" max="9" width="12.609375" customWidth="1"/>
    <col min="10" max="10" width="1.33203125" customWidth="1"/>
    <col min="11" max="11" width="2.609375" customWidth="1"/>
  </cols>
  <sheetData>
    <row r="2" spans="2:11" ht="15.4" x14ac:dyDescent="0.45">
      <c r="B2" s="21"/>
      <c r="C2" s="22"/>
      <c r="D2" s="22"/>
      <c r="E2" s="22"/>
      <c r="F2" s="22"/>
      <c r="G2" s="22"/>
      <c r="H2" s="22"/>
      <c r="I2" s="22"/>
      <c r="J2" s="23"/>
      <c r="K2" s="9"/>
    </row>
    <row r="3" spans="2:11" ht="18" x14ac:dyDescent="0.55000000000000004">
      <c r="B3" s="10"/>
      <c r="C3" s="225" t="s">
        <v>0</v>
      </c>
      <c r="D3" s="225"/>
      <c r="E3" s="225"/>
      <c r="F3" s="225"/>
      <c r="G3" s="225"/>
      <c r="H3" s="225"/>
      <c r="I3" s="225"/>
      <c r="J3" s="24"/>
      <c r="K3" s="17"/>
    </row>
    <row r="4" spans="2:11" ht="18" x14ac:dyDescent="0.55000000000000004">
      <c r="B4" s="10"/>
      <c r="C4" s="15" t="s">
        <v>132</v>
      </c>
      <c r="D4" s="16"/>
      <c r="E4" s="16"/>
      <c r="F4" s="16"/>
      <c r="G4" s="16"/>
      <c r="H4" s="16"/>
      <c r="I4" s="16"/>
      <c r="J4" s="24"/>
      <c r="K4" s="17"/>
    </row>
    <row r="5" spans="2:11" ht="15.4" x14ac:dyDescent="0.45">
      <c r="B5" s="10"/>
      <c r="C5" s="1" t="s">
        <v>92</v>
      </c>
      <c r="D5" s="16"/>
      <c r="E5" s="16"/>
      <c r="F5" s="16"/>
      <c r="G5" s="16"/>
      <c r="H5" s="16"/>
      <c r="I5" s="16"/>
      <c r="J5" s="24"/>
      <c r="K5" s="17"/>
    </row>
    <row r="6" spans="2:11" ht="15.4" x14ac:dyDescent="0.45">
      <c r="B6" s="10"/>
      <c r="C6" s="17"/>
      <c r="D6" s="17"/>
      <c r="E6" s="17"/>
      <c r="F6" s="17"/>
      <c r="G6" s="17"/>
      <c r="H6" s="17"/>
      <c r="I6" s="17"/>
      <c r="J6" s="24"/>
      <c r="K6" s="17"/>
    </row>
    <row r="7" spans="2:11" ht="15.4" x14ac:dyDescent="0.45">
      <c r="B7" s="10"/>
      <c r="C7" s="17"/>
      <c r="D7" s="17"/>
      <c r="E7" s="17"/>
      <c r="F7" s="17"/>
      <c r="G7" s="17"/>
      <c r="H7" s="17"/>
      <c r="I7" s="17"/>
      <c r="J7" s="24"/>
      <c r="K7" s="17"/>
    </row>
    <row r="8" spans="2:11" ht="15.4" x14ac:dyDescent="0.45">
      <c r="B8" s="10"/>
      <c r="C8" s="17"/>
      <c r="D8" s="51"/>
      <c r="E8" s="18" t="s">
        <v>75</v>
      </c>
      <c r="F8" s="18" t="s">
        <v>251</v>
      </c>
      <c r="G8" s="18" t="s">
        <v>122</v>
      </c>
      <c r="H8" s="18" t="s">
        <v>252</v>
      </c>
      <c r="I8" s="18"/>
      <c r="J8" s="24"/>
      <c r="K8" s="17"/>
    </row>
    <row r="9" spans="2:11" ht="15.4" x14ac:dyDescent="0.45">
      <c r="B9" s="10"/>
      <c r="C9" s="17"/>
      <c r="D9" s="18" t="s">
        <v>8</v>
      </c>
      <c r="E9" s="18" t="s">
        <v>76</v>
      </c>
      <c r="F9" s="18" t="s">
        <v>29</v>
      </c>
      <c r="G9" s="18" t="s">
        <v>123</v>
      </c>
      <c r="H9" s="18" t="s">
        <v>253</v>
      </c>
      <c r="I9" s="18" t="s">
        <v>25</v>
      </c>
      <c r="J9" s="24"/>
      <c r="K9" s="17"/>
    </row>
    <row r="10" spans="2:11" ht="15.4" x14ac:dyDescent="0.45">
      <c r="B10" s="10"/>
      <c r="C10" s="17"/>
      <c r="D10" s="17"/>
      <c r="E10" s="17"/>
      <c r="F10" s="17"/>
      <c r="G10" s="17"/>
      <c r="H10" s="17"/>
      <c r="I10" s="17"/>
      <c r="J10" s="24"/>
      <c r="K10" s="17"/>
    </row>
    <row r="11" spans="2:11" ht="15.4" x14ac:dyDescent="0.45">
      <c r="B11" s="10"/>
      <c r="C11" s="17" t="s">
        <v>248</v>
      </c>
      <c r="D11" s="53">
        <v>384.21</v>
      </c>
      <c r="E11" s="53">
        <f>D11</f>
        <v>384.21</v>
      </c>
      <c r="F11" s="53">
        <v>0</v>
      </c>
      <c r="G11" s="53">
        <v>0</v>
      </c>
      <c r="H11" s="53">
        <v>0</v>
      </c>
      <c r="I11" s="53">
        <v>0</v>
      </c>
      <c r="J11" s="24"/>
      <c r="K11" s="9"/>
    </row>
    <row r="12" spans="2:11" ht="15.4" x14ac:dyDescent="0.45">
      <c r="B12" s="10"/>
      <c r="C12" s="17" t="s">
        <v>249</v>
      </c>
      <c r="D12" s="53">
        <v>80353.39</v>
      </c>
      <c r="E12" s="53">
        <f>D12</f>
        <v>80353.39</v>
      </c>
      <c r="F12" s="53">
        <v>0</v>
      </c>
      <c r="G12" s="53">
        <v>0</v>
      </c>
      <c r="H12" s="53">
        <v>0</v>
      </c>
      <c r="I12" s="53">
        <v>0</v>
      </c>
      <c r="J12" s="24"/>
      <c r="K12" s="9"/>
    </row>
    <row r="13" spans="2:11" ht="15.4" x14ac:dyDescent="0.45">
      <c r="B13" s="10"/>
      <c r="C13" s="17" t="s">
        <v>247</v>
      </c>
      <c r="D13" s="53">
        <v>6599.51</v>
      </c>
      <c r="E13" s="53">
        <f>D13</f>
        <v>6599.51</v>
      </c>
      <c r="F13" s="53">
        <v>0</v>
      </c>
      <c r="G13" s="53">
        <v>0</v>
      </c>
      <c r="H13" s="53">
        <v>0</v>
      </c>
      <c r="I13" s="53">
        <v>0</v>
      </c>
      <c r="J13" s="24"/>
      <c r="K13" s="9"/>
    </row>
    <row r="14" spans="2:11" ht="15.4" x14ac:dyDescent="0.45">
      <c r="B14" s="10"/>
      <c r="C14" s="17" t="s">
        <v>98</v>
      </c>
      <c r="D14" s="53">
        <v>28799.65</v>
      </c>
      <c r="E14" s="53">
        <v>0</v>
      </c>
      <c r="F14" s="53">
        <v>0</v>
      </c>
      <c r="G14" s="53">
        <f>D14</f>
        <v>28799.65</v>
      </c>
      <c r="H14" s="53">
        <v>0</v>
      </c>
      <c r="I14" s="53">
        <v>0</v>
      </c>
      <c r="J14" s="24"/>
      <c r="K14" s="17"/>
    </row>
    <row r="15" spans="2:11" ht="15.4" x14ac:dyDescent="0.45">
      <c r="B15" s="10"/>
      <c r="C15" s="17" t="s">
        <v>250</v>
      </c>
      <c r="D15" s="53">
        <v>24250</v>
      </c>
      <c r="E15" s="53">
        <v>0</v>
      </c>
      <c r="F15" s="53">
        <v>0</v>
      </c>
      <c r="G15" s="53">
        <f>D15</f>
        <v>24250</v>
      </c>
      <c r="H15" s="53">
        <v>0</v>
      </c>
      <c r="I15" s="53">
        <v>0</v>
      </c>
      <c r="J15" s="24"/>
      <c r="K15" s="17"/>
    </row>
    <row r="16" spans="2:11" ht="15.4" x14ac:dyDescent="0.45">
      <c r="B16" s="10"/>
      <c r="C16" s="17" t="s">
        <v>102</v>
      </c>
      <c r="D16" s="53">
        <v>4996.8</v>
      </c>
      <c r="E16" s="53">
        <v>0</v>
      </c>
      <c r="F16" s="53">
        <f>D16</f>
        <v>4996.8</v>
      </c>
      <c r="G16" s="53">
        <v>0</v>
      </c>
      <c r="H16" s="53">
        <v>0</v>
      </c>
      <c r="I16" s="53">
        <v>0</v>
      </c>
      <c r="J16" s="24"/>
      <c r="K16" s="17"/>
    </row>
    <row r="17" spans="2:11" ht="15.4" x14ac:dyDescent="0.45">
      <c r="B17" s="10"/>
      <c r="C17" s="17" t="s">
        <v>103</v>
      </c>
      <c r="D17" s="53">
        <v>50770.23</v>
      </c>
      <c r="E17" s="53">
        <v>0</v>
      </c>
      <c r="F17" s="53">
        <f>D17</f>
        <v>50770.23</v>
      </c>
      <c r="G17" s="53">
        <v>0</v>
      </c>
      <c r="H17" s="53">
        <v>0</v>
      </c>
      <c r="I17" s="53">
        <v>0</v>
      </c>
      <c r="J17" s="24"/>
      <c r="K17" s="17"/>
    </row>
    <row r="18" spans="2:11" ht="15.4" x14ac:dyDescent="0.45">
      <c r="B18" s="10"/>
      <c r="C18" s="17" t="s">
        <v>104</v>
      </c>
      <c r="D18" s="53">
        <v>883.46</v>
      </c>
      <c r="E18" s="53">
        <v>0</v>
      </c>
      <c r="F18" s="53">
        <v>0</v>
      </c>
      <c r="G18" s="53">
        <v>0</v>
      </c>
      <c r="H18" s="53">
        <v>0</v>
      </c>
      <c r="I18" s="53">
        <f>D18</f>
        <v>883.46</v>
      </c>
      <c r="J18" s="24"/>
      <c r="K18" s="17"/>
    </row>
    <row r="19" spans="2:11" ht="15.4" x14ac:dyDescent="0.45">
      <c r="B19" s="10"/>
      <c r="C19" s="17" t="s">
        <v>100</v>
      </c>
      <c r="D19" s="53">
        <v>12237.84</v>
      </c>
      <c r="E19" s="53">
        <v>0</v>
      </c>
      <c r="F19" s="53">
        <v>0</v>
      </c>
      <c r="G19" s="53">
        <v>0</v>
      </c>
      <c r="H19" s="53">
        <v>0</v>
      </c>
      <c r="I19" s="53">
        <f>D19</f>
        <v>12237.84</v>
      </c>
      <c r="J19" s="24"/>
      <c r="K19" s="17"/>
    </row>
    <row r="20" spans="2:11" ht="15.4" x14ac:dyDescent="0.45">
      <c r="B20" s="10"/>
      <c r="C20" s="17" t="s">
        <v>99</v>
      </c>
      <c r="D20" s="53">
        <v>505.09</v>
      </c>
      <c r="E20" s="53">
        <v>0</v>
      </c>
      <c r="F20" s="53">
        <v>0</v>
      </c>
      <c r="G20" s="53">
        <v>0</v>
      </c>
      <c r="H20" s="53">
        <v>0</v>
      </c>
      <c r="I20" s="53">
        <f>D20</f>
        <v>505.09</v>
      </c>
      <c r="J20" s="24"/>
      <c r="K20" s="17"/>
    </row>
    <row r="21" spans="2:11" ht="15.4" x14ac:dyDescent="0.45">
      <c r="B21" s="10"/>
      <c r="C21" s="17" t="s">
        <v>12</v>
      </c>
      <c r="D21" s="53">
        <v>753.21</v>
      </c>
      <c r="E21" s="53">
        <v>0</v>
      </c>
      <c r="F21" s="53">
        <v>0</v>
      </c>
      <c r="G21" s="53">
        <v>0</v>
      </c>
      <c r="H21" s="53">
        <f>D21-I21</f>
        <v>112.98149999999998</v>
      </c>
      <c r="I21" s="53">
        <f>D21*0.85</f>
        <v>640.22850000000005</v>
      </c>
      <c r="J21" s="24"/>
    </row>
    <row r="22" spans="2:11" ht="15.4" x14ac:dyDescent="0.45">
      <c r="B22" s="10"/>
      <c r="C22" s="17" t="s">
        <v>9</v>
      </c>
      <c r="D22" s="53">
        <v>1213.67</v>
      </c>
      <c r="E22" s="53">
        <f>Matrix!M47*Depreciation!D22</f>
        <v>991.56839000000002</v>
      </c>
      <c r="F22" s="53">
        <f>Matrix!N47*Depreciation!D22</f>
        <v>222.10161000000002</v>
      </c>
      <c r="G22" s="53">
        <v>0</v>
      </c>
      <c r="H22" s="53">
        <v>0</v>
      </c>
      <c r="I22" s="53">
        <v>0</v>
      </c>
      <c r="J22" s="24"/>
      <c r="K22" s="17"/>
    </row>
    <row r="23" spans="2:11" ht="15.4" x14ac:dyDescent="0.45">
      <c r="B23" s="10"/>
      <c r="C23" s="17" t="s">
        <v>101</v>
      </c>
      <c r="D23" s="108">
        <v>2554.2600000000002</v>
      </c>
      <c r="E23" s="108">
        <v>0</v>
      </c>
      <c r="F23" s="108">
        <v>0</v>
      </c>
      <c r="G23" s="108">
        <v>0</v>
      </c>
      <c r="H23" s="108">
        <f>D23-I23</f>
        <v>383.13900000000012</v>
      </c>
      <c r="I23" s="108">
        <f>D23*0.85</f>
        <v>2171.1210000000001</v>
      </c>
      <c r="J23" s="28"/>
      <c r="K23" s="17"/>
    </row>
    <row r="24" spans="2:11" ht="15.4" x14ac:dyDescent="0.45">
      <c r="B24" s="10"/>
      <c r="C24" s="17"/>
      <c r="D24" s="17"/>
      <c r="E24" s="17"/>
      <c r="F24" s="17"/>
      <c r="G24" s="17"/>
      <c r="H24" s="17"/>
      <c r="I24" s="17"/>
      <c r="J24" s="24"/>
      <c r="K24" s="17"/>
    </row>
    <row r="25" spans="2:11" ht="15.4" x14ac:dyDescent="0.45">
      <c r="B25" s="10"/>
      <c r="C25" s="19" t="s">
        <v>140</v>
      </c>
      <c r="D25" s="25">
        <f>SUM(D11:D24)</f>
        <v>214301.32</v>
      </c>
      <c r="E25" s="25">
        <f t="shared" ref="E25:I25" si="0">SUM(E11:E24)</f>
        <v>88328.678390000001</v>
      </c>
      <c r="F25" s="25">
        <f t="shared" si="0"/>
        <v>55989.131610000004</v>
      </c>
      <c r="G25" s="25">
        <f t="shared" si="0"/>
        <v>53049.65</v>
      </c>
      <c r="H25" s="25">
        <f t="shared" si="0"/>
        <v>496.12050000000011</v>
      </c>
      <c r="I25" s="25">
        <f t="shared" si="0"/>
        <v>16437.7395</v>
      </c>
      <c r="J25" s="24"/>
      <c r="K25" s="17"/>
    </row>
    <row r="26" spans="2:11" ht="15.4" x14ac:dyDescent="0.45">
      <c r="B26" s="26"/>
      <c r="C26" s="27"/>
      <c r="D26" s="27"/>
      <c r="E26" s="27"/>
      <c r="F26" s="27"/>
      <c r="G26" s="27"/>
      <c r="H26" s="27"/>
      <c r="I26" s="27"/>
      <c r="J26" s="28"/>
      <c r="K26" s="17"/>
    </row>
    <row r="27" spans="2:11" ht="15.4" x14ac:dyDescent="0.45">
      <c r="B27" s="9"/>
      <c r="C27" s="17"/>
      <c r="D27" s="17"/>
      <c r="E27" s="29"/>
      <c r="F27" s="25"/>
      <c r="G27" s="25"/>
      <c r="H27" s="29"/>
      <c r="I27" s="29"/>
      <c r="J27" s="17"/>
      <c r="K27" s="29"/>
    </row>
    <row r="28" spans="2:11" ht="15.4" x14ac:dyDescent="0.45">
      <c r="B28" s="9"/>
      <c r="C28" s="17"/>
      <c r="E28" s="17"/>
      <c r="F28" s="17"/>
      <c r="G28" s="17"/>
      <c r="H28" s="17"/>
      <c r="I28" s="17"/>
      <c r="J28" s="17"/>
      <c r="K28" s="17"/>
    </row>
    <row r="31" spans="2:11" ht="15.4" x14ac:dyDescent="0.45">
      <c r="C31" s="90"/>
      <c r="D31" s="17"/>
    </row>
    <row r="32" spans="2:11" ht="15.4" x14ac:dyDescent="0.45">
      <c r="C32" s="67"/>
      <c r="D32" s="17"/>
    </row>
    <row r="33" spans="3:4" ht="15.4" x14ac:dyDescent="0.45">
      <c r="C33" s="67"/>
      <c r="D33" s="17"/>
    </row>
    <row r="34" spans="3:4" ht="15.4" x14ac:dyDescent="0.45">
      <c r="C34" s="67"/>
      <c r="D34" s="17"/>
    </row>
    <row r="35" spans="3:4" ht="15.4" x14ac:dyDescent="0.45">
      <c r="C35" s="67"/>
      <c r="D35" s="17"/>
    </row>
    <row r="36" spans="3:4" ht="15.4" x14ac:dyDescent="0.45">
      <c r="C36" s="67"/>
      <c r="D36" s="17"/>
    </row>
  </sheetData>
  <mergeCells count="1">
    <mergeCell ref="C3:I3"/>
  </mergeCells>
  <printOptions horizontalCentered="1"/>
  <pageMargins left="0.7" right="0.7" top="1.25" bottom="0.75" header="0.3" footer="0.3"/>
  <pageSetup scale="7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A30A-236E-4C11-B44C-ECBAEA3147D0}">
  <sheetPr>
    <pageSetUpPr fitToPage="1"/>
  </sheetPr>
  <dimension ref="B1:R16"/>
  <sheetViews>
    <sheetView workbookViewId="0">
      <selection activeCell="Q17" sqref="A1:Q17"/>
    </sheetView>
  </sheetViews>
  <sheetFormatPr defaultRowHeight="15" x14ac:dyDescent="0.4"/>
  <cols>
    <col min="1" max="1" width="1.77734375" customWidth="1"/>
    <col min="2" max="2" width="18.6640625" customWidth="1"/>
    <col min="3" max="12" width="7.77734375" customWidth="1"/>
    <col min="13" max="13" width="11.88671875" bestFit="1" customWidth="1"/>
    <col min="14" max="15" width="10.6640625" customWidth="1"/>
    <col min="16" max="16" width="0.77734375" customWidth="1"/>
    <col min="17" max="17" width="2.33203125" customWidth="1"/>
    <col min="18" max="18" width="9.6640625" customWidth="1"/>
  </cols>
  <sheetData>
    <row r="1" spans="2:18" ht="15.4" x14ac:dyDescent="0.4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18" ht="15.4" x14ac:dyDescent="0.45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09"/>
      <c r="R2" s="109"/>
    </row>
    <row r="3" spans="2:18" ht="18" x14ac:dyDescent="0.55000000000000004">
      <c r="B3" s="113" t="s">
        <v>30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109"/>
      <c r="R3" s="109"/>
    </row>
    <row r="4" spans="2:18" ht="18" x14ac:dyDescent="0.55000000000000004">
      <c r="B4" s="116" t="s">
        <v>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5"/>
      <c r="Q4" s="109"/>
      <c r="R4" s="109"/>
    </row>
    <row r="5" spans="2:18" ht="15.4" x14ac:dyDescent="0.45">
      <c r="B5" s="221" t="s">
        <v>92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09"/>
      <c r="R5" s="109"/>
    </row>
    <row r="6" spans="2:18" ht="15.75" x14ac:dyDescent="0.5">
      <c r="B6" s="118" t="s">
        <v>254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5"/>
      <c r="Q6" s="109"/>
      <c r="R6" s="109"/>
    </row>
    <row r="7" spans="2:18" ht="15.4" x14ac:dyDescent="0.45">
      <c r="B7" s="12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5"/>
      <c r="Q7" s="109"/>
      <c r="R7" s="109"/>
    </row>
    <row r="8" spans="2:18" ht="15.4" x14ac:dyDescent="0.45">
      <c r="B8" s="121"/>
      <c r="C8" s="122"/>
      <c r="D8" s="123"/>
      <c r="E8" s="122"/>
      <c r="F8" s="124"/>
      <c r="G8" s="122"/>
      <c r="H8" s="124"/>
      <c r="I8" s="122"/>
      <c r="J8" s="124"/>
      <c r="K8" s="122"/>
      <c r="L8" s="124"/>
      <c r="M8" s="123"/>
      <c r="N8" s="123"/>
      <c r="O8" s="123"/>
      <c r="P8" s="112"/>
      <c r="Q8" s="109"/>
      <c r="R8" s="109"/>
    </row>
    <row r="9" spans="2:18" ht="16.5" x14ac:dyDescent="0.45">
      <c r="B9" s="125"/>
      <c r="C9" s="226" t="s">
        <v>255</v>
      </c>
      <c r="D9" s="227"/>
      <c r="E9" s="226" t="s">
        <v>256</v>
      </c>
      <c r="F9" s="227"/>
      <c r="G9" s="226" t="s">
        <v>257</v>
      </c>
      <c r="H9" s="227"/>
      <c r="I9" s="226" t="s">
        <v>258</v>
      </c>
      <c r="J9" s="227"/>
      <c r="K9" s="226" t="s">
        <v>259</v>
      </c>
      <c r="L9" s="227"/>
      <c r="M9" s="148" t="s">
        <v>261</v>
      </c>
      <c r="N9" s="148" t="s">
        <v>261</v>
      </c>
      <c r="O9" s="148" t="s">
        <v>261</v>
      </c>
      <c r="P9" s="115"/>
      <c r="Q9" s="109"/>
      <c r="R9" s="109"/>
    </row>
    <row r="10" spans="2:18" ht="16.5" x14ac:dyDescent="0.45">
      <c r="B10" s="125"/>
      <c r="C10" s="127"/>
      <c r="D10" s="128" t="s">
        <v>7</v>
      </c>
      <c r="E10" s="129"/>
      <c r="F10" s="128" t="s">
        <v>7</v>
      </c>
      <c r="G10" s="129"/>
      <c r="H10" s="128" t="s">
        <v>7</v>
      </c>
      <c r="I10" s="129"/>
      <c r="J10" s="128" t="s">
        <v>7</v>
      </c>
      <c r="K10" s="129"/>
      <c r="L10" s="128" t="s">
        <v>7</v>
      </c>
      <c r="M10" s="148" t="s">
        <v>262</v>
      </c>
      <c r="N10" s="148" t="s">
        <v>262</v>
      </c>
      <c r="O10" s="148" t="s">
        <v>262</v>
      </c>
      <c r="P10" s="115"/>
      <c r="Q10" s="109"/>
      <c r="R10" s="109"/>
    </row>
    <row r="11" spans="2:18" ht="16.5" x14ac:dyDescent="0.45">
      <c r="B11" s="125"/>
      <c r="C11" s="127" t="s">
        <v>6</v>
      </c>
      <c r="D11" s="126" t="s">
        <v>260</v>
      </c>
      <c r="E11" s="127" t="s">
        <v>6</v>
      </c>
      <c r="F11" s="126" t="s">
        <v>260</v>
      </c>
      <c r="G11" s="127" t="s">
        <v>6</v>
      </c>
      <c r="H11" s="126" t="s">
        <v>260</v>
      </c>
      <c r="I11" s="127" t="s">
        <v>6</v>
      </c>
      <c r="J11" s="126" t="s">
        <v>260</v>
      </c>
      <c r="K11" s="127" t="s">
        <v>6</v>
      </c>
      <c r="L11" s="126" t="s">
        <v>260</v>
      </c>
      <c r="M11" s="130" t="s">
        <v>96</v>
      </c>
      <c r="N11" s="130" t="s">
        <v>95</v>
      </c>
      <c r="O11" s="130" t="s">
        <v>16</v>
      </c>
      <c r="P11" s="115"/>
      <c r="Q11" s="109"/>
      <c r="R11" s="109"/>
    </row>
    <row r="12" spans="2:18" ht="15.4" x14ac:dyDescent="0.45">
      <c r="B12" s="125" t="s">
        <v>267</v>
      </c>
      <c r="C12" s="161">
        <v>10000</v>
      </c>
      <c r="D12" s="162">
        <v>14087</v>
      </c>
      <c r="E12" s="161">
        <v>10500</v>
      </c>
      <c r="F12" s="163">
        <v>13674</v>
      </c>
      <c r="G12" s="161">
        <v>11000</v>
      </c>
      <c r="H12" s="163">
        <v>13241</v>
      </c>
      <c r="I12" s="161">
        <v>11500</v>
      </c>
      <c r="J12" s="163">
        <v>12788</v>
      </c>
      <c r="K12" s="161">
        <v>12000</v>
      </c>
      <c r="L12" s="163">
        <v>12313</v>
      </c>
      <c r="M12" s="131">
        <f t="shared" ref="M12" si="0">SUM(C12:L12)/5</f>
        <v>24220.6</v>
      </c>
      <c r="N12" s="131">
        <f t="shared" ref="N12" si="1">M12*0.2</f>
        <v>4844.12</v>
      </c>
      <c r="O12" s="131">
        <f t="shared" ref="O12" si="2">M12+N12</f>
        <v>29064.719999999998</v>
      </c>
      <c r="P12" s="115"/>
      <c r="Q12" s="109"/>
      <c r="R12" s="109"/>
    </row>
    <row r="13" spans="2:18" ht="15.4" x14ac:dyDescent="0.45">
      <c r="B13" s="132" t="s">
        <v>266</v>
      </c>
      <c r="C13" s="133">
        <f>25035.11+25160.28</f>
        <v>50195.39</v>
      </c>
      <c r="D13" s="134">
        <f>1944.79+1819.62+486.2+454.91</f>
        <v>4705.5199999999995</v>
      </c>
      <c r="E13" s="133">
        <f>25286.08+25412.51</f>
        <v>50698.59</v>
      </c>
      <c r="F13" s="135">
        <f>1693.82+1567.39+423.46+391.84</f>
        <v>4076.51</v>
      </c>
      <c r="G13" s="136">
        <f>25539.58+25667.28</f>
        <v>51206.86</v>
      </c>
      <c r="H13" s="136">
        <f>1440.32+1312.62+360.09+328.16</f>
        <v>3441.1899999999996</v>
      </c>
      <c r="I13" s="133">
        <f>25795.61+25924.59</f>
        <v>51720.2</v>
      </c>
      <c r="J13" s="136">
        <f>1184.29+1055.31+296.07+263.83</f>
        <v>2799.5</v>
      </c>
      <c r="K13" s="133">
        <f>26054.21+26184.48</f>
        <v>52238.69</v>
      </c>
      <c r="L13" s="135">
        <f>925.69+795.42+231.42+198.85</f>
        <v>2151.38</v>
      </c>
      <c r="M13" s="131">
        <f t="shared" ref="M13:M14" si="3">SUM(C13:L13)/5</f>
        <v>54646.766000000003</v>
      </c>
      <c r="N13" s="131">
        <f t="shared" ref="N13:N14" si="4">M13*0.2</f>
        <v>10929.353200000001</v>
      </c>
      <c r="O13" s="131">
        <f t="shared" ref="O13:O14" si="5">M13+N13</f>
        <v>65576.119200000001</v>
      </c>
      <c r="P13" s="115"/>
      <c r="Q13" s="109"/>
      <c r="R13" s="109"/>
    </row>
    <row r="14" spans="2:18" ht="15.4" x14ac:dyDescent="0.45">
      <c r="B14" s="132" t="s">
        <v>265</v>
      </c>
      <c r="C14" s="146">
        <f>6957.67+6983.76</f>
        <v>13941.43</v>
      </c>
      <c r="D14" s="147">
        <f>711.15+685.06+189.64+182.68</f>
        <v>1768.53</v>
      </c>
      <c r="E14" s="146">
        <f>7009.95+7036.24</f>
        <v>14046.189999999999</v>
      </c>
      <c r="F14" s="156">
        <f>658.87+632.58+175.7+168.69</f>
        <v>1635.8400000000001</v>
      </c>
      <c r="G14" s="157">
        <f>7062.63+7089.11</f>
        <v>14151.74</v>
      </c>
      <c r="H14" s="147">
        <f>606.19+579.71+161.65+154.59</f>
        <v>1502.14</v>
      </c>
      <c r="I14" s="146">
        <f>7115.7+7142.38</f>
        <v>14258.08</v>
      </c>
      <c r="J14" s="147">
        <f>553.12+526.44+147.5+140.38</f>
        <v>1367.44</v>
      </c>
      <c r="K14" s="146">
        <f>7169.16+7196.05</f>
        <v>14365.21</v>
      </c>
      <c r="L14" s="156">
        <f>499.66+472.77+133.24+126.07</f>
        <v>1231.74</v>
      </c>
      <c r="M14" s="149">
        <f t="shared" si="3"/>
        <v>15653.668000000001</v>
      </c>
      <c r="N14" s="149">
        <f t="shared" si="4"/>
        <v>3130.7336000000005</v>
      </c>
      <c r="O14" s="149">
        <f t="shared" si="5"/>
        <v>18784.401600000001</v>
      </c>
      <c r="P14" s="145"/>
      <c r="Q14" s="109"/>
      <c r="R14" s="109"/>
    </row>
    <row r="15" spans="2:18" ht="15.4" x14ac:dyDescent="0.45">
      <c r="B15" s="137" t="s">
        <v>1</v>
      </c>
      <c r="C15" s="138">
        <f>SUM(C12:C14)</f>
        <v>74136.820000000007</v>
      </c>
      <c r="D15" s="139">
        <f>SUM(D12:D14)</f>
        <v>20561.05</v>
      </c>
      <c r="E15" s="138">
        <f t="shared" ref="E15:L15" si="6">SUM(E12:E14)</f>
        <v>75244.78</v>
      </c>
      <c r="F15" s="139">
        <f t="shared" si="6"/>
        <v>19386.350000000002</v>
      </c>
      <c r="G15" s="138">
        <f t="shared" si="6"/>
        <v>76358.600000000006</v>
      </c>
      <c r="H15" s="139">
        <f t="shared" si="6"/>
        <v>18184.329999999998</v>
      </c>
      <c r="I15" s="138">
        <f t="shared" si="6"/>
        <v>77478.28</v>
      </c>
      <c r="J15" s="139">
        <f t="shared" si="6"/>
        <v>16954.939999999999</v>
      </c>
      <c r="K15" s="138">
        <f t="shared" si="6"/>
        <v>78603.899999999994</v>
      </c>
      <c r="L15" s="139">
        <f t="shared" si="6"/>
        <v>15696.12</v>
      </c>
      <c r="M15" s="140">
        <f>SUM(M12:M14)</f>
        <v>94521.034000000014</v>
      </c>
      <c r="N15" s="140">
        <f>SUM(N12:N14)</f>
        <v>18904.2068</v>
      </c>
      <c r="O15" s="140">
        <f>SUM(O12:O14)</f>
        <v>113425.2408</v>
      </c>
      <c r="P15" s="115"/>
      <c r="Q15" s="109"/>
      <c r="R15" s="109"/>
    </row>
    <row r="16" spans="2:18" ht="15.4" x14ac:dyDescent="0.45">
      <c r="B16" s="141"/>
      <c r="C16" s="142"/>
      <c r="D16" s="143"/>
      <c r="E16" s="142"/>
      <c r="F16" s="144"/>
      <c r="G16" s="142"/>
      <c r="H16" s="144"/>
      <c r="I16" s="142"/>
      <c r="J16" s="144"/>
      <c r="K16" s="142"/>
      <c r="L16" s="144"/>
      <c r="M16" s="143"/>
      <c r="N16" s="143"/>
      <c r="O16" s="143"/>
      <c r="P16" s="145"/>
      <c r="Q16" s="109"/>
      <c r="R16" s="109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7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0DFC-3825-4794-AB48-C9D0AC192887}">
  <sheetPr>
    <pageSetUpPr fitToPage="1"/>
  </sheetPr>
  <dimension ref="B2:N22"/>
  <sheetViews>
    <sheetView workbookViewId="0">
      <selection activeCell="J17" sqref="A1:J17"/>
    </sheetView>
  </sheetViews>
  <sheetFormatPr defaultColWidth="8.88671875" defaultRowHeight="14.25" x14ac:dyDescent="0.45"/>
  <cols>
    <col min="1" max="1" width="4.21875" style="9" customWidth="1"/>
    <col min="2" max="2" width="1.109375" style="9" customWidth="1"/>
    <col min="3" max="3" width="20.609375" style="9" customWidth="1"/>
    <col min="4" max="4" width="32.609375" style="9" customWidth="1"/>
    <col min="5" max="8" width="12.609375" style="9" customWidth="1"/>
    <col min="9" max="9" width="1.33203125" style="9" customWidth="1"/>
    <col min="10" max="10" width="2.6640625" style="9" customWidth="1"/>
    <col min="11" max="16384" width="8.88671875" style="9"/>
  </cols>
  <sheetData>
    <row r="2" spans="2:14" x14ac:dyDescent="0.45">
      <c r="B2" s="21"/>
      <c r="C2" s="22"/>
      <c r="D2" s="22"/>
      <c r="E2" s="22"/>
      <c r="F2" s="22"/>
      <c r="G2" s="22"/>
      <c r="H2" s="22"/>
      <c r="I2" s="23"/>
    </row>
    <row r="3" spans="2:14" ht="18" x14ac:dyDescent="0.55000000000000004">
      <c r="B3" s="10"/>
      <c r="C3" s="225" t="s">
        <v>50</v>
      </c>
      <c r="D3" s="225"/>
      <c r="E3" s="225"/>
      <c r="F3" s="225"/>
      <c r="G3" s="225"/>
      <c r="H3" s="225"/>
      <c r="I3" s="24"/>
      <c r="J3" s="17"/>
    </row>
    <row r="4" spans="2:14" ht="18" x14ac:dyDescent="0.55000000000000004">
      <c r="B4" s="10"/>
      <c r="C4" s="15" t="s">
        <v>97</v>
      </c>
      <c r="D4" s="15"/>
      <c r="E4" s="72"/>
      <c r="F4" s="72"/>
      <c r="G4" s="72"/>
      <c r="H4" s="72"/>
      <c r="I4" s="24"/>
      <c r="J4" s="17"/>
    </row>
    <row r="5" spans="2:14" ht="15.75" x14ac:dyDescent="0.45">
      <c r="B5" s="10"/>
      <c r="C5" s="228" t="s">
        <v>92</v>
      </c>
      <c r="D5" s="228"/>
      <c r="E5" s="228"/>
      <c r="F5" s="228"/>
      <c r="G5" s="228"/>
      <c r="H5" s="228"/>
      <c r="I5" s="24"/>
      <c r="J5" s="70"/>
      <c r="K5" s="70"/>
      <c r="L5" s="70"/>
      <c r="M5" s="70"/>
      <c r="N5" s="70"/>
    </row>
    <row r="6" spans="2:14" x14ac:dyDescent="0.45">
      <c r="B6" s="10"/>
      <c r="C6" s="17"/>
      <c r="D6" s="17"/>
      <c r="E6" s="17"/>
      <c r="F6" s="17"/>
      <c r="G6" s="17"/>
      <c r="H6" s="17"/>
      <c r="I6" s="24"/>
      <c r="J6" s="17"/>
    </row>
    <row r="7" spans="2:14" x14ac:dyDescent="0.45">
      <c r="B7" s="10"/>
      <c r="C7" s="17"/>
      <c r="D7" s="17"/>
      <c r="E7" s="25" t="s">
        <v>263</v>
      </c>
      <c r="F7" s="17"/>
      <c r="G7" s="17"/>
      <c r="H7" s="17"/>
      <c r="I7" s="24"/>
      <c r="J7" s="17"/>
    </row>
    <row r="8" spans="2:14" x14ac:dyDescent="0.45">
      <c r="B8" s="10"/>
      <c r="C8" s="17"/>
      <c r="D8" s="17"/>
      <c r="E8" s="150" t="s">
        <v>96</v>
      </c>
      <c r="F8" s="204" t="s">
        <v>75</v>
      </c>
      <c r="G8" s="204" t="s">
        <v>251</v>
      </c>
      <c r="H8" s="204" t="s">
        <v>122</v>
      </c>
      <c r="I8" s="24"/>
      <c r="J8" s="17"/>
    </row>
    <row r="9" spans="2:14" x14ac:dyDescent="0.45">
      <c r="B9" s="10"/>
      <c r="C9" s="152" t="s">
        <v>264</v>
      </c>
      <c r="D9" s="153" t="s">
        <v>93</v>
      </c>
      <c r="E9" s="153" t="s">
        <v>127</v>
      </c>
      <c r="F9" s="154" t="s">
        <v>76</v>
      </c>
      <c r="G9" s="154" t="s">
        <v>29</v>
      </c>
      <c r="H9" s="154" t="s">
        <v>123</v>
      </c>
      <c r="I9" s="24"/>
      <c r="J9" s="17"/>
    </row>
    <row r="10" spans="2:14" x14ac:dyDescent="0.45">
      <c r="B10" s="10"/>
      <c r="C10" s="131"/>
      <c r="D10" s="131"/>
      <c r="E10" s="131"/>
      <c r="F10" s="53"/>
      <c r="G10" s="53"/>
      <c r="H10" s="53"/>
      <c r="I10" s="24"/>
      <c r="J10" s="17"/>
    </row>
    <row r="11" spans="2:14" x14ac:dyDescent="0.45">
      <c r="B11" s="10"/>
      <c r="C11" s="151" t="str">
        <f>'Debt Service'!B12</f>
        <v>Series 2007 Bonds #91-03</v>
      </c>
      <c r="D11" s="66" t="s">
        <v>94</v>
      </c>
      <c r="E11" s="82">
        <f>'Debt Service'!O12</f>
        <v>29064.719999999998</v>
      </c>
      <c r="F11" s="53">
        <v>0</v>
      </c>
      <c r="G11" s="57">
        <v>0</v>
      </c>
      <c r="H11" s="53">
        <f>E11</f>
        <v>29064.719999999998</v>
      </c>
      <c r="I11" s="24"/>
      <c r="J11" s="17"/>
    </row>
    <row r="12" spans="2:14" x14ac:dyDescent="0.45">
      <c r="B12" s="10"/>
      <c r="C12" s="151" t="str">
        <f>'Debt Service'!B13</f>
        <v>2009 KIA Loan #B14-002</v>
      </c>
      <c r="D12" s="66" t="s">
        <v>268</v>
      </c>
      <c r="E12" s="82">
        <f>'Debt Service'!O13</f>
        <v>65576.119200000001</v>
      </c>
      <c r="F12" s="53">
        <v>0</v>
      </c>
      <c r="G12" s="158">
        <f>E12</f>
        <v>65576.119200000001</v>
      </c>
      <c r="H12" s="53">
        <v>0</v>
      </c>
      <c r="I12" s="24"/>
      <c r="J12" s="17"/>
    </row>
    <row r="13" spans="2:14" ht="16.5" x14ac:dyDescent="0.75">
      <c r="B13" s="10"/>
      <c r="C13" s="151" t="str">
        <f>'Debt Service'!B14</f>
        <v>2014 KIA Loan #F209-12</v>
      </c>
      <c r="D13" s="66" t="s">
        <v>269</v>
      </c>
      <c r="E13" s="155">
        <f>'Debt Service'!O14</f>
        <v>18784.401600000001</v>
      </c>
      <c r="F13" s="108">
        <f>E13*0.657</f>
        <v>12341.351851200001</v>
      </c>
      <c r="G13" s="160">
        <v>0</v>
      </c>
      <c r="H13" s="108">
        <f>E13*0.343</f>
        <v>6443.049748800001</v>
      </c>
      <c r="I13" s="159"/>
      <c r="J13" s="17"/>
    </row>
    <row r="14" spans="2:14" x14ac:dyDescent="0.45">
      <c r="B14" s="10"/>
      <c r="C14" s="17"/>
      <c r="D14" s="17"/>
      <c r="E14" s="53"/>
      <c r="F14" s="53"/>
      <c r="G14" s="53"/>
      <c r="H14" s="53"/>
      <c r="I14" s="24"/>
      <c r="J14" s="17"/>
    </row>
    <row r="15" spans="2:14" x14ac:dyDescent="0.45">
      <c r="B15" s="10"/>
      <c r="C15" s="9" t="s">
        <v>8</v>
      </c>
      <c r="E15" s="54">
        <f>SUM(E10:E14)</f>
        <v>113425.2408</v>
      </c>
      <c r="F15" s="54">
        <f>SUM(F10:F14)</f>
        <v>12341.351851200001</v>
      </c>
      <c r="G15" s="54">
        <f>SUM(G10:G14)</f>
        <v>65576.119200000001</v>
      </c>
      <c r="H15" s="54">
        <f>SUM(H10:H14)</f>
        <v>35507.769748799998</v>
      </c>
      <c r="I15" s="24"/>
      <c r="K15" s="73">
        <f>SUM(F15:J15)</f>
        <v>113425.2408</v>
      </c>
    </row>
    <row r="16" spans="2:14" x14ac:dyDescent="0.45">
      <c r="B16" s="26"/>
      <c r="C16" s="55"/>
      <c r="D16" s="55"/>
      <c r="E16" s="56"/>
      <c r="F16" s="56"/>
      <c r="G16" s="56"/>
      <c r="H16" s="56"/>
      <c r="I16" s="28"/>
      <c r="J16" s="17"/>
    </row>
    <row r="17" spans="3:10" x14ac:dyDescent="0.45">
      <c r="C17" s="17"/>
      <c r="D17" s="17"/>
      <c r="E17" s="17"/>
      <c r="F17" s="17"/>
      <c r="G17" s="17"/>
      <c r="H17" s="17"/>
      <c r="I17" s="17"/>
      <c r="J17" s="17"/>
    </row>
    <row r="18" spans="3:10" x14ac:dyDescent="0.45">
      <c r="I18" s="17"/>
    </row>
    <row r="21" spans="3:10" x14ac:dyDescent="0.45">
      <c r="D21" s="71"/>
      <c r="E21" s="57"/>
      <c r="F21" s="57"/>
      <c r="H21" s="57"/>
    </row>
    <row r="22" spans="3:10" x14ac:dyDescent="0.45">
      <c r="F22" s="58"/>
      <c r="H22" s="58"/>
    </row>
  </sheetData>
  <mergeCells count="2">
    <mergeCell ref="C3:H3"/>
    <mergeCell ref="C5:H5"/>
  </mergeCells>
  <pageMargins left="0.7" right="0.7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41"/>
  <sheetViews>
    <sheetView topLeftCell="A24" workbookViewId="0">
      <selection activeCell="J39" sqref="A1:J39"/>
    </sheetView>
  </sheetViews>
  <sheetFormatPr defaultRowHeight="15" x14ac:dyDescent="0.4"/>
  <cols>
    <col min="1" max="1" width="3.44140625" customWidth="1"/>
    <col min="2" max="2" width="2.6640625" customWidth="1"/>
    <col min="3" max="8" width="9.6640625" customWidth="1"/>
    <col min="9" max="9" width="2.77734375" customWidth="1"/>
    <col min="10" max="10" width="2.5" customWidth="1"/>
  </cols>
  <sheetData>
    <row r="2" spans="2:20" x14ac:dyDescent="0.4">
      <c r="B2" s="3"/>
      <c r="C2" s="4"/>
      <c r="D2" s="4"/>
      <c r="E2" s="4"/>
      <c r="F2" s="4"/>
      <c r="G2" s="4"/>
      <c r="H2" s="4"/>
      <c r="I2" s="5"/>
    </row>
    <row r="3" spans="2:20" ht="18" x14ac:dyDescent="0.55000000000000004">
      <c r="B3" s="2"/>
      <c r="C3" s="225" t="s">
        <v>78</v>
      </c>
      <c r="D3" s="225"/>
      <c r="E3" s="225"/>
      <c r="F3" s="225"/>
      <c r="G3" s="225"/>
      <c r="H3" s="225"/>
      <c r="I3" s="6"/>
    </row>
    <row r="4" spans="2:20" ht="18" x14ac:dyDescent="0.55000000000000004">
      <c r="B4" s="2"/>
      <c r="C4" s="15" t="s">
        <v>31</v>
      </c>
      <c r="D4" s="16"/>
      <c r="E4" s="16"/>
      <c r="F4" s="16"/>
      <c r="G4" s="16"/>
      <c r="H4" s="16"/>
      <c r="I4" s="6"/>
    </row>
    <row r="5" spans="2:20" ht="15.4" x14ac:dyDescent="0.45">
      <c r="B5" s="2"/>
      <c r="C5" s="1" t="s">
        <v>92</v>
      </c>
      <c r="D5" s="16"/>
      <c r="E5" s="16"/>
      <c r="F5" s="16"/>
      <c r="G5" s="16"/>
      <c r="H5" s="16"/>
      <c r="I5" s="6"/>
    </row>
    <row r="6" spans="2:20" x14ac:dyDescent="0.4">
      <c r="B6" s="2"/>
      <c r="C6" s="13"/>
      <c r="D6" s="13"/>
      <c r="E6" s="13"/>
      <c r="F6" s="13"/>
      <c r="G6" s="13"/>
      <c r="H6" s="13"/>
      <c r="I6" s="6"/>
    </row>
    <row r="7" spans="2:20" x14ac:dyDescent="0.4">
      <c r="B7" s="2"/>
      <c r="C7" s="13"/>
      <c r="D7" s="13"/>
      <c r="E7" s="13"/>
      <c r="F7" s="13"/>
      <c r="G7" s="13"/>
      <c r="H7" s="13"/>
      <c r="I7" s="6"/>
    </row>
    <row r="8" spans="2:20" x14ac:dyDescent="0.4">
      <c r="B8" s="2"/>
      <c r="C8" s="30" t="s">
        <v>32</v>
      </c>
      <c r="D8" s="30"/>
      <c r="E8" s="31"/>
      <c r="F8" s="31"/>
      <c r="G8" s="31"/>
      <c r="H8" s="31"/>
      <c r="I8" s="6"/>
      <c r="L8" s="13"/>
      <c r="M8" s="13"/>
      <c r="N8" s="13"/>
      <c r="O8" s="13"/>
      <c r="P8" s="13"/>
      <c r="Q8" s="13"/>
      <c r="R8" s="13"/>
      <c r="S8" s="13"/>
      <c r="T8" s="13"/>
    </row>
    <row r="9" spans="2:20" ht="6.95" customHeight="1" x14ac:dyDescent="0.4">
      <c r="B9" s="2"/>
      <c r="C9" s="32"/>
      <c r="D9" s="32"/>
      <c r="E9" s="32"/>
      <c r="F9" s="32"/>
      <c r="G9" s="32"/>
      <c r="H9" s="32"/>
      <c r="I9" s="6"/>
      <c r="L9" s="13"/>
      <c r="M9" s="13"/>
      <c r="N9" s="13"/>
      <c r="O9" s="13"/>
      <c r="P9" s="13"/>
      <c r="Q9" s="13"/>
      <c r="R9" s="13"/>
      <c r="S9" s="13"/>
      <c r="T9" s="13"/>
    </row>
    <row r="10" spans="2:20" x14ac:dyDescent="0.4">
      <c r="B10" s="2"/>
      <c r="C10" s="8"/>
      <c r="D10" s="33" t="s">
        <v>33</v>
      </c>
      <c r="E10" s="33"/>
      <c r="F10" s="33"/>
      <c r="G10" s="34" t="s">
        <v>34</v>
      </c>
      <c r="H10" s="33"/>
      <c r="I10" s="6"/>
      <c r="L10" s="13"/>
      <c r="M10" s="216" t="s">
        <v>111</v>
      </c>
      <c r="N10" s="216" t="s">
        <v>105</v>
      </c>
      <c r="O10" s="216" t="s">
        <v>106</v>
      </c>
      <c r="P10" s="216" t="s">
        <v>110</v>
      </c>
      <c r="Q10" s="216" t="s">
        <v>107</v>
      </c>
      <c r="R10" s="216" t="s">
        <v>108</v>
      </c>
      <c r="S10" s="216" t="s">
        <v>109</v>
      </c>
      <c r="T10" s="13"/>
    </row>
    <row r="11" spans="2:20" x14ac:dyDescent="0.4">
      <c r="B11" s="2"/>
      <c r="C11" s="35" t="s">
        <v>35</v>
      </c>
      <c r="D11" s="36" t="s">
        <v>36</v>
      </c>
      <c r="E11" s="36" t="s">
        <v>37</v>
      </c>
      <c r="F11" s="36" t="s">
        <v>38</v>
      </c>
      <c r="G11" s="37" t="s">
        <v>37</v>
      </c>
      <c r="H11" s="36" t="s">
        <v>38</v>
      </c>
      <c r="I11" s="6"/>
      <c r="L11" s="217"/>
      <c r="M11" s="217">
        <v>4.2</v>
      </c>
      <c r="N11" s="217">
        <v>2.2000000000000002</v>
      </c>
      <c r="O11" s="217">
        <v>4.0999999999999996</v>
      </c>
      <c r="P11" s="217">
        <v>1.3</v>
      </c>
      <c r="Q11" s="217">
        <v>10</v>
      </c>
      <c r="R11" s="217">
        <v>11.15</v>
      </c>
      <c r="S11" s="217">
        <v>6.2</v>
      </c>
      <c r="T11" s="13"/>
    </row>
    <row r="12" spans="2:20" x14ac:dyDescent="0.4">
      <c r="B12" s="2"/>
      <c r="C12" s="35" t="s">
        <v>10</v>
      </c>
      <c r="D12" s="35" t="s">
        <v>39</v>
      </c>
      <c r="E12" s="35" t="s">
        <v>40</v>
      </c>
      <c r="F12" s="35" t="s">
        <v>41</v>
      </c>
      <c r="G12" s="38" t="s">
        <v>40</v>
      </c>
      <c r="H12" s="35" t="s">
        <v>41</v>
      </c>
      <c r="I12" s="6"/>
      <c r="L12" s="217"/>
      <c r="M12" s="217">
        <v>3.5</v>
      </c>
      <c r="N12" s="217">
        <v>1.05</v>
      </c>
      <c r="O12" s="217">
        <v>0.4</v>
      </c>
      <c r="P12" s="217"/>
      <c r="Q12" s="217">
        <v>1.2</v>
      </c>
      <c r="R12" s="217"/>
      <c r="S12" s="217"/>
      <c r="T12" s="13"/>
    </row>
    <row r="13" spans="2:20" x14ac:dyDescent="0.4">
      <c r="B13" s="2"/>
      <c r="C13" s="45">
        <v>20</v>
      </c>
      <c r="D13" s="48">
        <v>4772</v>
      </c>
      <c r="E13" s="46">
        <f>D13/5280</f>
        <v>0.90378787878787881</v>
      </c>
      <c r="F13" s="47">
        <f t="shared" ref="F13:F20" si="0">E13*C13</f>
        <v>18.075757575757578</v>
      </c>
      <c r="G13" s="69">
        <f>E13</f>
        <v>0.90378787878787881</v>
      </c>
      <c r="H13" s="47">
        <f t="shared" ref="H13:H14" si="1">G13*C13</f>
        <v>18.075757575757578</v>
      </c>
      <c r="I13" s="6"/>
      <c r="L13" s="217"/>
      <c r="M13" s="217"/>
      <c r="N13" s="217">
        <v>2.9</v>
      </c>
      <c r="O13" s="217">
        <v>4.8</v>
      </c>
      <c r="P13" s="217"/>
      <c r="Q13" s="217">
        <v>2.2000000000000002</v>
      </c>
      <c r="R13" s="217"/>
      <c r="S13" s="217"/>
      <c r="T13" s="13"/>
    </row>
    <row r="14" spans="2:20" x14ac:dyDescent="0.4">
      <c r="B14" s="2"/>
      <c r="C14" s="12">
        <v>16</v>
      </c>
      <c r="D14" s="48">
        <v>7848</v>
      </c>
      <c r="E14" s="46">
        <f>D14/5280</f>
        <v>1.4863636363636363</v>
      </c>
      <c r="F14" s="47">
        <f t="shared" si="0"/>
        <v>23.781818181818181</v>
      </c>
      <c r="G14" s="69">
        <f>E14</f>
        <v>1.4863636363636363</v>
      </c>
      <c r="H14" s="47">
        <f t="shared" si="1"/>
        <v>23.781818181818181</v>
      </c>
      <c r="I14" s="6"/>
      <c r="L14" s="217">
        <v>650</v>
      </c>
      <c r="M14" s="217"/>
      <c r="N14" s="217">
        <v>5.0999999999999996</v>
      </c>
      <c r="O14" s="217">
        <v>8.6999999999999993</v>
      </c>
      <c r="P14" s="217"/>
      <c r="Q14" s="217">
        <v>2.5</v>
      </c>
      <c r="R14" s="217"/>
      <c r="S14" s="217"/>
      <c r="T14" s="13"/>
    </row>
    <row r="15" spans="2:20" ht="16.899999999999999" x14ac:dyDescent="0.65">
      <c r="B15" s="2"/>
      <c r="C15" s="12">
        <v>12</v>
      </c>
      <c r="D15" s="48">
        <v>13321</v>
      </c>
      <c r="E15" s="46">
        <f t="shared" ref="E15:E20" si="2">D15/5280</f>
        <v>2.5229166666666667</v>
      </c>
      <c r="F15" s="47">
        <f t="shared" si="0"/>
        <v>30.274999999999999</v>
      </c>
      <c r="G15" s="69">
        <f>Q18</f>
        <v>1.9573863636363633</v>
      </c>
      <c r="H15" s="47">
        <f>G15*C15</f>
        <v>23.48863636363636</v>
      </c>
      <c r="I15" s="6"/>
      <c r="L15" s="217"/>
      <c r="M15" s="218">
        <v>0</v>
      </c>
      <c r="N15" s="219">
        <v>0.8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68"/>
    </row>
    <row r="16" spans="2:20" x14ac:dyDescent="0.4">
      <c r="B16" s="2"/>
      <c r="C16" s="12">
        <v>10</v>
      </c>
      <c r="D16" s="48">
        <v>815</v>
      </c>
      <c r="E16" s="46">
        <f t="shared" si="2"/>
        <v>0.15435606060606061</v>
      </c>
      <c r="F16" s="47">
        <f t="shared" si="0"/>
        <v>1.543560606060606</v>
      </c>
      <c r="G16" s="69">
        <f>E16</f>
        <v>0.15435606060606061</v>
      </c>
      <c r="H16" s="47">
        <f>G16*C16</f>
        <v>1.543560606060606</v>
      </c>
      <c r="I16" s="6"/>
      <c r="L16" s="68" t="s">
        <v>112</v>
      </c>
      <c r="M16" s="68">
        <f>SUM(M11:M15)</f>
        <v>7.7</v>
      </c>
      <c r="N16" s="68">
        <f t="shared" ref="N16:S16" si="3">SUM(N11:N15)</f>
        <v>12.05</v>
      </c>
      <c r="O16" s="68">
        <f t="shared" si="3"/>
        <v>18</v>
      </c>
      <c r="P16" s="68">
        <f t="shared" si="3"/>
        <v>1.3</v>
      </c>
      <c r="Q16" s="68">
        <f t="shared" si="3"/>
        <v>15.899999999999999</v>
      </c>
      <c r="R16" s="68">
        <f t="shared" si="3"/>
        <v>11.15</v>
      </c>
      <c r="S16" s="68">
        <f t="shared" si="3"/>
        <v>6.2</v>
      </c>
      <c r="T16" s="13"/>
    </row>
    <row r="17" spans="2:20" x14ac:dyDescent="0.4">
      <c r="B17" s="2"/>
      <c r="C17" s="12">
        <v>8</v>
      </c>
      <c r="D17" s="48">
        <v>16638</v>
      </c>
      <c r="E17" s="46">
        <f t="shared" si="2"/>
        <v>3.1511363636363638</v>
      </c>
      <c r="F17" s="47">
        <f t="shared" si="0"/>
        <v>25.209090909090911</v>
      </c>
      <c r="G17" s="69">
        <f>O18</f>
        <v>2.2159090909090908</v>
      </c>
      <c r="H17" s="47">
        <f>G17*C17</f>
        <v>17.727272727272727</v>
      </c>
      <c r="I17" s="6"/>
      <c r="L17" s="68" t="s">
        <v>113</v>
      </c>
      <c r="M17" s="14">
        <f>M16*$L$14</f>
        <v>5005</v>
      </c>
      <c r="N17" s="14">
        <f t="shared" ref="N17:S17" si="4">N16*$L$14</f>
        <v>7832.5000000000009</v>
      </c>
      <c r="O17" s="14">
        <f t="shared" si="4"/>
        <v>11700</v>
      </c>
      <c r="P17" s="14">
        <f t="shared" si="4"/>
        <v>845</v>
      </c>
      <c r="Q17" s="14">
        <f t="shared" si="4"/>
        <v>10334.999999999998</v>
      </c>
      <c r="R17" s="14">
        <f t="shared" si="4"/>
        <v>7247.5</v>
      </c>
      <c r="S17" s="14">
        <f t="shared" si="4"/>
        <v>4030</v>
      </c>
      <c r="T17" s="68"/>
    </row>
    <row r="18" spans="2:20" x14ac:dyDescent="0.4">
      <c r="B18" s="2"/>
      <c r="C18" s="12">
        <v>6</v>
      </c>
      <c r="D18" s="48">
        <v>78806</v>
      </c>
      <c r="E18" s="46">
        <f t="shared" si="2"/>
        <v>14.925378787878788</v>
      </c>
      <c r="F18" s="47">
        <f t="shared" si="0"/>
        <v>89.552272727272737</v>
      </c>
      <c r="G18" s="69">
        <f>N18</f>
        <v>1.4834280303030305</v>
      </c>
      <c r="H18" s="47">
        <f>G18*C18</f>
        <v>8.9005681818181834</v>
      </c>
      <c r="I18" s="6"/>
      <c r="L18" s="68" t="s">
        <v>114</v>
      </c>
      <c r="M18" s="68">
        <f>M17/5280</f>
        <v>0.94791666666666663</v>
      </c>
      <c r="N18" s="68">
        <f t="shared" ref="N18:S18" si="5">N17/5280</f>
        <v>1.4834280303030305</v>
      </c>
      <c r="O18" s="68">
        <f t="shared" si="5"/>
        <v>2.2159090909090908</v>
      </c>
      <c r="P18" s="68">
        <f t="shared" si="5"/>
        <v>0.16003787878787878</v>
      </c>
      <c r="Q18" s="68">
        <f t="shared" si="5"/>
        <v>1.9573863636363633</v>
      </c>
      <c r="R18" s="68">
        <f t="shared" si="5"/>
        <v>1.3726325757575757</v>
      </c>
      <c r="S18" s="68">
        <f t="shared" si="5"/>
        <v>0.7632575757575758</v>
      </c>
      <c r="T18" s="68"/>
    </row>
    <row r="19" spans="2:20" x14ac:dyDescent="0.4">
      <c r="B19" s="2"/>
      <c r="C19" s="12">
        <v>4</v>
      </c>
      <c r="D19" s="48">
        <v>31803</v>
      </c>
      <c r="E19" s="46">
        <f t="shared" si="2"/>
        <v>6.0232954545454547</v>
      </c>
      <c r="F19" s="47">
        <f t="shared" si="0"/>
        <v>24.093181818181819</v>
      </c>
      <c r="G19" s="69">
        <f>M18</f>
        <v>0.94791666666666663</v>
      </c>
      <c r="H19" s="47">
        <f>G19*C19</f>
        <v>3.7916666666666665</v>
      </c>
      <c r="I19" s="6"/>
      <c r="L19" s="13"/>
      <c r="M19" s="13"/>
      <c r="N19" s="13"/>
      <c r="O19" s="13"/>
      <c r="P19" s="13"/>
      <c r="Q19" s="13"/>
      <c r="R19" s="13"/>
      <c r="S19" s="13"/>
      <c r="T19" s="13"/>
    </row>
    <row r="20" spans="2:20" x14ac:dyDescent="0.4">
      <c r="B20" s="2"/>
      <c r="C20" s="12">
        <v>2</v>
      </c>
      <c r="D20" s="48">
        <v>9643</v>
      </c>
      <c r="E20" s="46">
        <f t="shared" si="2"/>
        <v>1.8263257575757577</v>
      </c>
      <c r="F20" s="47">
        <f t="shared" si="0"/>
        <v>3.6526515151515153</v>
      </c>
      <c r="G20" s="49"/>
      <c r="H20" s="47"/>
      <c r="I20" s="6"/>
      <c r="L20" s="13"/>
      <c r="M20" s="13"/>
      <c r="N20" s="13"/>
      <c r="O20" s="13"/>
      <c r="P20" s="13"/>
      <c r="Q20" s="13"/>
      <c r="R20" s="13"/>
      <c r="S20" s="13"/>
      <c r="T20" s="13"/>
    </row>
    <row r="21" spans="2:20" x14ac:dyDescent="0.4">
      <c r="B21" s="2"/>
      <c r="C21" s="12"/>
      <c r="D21" s="48"/>
      <c r="E21" s="11"/>
      <c r="F21" s="46"/>
      <c r="G21" s="49"/>
      <c r="H21" s="47"/>
      <c r="I21" s="6"/>
    </row>
    <row r="22" spans="2:20" x14ac:dyDescent="0.4">
      <c r="B22" s="2"/>
      <c r="C22" s="12" t="s">
        <v>8</v>
      </c>
      <c r="D22" s="48">
        <f>SUM(D13:D21)</f>
        <v>163646</v>
      </c>
      <c r="E22" s="46">
        <f t="shared" ref="E22:F22" si="6">SUM(E13:E21)</f>
        <v>30.993560606060608</v>
      </c>
      <c r="F22" s="46">
        <f t="shared" si="6"/>
        <v>216.18333333333334</v>
      </c>
      <c r="G22" s="69">
        <f t="shared" ref="G22" si="7">SUM(G13:G21)</f>
        <v>9.1491477272727266</v>
      </c>
      <c r="H22" s="47">
        <f t="shared" ref="H22" si="8">SUM(H13:H21)</f>
        <v>97.30928030303032</v>
      </c>
      <c r="I22" s="6"/>
    </row>
    <row r="23" spans="2:20" x14ac:dyDescent="0.4">
      <c r="B23" s="2"/>
      <c r="C23" s="13"/>
      <c r="D23" s="13"/>
      <c r="E23" s="13"/>
      <c r="F23" s="44"/>
      <c r="G23" s="13"/>
      <c r="H23" s="13"/>
      <c r="I23" s="6"/>
    </row>
    <row r="24" spans="2:20" x14ac:dyDescent="0.4">
      <c r="B24" s="2"/>
      <c r="C24" s="13"/>
      <c r="D24" s="13"/>
      <c r="E24" s="13"/>
      <c r="F24" s="13"/>
      <c r="G24" s="13"/>
      <c r="H24" s="13"/>
      <c r="I24" s="6"/>
    </row>
    <row r="25" spans="2:20" x14ac:dyDescent="0.4">
      <c r="B25" s="2"/>
      <c r="C25" s="13"/>
      <c r="D25" s="13"/>
      <c r="E25" s="13"/>
      <c r="F25" s="13"/>
      <c r="G25" s="13"/>
      <c r="H25" s="13"/>
      <c r="I25" s="6"/>
    </row>
    <row r="26" spans="2:20" x14ac:dyDescent="0.4">
      <c r="B26" s="2"/>
      <c r="C26" s="13"/>
      <c r="D26" s="30" t="s">
        <v>42</v>
      </c>
      <c r="E26" s="30"/>
      <c r="F26" s="30"/>
      <c r="G26" s="30"/>
      <c r="H26" s="13"/>
      <c r="I26" s="6"/>
    </row>
    <row r="27" spans="2:20" ht="6.95" customHeight="1" x14ac:dyDescent="0.4">
      <c r="B27" s="2"/>
      <c r="C27" s="13"/>
      <c r="D27" s="32"/>
      <c r="E27" s="32"/>
      <c r="F27" s="32"/>
      <c r="G27" s="32"/>
      <c r="H27" s="13"/>
      <c r="I27" s="6"/>
    </row>
    <row r="28" spans="2:20" x14ac:dyDescent="0.4">
      <c r="B28" s="2"/>
      <c r="C28" s="13"/>
      <c r="D28" s="13"/>
      <c r="E28" s="13"/>
      <c r="F28" s="35" t="s">
        <v>43</v>
      </c>
      <c r="G28" s="35"/>
      <c r="H28" s="13"/>
      <c r="I28" s="6"/>
    </row>
    <row r="29" spans="2:20" x14ac:dyDescent="0.4">
      <c r="B29" s="2"/>
      <c r="C29" s="13"/>
      <c r="D29" s="13"/>
      <c r="E29" s="13"/>
      <c r="F29" s="35" t="s">
        <v>44</v>
      </c>
      <c r="G29" s="35" t="s">
        <v>11</v>
      </c>
      <c r="H29" s="13"/>
      <c r="I29" s="6"/>
    </row>
    <row r="30" spans="2:20" x14ac:dyDescent="0.4">
      <c r="B30" s="2"/>
      <c r="C30" s="13"/>
      <c r="D30" s="39" t="s">
        <v>69</v>
      </c>
      <c r="E30" s="39"/>
      <c r="F30" s="220">
        <v>482800.94</v>
      </c>
      <c r="G30" s="39"/>
      <c r="H30" s="13"/>
      <c r="I30" s="6"/>
    </row>
    <row r="31" spans="2:20" x14ac:dyDescent="0.4">
      <c r="B31" s="2"/>
      <c r="C31" s="13"/>
      <c r="D31" s="39" t="s">
        <v>45</v>
      </c>
      <c r="E31" s="39"/>
      <c r="F31" s="220">
        <f>(994.213+112.277+95.201+222.153+82.733+190.925+199.195+85.82+132.338+37.28+1492.95+310.081+118.908+21.005+43.981+133.033+137.308+161.746+90.688+69.432+39.229)*7.48</f>
        <v>35683.31008000001</v>
      </c>
      <c r="G31" s="40">
        <f>F31/F33</f>
        <v>8.494153449312053E-2</v>
      </c>
      <c r="H31" s="13"/>
      <c r="I31" s="6"/>
    </row>
    <row r="32" spans="2:20" x14ac:dyDescent="0.4">
      <c r="B32" s="2"/>
      <c r="C32" s="13"/>
      <c r="D32" s="39" t="s">
        <v>46</v>
      </c>
      <c r="E32" s="39"/>
      <c r="F32" s="220">
        <v>384409.29</v>
      </c>
      <c r="G32" s="40">
        <f>F32/F33</f>
        <v>0.91505846550687941</v>
      </c>
      <c r="H32" s="13"/>
      <c r="I32" s="6"/>
    </row>
    <row r="33" spans="2:9" x14ac:dyDescent="0.4">
      <c r="B33" s="2"/>
      <c r="C33" s="13"/>
      <c r="D33" s="39" t="s">
        <v>47</v>
      </c>
      <c r="E33" s="39"/>
      <c r="F33" s="220">
        <f>SUM(F31:F32)</f>
        <v>420092.60008</v>
      </c>
      <c r="G33" s="39"/>
      <c r="H33" s="13"/>
      <c r="I33" s="6"/>
    </row>
    <row r="34" spans="2:9" x14ac:dyDescent="0.4">
      <c r="B34" s="2"/>
      <c r="C34" s="13"/>
      <c r="D34" s="39"/>
      <c r="E34" s="39"/>
      <c r="F34" s="220"/>
      <c r="G34" s="40"/>
      <c r="H34" s="13"/>
      <c r="I34" s="6"/>
    </row>
    <row r="35" spans="2:9" x14ac:dyDescent="0.4">
      <c r="B35" s="2"/>
      <c r="C35" s="13"/>
      <c r="D35" s="39" t="s">
        <v>70</v>
      </c>
      <c r="E35" s="39"/>
      <c r="F35" s="220">
        <v>25629.35</v>
      </c>
      <c r="G35" s="40">
        <f>F35/$F$30</f>
        <v>5.3084714375245416E-2</v>
      </c>
      <c r="H35" s="13"/>
      <c r="I35" s="6"/>
    </row>
    <row r="36" spans="2:9" x14ac:dyDescent="0.4">
      <c r="B36" s="2"/>
      <c r="C36" s="13"/>
      <c r="D36" s="39" t="s">
        <v>48</v>
      </c>
      <c r="E36" s="39"/>
      <c r="F36" s="220">
        <v>2184.6</v>
      </c>
      <c r="G36" s="40">
        <f>F36/$F$30</f>
        <v>4.5248462026606659E-3</v>
      </c>
      <c r="H36" s="13"/>
      <c r="I36" s="6"/>
    </row>
    <row r="37" spans="2:9" x14ac:dyDescent="0.4">
      <c r="B37" s="2"/>
      <c r="C37" s="13"/>
      <c r="D37" s="39" t="s">
        <v>49</v>
      </c>
      <c r="E37" s="39"/>
      <c r="F37" s="220">
        <f>F30-F33-F35-F36</f>
        <v>34894.389920000001</v>
      </c>
      <c r="G37" s="40">
        <f>F37/$F$30</f>
        <v>7.2274900541825796E-2</v>
      </c>
      <c r="H37" s="13"/>
      <c r="I37" s="6"/>
    </row>
    <row r="38" spans="2:9" x14ac:dyDescent="0.4">
      <c r="B38" s="7"/>
      <c r="C38" s="41"/>
      <c r="D38" s="41"/>
      <c r="E38" s="42"/>
      <c r="F38" s="41"/>
      <c r="G38" s="41"/>
      <c r="H38" s="41"/>
      <c r="I38" s="43"/>
    </row>
    <row r="40" spans="2:9" x14ac:dyDescent="0.4">
      <c r="C40" s="12"/>
      <c r="D40" s="209"/>
      <c r="E40" s="210"/>
      <c r="F40" s="211"/>
      <c r="G40" s="212"/>
      <c r="H40" s="211"/>
    </row>
    <row r="41" spans="2:9" x14ac:dyDescent="0.4">
      <c r="F41" s="50"/>
    </row>
  </sheetData>
  <mergeCells count="1">
    <mergeCell ref="C3:H3"/>
  </mergeCells>
  <printOptions horizontalCentered="1"/>
  <pageMargins left="0.7" right="0.7" top="1" bottom="0.75" header="0.3" footer="0.3"/>
  <pageSetup orientation="portrait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8"/>
  <sheetViews>
    <sheetView topLeftCell="A35" workbookViewId="0">
      <selection activeCell="K46" sqref="A1:K46"/>
    </sheetView>
  </sheetViews>
  <sheetFormatPr defaultRowHeight="15.75" x14ac:dyDescent="0.5"/>
  <cols>
    <col min="1" max="1" width="3.77734375" style="167" customWidth="1"/>
    <col min="2" max="2" width="2.77734375" style="167" customWidth="1"/>
    <col min="3" max="3" width="32.609375" style="167" customWidth="1"/>
    <col min="4" max="4" width="1.21875" style="167" customWidth="1"/>
    <col min="5" max="5" width="9.6640625" style="167" customWidth="1"/>
    <col min="6" max="6" width="2.5546875" style="167" customWidth="1"/>
    <col min="7" max="7" width="9.6640625" style="167" customWidth="1"/>
    <col min="8" max="8" width="3.6640625" style="167" customWidth="1"/>
    <col min="9" max="9" width="10.88671875" style="167" customWidth="1"/>
    <col min="10" max="10" width="2.77734375" style="167" customWidth="1"/>
    <col min="11" max="11" width="2.609375" style="167" customWidth="1"/>
    <col min="12" max="12" width="52.5546875" style="167" customWidth="1"/>
    <col min="13" max="16384" width="8.88671875" style="167"/>
  </cols>
  <sheetData>
    <row r="2" spans="1:11" ht="21" x14ac:dyDescent="0.65">
      <c r="A2" s="99"/>
      <c r="B2" s="164"/>
      <c r="C2" s="229"/>
      <c r="D2" s="229"/>
      <c r="E2" s="229"/>
      <c r="F2" s="229"/>
      <c r="G2" s="229"/>
      <c r="H2" s="229"/>
      <c r="I2" s="229"/>
      <c r="J2" s="165"/>
      <c r="K2" s="166"/>
    </row>
    <row r="3" spans="1:11" ht="18" x14ac:dyDescent="0.55000000000000004">
      <c r="A3" s="99"/>
      <c r="B3" s="168"/>
      <c r="C3" s="230" t="s">
        <v>79</v>
      </c>
      <c r="D3" s="230"/>
      <c r="E3" s="230"/>
      <c r="F3" s="230"/>
      <c r="G3" s="230"/>
      <c r="H3" s="230"/>
      <c r="I3" s="230"/>
      <c r="J3" s="169"/>
      <c r="K3" s="99"/>
    </row>
    <row r="4" spans="1:11" ht="18" x14ac:dyDescent="0.55000000000000004">
      <c r="A4" s="99"/>
      <c r="B4" s="168"/>
      <c r="C4" s="170" t="s">
        <v>51</v>
      </c>
      <c r="D4" s="171"/>
      <c r="E4" s="171"/>
      <c r="F4" s="171"/>
      <c r="G4" s="171"/>
      <c r="H4" s="171"/>
      <c r="I4" s="171"/>
      <c r="J4" s="169"/>
      <c r="K4" s="99"/>
    </row>
    <row r="5" spans="1:11" x14ac:dyDescent="0.5">
      <c r="A5" s="99"/>
      <c r="B5" s="168"/>
      <c r="C5" s="172" t="s">
        <v>92</v>
      </c>
      <c r="D5" s="173"/>
      <c r="E5" s="173"/>
      <c r="F5" s="173"/>
      <c r="G5" s="173"/>
      <c r="H5" s="173"/>
      <c r="I5" s="173"/>
      <c r="J5" s="169"/>
      <c r="K5" s="99"/>
    </row>
    <row r="6" spans="1:11" x14ac:dyDescent="0.5">
      <c r="A6" s="99"/>
      <c r="B6" s="168"/>
      <c r="C6" s="99"/>
      <c r="D6" s="99"/>
      <c r="E6" s="99"/>
      <c r="F6" s="99"/>
      <c r="G6" s="99"/>
      <c r="H6" s="99"/>
      <c r="I6" s="99"/>
      <c r="J6" s="169"/>
      <c r="K6" s="99"/>
    </row>
    <row r="7" spans="1:11" x14ac:dyDescent="0.5">
      <c r="A7" s="99"/>
      <c r="B7" s="168"/>
      <c r="C7" s="174"/>
      <c r="D7" s="175"/>
      <c r="E7" s="174"/>
      <c r="F7" s="175"/>
      <c r="G7" s="174"/>
      <c r="H7" s="174"/>
      <c r="I7" s="176" t="s">
        <v>52</v>
      </c>
      <c r="J7" s="169"/>
      <c r="K7" s="99"/>
    </row>
    <row r="8" spans="1:11" ht="6.95" customHeight="1" x14ac:dyDescent="0.5">
      <c r="A8" s="99"/>
      <c r="B8" s="168"/>
      <c r="C8" s="174"/>
      <c r="D8" s="175"/>
      <c r="E8" s="174"/>
      <c r="F8" s="175"/>
      <c r="G8" s="174"/>
      <c r="H8" s="174"/>
      <c r="I8" s="176"/>
      <c r="J8" s="169"/>
      <c r="K8" s="99"/>
    </row>
    <row r="9" spans="1:11" x14ac:dyDescent="0.5">
      <c r="A9" s="99"/>
      <c r="B9" s="168"/>
      <c r="C9" s="174" t="s">
        <v>53</v>
      </c>
      <c r="D9" s="175"/>
      <c r="E9" s="174"/>
      <c r="F9" s="175"/>
      <c r="G9" s="174"/>
      <c r="H9" s="174"/>
      <c r="I9" s="177">
        <f>'System Information'!G37</f>
        <v>7.2274900541825796E-2</v>
      </c>
      <c r="J9" s="169"/>
      <c r="K9" s="99"/>
    </row>
    <row r="10" spans="1:11" x14ac:dyDescent="0.5">
      <c r="A10" s="99"/>
      <c r="B10" s="168"/>
      <c r="C10" s="174" t="s">
        <v>72</v>
      </c>
      <c r="D10" s="175"/>
      <c r="E10" s="174"/>
      <c r="F10" s="175"/>
      <c r="G10" s="174"/>
      <c r="H10" s="174"/>
      <c r="I10" s="177">
        <f>'System Information'!G35</f>
        <v>5.3084714375245416E-2</v>
      </c>
      <c r="J10" s="169"/>
      <c r="K10" s="99"/>
    </row>
    <row r="11" spans="1:11" x14ac:dyDescent="0.5">
      <c r="A11" s="99"/>
      <c r="B11" s="168"/>
      <c r="C11" s="174" t="s">
        <v>71</v>
      </c>
      <c r="D11" s="175"/>
      <c r="E11" s="174"/>
      <c r="F11" s="175"/>
      <c r="G11" s="174"/>
      <c r="H11" s="174"/>
      <c r="I11" s="177">
        <f>I10+I9</f>
        <v>0.1253596149170712</v>
      </c>
      <c r="J11" s="169"/>
      <c r="K11" s="99"/>
    </row>
    <row r="12" spans="1:11" x14ac:dyDescent="0.5">
      <c r="A12" s="99"/>
      <c r="B12" s="168"/>
      <c r="C12" s="174" t="s">
        <v>54</v>
      </c>
      <c r="D12" s="175"/>
      <c r="E12" s="174"/>
      <c r="F12" s="175"/>
      <c r="G12" s="174"/>
      <c r="H12" s="174"/>
      <c r="I12" s="178">
        <f>'System Information'!H22</f>
        <v>97.30928030303032</v>
      </c>
      <c r="J12" s="169"/>
      <c r="K12" s="99"/>
    </row>
    <row r="13" spans="1:11" x14ac:dyDescent="0.5">
      <c r="A13" s="99"/>
      <c r="B13" s="168"/>
      <c r="C13" s="174" t="s">
        <v>55</v>
      </c>
      <c r="D13" s="175"/>
      <c r="E13" s="174"/>
      <c r="F13" s="175"/>
      <c r="G13" s="174"/>
      <c r="H13" s="174"/>
      <c r="I13" s="178">
        <f>'System Information'!F22</f>
        <v>216.18333333333334</v>
      </c>
      <c r="J13" s="169"/>
      <c r="K13" s="99"/>
    </row>
    <row r="14" spans="1:11" x14ac:dyDescent="0.5">
      <c r="A14" s="99"/>
      <c r="B14" s="168"/>
      <c r="C14" s="174" t="s">
        <v>56</v>
      </c>
      <c r="D14" s="175"/>
      <c r="E14" s="174"/>
      <c r="F14" s="175"/>
      <c r="G14" s="174"/>
      <c r="H14" s="174"/>
      <c r="I14" s="178">
        <f>'System Information'!F32</f>
        <v>384409.29</v>
      </c>
      <c r="J14" s="169"/>
      <c r="K14" s="99"/>
    </row>
    <row r="15" spans="1:11" x14ac:dyDescent="0.5">
      <c r="A15" s="99"/>
      <c r="B15" s="168"/>
      <c r="C15" s="174" t="s">
        <v>57</v>
      </c>
      <c r="D15" s="175"/>
      <c r="E15" s="174"/>
      <c r="F15" s="175"/>
      <c r="G15" s="174"/>
      <c r="H15" s="174"/>
      <c r="I15" s="178">
        <f>'System Information'!F33</f>
        <v>420092.60008</v>
      </c>
      <c r="J15" s="169"/>
      <c r="K15" s="99"/>
    </row>
    <row r="16" spans="1:11" x14ac:dyDescent="0.5">
      <c r="A16" s="99"/>
      <c r="B16" s="168"/>
      <c r="C16" s="174"/>
      <c r="D16" s="175"/>
      <c r="E16" s="174"/>
      <c r="F16" s="175"/>
      <c r="G16" s="174"/>
      <c r="H16" s="174"/>
      <c r="I16" s="177"/>
      <c r="J16" s="169"/>
      <c r="K16" s="99"/>
    </row>
    <row r="17" spans="1:11" x14ac:dyDescent="0.5">
      <c r="A17" s="99"/>
      <c r="B17" s="168"/>
      <c r="C17" s="174"/>
      <c r="D17" s="175"/>
      <c r="E17" s="174"/>
      <c r="F17" s="175"/>
      <c r="G17" s="179">
        <v>1</v>
      </c>
      <c r="H17" s="174"/>
      <c r="I17" s="177"/>
      <c r="J17" s="169"/>
      <c r="K17" s="99"/>
    </row>
    <row r="18" spans="1:11" x14ac:dyDescent="0.5">
      <c r="A18" s="99"/>
      <c r="B18" s="168"/>
      <c r="C18" s="190" t="s">
        <v>58</v>
      </c>
      <c r="D18" s="175"/>
      <c r="E18" s="99" t="s">
        <v>124</v>
      </c>
      <c r="F18" s="99"/>
      <c r="G18" s="99"/>
      <c r="H18" s="175" t="s">
        <v>59</v>
      </c>
      <c r="I18" s="191">
        <f>1/(1-I11)</f>
        <v>1.1433270370944344</v>
      </c>
      <c r="J18" s="169"/>
      <c r="K18" s="99"/>
    </row>
    <row r="19" spans="1:11" x14ac:dyDescent="0.5">
      <c r="A19" s="99"/>
      <c r="B19" s="168"/>
      <c r="C19" s="174"/>
      <c r="D19" s="175"/>
      <c r="E19" s="174">
        <v>1</v>
      </c>
      <c r="F19" s="175" t="s">
        <v>60</v>
      </c>
      <c r="G19" s="180">
        <f>I11</f>
        <v>0.1253596149170712</v>
      </c>
      <c r="H19" s="175"/>
      <c r="I19" s="177"/>
      <c r="J19" s="169"/>
      <c r="K19" s="99"/>
    </row>
    <row r="20" spans="1:11" ht="52.15" customHeight="1" x14ac:dyDescent="0.5">
      <c r="A20" s="99"/>
      <c r="B20" s="168"/>
      <c r="C20" s="200" t="s">
        <v>296</v>
      </c>
      <c r="D20" s="175"/>
      <c r="E20" s="174"/>
      <c r="F20" s="175"/>
      <c r="G20" s="181"/>
      <c r="H20" s="175"/>
      <c r="I20" s="177"/>
      <c r="J20" s="169"/>
      <c r="K20" s="99"/>
    </row>
    <row r="21" spans="1:11" x14ac:dyDescent="0.5">
      <c r="A21" s="99"/>
      <c r="B21" s="168"/>
      <c r="C21" s="174"/>
      <c r="D21" s="175"/>
      <c r="E21" s="174"/>
      <c r="F21" s="99"/>
      <c r="G21" s="182">
        <f>I12</f>
        <v>97.30928030303032</v>
      </c>
      <c r="H21" s="175"/>
      <c r="I21" s="177"/>
      <c r="J21" s="169"/>
      <c r="K21" s="99"/>
    </row>
    <row r="22" spans="1:11" x14ac:dyDescent="0.5">
      <c r="A22" s="99"/>
      <c r="B22" s="168"/>
      <c r="C22" s="190" t="s">
        <v>61</v>
      </c>
      <c r="D22" s="175"/>
      <c r="E22" s="99"/>
      <c r="F22" s="179" t="s">
        <v>125</v>
      </c>
      <c r="G22" s="179"/>
      <c r="H22" s="175" t="s">
        <v>59</v>
      </c>
      <c r="I22" s="191">
        <f>G21/G23</f>
        <v>0.45012387774125506</v>
      </c>
      <c r="J22" s="169"/>
      <c r="K22" s="99"/>
    </row>
    <row r="23" spans="1:11" x14ac:dyDescent="0.5">
      <c r="A23" s="99"/>
      <c r="B23" s="168"/>
      <c r="C23" s="174"/>
      <c r="D23" s="175"/>
      <c r="E23" s="183"/>
      <c r="F23" s="175"/>
      <c r="G23" s="182">
        <f>I13</f>
        <v>216.18333333333334</v>
      </c>
      <c r="H23" s="175"/>
      <c r="I23" s="177"/>
      <c r="J23" s="169"/>
      <c r="K23" s="99"/>
    </row>
    <row r="24" spans="1:11" ht="71.25" customHeight="1" x14ac:dyDescent="0.5">
      <c r="A24" s="99"/>
      <c r="B24" s="168"/>
      <c r="C24" s="200" t="s">
        <v>270</v>
      </c>
      <c r="D24" s="175"/>
      <c r="E24" s="183"/>
      <c r="F24" s="175"/>
      <c r="G24" s="174"/>
      <c r="H24" s="175"/>
      <c r="I24" s="177"/>
      <c r="J24" s="169"/>
      <c r="K24" s="99"/>
    </row>
    <row r="25" spans="1:11" x14ac:dyDescent="0.5">
      <c r="A25" s="99"/>
      <c r="B25" s="168"/>
      <c r="C25" s="190" t="s">
        <v>139</v>
      </c>
      <c r="D25" s="184"/>
      <c r="E25" s="185">
        <f>I9</f>
        <v>7.2274900541825796E-2</v>
      </c>
      <c r="F25" s="175" t="s">
        <v>62</v>
      </c>
      <c r="G25" s="186">
        <f>I22</f>
        <v>0.45012387774125506</v>
      </c>
      <c r="H25" s="175" t="s">
        <v>59</v>
      </c>
      <c r="I25" s="191">
        <f>E25*G25</f>
        <v>3.2532658495250166E-2</v>
      </c>
      <c r="J25" s="169"/>
      <c r="K25" s="99"/>
    </row>
    <row r="26" spans="1:11" ht="31.5" customHeight="1" x14ac:dyDescent="0.5">
      <c r="A26" s="99"/>
      <c r="B26" s="168"/>
      <c r="C26" s="201" t="s">
        <v>271</v>
      </c>
      <c r="D26" s="184"/>
      <c r="E26" s="185"/>
      <c r="F26" s="175"/>
      <c r="G26" s="186"/>
      <c r="H26" s="175"/>
      <c r="I26" s="177"/>
      <c r="J26" s="169"/>
      <c r="K26" s="99"/>
    </row>
    <row r="27" spans="1:11" x14ac:dyDescent="0.5">
      <c r="A27" s="99"/>
      <c r="B27" s="168"/>
      <c r="C27" s="174"/>
      <c r="D27" s="184"/>
      <c r="E27" s="185"/>
      <c r="F27" s="175"/>
      <c r="G27" s="186"/>
      <c r="H27" s="175"/>
      <c r="I27" s="177"/>
      <c r="J27" s="169"/>
      <c r="K27" s="99"/>
    </row>
    <row r="28" spans="1:11" x14ac:dyDescent="0.5">
      <c r="A28" s="99"/>
      <c r="B28" s="168"/>
      <c r="C28" s="190" t="s">
        <v>73</v>
      </c>
      <c r="D28" s="184"/>
      <c r="E28" s="185">
        <f>I25</f>
        <v>3.2532658495250166E-2</v>
      </c>
      <c r="F28" s="175" t="s">
        <v>74</v>
      </c>
      <c r="G28" s="186">
        <f>I10</f>
        <v>5.3084714375245416E-2</v>
      </c>
      <c r="H28" s="175" t="s">
        <v>59</v>
      </c>
      <c r="I28" s="191">
        <f>E28+G28</f>
        <v>8.5617372870495589E-2</v>
      </c>
      <c r="J28" s="169"/>
      <c r="K28" s="99"/>
    </row>
    <row r="29" spans="1:11" ht="41.25" customHeight="1" x14ac:dyDescent="0.5">
      <c r="A29" s="99"/>
      <c r="B29" s="168"/>
      <c r="C29" s="200" t="s">
        <v>272</v>
      </c>
      <c r="D29" s="184"/>
      <c r="E29" s="185"/>
      <c r="F29" s="175"/>
      <c r="G29" s="174"/>
      <c r="H29" s="175"/>
      <c r="I29" s="177"/>
      <c r="J29" s="169"/>
      <c r="K29" s="99"/>
    </row>
    <row r="30" spans="1:11" x14ac:dyDescent="0.5">
      <c r="A30" s="99"/>
      <c r="B30" s="168"/>
      <c r="C30" s="174"/>
      <c r="D30" s="175"/>
      <c r="E30" s="174"/>
      <c r="F30" s="175"/>
      <c r="G30" s="179">
        <v>1</v>
      </c>
      <c r="H30" s="175"/>
      <c r="I30" s="187"/>
      <c r="J30" s="169"/>
      <c r="K30" s="99"/>
    </row>
    <row r="31" spans="1:11" x14ac:dyDescent="0.5">
      <c r="A31" s="99"/>
      <c r="B31" s="168"/>
      <c r="C31" s="190" t="s">
        <v>63</v>
      </c>
      <c r="D31" s="175"/>
      <c r="E31" s="99" t="s">
        <v>124</v>
      </c>
      <c r="F31" s="99"/>
      <c r="G31" s="99"/>
      <c r="H31" s="175" t="s">
        <v>59</v>
      </c>
      <c r="I31" s="191">
        <f>1/(1-G32)</f>
        <v>1.0936340765126651</v>
      </c>
      <c r="J31" s="169"/>
      <c r="K31" s="99"/>
    </row>
    <row r="32" spans="1:11" x14ac:dyDescent="0.5">
      <c r="A32" s="99"/>
      <c r="B32" s="168"/>
      <c r="C32" s="174"/>
      <c r="D32" s="175"/>
      <c r="E32" s="174">
        <v>1</v>
      </c>
      <c r="F32" s="175" t="s">
        <v>60</v>
      </c>
      <c r="G32" s="180">
        <f>I28</f>
        <v>8.5617372870495589E-2</v>
      </c>
      <c r="H32" s="175"/>
      <c r="I32" s="177"/>
      <c r="J32" s="169"/>
      <c r="K32" s="99"/>
    </row>
    <row r="33" spans="1:11" ht="67.5" customHeight="1" x14ac:dyDescent="0.5">
      <c r="A33" s="99"/>
      <c r="B33" s="168"/>
      <c r="C33" s="200" t="s">
        <v>297</v>
      </c>
      <c r="D33" s="175"/>
      <c r="E33" s="174"/>
      <c r="F33" s="175"/>
      <c r="G33" s="180"/>
      <c r="H33" s="175"/>
      <c r="I33" s="177"/>
      <c r="J33" s="169"/>
      <c r="K33" s="99"/>
    </row>
    <row r="34" spans="1:11" x14ac:dyDescent="0.5">
      <c r="A34" s="99"/>
      <c r="B34" s="168"/>
      <c r="C34" s="199"/>
      <c r="D34" s="175"/>
      <c r="E34" s="188">
        <f>I31</f>
        <v>1.0936340765126651</v>
      </c>
      <c r="F34" s="175"/>
      <c r="G34" s="189">
        <f>$I$14</f>
        <v>384409.29</v>
      </c>
      <c r="H34" s="175"/>
      <c r="I34" s="177"/>
      <c r="J34" s="169"/>
      <c r="K34" s="99"/>
    </row>
    <row r="35" spans="1:11" x14ac:dyDescent="0.5">
      <c r="A35" s="99"/>
      <c r="B35" s="168"/>
      <c r="C35" s="190" t="s">
        <v>128</v>
      </c>
      <c r="D35" s="175"/>
      <c r="E35" s="175" t="s">
        <v>64</v>
      </c>
      <c r="F35" s="175" t="s">
        <v>62</v>
      </c>
      <c r="G35" s="175" t="s">
        <v>64</v>
      </c>
      <c r="H35" s="175" t="s">
        <v>59</v>
      </c>
      <c r="I35" s="191">
        <f>(I31/I18)*(+G34/G36)</f>
        <v>0.87528684917914279</v>
      </c>
      <c r="J35" s="169"/>
      <c r="K35" s="99"/>
    </row>
    <row r="36" spans="1:11" x14ac:dyDescent="0.5">
      <c r="A36" s="99"/>
      <c r="B36" s="168"/>
      <c r="C36" s="174"/>
      <c r="D36" s="175"/>
      <c r="E36" s="188">
        <f>I18</f>
        <v>1.1433270370944344</v>
      </c>
      <c r="F36" s="175"/>
      <c r="G36" s="189">
        <f>$I$15</f>
        <v>420092.60008</v>
      </c>
      <c r="H36" s="175"/>
      <c r="I36" s="191"/>
      <c r="J36" s="169"/>
      <c r="K36" s="99"/>
    </row>
    <row r="37" spans="1:11" ht="57" x14ac:dyDescent="0.5">
      <c r="A37" s="99"/>
      <c r="B37" s="168"/>
      <c r="C37" s="200" t="s">
        <v>273</v>
      </c>
      <c r="D37" s="175"/>
      <c r="E37" s="188"/>
      <c r="F37" s="175"/>
      <c r="G37" s="189"/>
      <c r="H37" s="175"/>
      <c r="I37" s="191"/>
      <c r="J37" s="169"/>
      <c r="K37" s="99"/>
    </row>
    <row r="38" spans="1:11" x14ac:dyDescent="0.5">
      <c r="A38" s="99"/>
      <c r="B38" s="168"/>
      <c r="C38" s="200"/>
      <c r="D38" s="175"/>
      <c r="E38" s="189">
        <f>$I$14</f>
        <v>384409.29</v>
      </c>
      <c r="F38" s="175"/>
      <c r="G38" s="174"/>
      <c r="H38" s="175"/>
      <c r="I38" s="191"/>
      <c r="J38" s="169"/>
      <c r="K38" s="99"/>
    </row>
    <row r="39" spans="1:11" x14ac:dyDescent="0.5">
      <c r="A39" s="99"/>
      <c r="B39" s="168"/>
      <c r="C39" s="190" t="s">
        <v>65</v>
      </c>
      <c r="D39" s="175"/>
      <c r="E39" s="175" t="s">
        <v>64</v>
      </c>
      <c r="F39" s="175" t="s">
        <v>62</v>
      </c>
      <c r="G39" s="180">
        <f>I22</f>
        <v>0.45012387774125506</v>
      </c>
      <c r="H39" s="175" t="s">
        <v>59</v>
      </c>
      <c r="I39" s="191">
        <f>(+E38/E40)*I22</f>
        <v>0.41188966485391904</v>
      </c>
      <c r="J39" s="169"/>
      <c r="K39" s="99"/>
    </row>
    <row r="40" spans="1:11" x14ac:dyDescent="0.5">
      <c r="A40" s="99"/>
      <c r="B40" s="168"/>
      <c r="C40" s="174"/>
      <c r="D40" s="175"/>
      <c r="E40" s="189">
        <f>$I$15</f>
        <v>420092.60008</v>
      </c>
      <c r="F40" s="175"/>
      <c r="G40" s="174"/>
      <c r="H40" s="175"/>
      <c r="I40" s="191"/>
      <c r="J40" s="169"/>
      <c r="K40" s="99"/>
    </row>
    <row r="41" spans="1:11" ht="36.75" customHeight="1" x14ac:dyDescent="0.5">
      <c r="A41" s="99"/>
      <c r="B41" s="168"/>
      <c r="C41" s="200" t="s">
        <v>274</v>
      </c>
      <c r="D41" s="175"/>
      <c r="E41" s="174"/>
      <c r="F41" s="175"/>
      <c r="G41" s="174"/>
      <c r="H41" s="175"/>
      <c r="I41" s="191"/>
      <c r="J41" s="169"/>
      <c r="K41" s="99"/>
    </row>
    <row r="42" spans="1:11" x14ac:dyDescent="0.5">
      <c r="A42" s="99"/>
      <c r="B42" s="168"/>
      <c r="C42" s="174"/>
      <c r="D42" s="175"/>
      <c r="E42" s="174"/>
      <c r="F42" s="175"/>
      <c r="G42" s="189">
        <f>$I$14</f>
        <v>384409.29</v>
      </c>
      <c r="H42" s="175"/>
      <c r="I42" s="191"/>
      <c r="J42" s="169"/>
      <c r="K42" s="99"/>
    </row>
    <row r="43" spans="1:11" x14ac:dyDescent="0.5">
      <c r="A43" s="99"/>
      <c r="B43" s="168"/>
      <c r="C43" s="190" t="s">
        <v>66</v>
      </c>
      <c r="D43" s="175"/>
      <c r="E43" s="174"/>
      <c r="F43" s="175"/>
      <c r="G43" s="175" t="s">
        <v>64</v>
      </c>
      <c r="H43" s="175" t="s">
        <v>59</v>
      </c>
      <c r="I43" s="191">
        <f>G42/G44</f>
        <v>0.91505846550687941</v>
      </c>
      <c r="J43" s="169"/>
      <c r="K43" s="99"/>
    </row>
    <row r="44" spans="1:11" x14ac:dyDescent="0.5">
      <c r="A44" s="99"/>
      <c r="B44" s="168"/>
      <c r="C44" s="99"/>
      <c r="D44" s="192"/>
      <c r="E44" s="99"/>
      <c r="F44" s="192"/>
      <c r="G44" s="189">
        <f>$I$15</f>
        <v>420092.60008</v>
      </c>
      <c r="H44" s="99"/>
      <c r="I44" s="193"/>
      <c r="J44" s="169"/>
      <c r="K44" s="99"/>
    </row>
    <row r="45" spans="1:11" ht="53.65" customHeight="1" x14ac:dyDescent="0.5">
      <c r="A45" s="99"/>
      <c r="B45" s="194"/>
      <c r="C45" s="203" t="s">
        <v>275</v>
      </c>
      <c r="D45" s="196"/>
      <c r="E45" s="195"/>
      <c r="F45" s="196"/>
      <c r="G45" s="195"/>
      <c r="H45" s="195"/>
      <c r="I45" s="195"/>
      <c r="J45" s="197"/>
      <c r="K45" s="99"/>
    </row>
    <row r="46" spans="1:11" x14ac:dyDescent="0.5">
      <c r="A46" s="99"/>
      <c r="B46" s="99"/>
      <c r="C46" s="202"/>
      <c r="D46" s="192"/>
      <c r="E46" s="99"/>
      <c r="F46" s="192"/>
      <c r="G46" s="99"/>
      <c r="H46" s="99"/>
      <c r="I46" s="99"/>
      <c r="J46" s="99"/>
      <c r="K46" s="99"/>
    </row>
    <row r="47" spans="1:11" x14ac:dyDescent="0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</sheetData>
  <mergeCells count="2">
    <mergeCell ref="C2:I2"/>
    <mergeCell ref="C3:I3"/>
  </mergeCells>
  <printOptions horizontalCentered="1"/>
  <pageMargins left="0.25" right="0.25" top="0.75" bottom="0.75" header="0.3" footer="0.3"/>
  <pageSetup scale="68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S82"/>
  <sheetViews>
    <sheetView topLeftCell="A47" workbookViewId="0">
      <selection activeCell="K62" sqref="A1:K62"/>
    </sheetView>
  </sheetViews>
  <sheetFormatPr defaultRowHeight="15" x14ac:dyDescent="0.4"/>
  <cols>
    <col min="1" max="1" width="2.6640625" customWidth="1"/>
    <col min="2" max="2" width="1.77734375" customWidth="1"/>
    <col min="3" max="3" width="4.6640625" customWidth="1"/>
    <col min="4" max="4" width="18.5546875" customWidth="1"/>
    <col min="5" max="5" width="11.6640625" customWidth="1"/>
    <col min="6" max="6" width="8.21875" customWidth="1"/>
    <col min="7" max="7" width="8.77734375" customWidth="1"/>
    <col min="8" max="8" width="12.6640625" customWidth="1"/>
    <col min="9" max="9" width="11.33203125" customWidth="1"/>
    <col min="10" max="10" width="1.33203125" customWidth="1"/>
    <col min="11" max="11" width="2.71875" customWidth="1"/>
    <col min="12" max="13" width="10.6640625" customWidth="1"/>
    <col min="16" max="16" width="10" customWidth="1"/>
  </cols>
  <sheetData>
    <row r="2" spans="2:13" x14ac:dyDescent="0.4">
      <c r="B2" s="3"/>
      <c r="C2" s="4"/>
      <c r="D2" s="4"/>
      <c r="E2" s="4"/>
      <c r="F2" s="4"/>
      <c r="G2" s="4"/>
      <c r="H2" s="4"/>
      <c r="I2" s="4"/>
      <c r="J2" s="5"/>
    </row>
    <row r="3" spans="2:13" ht="18" x14ac:dyDescent="0.55000000000000004">
      <c r="B3" s="2"/>
      <c r="C3" s="225" t="s">
        <v>133</v>
      </c>
      <c r="D3" s="225"/>
      <c r="E3" s="225"/>
      <c r="F3" s="225"/>
      <c r="G3" s="225"/>
      <c r="H3" s="225"/>
      <c r="I3" s="225"/>
      <c r="J3" s="231"/>
      <c r="K3" s="9"/>
      <c r="L3" s="9"/>
      <c r="M3" s="9"/>
    </row>
    <row r="4" spans="2:13" ht="18" x14ac:dyDescent="0.55000000000000004">
      <c r="B4" s="2"/>
      <c r="C4" s="15" t="s">
        <v>13</v>
      </c>
      <c r="D4" s="16"/>
      <c r="E4" s="16"/>
      <c r="F4" s="16"/>
      <c r="G4" s="16"/>
      <c r="H4" s="16"/>
      <c r="I4" s="16"/>
      <c r="J4" s="80"/>
      <c r="K4" s="9"/>
      <c r="L4" s="17"/>
      <c r="M4" s="17"/>
    </row>
    <row r="5" spans="2:13" ht="15.4" x14ac:dyDescent="0.45">
      <c r="B5" s="2"/>
      <c r="C5" s="1" t="s">
        <v>92</v>
      </c>
      <c r="D5" s="16"/>
      <c r="E5" s="16"/>
      <c r="F5" s="16"/>
      <c r="G5" s="16"/>
      <c r="H5" s="16"/>
      <c r="I5" s="16"/>
      <c r="J5" s="80"/>
      <c r="K5" s="9"/>
      <c r="L5" s="17"/>
      <c r="M5" s="17"/>
    </row>
    <row r="6" spans="2:13" ht="15.4" x14ac:dyDescent="0.45">
      <c r="B6" s="2"/>
      <c r="C6" s="9"/>
      <c r="D6" s="17"/>
      <c r="E6" s="17"/>
      <c r="F6" s="17"/>
      <c r="G6" s="17"/>
      <c r="H6" s="17"/>
      <c r="I6" s="17"/>
      <c r="J6" s="24"/>
      <c r="K6" s="9"/>
      <c r="L6" s="17"/>
      <c r="M6" s="18"/>
    </row>
    <row r="7" spans="2:13" ht="15.4" x14ac:dyDescent="0.45">
      <c r="B7" s="2"/>
      <c r="C7" s="9"/>
      <c r="D7" s="17"/>
      <c r="E7" s="18"/>
      <c r="F7" s="232" t="s">
        <v>134</v>
      </c>
      <c r="G7" s="232"/>
      <c r="H7" s="214" t="s">
        <v>15</v>
      </c>
      <c r="I7" s="214" t="s">
        <v>18</v>
      </c>
      <c r="J7" s="81"/>
      <c r="K7" s="18"/>
      <c r="L7" s="18"/>
      <c r="M7" s="18"/>
    </row>
    <row r="8" spans="2:13" ht="15.4" x14ac:dyDescent="0.45">
      <c r="B8" s="2"/>
      <c r="C8" s="9"/>
      <c r="D8" s="17"/>
      <c r="E8" s="18" t="s">
        <v>16</v>
      </c>
      <c r="F8" s="18" t="s">
        <v>135</v>
      </c>
      <c r="G8" s="18" t="s">
        <v>17</v>
      </c>
      <c r="H8" s="214" t="s">
        <v>14</v>
      </c>
      <c r="I8" s="214" t="s">
        <v>14</v>
      </c>
      <c r="J8" s="81"/>
      <c r="K8" s="18"/>
      <c r="L8" s="18"/>
      <c r="M8" s="18"/>
    </row>
    <row r="9" spans="2:13" ht="15.4" x14ac:dyDescent="0.45">
      <c r="B9" s="2"/>
      <c r="C9" s="9" t="s">
        <v>19</v>
      </c>
      <c r="D9" s="17"/>
      <c r="E9" s="17"/>
      <c r="F9" s="17"/>
      <c r="G9" s="17"/>
      <c r="H9" s="17"/>
      <c r="I9" s="17"/>
      <c r="J9" s="24"/>
      <c r="K9" s="9"/>
      <c r="L9" s="17"/>
      <c r="M9" s="17"/>
    </row>
    <row r="10" spans="2:13" ht="15.4" x14ac:dyDescent="0.45">
      <c r="B10" s="2"/>
      <c r="C10" s="9"/>
      <c r="D10" s="17" t="s">
        <v>67</v>
      </c>
      <c r="E10" s="215">
        <f>Matrix!G73</f>
        <v>138547.67112588984</v>
      </c>
      <c r="F10" s="89" t="s">
        <v>129</v>
      </c>
      <c r="G10" s="78">
        <f>'Wholesale Factors'!$I$35</f>
        <v>0.87528684917914279</v>
      </c>
      <c r="H10" s="87">
        <f>E10*G10</f>
        <v>121268.95452088822</v>
      </c>
      <c r="I10" s="87">
        <f>E10-H10</f>
        <v>17278.716605001624</v>
      </c>
      <c r="J10" s="82"/>
      <c r="L10" s="17"/>
      <c r="M10" s="17"/>
    </row>
    <row r="11" spans="2:13" ht="15.4" x14ac:dyDescent="0.45">
      <c r="B11" s="2"/>
      <c r="C11" s="9"/>
      <c r="D11" s="17" t="s">
        <v>20</v>
      </c>
      <c r="E11" s="53">
        <f>Matrix!H73</f>
        <v>37051.405079293734</v>
      </c>
      <c r="F11" s="89" t="s">
        <v>21</v>
      </c>
      <c r="G11" s="78">
        <f>'Wholesale Factors'!$I$39</f>
        <v>0.41188966485391904</v>
      </c>
      <c r="H11" s="53">
        <f>E11*G11</f>
        <v>15261.090820477089</v>
      </c>
      <c r="I11" s="53">
        <f>E11-H11</f>
        <v>21790.314258816645</v>
      </c>
      <c r="J11" s="82"/>
      <c r="L11" s="17"/>
      <c r="M11" s="17"/>
    </row>
    <row r="12" spans="2:13" ht="15.4" x14ac:dyDescent="0.45">
      <c r="B12" s="2"/>
      <c r="C12" s="9" t="s">
        <v>68</v>
      </c>
      <c r="D12" s="17"/>
      <c r="E12" s="53"/>
      <c r="F12" s="89"/>
      <c r="G12" s="79"/>
      <c r="H12" s="53"/>
      <c r="I12" s="53"/>
      <c r="J12" s="82"/>
      <c r="L12" s="17"/>
      <c r="M12" s="17"/>
    </row>
    <row r="13" spans="2:13" ht="15.4" x14ac:dyDescent="0.45">
      <c r="B13" s="2"/>
      <c r="C13" s="9"/>
      <c r="D13" s="17" t="s">
        <v>67</v>
      </c>
      <c r="E13" s="87">
        <f>Matrix!G30</f>
        <v>107956.498345473</v>
      </c>
      <c r="F13" s="89" t="s">
        <v>129</v>
      </c>
      <c r="G13" s="78">
        <f>'Wholesale Factors'!$I$35</f>
        <v>0.87528684917914279</v>
      </c>
      <c r="H13" s="53">
        <f t="shared" ref="H13:H14" si="0">E13*G13</f>
        <v>94492.903285222405</v>
      </c>
      <c r="I13" s="53">
        <f t="shared" ref="I13:I14" si="1">E13-H13</f>
        <v>13463.595060250591</v>
      </c>
      <c r="J13" s="82"/>
      <c r="L13" s="17"/>
      <c r="M13" s="17"/>
    </row>
    <row r="14" spans="2:13" ht="15.4" x14ac:dyDescent="0.45">
      <c r="B14" s="2"/>
      <c r="C14" s="9"/>
      <c r="D14" s="17" t="s">
        <v>20</v>
      </c>
      <c r="E14" s="53">
        <f>Matrix!H30</f>
        <v>28008.864810034553</v>
      </c>
      <c r="F14" s="89" t="s">
        <v>21</v>
      </c>
      <c r="G14" s="78">
        <f>'Wholesale Factors'!$I$39</f>
        <v>0.41188966485391904</v>
      </c>
      <c r="H14" s="53">
        <f t="shared" si="0"/>
        <v>11536.561939543859</v>
      </c>
      <c r="I14" s="53">
        <f t="shared" si="1"/>
        <v>16472.302870490694</v>
      </c>
      <c r="J14" s="82"/>
      <c r="L14" s="17"/>
      <c r="M14" s="17"/>
    </row>
    <row r="15" spans="2:13" ht="15.4" x14ac:dyDescent="0.45">
      <c r="B15" s="2"/>
      <c r="C15" s="9" t="s">
        <v>82</v>
      </c>
      <c r="D15" s="17"/>
      <c r="E15" s="53"/>
      <c r="F15" s="89"/>
      <c r="G15" s="78"/>
      <c r="H15" s="53"/>
      <c r="I15" s="53"/>
      <c r="J15" s="82"/>
      <c r="L15" s="17"/>
      <c r="M15" s="17"/>
    </row>
    <row r="16" spans="2:13" ht="15.4" x14ac:dyDescent="0.45">
      <c r="B16" s="2"/>
      <c r="C16" s="63"/>
      <c r="D16" s="17" t="s">
        <v>67</v>
      </c>
      <c r="E16" s="87">
        <f>Matrix!G53</f>
        <v>55745.075336684655</v>
      </c>
      <c r="F16" s="89" t="s">
        <v>129</v>
      </c>
      <c r="G16" s="78">
        <f>'Wholesale Factors'!$I$35</f>
        <v>0.87528684917914279</v>
      </c>
      <c r="H16" s="53">
        <f t="shared" ref="H16:H18" si="2">E16*G16</f>
        <v>48792.931348700651</v>
      </c>
      <c r="I16" s="53">
        <f t="shared" ref="I16:I18" si="3">E16-H16</f>
        <v>6952.1439879840036</v>
      </c>
      <c r="J16" s="82"/>
      <c r="L16" s="17"/>
      <c r="M16" s="17"/>
    </row>
    <row r="17" spans="2:13" ht="15.4" x14ac:dyDescent="0.45">
      <c r="B17" s="2"/>
      <c r="C17" s="9"/>
      <c r="D17" s="17" t="s">
        <v>20</v>
      </c>
      <c r="E17" s="53">
        <f>Matrix!H53</f>
        <v>12486.351024006479</v>
      </c>
      <c r="F17" s="89" t="s">
        <v>21</v>
      </c>
      <c r="G17" s="78">
        <f>'Wholesale Factors'!$I$39</f>
        <v>0.41188966485391904</v>
      </c>
      <c r="H17" s="53">
        <f t="shared" si="2"/>
        <v>5142.9989385264171</v>
      </c>
      <c r="I17" s="53">
        <f t="shared" si="3"/>
        <v>7343.3520854800618</v>
      </c>
      <c r="J17" s="82"/>
      <c r="L17" s="17"/>
      <c r="M17" s="17"/>
    </row>
    <row r="18" spans="2:13" ht="15.4" x14ac:dyDescent="0.45">
      <c r="B18" s="2"/>
      <c r="C18" s="9" t="s">
        <v>4</v>
      </c>
      <c r="D18" s="17"/>
      <c r="E18" s="53">
        <f>Matrix!G65</f>
        <v>116419.75</v>
      </c>
      <c r="F18" s="89" t="s">
        <v>129</v>
      </c>
      <c r="G18" s="78">
        <f>'Wholesale Factors'!$I$35</f>
        <v>0.87528684917914279</v>
      </c>
      <c r="H18" s="53">
        <f t="shared" si="2"/>
        <v>101900.6761597235</v>
      </c>
      <c r="I18" s="53">
        <f t="shared" si="3"/>
        <v>14519.073840276498</v>
      </c>
      <c r="J18" s="82"/>
      <c r="L18" s="17"/>
      <c r="M18" s="17"/>
    </row>
    <row r="19" spans="2:13" ht="15.4" x14ac:dyDescent="0.45">
      <c r="B19" s="2"/>
      <c r="C19" s="9" t="s">
        <v>115</v>
      </c>
      <c r="D19" s="17"/>
      <c r="E19" s="213">
        <f>Matrix!G17</f>
        <v>262397.65999999997</v>
      </c>
      <c r="F19" s="89" t="s">
        <v>129</v>
      </c>
      <c r="G19" s="78">
        <f>'Wholesale Factors'!$I$35</f>
        <v>0.87528684917914279</v>
      </c>
      <c r="H19" s="53">
        <f>E19*G19</f>
        <v>229673.22105337997</v>
      </c>
      <c r="I19" s="53">
        <f>E19-H19</f>
        <v>32724.438946620008</v>
      </c>
      <c r="J19" s="82"/>
      <c r="L19" s="17"/>
      <c r="M19" s="17"/>
    </row>
    <row r="20" spans="2:13" ht="15.4" x14ac:dyDescent="0.45">
      <c r="B20" s="2"/>
      <c r="C20" s="9" t="s">
        <v>84</v>
      </c>
      <c r="D20" s="17"/>
      <c r="E20" s="213"/>
      <c r="F20" s="89"/>
      <c r="G20" s="79"/>
      <c r="H20" s="53"/>
      <c r="I20" s="53"/>
      <c r="J20" s="82"/>
      <c r="L20" s="17"/>
      <c r="M20" s="17"/>
    </row>
    <row r="21" spans="2:13" ht="15.4" x14ac:dyDescent="0.45">
      <c r="B21" s="2"/>
      <c r="C21" s="9"/>
      <c r="D21" s="17" t="s">
        <v>67</v>
      </c>
      <c r="E21" s="87">
        <f>Matrix!G63</f>
        <v>9427.0823337365018</v>
      </c>
      <c r="F21" s="89" t="s">
        <v>129</v>
      </c>
      <c r="G21" s="78">
        <f>'Wholesale Factors'!$I$35</f>
        <v>0.87528684917914279</v>
      </c>
      <c r="H21" s="53">
        <f t="shared" ref="H21:H22" si="4">E21*G21</f>
        <v>8251.4011928485834</v>
      </c>
      <c r="I21" s="53">
        <f t="shared" ref="I21:I22" si="5">E21-H21</f>
        <v>1175.6811408879184</v>
      </c>
      <c r="J21" s="82"/>
      <c r="L21" s="17"/>
      <c r="M21" s="17"/>
    </row>
    <row r="22" spans="2:13" ht="15.4" x14ac:dyDescent="0.45">
      <c r="B22" s="2"/>
      <c r="C22" s="9"/>
      <c r="D22" s="17" t="s">
        <v>20</v>
      </c>
      <c r="E22" s="53">
        <f>Matrix!H63</f>
        <v>4375.3808196112313</v>
      </c>
      <c r="F22" s="89" t="s">
        <v>21</v>
      </c>
      <c r="G22" s="78">
        <f>'Wholesale Factors'!$I$39</f>
        <v>0.41188966485391904</v>
      </c>
      <c r="H22" s="53">
        <f t="shared" si="4"/>
        <v>1802.1741393979357</v>
      </c>
      <c r="I22" s="53">
        <f t="shared" si="5"/>
        <v>2573.2066802132958</v>
      </c>
      <c r="J22" s="82"/>
      <c r="L22" s="17"/>
      <c r="M22" s="17"/>
    </row>
    <row r="23" spans="2:13" ht="15.4" x14ac:dyDescent="0.45">
      <c r="B23" s="2"/>
      <c r="C23" s="9" t="s">
        <v>80</v>
      </c>
      <c r="D23" s="17"/>
      <c r="E23" s="53"/>
      <c r="F23" s="89"/>
      <c r="G23" s="78"/>
      <c r="H23" s="53"/>
      <c r="I23" s="53"/>
      <c r="J23" s="82"/>
      <c r="L23" s="17"/>
      <c r="M23" s="17"/>
    </row>
    <row r="24" spans="2:13" ht="15.4" x14ac:dyDescent="0.45">
      <c r="B24" s="2"/>
      <c r="C24" s="9"/>
      <c r="D24" s="17" t="s">
        <v>67</v>
      </c>
      <c r="E24" s="87">
        <f>Matrix!G41</f>
        <v>12077.190720000001</v>
      </c>
      <c r="F24" s="89" t="s">
        <v>129</v>
      </c>
      <c r="G24" s="78">
        <f>'Wholesale Factors'!$I$35</f>
        <v>0.87528684917914279</v>
      </c>
      <c r="H24" s="53">
        <f>E24*G24</f>
        <v>10571.006212244383</v>
      </c>
      <c r="I24" s="53">
        <f>E24-H24</f>
        <v>1506.1845077556172</v>
      </c>
      <c r="J24" s="82"/>
      <c r="L24" s="17"/>
      <c r="M24" s="17"/>
    </row>
    <row r="25" spans="2:13" ht="15.4" x14ac:dyDescent="0.45">
      <c r="B25" s="2"/>
      <c r="C25" s="9"/>
      <c r="D25" s="17" t="s">
        <v>20</v>
      </c>
      <c r="E25" s="53">
        <f>Matrix!H41</f>
        <v>5894.8192799999997</v>
      </c>
      <c r="F25" s="89" t="s">
        <v>21</v>
      </c>
      <c r="G25" s="78">
        <f>'Wholesale Factors'!$I$39</f>
        <v>0.41188966485391904</v>
      </c>
      <c r="H25" s="53">
        <f>E25*G25</f>
        <v>2428.01513761362</v>
      </c>
      <c r="I25" s="53">
        <f>E25-H25</f>
        <v>3466.8041423863797</v>
      </c>
      <c r="J25" s="82"/>
      <c r="L25" s="17"/>
      <c r="M25" s="17"/>
    </row>
    <row r="26" spans="2:13" ht="15.4" x14ac:dyDescent="0.45">
      <c r="B26" s="2"/>
      <c r="C26" s="9" t="s">
        <v>85</v>
      </c>
      <c r="D26" s="17"/>
      <c r="E26" s="53">
        <f>Matrix!G43</f>
        <v>8283.52</v>
      </c>
      <c r="F26" s="89" t="s">
        <v>129</v>
      </c>
      <c r="G26" s="78">
        <f>'Wholesale Factors'!$I$35</f>
        <v>0.87528684917914279</v>
      </c>
      <c r="H26" s="53">
        <f>E26*G26</f>
        <v>7250.4561209124131</v>
      </c>
      <c r="I26" s="53">
        <f>E26-H26</f>
        <v>1033.0638790875873</v>
      </c>
      <c r="J26" s="82"/>
      <c r="L26" s="17"/>
      <c r="M26" s="17"/>
    </row>
    <row r="27" spans="2:13" ht="15.4" x14ac:dyDescent="0.45">
      <c r="B27" s="2"/>
      <c r="C27" s="9" t="s">
        <v>81</v>
      </c>
      <c r="D27" s="17"/>
      <c r="E27" s="53"/>
      <c r="F27" s="89"/>
      <c r="G27" s="79"/>
      <c r="H27" s="53"/>
      <c r="I27" s="53"/>
      <c r="J27" s="82"/>
      <c r="L27" s="17"/>
      <c r="M27" s="17"/>
    </row>
    <row r="28" spans="2:13" ht="15.4" x14ac:dyDescent="0.45">
      <c r="B28" s="2"/>
      <c r="C28" s="9"/>
      <c r="D28" s="17" t="s">
        <v>67</v>
      </c>
      <c r="E28" s="87">
        <f>Matrix!G60</f>
        <v>23.96228</v>
      </c>
      <c r="F28" s="89" t="s">
        <v>129</v>
      </c>
      <c r="G28" s="78">
        <f>'Wholesale Factors'!$I$35</f>
        <v>0.87528684917914279</v>
      </c>
      <c r="H28" s="53">
        <f t="shared" ref="H28:H29" si="6">E28*G28</f>
        <v>20.973868560348389</v>
      </c>
      <c r="I28" s="53">
        <f t="shared" ref="I28:I29" si="7">E28-H28</f>
        <v>2.9884114396516104</v>
      </c>
      <c r="J28" s="82"/>
      <c r="L28" s="17"/>
      <c r="M28" s="17"/>
    </row>
    <row r="29" spans="2:13" ht="15.4" x14ac:dyDescent="0.45">
      <c r="B29" s="2"/>
      <c r="C29" s="9"/>
      <c r="D29" s="17" t="s">
        <v>20</v>
      </c>
      <c r="E29" s="53">
        <f>Matrix!H60</f>
        <v>51.867720000000006</v>
      </c>
      <c r="F29" s="89" t="s">
        <v>21</v>
      </c>
      <c r="G29" s="78">
        <f>'Wholesale Factors'!$I$39</f>
        <v>0.41188966485391904</v>
      </c>
      <c r="H29" s="53">
        <f t="shared" si="6"/>
        <v>21.363777807536916</v>
      </c>
      <c r="I29" s="53">
        <f t="shared" si="7"/>
        <v>30.503942192463089</v>
      </c>
      <c r="J29" s="82"/>
      <c r="L29" s="17"/>
      <c r="M29" s="17"/>
    </row>
    <row r="30" spans="2:13" ht="15.4" x14ac:dyDescent="0.45">
      <c r="B30" s="2"/>
      <c r="C30" s="9" t="s">
        <v>86</v>
      </c>
      <c r="D30" s="17"/>
      <c r="E30" s="53"/>
      <c r="F30" s="89"/>
      <c r="G30" s="79"/>
      <c r="H30" s="53"/>
      <c r="I30" s="53"/>
      <c r="J30" s="82"/>
      <c r="L30" s="17"/>
      <c r="M30" s="17"/>
    </row>
    <row r="31" spans="2:13" ht="15.4" x14ac:dyDescent="0.45">
      <c r="B31" s="2"/>
      <c r="C31" s="9"/>
      <c r="D31" s="17" t="s">
        <v>67</v>
      </c>
      <c r="E31" s="87">
        <f>Matrix!G11</f>
        <v>5134.9158462505402</v>
      </c>
      <c r="F31" s="89" t="s">
        <v>129</v>
      </c>
      <c r="G31" s="78">
        <f>'Wholesale Factors'!$I$35</f>
        <v>0.87528684917914279</v>
      </c>
      <c r="H31" s="53">
        <f t="shared" ref="H31:H32" si="8">E31*G31</f>
        <v>4494.5243118646868</v>
      </c>
      <c r="I31" s="53">
        <f t="shared" ref="I31:I32" si="9">E31-H31</f>
        <v>640.39153438585345</v>
      </c>
      <c r="J31" s="82"/>
      <c r="L31" s="17"/>
      <c r="M31" s="17"/>
    </row>
    <row r="32" spans="2:13" ht="15.4" x14ac:dyDescent="0.45">
      <c r="B32" s="2"/>
      <c r="C32" s="9"/>
      <c r="D32" s="17" t="s">
        <v>20</v>
      </c>
      <c r="E32" s="53">
        <f>Matrix!H11</f>
        <v>1291.7623092570195</v>
      </c>
      <c r="F32" s="89" t="s">
        <v>21</v>
      </c>
      <c r="G32" s="78">
        <f>'Wholesale Factors'!$I$39</f>
        <v>0.41188966485391904</v>
      </c>
      <c r="H32" s="53">
        <f t="shared" si="8"/>
        <v>532.06354463079833</v>
      </c>
      <c r="I32" s="53">
        <f t="shared" si="9"/>
        <v>759.69876462622119</v>
      </c>
      <c r="J32" s="82"/>
      <c r="L32" s="17"/>
      <c r="M32" s="17"/>
    </row>
    <row r="33" spans="2:13" ht="15.4" x14ac:dyDescent="0.45">
      <c r="B33" s="2"/>
      <c r="C33" s="9" t="s">
        <v>87</v>
      </c>
      <c r="D33" s="17"/>
      <c r="E33" s="53"/>
      <c r="F33" s="89"/>
      <c r="G33" s="79"/>
      <c r="H33" s="53"/>
      <c r="I33" s="53"/>
      <c r="J33" s="82"/>
      <c r="L33" s="17"/>
      <c r="M33" s="17"/>
    </row>
    <row r="34" spans="2:13" ht="15.4" x14ac:dyDescent="0.45">
      <c r="B34" s="2"/>
      <c r="C34" s="9"/>
      <c r="D34" s="17" t="s">
        <v>67</v>
      </c>
      <c r="E34" s="87">
        <f>Matrix!G15</f>
        <v>7738.182464999999</v>
      </c>
      <c r="F34" s="89" t="s">
        <v>129</v>
      </c>
      <c r="G34" s="78">
        <f>'Wholesale Factors'!$I$35</f>
        <v>0.87528684917914279</v>
      </c>
      <c r="H34" s="53">
        <f t="shared" ref="H34:H35" si="10">E34*G34</f>
        <v>6773.1293481631419</v>
      </c>
      <c r="I34" s="53">
        <f t="shared" ref="I34:I35" si="11">E34-H34</f>
        <v>965.05311683685704</v>
      </c>
      <c r="J34" s="82"/>
      <c r="L34" s="17"/>
      <c r="M34" s="17"/>
    </row>
    <row r="35" spans="2:13" ht="15.4" x14ac:dyDescent="0.45">
      <c r="B35" s="2"/>
      <c r="C35" s="9"/>
      <c r="D35" s="17" t="s">
        <v>20</v>
      </c>
      <c r="E35" s="53">
        <f>Matrix!H15</f>
        <v>35980.362534999993</v>
      </c>
      <c r="F35" s="89" t="s">
        <v>21</v>
      </c>
      <c r="G35" s="78">
        <f>'Wholesale Factors'!$I$39</f>
        <v>0.41188966485391904</v>
      </c>
      <c r="H35" s="53">
        <f t="shared" si="10"/>
        <v>14819.939465863652</v>
      </c>
      <c r="I35" s="53">
        <f t="shared" si="11"/>
        <v>21160.423069136341</v>
      </c>
      <c r="J35" s="82"/>
      <c r="L35" s="17"/>
      <c r="M35" s="17"/>
    </row>
    <row r="36" spans="2:13" ht="15.4" x14ac:dyDescent="0.45">
      <c r="B36" s="2"/>
      <c r="C36" s="9" t="s">
        <v>116</v>
      </c>
      <c r="D36" s="17"/>
      <c r="E36" s="53"/>
      <c r="F36" s="89"/>
      <c r="G36" s="79"/>
      <c r="H36" s="53"/>
      <c r="I36" s="53"/>
      <c r="J36" s="82"/>
      <c r="L36" s="17"/>
      <c r="M36" s="17"/>
    </row>
    <row r="37" spans="2:13" ht="15.4" x14ac:dyDescent="0.45">
      <c r="B37" s="2"/>
      <c r="C37" s="9"/>
      <c r="D37" s="17" t="s">
        <v>22</v>
      </c>
      <c r="E37" s="87">
        <f>Matrix!J38</f>
        <v>3545.8765788336932</v>
      </c>
      <c r="F37" s="89" t="s">
        <v>21</v>
      </c>
      <c r="G37" s="78">
        <f>'Wholesale Factors'!$I$39</f>
        <v>0.41188966485391904</v>
      </c>
      <c r="H37" s="53">
        <f t="shared" ref="H37:H38" si="12">E37*G37</f>
        <v>1460.5099156691708</v>
      </c>
      <c r="I37" s="53">
        <f t="shared" ref="I37:I38" si="13">E37-H37</f>
        <v>2085.3666631645224</v>
      </c>
      <c r="J37" s="82"/>
      <c r="L37" s="17"/>
      <c r="M37" s="17"/>
    </row>
    <row r="38" spans="2:13" ht="15.4" x14ac:dyDescent="0.45">
      <c r="B38" s="2"/>
      <c r="C38" s="9"/>
      <c r="D38" s="17" t="s">
        <v>25</v>
      </c>
      <c r="E38" s="53">
        <f>Matrix!I38</f>
        <v>20093.300613390926</v>
      </c>
      <c r="G38" s="78">
        <v>0</v>
      </c>
      <c r="H38" s="53">
        <f t="shared" si="12"/>
        <v>0</v>
      </c>
      <c r="I38" s="53">
        <f t="shared" si="13"/>
        <v>20093.300613390926</v>
      </c>
      <c r="J38" s="82"/>
      <c r="L38" s="17"/>
      <c r="M38" s="17"/>
    </row>
    <row r="39" spans="2:13" ht="6.95" customHeight="1" x14ac:dyDescent="0.45">
      <c r="B39" s="2"/>
      <c r="C39" s="9"/>
      <c r="D39" s="17"/>
      <c r="E39" s="53"/>
      <c r="F39" s="89"/>
      <c r="G39" s="79"/>
      <c r="H39" s="53"/>
      <c r="I39" s="53"/>
      <c r="J39" s="82"/>
      <c r="L39" s="17"/>
      <c r="M39" s="17"/>
    </row>
    <row r="40" spans="2:13" ht="15.4" x14ac:dyDescent="0.45">
      <c r="B40" s="2"/>
      <c r="C40" s="9" t="s">
        <v>2</v>
      </c>
      <c r="D40" s="17"/>
      <c r="E40" s="53">
        <f>SUM(E10:E39)</f>
        <v>872531.49922246218</v>
      </c>
      <c r="F40" s="89"/>
      <c r="G40" s="79"/>
      <c r="H40" s="53">
        <f>SUM(H10:H39)</f>
        <v>686494.8951020384</v>
      </c>
      <c r="I40" s="53">
        <f>SUM(I10:I39)</f>
        <v>186036.60412042378</v>
      </c>
      <c r="J40" s="82"/>
      <c r="L40" s="17">
        <f>I40+H40</f>
        <v>872531.49922246218</v>
      </c>
      <c r="M40" s="17"/>
    </row>
    <row r="41" spans="2:13" ht="6.95" customHeight="1" x14ac:dyDescent="0.45">
      <c r="B41" s="2"/>
      <c r="C41" s="9"/>
      <c r="D41" s="17"/>
      <c r="E41" s="53"/>
      <c r="F41" s="89"/>
      <c r="G41" s="79"/>
      <c r="H41" s="53"/>
      <c r="I41" s="53"/>
      <c r="J41" s="82"/>
      <c r="L41" s="17"/>
      <c r="M41" s="17"/>
    </row>
    <row r="42" spans="2:13" ht="15.4" x14ac:dyDescent="0.45">
      <c r="B42" s="2"/>
      <c r="C42" s="9" t="s">
        <v>3</v>
      </c>
      <c r="D42" s="17"/>
      <c r="E42" s="53"/>
      <c r="F42" s="89"/>
      <c r="G42" s="79"/>
      <c r="H42" s="53"/>
      <c r="I42" s="53"/>
      <c r="J42" s="82"/>
      <c r="L42" s="17"/>
      <c r="M42" s="17"/>
    </row>
    <row r="43" spans="2:13" ht="15.4" x14ac:dyDescent="0.45">
      <c r="B43" s="2"/>
      <c r="C43" s="9"/>
      <c r="D43" s="17" t="s">
        <v>67</v>
      </c>
      <c r="E43" s="53">
        <f>Depreciation!E25</f>
        <v>88328.678390000001</v>
      </c>
      <c r="F43" s="89" t="s">
        <v>129</v>
      </c>
      <c r="G43" s="78">
        <f>'Wholesale Factors'!$I$35</f>
        <v>0.87528684917914279</v>
      </c>
      <c r="H43" s="53">
        <f>E43*G43</f>
        <v>77312.930600140942</v>
      </c>
      <c r="I43" s="53">
        <f>E43-H43</f>
        <v>11015.747789859059</v>
      </c>
      <c r="J43" s="82"/>
      <c r="L43" s="17"/>
      <c r="M43" s="17"/>
    </row>
    <row r="44" spans="2:13" ht="15.4" x14ac:dyDescent="0.45">
      <c r="B44" s="2"/>
      <c r="C44" s="9"/>
      <c r="D44" s="9" t="s">
        <v>24</v>
      </c>
      <c r="E44" s="53">
        <f>Depreciation!F25</f>
        <v>55989.131610000004</v>
      </c>
      <c r="F44" s="89" t="s">
        <v>138</v>
      </c>
      <c r="G44" s="78">
        <v>0.33512839357325303</v>
      </c>
      <c r="H44" s="53">
        <f>E44*G44</f>
        <v>18763.547734020744</v>
      </c>
      <c r="I44" s="53">
        <f>E44-H44</f>
        <v>37225.58387597926</v>
      </c>
      <c r="J44" s="82"/>
      <c r="L44" s="17"/>
      <c r="M44" s="17"/>
    </row>
    <row r="45" spans="2:13" ht="15.4" x14ac:dyDescent="0.45">
      <c r="B45" s="2"/>
      <c r="C45" s="9"/>
      <c r="D45" s="9" t="s">
        <v>126</v>
      </c>
      <c r="E45" s="53">
        <f>Depreciation!G25</f>
        <v>53049.65</v>
      </c>
      <c r="F45" s="89" t="s">
        <v>23</v>
      </c>
      <c r="G45" s="78">
        <f>'Wholesale Factors'!$I$43</f>
        <v>0.91505846550687941</v>
      </c>
      <c r="H45" s="53">
        <f>E45*G45</f>
        <v>48543.531324677024</v>
      </c>
      <c r="I45" s="53">
        <f>E45-H45</f>
        <v>4506.1186753229777</v>
      </c>
      <c r="J45" s="82"/>
      <c r="L45" s="17"/>
      <c r="M45" s="17"/>
    </row>
    <row r="46" spans="2:13" ht="15.4" x14ac:dyDescent="0.45">
      <c r="B46" s="2"/>
      <c r="C46" s="9"/>
      <c r="D46" s="17" t="s">
        <v>22</v>
      </c>
      <c r="E46" s="53">
        <f>Depreciation!H25</f>
        <v>496.12050000000011</v>
      </c>
      <c r="F46" s="89" t="s">
        <v>21</v>
      </c>
      <c r="G46" s="78">
        <f>'Wholesale Factors'!$I$39</f>
        <v>0.41188966485391904</v>
      </c>
      <c r="H46" s="53">
        <f>E46*G46</f>
        <v>204.34690647215879</v>
      </c>
      <c r="I46" s="53">
        <f>E46-H46</f>
        <v>291.77359352784129</v>
      </c>
      <c r="J46" s="82"/>
      <c r="L46" s="17"/>
      <c r="M46" s="17"/>
    </row>
    <row r="47" spans="2:13" ht="15.4" x14ac:dyDescent="0.45">
      <c r="B47" s="2"/>
      <c r="C47" s="9"/>
      <c r="D47" s="17" t="s">
        <v>25</v>
      </c>
      <c r="E47" s="53">
        <f>Depreciation!I25</f>
        <v>16437.7395</v>
      </c>
      <c r="F47" s="89"/>
      <c r="G47" s="78">
        <v>0</v>
      </c>
      <c r="H47" s="53">
        <f t="shared" ref="H47" si="14">E47*G47</f>
        <v>0</v>
      </c>
      <c r="I47" s="53">
        <f>E47</f>
        <v>16437.7395</v>
      </c>
      <c r="J47" s="82"/>
      <c r="L47" s="17"/>
      <c r="M47" s="17"/>
    </row>
    <row r="48" spans="2:13" ht="15.4" x14ac:dyDescent="0.45">
      <c r="B48" s="2"/>
      <c r="C48" s="9" t="s">
        <v>77</v>
      </c>
      <c r="D48" s="17"/>
      <c r="E48" s="53"/>
      <c r="F48" s="89"/>
      <c r="G48" s="79"/>
      <c r="H48" s="53"/>
      <c r="I48" s="53"/>
      <c r="J48" s="82"/>
      <c r="L48" s="17"/>
      <c r="M48" s="17"/>
    </row>
    <row r="49" spans="2:19" ht="15.4" x14ac:dyDescent="0.45">
      <c r="B49" s="2"/>
      <c r="C49" s="9"/>
      <c r="D49" s="17" t="s">
        <v>67</v>
      </c>
      <c r="E49" s="53">
        <f>'DS Allocation'!F15</f>
        <v>12341.351851200001</v>
      </c>
      <c r="F49" s="89" t="s">
        <v>129</v>
      </c>
      <c r="G49" s="78">
        <f>'Wholesale Factors'!$I$35</f>
        <v>0.87528684917914279</v>
      </c>
      <c r="H49" s="53">
        <f>E49*G49</f>
        <v>10802.222976448031</v>
      </c>
      <c r="I49" s="53">
        <f>E49-H49</f>
        <v>1539.1288747519702</v>
      </c>
      <c r="J49" s="82"/>
      <c r="L49" s="17"/>
      <c r="M49" s="17"/>
    </row>
    <row r="50" spans="2:19" ht="15.4" x14ac:dyDescent="0.45">
      <c r="B50" s="2"/>
      <c r="C50" s="9"/>
      <c r="D50" s="9" t="s">
        <v>24</v>
      </c>
      <c r="E50" s="53">
        <f>'DS Allocation'!G15</f>
        <v>65576.119200000001</v>
      </c>
      <c r="F50" s="89" t="s">
        <v>138</v>
      </c>
      <c r="G50" s="78">
        <v>0.33512839357325303</v>
      </c>
      <c r="H50" s="53">
        <f>E50*G50</f>
        <v>21976.419484264155</v>
      </c>
      <c r="I50" s="53">
        <f>E50-H50</f>
        <v>43599.699715735842</v>
      </c>
      <c r="J50" s="82"/>
      <c r="L50" s="17"/>
      <c r="M50" s="17"/>
    </row>
    <row r="51" spans="2:19" ht="15.4" x14ac:dyDescent="0.45">
      <c r="B51" s="2"/>
      <c r="C51" s="9"/>
      <c r="D51" s="9" t="s">
        <v>126</v>
      </c>
      <c r="E51" s="53">
        <f>'DS Allocation'!H15</f>
        <v>35507.769748799998</v>
      </c>
      <c r="F51" s="89" t="s">
        <v>23</v>
      </c>
      <c r="G51" s="78">
        <f>'Wholesale Factors'!$I$43</f>
        <v>0.91505846550687941</v>
      </c>
      <c r="H51" s="53">
        <f>E51*G51</f>
        <v>32491.68529990852</v>
      </c>
      <c r="I51" s="53">
        <f>E51-H51</f>
        <v>3016.0844488914772</v>
      </c>
      <c r="J51" s="82"/>
      <c r="L51" s="17"/>
      <c r="M51" s="17"/>
    </row>
    <row r="52" spans="2:19" ht="6.95" customHeight="1" x14ac:dyDescent="0.45">
      <c r="B52" s="2"/>
      <c r="C52" s="9"/>
      <c r="D52" s="17"/>
      <c r="E52" s="53"/>
      <c r="F52" s="53"/>
      <c r="G52" s="79"/>
      <c r="H52" s="53"/>
      <c r="I52" s="53"/>
      <c r="J52" s="82"/>
      <c r="K52" s="9"/>
      <c r="L52" s="17"/>
      <c r="M52" s="17"/>
    </row>
    <row r="53" spans="2:19" ht="15.4" x14ac:dyDescent="0.45">
      <c r="B53" s="2"/>
      <c r="C53" s="19" t="s">
        <v>26</v>
      </c>
      <c r="D53" s="9"/>
      <c r="E53" s="53">
        <f>SUM(E43:E51)+E40</f>
        <v>1200258.0600224622</v>
      </c>
      <c r="F53" s="53"/>
      <c r="G53" s="79"/>
      <c r="H53" s="53">
        <f>SUM(H43:H51)+H40</f>
        <v>896589.57942796999</v>
      </c>
      <c r="I53" s="53">
        <f>SUM(I43:I51)+I40</f>
        <v>303668.48059449223</v>
      </c>
      <c r="J53" s="82"/>
      <c r="K53" s="9"/>
      <c r="L53" s="17">
        <f>I53+H53</f>
        <v>1200258.0600224622</v>
      </c>
      <c r="M53" s="17"/>
    </row>
    <row r="54" spans="2:19" ht="6.95" customHeight="1" x14ac:dyDescent="0.45">
      <c r="B54" s="2"/>
      <c r="C54" s="9"/>
      <c r="D54" s="17"/>
      <c r="E54" s="17"/>
      <c r="F54" s="17"/>
      <c r="G54" s="17"/>
      <c r="H54" s="53"/>
      <c r="I54" s="53"/>
      <c r="J54" s="82"/>
      <c r="K54" s="9"/>
      <c r="L54" s="17"/>
      <c r="M54" s="17"/>
    </row>
    <row r="55" spans="2:19" ht="15.4" x14ac:dyDescent="0.45">
      <c r="B55" s="2"/>
      <c r="C55" s="9"/>
      <c r="D55" s="17" t="s">
        <v>27</v>
      </c>
      <c r="E55" s="17"/>
      <c r="F55" s="17"/>
      <c r="G55" s="17"/>
      <c r="H55" s="53">
        <f>'Wholesale Factors'!I14</f>
        <v>384409.29</v>
      </c>
      <c r="I55" s="53"/>
      <c r="J55" s="82"/>
      <c r="K55" s="9"/>
      <c r="L55" s="17"/>
      <c r="M55" s="17"/>
    </row>
    <row r="56" spans="2:19" ht="6.95" customHeight="1" x14ac:dyDescent="0.45">
      <c r="B56" s="2"/>
      <c r="C56" s="9"/>
      <c r="D56" s="17"/>
      <c r="E56" s="17"/>
      <c r="F56" s="17"/>
      <c r="G56" s="17"/>
      <c r="H56" s="17"/>
      <c r="I56" s="17"/>
      <c r="J56" s="24"/>
      <c r="K56" s="9"/>
      <c r="L56" s="17"/>
      <c r="M56" s="17"/>
    </row>
    <row r="57" spans="2:19" ht="18" x14ac:dyDescent="0.8">
      <c r="B57" s="2"/>
      <c r="C57" s="85" t="s">
        <v>28</v>
      </c>
      <c r="D57" s="86"/>
      <c r="E57" s="86"/>
      <c r="F57" s="86"/>
      <c r="G57" s="86"/>
      <c r="H57" s="88">
        <f>ROUND(H53/H55,2)</f>
        <v>2.33</v>
      </c>
      <c r="I57" s="20"/>
      <c r="J57" s="83"/>
      <c r="K57" s="52"/>
      <c r="L57" s="20">
        <f>H57*H55</f>
        <v>895673.64569999999</v>
      </c>
      <c r="M57" s="17"/>
    </row>
    <row r="58" spans="2:19" ht="15.4" x14ac:dyDescent="0.45">
      <c r="B58" s="7"/>
      <c r="C58" s="84"/>
      <c r="D58" s="27"/>
      <c r="E58" s="27"/>
      <c r="F58" s="27"/>
      <c r="G58" s="27"/>
      <c r="H58" s="84"/>
      <c r="I58" s="27"/>
      <c r="J58" s="28"/>
      <c r="K58" s="9"/>
      <c r="L58" s="17"/>
      <c r="M58" s="17"/>
    </row>
    <row r="59" spans="2:19" ht="15.4" x14ac:dyDescent="0.45">
      <c r="C59" s="9"/>
      <c r="D59" s="17"/>
      <c r="E59" s="17"/>
      <c r="F59" s="17"/>
      <c r="G59" s="17"/>
      <c r="H59" s="9"/>
      <c r="I59" s="17"/>
      <c r="J59" s="17"/>
      <c r="K59" s="9"/>
      <c r="L59" s="17"/>
      <c r="M59" s="17"/>
    </row>
    <row r="60" spans="2:19" ht="15.4" x14ac:dyDescent="0.45">
      <c r="C60" s="9" t="s">
        <v>136</v>
      </c>
      <c r="D60" s="17"/>
      <c r="E60" s="17"/>
      <c r="F60" s="17"/>
      <c r="G60" s="17"/>
      <c r="H60" s="9"/>
      <c r="I60" s="17"/>
      <c r="J60" s="17"/>
      <c r="K60" s="9"/>
      <c r="L60" s="17"/>
      <c r="M60" s="17"/>
    </row>
    <row r="61" spans="2:19" ht="15.4" x14ac:dyDescent="0.45">
      <c r="C61" s="9" t="s">
        <v>137</v>
      </c>
      <c r="D61" s="17"/>
      <c r="E61" s="17"/>
      <c r="F61" s="17"/>
      <c r="G61" s="17"/>
      <c r="H61" s="9"/>
      <c r="I61" s="17"/>
      <c r="J61" s="17"/>
      <c r="K61" s="9"/>
      <c r="L61" s="17"/>
      <c r="M61" s="17"/>
    </row>
    <row r="62" spans="2:19" ht="15.4" x14ac:dyDescent="0.45">
      <c r="C62" s="9"/>
      <c r="D62" s="9"/>
      <c r="E62" s="9"/>
      <c r="F62" s="9"/>
      <c r="G62" s="9"/>
      <c r="H62" s="57"/>
      <c r="I62" s="57"/>
      <c r="J62" s="57"/>
      <c r="K62" s="57"/>
      <c r="L62" s="9"/>
      <c r="M62" s="9"/>
      <c r="O62" s="9"/>
      <c r="P62" s="9"/>
      <c r="Q62" s="9"/>
      <c r="R62" s="9"/>
      <c r="S62" s="9"/>
    </row>
    <row r="63" spans="2:19" ht="15.4" x14ac:dyDescent="0.45">
      <c r="C63" s="9"/>
      <c r="D63" s="9"/>
    </row>
    <row r="64" spans="2:19" ht="15.4" x14ac:dyDescent="0.45">
      <c r="C64" s="9"/>
      <c r="D64" s="9"/>
    </row>
    <row r="65" spans="3:13" ht="15.4" x14ac:dyDescent="0.45">
      <c r="C65" s="9"/>
      <c r="D65" s="9"/>
    </row>
    <row r="66" spans="3:13" ht="15.4" x14ac:dyDescent="0.45">
      <c r="C66" s="9"/>
      <c r="D66" s="9"/>
    </row>
    <row r="67" spans="3:13" ht="15.4" x14ac:dyDescent="0.45">
      <c r="C67" s="9"/>
      <c r="D67" s="9"/>
    </row>
    <row r="68" spans="3:13" ht="15.4" x14ac:dyDescent="0.45">
      <c r="C68" s="9"/>
      <c r="D68" s="9"/>
    </row>
    <row r="69" spans="3:13" ht="15.4" x14ac:dyDescent="0.45">
      <c r="C69" s="9"/>
      <c r="D69" s="9"/>
    </row>
    <row r="70" spans="3:13" ht="15.4" x14ac:dyDescent="0.45">
      <c r="C70" s="9"/>
      <c r="D70" s="9"/>
    </row>
    <row r="71" spans="3:13" ht="15.4" x14ac:dyDescent="0.45">
      <c r="C71" s="9"/>
      <c r="D71" s="9"/>
    </row>
    <row r="72" spans="3:13" ht="15.4" x14ac:dyDescent="0.45">
      <c r="C72" s="9"/>
      <c r="D72" s="9"/>
    </row>
    <row r="73" spans="3:13" ht="15.4" x14ac:dyDescent="0.45">
      <c r="C73" s="9"/>
      <c r="D73" s="9"/>
    </row>
    <row r="74" spans="3:13" ht="15.4" x14ac:dyDescent="0.45">
      <c r="C74" s="9"/>
      <c r="D74" s="9"/>
    </row>
    <row r="75" spans="3:13" ht="15.4" x14ac:dyDescent="0.45">
      <c r="C75" s="9"/>
      <c r="D75" s="9"/>
    </row>
    <row r="76" spans="3:13" ht="15.4" x14ac:dyDescent="0.45">
      <c r="C76" s="9"/>
      <c r="D76" s="9"/>
    </row>
    <row r="77" spans="3:13" ht="15.4" x14ac:dyDescent="0.45">
      <c r="C77" s="9"/>
      <c r="D77" s="9"/>
      <c r="E77" s="9"/>
      <c r="F77" s="9"/>
      <c r="G77" s="9"/>
      <c r="H77" s="57"/>
      <c r="I77" s="57"/>
      <c r="J77" s="57"/>
      <c r="K77" s="57"/>
      <c r="L77" s="9"/>
      <c r="M77" s="9"/>
    </row>
    <row r="78" spans="3:13" ht="15.4" x14ac:dyDescent="0.45">
      <c r="C78" s="9"/>
      <c r="D78" s="9"/>
      <c r="E78" s="9"/>
      <c r="F78" s="9"/>
      <c r="G78" s="9"/>
      <c r="H78" s="57"/>
      <c r="I78" s="57"/>
      <c r="J78" s="57"/>
      <c r="K78" s="57"/>
      <c r="L78" s="9"/>
      <c r="M78" s="9"/>
    </row>
    <row r="79" spans="3:13" ht="15.4" x14ac:dyDescent="0.4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3:13" ht="15.4" x14ac:dyDescent="0.4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ht="15.4" x14ac:dyDescent="0.4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3:13" ht="15.4" x14ac:dyDescent="0.4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</sheetData>
  <mergeCells count="2">
    <mergeCell ref="C3:J3"/>
    <mergeCell ref="F7:G7"/>
  </mergeCells>
  <printOptions horizontalCentered="1"/>
  <pageMargins left="0.45" right="0.45" top="0.3" bottom="0.3" header="0.3" footer="0.3"/>
  <pageSetup scale="84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29AB-B808-47FB-B765-D46F0E315C6F}">
  <dimension ref="A1:E24"/>
  <sheetViews>
    <sheetView workbookViewId="0">
      <selection activeCell="B24" sqref="A1:B24"/>
    </sheetView>
  </sheetViews>
  <sheetFormatPr defaultRowHeight="14.25" x14ac:dyDescent="0.45"/>
  <cols>
    <col min="1" max="1" width="24.609375" style="99" bestFit="1" customWidth="1"/>
    <col min="2" max="2" width="9.88671875" style="104" bestFit="1" customWidth="1"/>
    <col min="3" max="16384" width="8.88671875" style="99"/>
  </cols>
  <sheetData>
    <row r="1" spans="1:5" x14ac:dyDescent="0.45">
      <c r="A1" s="103" t="s">
        <v>92</v>
      </c>
      <c r="B1" s="103"/>
      <c r="C1" s="103"/>
      <c r="D1" s="103"/>
      <c r="E1" s="103"/>
    </row>
    <row r="2" spans="1:5" x14ac:dyDescent="0.45">
      <c r="A2" s="207" t="s">
        <v>295</v>
      </c>
    </row>
    <row r="4" spans="1:5" x14ac:dyDescent="0.45">
      <c r="A4" s="103" t="s">
        <v>233</v>
      </c>
    </row>
    <row r="5" spans="1:5" x14ac:dyDescent="0.45">
      <c r="A5" s="99" t="s">
        <v>234</v>
      </c>
      <c r="B5" s="104">
        <v>328311.26</v>
      </c>
    </row>
    <row r="6" spans="1:5" x14ac:dyDescent="0.45">
      <c r="A6" s="99" t="s">
        <v>235</v>
      </c>
      <c r="B6" s="104">
        <v>69488.759999999995</v>
      </c>
    </row>
    <row r="7" spans="1:5" x14ac:dyDescent="0.45">
      <c r="A7" s="99" t="s">
        <v>236</v>
      </c>
      <c r="B7" s="104">
        <v>758264.23</v>
      </c>
    </row>
    <row r="8" spans="1:5" x14ac:dyDescent="0.45">
      <c r="A8" s="99" t="s">
        <v>237</v>
      </c>
      <c r="B8" s="105">
        <v>764</v>
      </c>
    </row>
    <row r="9" spans="1:5" x14ac:dyDescent="0.45">
      <c r="A9" s="99" t="s">
        <v>238</v>
      </c>
      <c r="B9" s="104">
        <f>SUM(B5:B8)</f>
        <v>1156828.25</v>
      </c>
    </row>
    <row r="10" spans="1:5" x14ac:dyDescent="0.45">
      <c r="A10" s="103" t="s">
        <v>239</v>
      </c>
      <c r="B10" s="106">
        <f>B9/B15</f>
        <v>0.75454900964110461</v>
      </c>
    </row>
    <row r="12" spans="1:5" x14ac:dyDescent="0.45">
      <c r="A12" s="99" t="s">
        <v>240</v>
      </c>
      <c r="B12" s="104">
        <v>376310.4</v>
      </c>
    </row>
    <row r="13" spans="1:5" x14ac:dyDescent="0.45">
      <c r="A13" s="103" t="s">
        <v>241</v>
      </c>
      <c r="B13" s="106">
        <f>B12/B15</f>
        <v>0.24545099035889548</v>
      </c>
    </row>
    <row r="15" spans="1:5" x14ac:dyDescent="0.45">
      <c r="A15" s="99" t="s">
        <v>242</v>
      </c>
      <c r="B15" s="104">
        <f>B9+B12</f>
        <v>1533138.65</v>
      </c>
    </row>
    <row r="19" spans="1:2" x14ac:dyDescent="0.45">
      <c r="A19" s="103" t="s">
        <v>243</v>
      </c>
    </row>
    <row r="20" spans="1:2" x14ac:dyDescent="0.45">
      <c r="A20" s="99" t="s">
        <v>244</v>
      </c>
      <c r="B20" s="107">
        <v>756</v>
      </c>
    </row>
    <row r="21" spans="1:2" x14ac:dyDescent="0.45">
      <c r="A21" s="103" t="s">
        <v>239</v>
      </c>
      <c r="B21" s="106">
        <f>B20/B24</f>
        <v>0.54427645788336931</v>
      </c>
    </row>
    <row r="22" spans="1:2" x14ac:dyDescent="0.45">
      <c r="A22" s="99" t="s">
        <v>245</v>
      </c>
      <c r="B22" s="107">
        <v>633</v>
      </c>
    </row>
    <row r="23" spans="1:2" x14ac:dyDescent="0.45">
      <c r="A23" s="103" t="s">
        <v>241</v>
      </c>
      <c r="B23" s="106">
        <f>B22/B24</f>
        <v>0.45572354211663069</v>
      </c>
    </row>
    <row r="24" spans="1:2" x14ac:dyDescent="0.45">
      <c r="A24" s="99" t="s">
        <v>246</v>
      </c>
      <c r="B24" s="107">
        <f>B20+B22</f>
        <v>1389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Trial Balance</vt:lpstr>
      <vt:lpstr>Matrix</vt:lpstr>
      <vt:lpstr>Depreciation</vt:lpstr>
      <vt:lpstr>Debt Service</vt:lpstr>
      <vt:lpstr>DS Allocation</vt:lpstr>
      <vt:lpstr>System Information</vt:lpstr>
      <vt:lpstr>Wholesale Factors</vt:lpstr>
      <vt:lpstr>Rate Computation</vt:lpstr>
      <vt:lpstr>Breakout</vt:lpstr>
      <vt:lpstr>Breakout!Print_Area</vt:lpstr>
      <vt:lpstr>'Debt Service'!Print_Area</vt:lpstr>
      <vt:lpstr>Depreciation!Print_Area</vt:lpstr>
      <vt:lpstr>'DS Allocation'!Print_Area</vt:lpstr>
      <vt:lpstr>Matrix!Print_Area</vt:lpstr>
      <vt:lpstr>'Rate Computation'!Print_Area</vt:lpstr>
      <vt:lpstr>'System Information'!Print_Area</vt:lpstr>
      <vt:lpstr>'Trial Balance'!Print_Area</vt:lpstr>
      <vt:lpstr>'Wholesale Factors'!Print_Area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2023-01-13T19:41:09Z</cp:lastPrinted>
  <dcterms:created xsi:type="dcterms:W3CDTF">2016-05-18T14:12:06Z</dcterms:created>
  <dcterms:modified xsi:type="dcterms:W3CDTF">2023-01-16T18:02:53Z</dcterms:modified>
</cp:coreProperties>
</file>