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Henderson County WD/"/>
    </mc:Choice>
  </mc:AlternateContent>
  <xr:revisionPtr revIDLastSave="35" documentId="8_{884EAEEF-5E1E-46CA-8B5E-72EEFB4D3220}" xr6:coauthVersionLast="47" xr6:coauthVersionMax="47" xr10:uidLastSave="{F590F841-09CA-4EAE-A199-45836BD77103}"/>
  <bookViews>
    <workbookView xWindow="-98" yWindow="-98" windowWidth="20715" windowHeight="13155" activeTab="2" xr2:uid="{00000000-000D-0000-FFFF-FFFF00000000}"/>
  </bookViews>
  <sheets>
    <sheet name="SAO" sheetId="6" r:id="rId1"/>
    <sheet name="Revenue Requirements" sheetId="58" r:id="rId2"/>
    <sheet name="Wages" sheetId="55" r:id="rId3"/>
    <sheet name="Medical" sheetId="40" r:id="rId4"/>
    <sheet name="Depreciation" sheetId="51" r:id="rId5"/>
    <sheet name="Debt Service" sheetId="50" r:id="rId6"/>
    <sheet name="Capital" sheetId="56" r:id="rId7"/>
    <sheet name="Water Loss" sheetId="54" r:id="rId8"/>
    <sheet name="Rates" sheetId="2" r:id="rId9"/>
    <sheet name="Bills" sheetId="42" r:id="rId10"/>
    <sheet name="Bills w Surcharge" sheetId="57" r:id="rId11"/>
    <sheet name="ExBA" sheetId="52" r:id="rId12"/>
    <sheet name="PrBA" sheetId="53" r:id="rId13"/>
  </sheets>
  <externalReferences>
    <externalReference r:id="rId14"/>
  </externalReferences>
  <definedNames>
    <definedName name="AHV">#REF!</definedName>
    <definedName name="_xlnm.Print_Area" localSheetId="9">Bills!$B$1:$I$27</definedName>
    <definedName name="_xlnm.Print_Area" localSheetId="4">Depreciation!$A$1:$L$47</definedName>
    <definedName name="_xlnm.Print_Area" localSheetId="11">ExBA!$A$1:$L$192</definedName>
    <definedName name="_xlnm.Print_Area" localSheetId="3">Medical!$A$1:$K$29</definedName>
    <definedName name="_xlnm.Print_Area" localSheetId="12">PrBA!$A$1:$L$192</definedName>
    <definedName name="_xlnm.Print_Area" localSheetId="8">Rates!$A$1:$K$43</definedName>
    <definedName name="_xlnm.Print_Area" localSheetId="1">'Revenue Requirements'!$A$1:$D$30</definedName>
    <definedName name="_xlnm.Print_Area" localSheetId="0">SAO!$A$1:$G$43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55" l="1"/>
  <c r="M13" i="55" l="1"/>
  <c r="M12" i="55"/>
  <c r="M11" i="55"/>
  <c r="M10" i="55"/>
  <c r="M9" i="55"/>
  <c r="M8" i="55"/>
  <c r="M7" i="55"/>
  <c r="M6" i="55"/>
  <c r="G4" i="52"/>
  <c r="D38" i="54"/>
  <c r="F190" i="52"/>
  <c r="C191" i="53"/>
  <c r="C190" i="53"/>
  <c r="E185" i="53"/>
  <c r="D185" i="53"/>
  <c r="D190" i="53" s="1"/>
  <c r="D192" i="53" s="1"/>
  <c r="G184" i="53"/>
  <c r="H184" i="53" s="1"/>
  <c r="F184" i="53"/>
  <c r="F183" i="53"/>
  <c r="H183" i="53" s="1"/>
  <c r="H185" i="53" s="1"/>
  <c r="G182" i="53"/>
  <c r="F182" i="53"/>
  <c r="G181" i="53"/>
  <c r="F181" i="53"/>
  <c r="C177" i="53"/>
  <c r="C176" i="53"/>
  <c r="D171" i="53"/>
  <c r="D176" i="53" s="1"/>
  <c r="D178" i="53" s="1"/>
  <c r="F170" i="53"/>
  <c r="H170" i="53" s="1"/>
  <c r="E170" i="53"/>
  <c r="G170" i="53" s="1"/>
  <c r="G171" i="53" s="1"/>
  <c r="E177" i="53" s="1"/>
  <c r="D170" i="53"/>
  <c r="E169" i="53"/>
  <c r="E171" i="53" s="1"/>
  <c r="D169" i="53"/>
  <c r="G168" i="53"/>
  <c r="F168" i="53"/>
  <c r="G167" i="53"/>
  <c r="F167" i="53"/>
  <c r="C163" i="53"/>
  <c r="C162" i="53"/>
  <c r="G157" i="53"/>
  <c r="E163" i="53" s="1"/>
  <c r="F157" i="53"/>
  <c r="E162" i="53" s="1"/>
  <c r="E164" i="53" s="1"/>
  <c r="E157" i="53"/>
  <c r="D157" i="53"/>
  <c r="D162" i="53" s="1"/>
  <c r="D164" i="53" s="1"/>
  <c r="G156" i="53"/>
  <c r="H156" i="53" s="1"/>
  <c r="F156" i="53"/>
  <c r="F155" i="53"/>
  <c r="H155" i="53" s="1"/>
  <c r="H157" i="53" s="1"/>
  <c r="G154" i="53"/>
  <c r="F154" i="53"/>
  <c r="G153" i="53"/>
  <c r="F153" i="53"/>
  <c r="C149" i="53"/>
  <c r="C148" i="53"/>
  <c r="D147" i="53"/>
  <c r="D150" i="53" s="1"/>
  <c r="C147" i="53"/>
  <c r="E142" i="53"/>
  <c r="D142" i="53"/>
  <c r="I141" i="53"/>
  <c r="H141" i="53"/>
  <c r="H142" i="53" s="1"/>
  <c r="E149" i="53" s="1"/>
  <c r="G141" i="53"/>
  <c r="F141" i="53"/>
  <c r="F140" i="53"/>
  <c r="F139" i="53"/>
  <c r="F142" i="53" s="1"/>
  <c r="E147" i="53" s="1"/>
  <c r="H138" i="53"/>
  <c r="G138" i="53"/>
  <c r="F138" i="53"/>
  <c r="H137" i="53"/>
  <c r="G137" i="53"/>
  <c r="F137" i="53"/>
  <c r="C133" i="53"/>
  <c r="C132" i="53"/>
  <c r="C131" i="53"/>
  <c r="G125" i="53"/>
  <c r="F125" i="53"/>
  <c r="E125" i="53"/>
  <c r="D125" i="53"/>
  <c r="F124" i="53"/>
  <c r="E124" i="53"/>
  <c r="G124" i="53" s="1"/>
  <c r="G126" i="53" s="1"/>
  <c r="E132" i="53" s="1"/>
  <c r="D124" i="53"/>
  <c r="D126" i="53" s="1"/>
  <c r="D131" i="53" s="1"/>
  <c r="I123" i="53"/>
  <c r="F123" i="53"/>
  <c r="F126" i="53" s="1"/>
  <c r="E131" i="53" s="1"/>
  <c r="E123" i="53"/>
  <c r="E126" i="53" s="1"/>
  <c r="D123" i="53"/>
  <c r="H122" i="53"/>
  <c r="G122" i="53"/>
  <c r="F122" i="53"/>
  <c r="H121" i="53"/>
  <c r="G121" i="53"/>
  <c r="F121" i="53"/>
  <c r="E109" i="53"/>
  <c r="D109" i="53"/>
  <c r="D114" i="53" s="1"/>
  <c r="D118" i="53" s="1"/>
  <c r="H108" i="53"/>
  <c r="G108" i="53"/>
  <c r="F108" i="53"/>
  <c r="G107" i="53"/>
  <c r="F107" i="53"/>
  <c r="H107" i="53" s="1"/>
  <c r="H109" i="53" s="1"/>
  <c r="E116" i="53" s="1"/>
  <c r="F106" i="53"/>
  <c r="J105" i="53"/>
  <c r="F105" i="53"/>
  <c r="F109" i="53" s="1"/>
  <c r="E114" i="53" s="1"/>
  <c r="I104" i="53"/>
  <c r="H104" i="53"/>
  <c r="G104" i="53"/>
  <c r="F104" i="53"/>
  <c r="I103" i="53"/>
  <c r="H103" i="53"/>
  <c r="G103" i="53"/>
  <c r="F103" i="53"/>
  <c r="C99" i="53"/>
  <c r="C98" i="53"/>
  <c r="C97" i="53"/>
  <c r="C96" i="53"/>
  <c r="E91" i="53"/>
  <c r="E90" i="53"/>
  <c r="D90" i="53"/>
  <c r="H90" i="53" s="1"/>
  <c r="E89" i="53"/>
  <c r="D89" i="53"/>
  <c r="G89" i="53" s="1"/>
  <c r="G88" i="53"/>
  <c r="F88" i="53"/>
  <c r="E88" i="53"/>
  <c r="D88" i="53"/>
  <c r="F87" i="53"/>
  <c r="J87" i="53" s="1"/>
  <c r="E87" i="53"/>
  <c r="D87" i="53"/>
  <c r="D91" i="53" s="1"/>
  <c r="D96" i="53" s="1"/>
  <c r="I86" i="53"/>
  <c r="H86" i="53"/>
  <c r="G86" i="53"/>
  <c r="F86" i="53"/>
  <c r="I85" i="53"/>
  <c r="H85" i="53"/>
  <c r="G85" i="53"/>
  <c r="F85" i="53"/>
  <c r="C81" i="53"/>
  <c r="C80" i="53"/>
  <c r="C79" i="53"/>
  <c r="C78" i="53"/>
  <c r="E73" i="53"/>
  <c r="D73" i="53"/>
  <c r="D78" i="53" s="1"/>
  <c r="D82" i="53" s="1"/>
  <c r="H72" i="53"/>
  <c r="G72" i="53"/>
  <c r="F72" i="53"/>
  <c r="G71" i="53"/>
  <c r="F71" i="53"/>
  <c r="H71" i="53" s="1"/>
  <c r="G70" i="53"/>
  <c r="G73" i="53" s="1"/>
  <c r="E79" i="53" s="1"/>
  <c r="F70" i="53"/>
  <c r="J70" i="53" s="1"/>
  <c r="F69" i="53"/>
  <c r="F73" i="53" s="1"/>
  <c r="E78" i="53" s="1"/>
  <c r="I68" i="53"/>
  <c r="H68" i="53"/>
  <c r="G68" i="53"/>
  <c r="F68" i="53"/>
  <c r="I67" i="53"/>
  <c r="H67" i="53"/>
  <c r="G67" i="53"/>
  <c r="F67" i="53"/>
  <c r="C63" i="53"/>
  <c r="C62" i="53"/>
  <c r="C61" i="53"/>
  <c r="C60" i="53"/>
  <c r="G55" i="53"/>
  <c r="E61" i="53" s="1"/>
  <c r="E55" i="53"/>
  <c r="D55" i="53"/>
  <c r="D60" i="53" s="1"/>
  <c r="H54" i="53"/>
  <c r="G54" i="53"/>
  <c r="F54" i="53"/>
  <c r="G53" i="53"/>
  <c r="F53" i="53"/>
  <c r="J52" i="53"/>
  <c r="G52" i="53"/>
  <c r="F52" i="53"/>
  <c r="J51" i="53"/>
  <c r="F51" i="53"/>
  <c r="F55" i="53" s="1"/>
  <c r="E60" i="53" s="1"/>
  <c r="I50" i="53"/>
  <c r="H50" i="53"/>
  <c r="G50" i="53"/>
  <c r="F50" i="53"/>
  <c r="I49" i="53"/>
  <c r="H49" i="53"/>
  <c r="G49" i="53"/>
  <c r="F49" i="53"/>
  <c r="C45" i="53"/>
  <c r="C44" i="53"/>
  <c r="C43" i="53"/>
  <c r="C42" i="53"/>
  <c r="H36" i="53"/>
  <c r="G36" i="53"/>
  <c r="F36" i="53"/>
  <c r="G35" i="53"/>
  <c r="F35" i="53"/>
  <c r="F34" i="53"/>
  <c r="E34" i="53"/>
  <c r="G34" i="53" s="1"/>
  <c r="G37" i="53" s="1"/>
  <c r="E43" i="53" s="1"/>
  <c r="D34" i="53"/>
  <c r="E33" i="53"/>
  <c r="E37" i="53" s="1"/>
  <c r="D33" i="53"/>
  <c r="D37" i="53" s="1"/>
  <c r="D42" i="53" s="1"/>
  <c r="D46" i="53" s="1"/>
  <c r="I32" i="53"/>
  <c r="H32" i="53"/>
  <c r="G32" i="53"/>
  <c r="F32" i="53"/>
  <c r="I31" i="53"/>
  <c r="H31" i="53"/>
  <c r="G31" i="53"/>
  <c r="F31" i="53"/>
  <c r="C27" i="53"/>
  <c r="C26" i="53"/>
  <c r="C25" i="53"/>
  <c r="C24" i="53"/>
  <c r="E19" i="53"/>
  <c r="E18" i="53"/>
  <c r="D18" i="53"/>
  <c r="H18" i="53" s="1"/>
  <c r="E17" i="53"/>
  <c r="D17" i="53"/>
  <c r="G17" i="53" s="1"/>
  <c r="E16" i="53"/>
  <c r="D16" i="53"/>
  <c r="F16" i="53" s="1"/>
  <c r="F15" i="53"/>
  <c r="J15" i="53" s="1"/>
  <c r="E15" i="53"/>
  <c r="D15" i="53"/>
  <c r="D19" i="53" s="1"/>
  <c r="I14" i="53"/>
  <c r="H14" i="53"/>
  <c r="G14" i="53"/>
  <c r="F14" i="53"/>
  <c r="I13" i="53"/>
  <c r="H13" i="53"/>
  <c r="G13" i="53"/>
  <c r="F13" i="53"/>
  <c r="D37" i="54"/>
  <c r="H7" i="52"/>
  <c r="E124" i="52"/>
  <c r="D124" i="52"/>
  <c r="F124" i="52" s="1"/>
  <c r="D123" i="52"/>
  <c r="E123" i="52"/>
  <c r="E125" i="52"/>
  <c r="D125" i="52"/>
  <c r="F125" i="52" s="1"/>
  <c r="D89" i="52"/>
  <c r="G89" i="52" s="1"/>
  <c r="E90" i="52"/>
  <c r="E89" i="52"/>
  <c r="E88" i="52"/>
  <c r="E87" i="52"/>
  <c r="D90" i="52"/>
  <c r="H90" i="52" s="1"/>
  <c r="D88" i="52"/>
  <c r="F88" i="52" s="1"/>
  <c r="D87" i="52"/>
  <c r="E34" i="52"/>
  <c r="E33" i="52"/>
  <c r="D34" i="52"/>
  <c r="D37" i="52" s="1"/>
  <c r="D42" i="52" s="1"/>
  <c r="D33" i="52"/>
  <c r="D18" i="52"/>
  <c r="D17" i="52"/>
  <c r="D16" i="52"/>
  <c r="D15" i="52"/>
  <c r="E18" i="52"/>
  <c r="E17" i="52"/>
  <c r="E16" i="52"/>
  <c r="E15" i="52"/>
  <c r="F81" i="52"/>
  <c r="F80" i="52"/>
  <c r="F79" i="52"/>
  <c r="F78" i="52"/>
  <c r="H72" i="52"/>
  <c r="G72" i="52"/>
  <c r="G71" i="52"/>
  <c r="F72" i="52"/>
  <c r="F71" i="52"/>
  <c r="F70" i="52"/>
  <c r="G70" i="52" s="1"/>
  <c r="J70" i="52" s="1"/>
  <c r="C81" i="52"/>
  <c r="C80" i="52"/>
  <c r="C79" i="52"/>
  <c r="C78" i="52"/>
  <c r="E73" i="52"/>
  <c r="D73" i="52"/>
  <c r="D78" i="52" s="1"/>
  <c r="F69" i="52"/>
  <c r="J69" i="52" s="1"/>
  <c r="I68" i="52"/>
  <c r="H68" i="52"/>
  <c r="G68" i="52"/>
  <c r="F68" i="52"/>
  <c r="I67" i="52"/>
  <c r="H67" i="52"/>
  <c r="G67" i="52"/>
  <c r="F67" i="52"/>
  <c r="F60" i="52"/>
  <c r="F63" i="52"/>
  <c r="F62" i="52"/>
  <c r="F61" i="52"/>
  <c r="H54" i="52"/>
  <c r="G53" i="52"/>
  <c r="G54" i="52"/>
  <c r="F54" i="52"/>
  <c r="F53" i="52"/>
  <c r="F52" i="52"/>
  <c r="G52" i="52" s="1"/>
  <c r="J52" i="52" s="1"/>
  <c r="C63" i="52"/>
  <c r="C62" i="52"/>
  <c r="C61" i="52"/>
  <c r="C60" i="52"/>
  <c r="E55" i="52"/>
  <c r="D55" i="52"/>
  <c r="D60" i="52" s="1"/>
  <c r="D64" i="52" s="1"/>
  <c r="F51" i="52"/>
  <c r="I50" i="52"/>
  <c r="H50" i="52"/>
  <c r="G50" i="52"/>
  <c r="F50" i="52"/>
  <c r="I49" i="52"/>
  <c r="H49" i="52"/>
  <c r="G49" i="52"/>
  <c r="F49" i="52"/>
  <c r="F45" i="52"/>
  <c r="F44" i="52"/>
  <c r="F43" i="52"/>
  <c r="F42" i="52"/>
  <c r="H36" i="52"/>
  <c r="G36" i="52"/>
  <c r="F36" i="52"/>
  <c r="G35" i="52"/>
  <c r="F35" i="52"/>
  <c r="F34" i="52"/>
  <c r="C45" i="52"/>
  <c r="C44" i="52"/>
  <c r="C43" i="52"/>
  <c r="C42" i="52"/>
  <c r="F33" i="52"/>
  <c r="I32" i="52"/>
  <c r="H32" i="52"/>
  <c r="G32" i="52"/>
  <c r="F32" i="52"/>
  <c r="I31" i="52"/>
  <c r="H31" i="52"/>
  <c r="G31" i="52"/>
  <c r="F31" i="52"/>
  <c r="G141" i="52"/>
  <c r="F141" i="52"/>
  <c r="F140" i="52"/>
  <c r="F149" i="52"/>
  <c r="F148" i="52"/>
  <c r="F147" i="52"/>
  <c r="C149" i="52"/>
  <c r="C148" i="52"/>
  <c r="C147" i="52"/>
  <c r="F139" i="52"/>
  <c r="I139" i="52" s="1"/>
  <c r="E142" i="52"/>
  <c r="D142" i="52"/>
  <c r="D147" i="52" s="1"/>
  <c r="D150" i="52" s="1"/>
  <c r="H138" i="52"/>
  <c r="G138" i="52"/>
  <c r="F138" i="52"/>
  <c r="H137" i="52"/>
  <c r="G137" i="52"/>
  <c r="F137" i="52"/>
  <c r="F114" i="52"/>
  <c r="F117" i="52"/>
  <c r="F116" i="52"/>
  <c r="F115" i="52"/>
  <c r="H108" i="52"/>
  <c r="G108" i="52"/>
  <c r="G107" i="52"/>
  <c r="F108" i="52"/>
  <c r="F107" i="52"/>
  <c r="F106" i="52"/>
  <c r="E109" i="52"/>
  <c r="D109" i="52"/>
  <c r="D114" i="52" s="1"/>
  <c r="F105" i="52"/>
  <c r="I104" i="52"/>
  <c r="H104" i="52"/>
  <c r="G104" i="52"/>
  <c r="F104" i="52"/>
  <c r="I103" i="52"/>
  <c r="H103" i="52"/>
  <c r="G103" i="52"/>
  <c r="F103" i="52"/>
  <c r="F191" i="52"/>
  <c r="F184" i="52"/>
  <c r="F98" i="52"/>
  <c r="F97" i="52"/>
  <c r="F156" i="52"/>
  <c r="F177" i="52"/>
  <c r="F176" i="52"/>
  <c r="F163" i="52"/>
  <c r="F162" i="52"/>
  <c r="F133" i="52"/>
  <c r="F131" i="52"/>
  <c r="F132" i="52"/>
  <c r="E170" i="52"/>
  <c r="E169" i="52"/>
  <c r="D170" i="52"/>
  <c r="F170" i="52" s="1"/>
  <c r="D169" i="52"/>
  <c r="E13" i="40"/>
  <c r="E12" i="40"/>
  <c r="E10" i="40"/>
  <c r="E8" i="40"/>
  <c r="E7" i="40"/>
  <c r="E6" i="40"/>
  <c r="E11" i="40"/>
  <c r="E9" i="40"/>
  <c r="M16" i="55" l="1"/>
  <c r="J36" i="53"/>
  <c r="H89" i="53"/>
  <c r="H91" i="53" s="1"/>
  <c r="E98" i="53" s="1"/>
  <c r="J107" i="53"/>
  <c r="H73" i="53"/>
  <c r="E80" i="53" s="1"/>
  <c r="J71" i="53"/>
  <c r="J108" i="53"/>
  <c r="I125" i="53"/>
  <c r="I90" i="53"/>
  <c r="I91" i="53" s="1"/>
  <c r="E99" i="53" s="1"/>
  <c r="E134" i="53"/>
  <c r="D100" i="53"/>
  <c r="J34" i="53"/>
  <c r="D64" i="53"/>
  <c r="J72" i="53"/>
  <c r="D134" i="53"/>
  <c r="G16" i="53"/>
  <c r="J16" i="53"/>
  <c r="D24" i="53"/>
  <c r="D28" i="53" s="1"/>
  <c r="F4" i="53"/>
  <c r="G4" i="53"/>
  <c r="J53" i="53"/>
  <c r="E82" i="53"/>
  <c r="J106" i="53"/>
  <c r="J109" i="53" s="1"/>
  <c r="I124" i="53"/>
  <c r="I126" i="53" s="1"/>
  <c r="F19" i="53"/>
  <c r="E24" i="53" s="1"/>
  <c r="J69" i="53"/>
  <c r="J88" i="53"/>
  <c r="F91" i="53"/>
  <c r="E96" i="53" s="1"/>
  <c r="I139" i="53"/>
  <c r="F18" i="53"/>
  <c r="I18" i="53" s="1"/>
  <c r="I19" i="53" s="1"/>
  <c r="E27" i="53" s="1"/>
  <c r="I36" i="53"/>
  <c r="I37" i="53" s="1"/>
  <c r="E45" i="53" s="1"/>
  <c r="F90" i="53"/>
  <c r="H125" i="53"/>
  <c r="H126" i="53" s="1"/>
  <c r="E133" i="53" s="1"/>
  <c r="F185" i="53"/>
  <c r="E190" i="53" s="1"/>
  <c r="E192" i="53" s="1"/>
  <c r="G18" i="53"/>
  <c r="I54" i="53"/>
  <c r="I55" i="53" s="1"/>
  <c r="E63" i="53" s="1"/>
  <c r="G90" i="53"/>
  <c r="G91" i="53" s="1"/>
  <c r="E97" i="53" s="1"/>
  <c r="G140" i="53"/>
  <c r="G142" i="53" s="1"/>
  <c r="E148" i="53" s="1"/>
  <c r="G185" i="53"/>
  <c r="E191" i="53" s="1"/>
  <c r="F17" i="53"/>
  <c r="F33" i="53"/>
  <c r="I72" i="53"/>
  <c r="I73" i="53" s="1"/>
  <c r="E81" i="53" s="1"/>
  <c r="F89" i="53"/>
  <c r="H35" i="53"/>
  <c r="H37" i="53" s="1"/>
  <c r="E44" i="53" s="1"/>
  <c r="G106" i="53"/>
  <c r="G109" i="53" s="1"/>
  <c r="E115" i="53" s="1"/>
  <c r="H53" i="53"/>
  <c r="H55" i="53" s="1"/>
  <c r="E62" i="53" s="1"/>
  <c r="I108" i="53"/>
  <c r="I109" i="53" s="1"/>
  <c r="E117" i="53" s="1"/>
  <c r="F169" i="53"/>
  <c r="E37" i="52"/>
  <c r="I72" i="52"/>
  <c r="I73" i="52" s="1"/>
  <c r="E81" i="52" s="1"/>
  <c r="G81" i="52" s="1"/>
  <c r="F73" i="52"/>
  <c r="E78" i="52" s="1"/>
  <c r="D82" i="52"/>
  <c r="G78" i="52"/>
  <c r="G73" i="52"/>
  <c r="E79" i="52" s="1"/>
  <c r="G79" i="52" s="1"/>
  <c r="H71" i="52"/>
  <c r="H73" i="52" s="1"/>
  <c r="E80" i="52" s="1"/>
  <c r="G80" i="52" s="1"/>
  <c r="F55" i="52"/>
  <c r="E60" i="52" s="1"/>
  <c r="H53" i="52"/>
  <c r="H55" i="52" s="1"/>
  <c r="E62" i="52" s="1"/>
  <c r="G62" i="52" s="1"/>
  <c r="G60" i="52"/>
  <c r="I54" i="52"/>
  <c r="I55" i="52" s="1"/>
  <c r="E63" i="52" s="1"/>
  <c r="G63" i="52" s="1"/>
  <c r="J51" i="52"/>
  <c r="G55" i="52"/>
  <c r="E61" i="52" s="1"/>
  <c r="G61" i="52" s="1"/>
  <c r="J54" i="52"/>
  <c r="J33" i="52"/>
  <c r="D46" i="52"/>
  <c r="G42" i="52"/>
  <c r="F89" i="52"/>
  <c r="G125" i="52"/>
  <c r="G34" i="52"/>
  <c r="G37" i="52" s="1"/>
  <c r="E43" i="52" s="1"/>
  <c r="G43" i="52" s="1"/>
  <c r="H141" i="52"/>
  <c r="H142" i="52" s="1"/>
  <c r="E149" i="52" s="1"/>
  <c r="G149" i="52" s="1"/>
  <c r="G147" i="52"/>
  <c r="G140" i="52"/>
  <c r="G142" i="52" s="1"/>
  <c r="E148" i="52" s="1"/>
  <c r="G148" i="52" s="1"/>
  <c r="F142" i="52"/>
  <c r="E147" i="52" s="1"/>
  <c r="D118" i="52"/>
  <c r="G114" i="52"/>
  <c r="J105" i="52"/>
  <c r="F90" i="52"/>
  <c r="G90" i="52"/>
  <c r="G106" i="52"/>
  <c r="J106" i="52" s="1"/>
  <c r="I16" i="55"/>
  <c r="H16" i="55"/>
  <c r="F15" i="55"/>
  <c r="J15" i="55" s="1"/>
  <c r="O15" i="55" s="1"/>
  <c r="G15" i="55"/>
  <c r="E6" i="55"/>
  <c r="J91" i="53" l="1"/>
  <c r="J73" i="53"/>
  <c r="H169" i="53"/>
  <c r="H171" i="53" s="1"/>
  <c r="F171" i="53"/>
  <c r="E176" i="53" s="1"/>
  <c r="E178" i="53" s="1"/>
  <c r="J90" i="53"/>
  <c r="E118" i="53"/>
  <c r="H17" i="53"/>
  <c r="H19" i="53" s="1"/>
  <c r="E26" i="53" s="1"/>
  <c r="F37" i="53"/>
  <c r="E42" i="53" s="1"/>
  <c r="E46" i="53" s="1"/>
  <c r="J33" i="53"/>
  <c r="J35" i="53"/>
  <c r="E64" i="53"/>
  <c r="J54" i="53"/>
  <c r="J55" i="53" s="1"/>
  <c r="E100" i="53"/>
  <c r="J89" i="53"/>
  <c r="G19" i="53"/>
  <c r="E25" i="53" s="1"/>
  <c r="J18" i="53"/>
  <c r="E150" i="53"/>
  <c r="I140" i="53"/>
  <c r="I142" i="53"/>
  <c r="J72" i="52"/>
  <c r="G82" i="52"/>
  <c r="J71" i="52"/>
  <c r="J73" i="52" s="1"/>
  <c r="E82" i="52"/>
  <c r="G64" i="52"/>
  <c r="J53" i="52"/>
  <c r="J55" i="52" s="1"/>
  <c r="E64" i="52"/>
  <c r="J34" i="52"/>
  <c r="F37" i="52"/>
  <c r="E42" i="52" s="1"/>
  <c r="I36" i="52"/>
  <c r="I37" i="52" s="1"/>
  <c r="E45" i="52" s="1"/>
  <c r="G45" i="52" s="1"/>
  <c r="H35" i="52"/>
  <c r="H37" i="52" s="1"/>
  <c r="E44" i="52" s="1"/>
  <c r="G44" i="52" s="1"/>
  <c r="I141" i="52"/>
  <c r="E150" i="52"/>
  <c r="I140" i="52"/>
  <c r="G150" i="52"/>
  <c r="H107" i="52"/>
  <c r="H109" i="52" s="1"/>
  <c r="E116" i="52" s="1"/>
  <c r="G116" i="52" s="1"/>
  <c r="I108" i="52"/>
  <c r="I109" i="52" s="1"/>
  <c r="E117" i="52" s="1"/>
  <c r="G117" i="52" s="1"/>
  <c r="G109" i="52"/>
  <c r="E115" i="52" s="1"/>
  <c r="G115" i="52" s="1"/>
  <c r="F109" i="52"/>
  <c r="E114" i="52" s="1"/>
  <c r="A6" i="55"/>
  <c r="A7" i="55" s="1"/>
  <c r="A8" i="55" s="1"/>
  <c r="A9" i="55" s="1"/>
  <c r="A10" i="55" s="1"/>
  <c r="A11" i="55" s="1"/>
  <c r="A12" i="55" s="1"/>
  <c r="A13" i="55" s="1"/>
  <c r="A14" i="55" s="1"/>
  <c r="A15" i="55" s="1"/>
  <c r="C3" i="56"/>
  <c r="G14" i="55"/>
  <c r="F14" i="55"/>
  <c r="J14" i="55" s="1"/>
  <c r="O14" i="55" s="1"/>
  <c r="G13" i="55"/>
  <c r="F13" i="55"/>
  <c r="J28" i="55"/>
  <c r="C12" i="55"/>
  <c r="F12" i="55" s="1"/>
  <c r="D12" i="55"/>
  <c r="G12" i="55" s="1"/>
  <c r="C11" i="55"/>
  <c r="D11" i="55"/>
  <c r="C10" i="55"/>
  <c r="D10" i="55"/>
  <c r="C9" i="55"/>
  <c r="D9" i="55"/>
  <c r="D8" i="55"/>
  <c r="C8" i="55"/>
  <c r="C7" i="55"/>
  <c r="C5" i="55"/>
  <c r="J22" i="55"/>
  <c r="E39" i="6"/>
  <c r="G39" i="6"/>
  <c r="J27" i="51"/>
  <c r="G21" i="40"/>
  <c r="H21" i="40" s="1"/>
  <c r="G20" i="40"/>
  <c r="H20" i="40" s="1"/>
  <c r="G19" i="40"/>
  <c r="H19" i="40" s="1"/>
  <c r="J10" i="40"/>
  <c r="F10" i="40"/>
  <c r="G10" i="40" s="1"/>
  <c r="H10" i="40" s="1"/>
  <c r="F99" i="52"/>
  <c r="F96" i="52"/>
  <c r="G184" i="52"/>
  <c r="C96" i="52"/>
  <c r="C97" i="52"/>
  <c r="C191" i="52"/>
  <c r="C190" i="52"/>
  <c r="E185" i="52"/>
  <c r="D185" i="52"/>
  <c r="D190" i="52" s="1"/>
  <c r="D192" i="52" s="1"/>
  <c r="F183" i="52"/>
  <c r="G182" i="52"/>
  <c r="F182" i="52"/>
  <c r="G181" i="52"/>
  <c r="F181" i="52"/>
  <c r="C177" i="52"/>
  <c r="C176" i="52"/>
  <c r="E171" i="52"/>
  <c r="D171" i="52"/>
  <c r="D176" i="52" s="1"/>
  <c r="D178" i="52" s="1"/>
  <c r="G170" i="52"/>
  <c r="F169" i="52"/>
  <c r="H169" i="52" s="1"/>
  <c r="G168" i="52"/>
  <c r="F168" i="52"/>
  <c r="G167" i="52"/>
  <c r="F167" i="52"/>
  <c r="C163" i="52"/>
  <c r="C162" i="52"/>
  <c r="E157" i="52"/>
  <c r="D157" i="52"/>
  <c r="D162" i="52" s="1"/>
  <c r="D164" i="52" s="1"/>
  <c r="G156" i="52"/>
  <c r="F155" i="52"/>
  <c r="H155" i="52" s="1"/>
  <c r="G154" i="52"/>
  <c r="F154" i="52"/>
  <c r="G153" i="52"/>
  <c r="F153" i="52"/>
  <c r="C133" i="52"/>
  <c r="C132" i="52"/>
  <c r="C131" i="52"/>
  <c r="E126" i="52"/>
  <c r="D126" i="52"/>
  <c r="D131" i="52" s="1"/>
  <c r="D134" i="52" s="1"/>
  <c r="G124" i="52"/>
  <c r="F123" i="52"/>
  <c r="I123" i="52" s="1"/>
  <c r="H122" i="52"/>
  <c r="G122" i="52"/>
  <c r="F122" i="52"/>
  <c r="H121" i="52"/>
  <c r="G121" i="52"/>
  <c r="F121" i="52"/>
  <c r="C99" i="52"/>
  <c r="C98" i="52"/>
  <c r="E91" i="52"/>
  <c r="D91" i="52"/>
  <c r="D96" i="52" s="1"/>
  <c r="D100" i="52" s="1"/>
  <c r="F87" i="52"/>
  <c r="I86" i="52"/>
  <c r="H86" i="52"/>
  <c r="G86" i="52"/>
  <c r="F86" i="52"/>
  <c r="I85" i="52"/>
  <c r="H85" i="52"/>
  <c r="G85" i="52"/>
  <c r="F85" i="52"/>
  <c r="C27" i="52"/>
  <c r="C26" i="52"/>
  <c r="C25" i="52"/>
  <c r="C24" i="52"/>
  <c r="D22" i="58"/>
  <c r="D7" i="58"/>
  <c r="D6" i="58"/>
  <c r="M27" i="50"/>
  <c r="M25" i="50"/>
  <c r="L25" i="50"/>
  <c r="J25" i="50"/>
  <c r="H25" i="50"/>
  <c r="F25" i="50"/>
  <c r="D25" i="50"/>
  <c r="J14" i="50"/>
  <c r="J17" i="50" s="1"/>
  <c r="H14" i="50"/>
  <c r="F14" i="50"/>
  <c r="D14" i="50"/>
  <c r="L13" i="50"/>
  <c r="J13" i="50"/>
  <c r="H13" i="50"/>
  <c r="F13" i="50"/>
  <c r="F17" i="50" s="1"/>
  <c r="D13" i="50"/>
  <c r="D17" i="50" s="1"/>
  <c r="L12" i="50"/>
  <c r="J12" i="50"/>
  <c r="H12" i="50"/>
  <c r="H17" i="50" s="1"/>
  <c r="F12" i="50"/>
  <c r="D12" i="50"/>
  <c r="L17" i="50"/>
  <c r="K17" i="50"/>
  <c r="I17" i="50"/>
  <c r="G17" i="50"/>
  <c r="E17" i="50"/>
  <c r="C17" i="50"/>
  <c r="M15" i="50"/>
  <c r="M13" i="50"/>
  <c r="D34" i="6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9" i="57"/>
  <c r="E24" i="42"/>
  <c r="E23" i="42"/>
  <c r="E22" i="42"/>
  <c r="E19" i="42"/>
  <c r="E18" i="42"/>
  <c r="E20" i="42"/>
  <c r="E21" i="42"/>
  <c r="E17" i="42"/>
  <c r="E16" i="42"/>
  <c r="E15" i="42"/>
  <c r="E14" i="42"/>
  <c r="E13" i="42"/>
  <c r="E12" i="42"/>
  <c r="E11" i="42"/>
  <c r="D37" i="6"/>
  <c r="E10" i="42"/>
  <c r="E9" i="42"/>
  <c r="J13" i="40"/>
  <c r="J12" i="40"/>
  <c r="J11" i="40"/>
  <c r="J9" i="40"/>
  <c r="J8" i="40"/>
  <c r="J7" i="40"/>
  <c r="J6" i="40"/>
  <c r="D16" i="55" l="1"/>
  <c r="C16" i="55"/>
  <c r="J17" i="53"/>
  <c r="J19" i="53" s="1"/>
  <c r="E28" i="53"/>
  <c r="J37" i="53"/>
  <c r="J36" i="52"/>
  <c r="G46" i="52"/>
  <c r="J35" i="52"/>
  <c r="E46" i="52"/>
  <c r="I142" i="52"/>
  <c r="J108" i="52"/>
  <c r="J107" i="52"/>
  <c r="G118" i="52"/>
  <c r="E118" i="52"/>
  <c r="J13" i="55"/>
  <c r="O13" i="55" s="1"/>
  <c r="J12" i="55"/>
  <c r="O12" i="55" s="1"/>
  <c r="J21" i="40"/>
  <c r="K21" i="40" s="1"/>
  <c r="J19" i="40"/>
  <c r="K19" i="40" s="1"/>
  <c r="J20" i="40"/>
  <c r="K20" i="40" s="1"/>
  <c r="K10" i="40"/>
  <c r="H125" i="52"/>
  <c r="H126" i="52" s="1"/>
  <c r="E133" i="52" s="1"/>
  <c r="G133" i="52" s="1"/>
  <c r="G157" i="52"/>
  <c r="E163" i="52" s="1"/>
  <c r="G126" i="52"/>
  <c r="E132" i="52" s="1"/>
  <c r="G132" i="52" s="1"/>
  <c r="F185" i="52"/>
  <c r="E190" i="52" s="1"/>
  <c r="G88" i="52"/>
  <c r="G91" i="52" s="1"/>
  <c r="E97" i="52" s="1"/>
  <c r="G97" i="52" s="1"/>
  <c r="G185" i="52"/>
  <c r="E191" i="52" s="1"/>
  <c r="G191" i="52" s="1"/>
  <c r="I124" i="52"/>
  <c r="F91" i="52"/>
  <c r="E96" i="52" s="1"/>
  <c r="H183" i="52"/>
  <c r="F171" i="52"/>
  <c r="E176" i="52" s="1"/>
  <c r="G171" i="52"/>
  <c r="E177" i="52" s="1"/>
  <c r="G177" i="52" s="1"/>
  <c r="F157" i="52"/>
  <c r="E162" i="52" s="1"/>
  <c r="F126" i="52"/>
  <c r="E131" i="52" s="1"/>
  <c r="G96" i="52"/>
  <c r="J87" i="52"/>
  <c r="H89" i="52"/>
  <c r="H91" i="52" s="1"/>
  <c r="E98" i="52" s="1"/>
  <c r="G98" i="52" s="1"/>
  <c r="I90" i="52"/>
  <c r="I91" i="52" s="1"/>
  <c r="E99" i="52" s="1"/>
  <c r="G99" i="52" s="1"/>
  <c r="M14" i="50"/>
  <c r="M12" i="50"/>
  <c r="E23" i="40"/>
  <c r="D23" i="40"/>
  <c r="G22" i="40"/>
  <c r="H22" i="40" s="1"/>
  <c r="J22" i="40" s="1"/>
  <c r="K22" i="40" s="1"/>
  <c r="F13" i="40"/>
  <c r="G13" i="40" s="1"/>
  <c r="H13" i="40" s="1"/>
  <c r="F12" i="40"/>
  <c r="G12" i="40" s="1"/>
  <c r="H12" i="40" s="1"/>
  <c r="F11" i="40"/>
  <c r="G11" i="40" s="1"/>
  <c r="H11" i="40" s="1"/>
  <c r="F9" i="40"/>
  <c r="G9" i="40" s="1"/>
  <c r="H9" i="40" s="1"/>
  <c r="F8" i="40"/>
  <c r="G8" i="40" s="1"/>
  <c r="H8" i="40" s="1"/>
  <c r="F7" i="40"/>
  <c r="G7" i="40" s="1"/>
  <c r="H7" i="40" s="1"/>
  <c r="F6" i="40"/>
  <c r="G6" i="40" s="1"/>
  <c r="H6" i="40" s="1"/>
  <c r="F15" i="52"/>
  <c r="J15" i="52" s="1"/>
  <c r="F17" i="52"/>
  <c r="F16" i="52"/>
  <c r="F27" i="52"/>
  <c r="F26" i="52"/>
  <c r="F25" i="52"/>
  <c r="F24" i="52"/>
  <c r="I14" i="52"/>
  <c r="H14" i="52"/>
  <c r="G14" i="52"/>
  <c r="F14" i="52"/>
  <c r="I13" i="52"/>
  <c r="H13" i="52"/>
  <c r="G13" i="52"/>
  <c r="F13" i="52"/>
  <c r="F8" i="55"/>
  <c r="F11" i="55"/>
  <c r="G11" i="55"/>
  <c r="F10" i="55"/>
  <c r="F9" i="55"/>
  <c r="G10" i="55"/>
  <c r="G9" i="55"/>
  <c r="G8" i="55"/>
  <c r="G7" i="55"/>
  <c r="F7" i="55"/>
  <c r="G6" i="55"/>
  <c r="F6" i="55"/>
  <c r="G30" i="6"/>
  <c r="G12" i="6"/>
  <c r="G8" i="6"/>
  <c r="B32" i="54"/>
  <c r="B31" i="54"/>
  <c r="B30" i="54"/>
  <c r="J37" i="52" l="1"/>
  <c r="J109" i="52"/>
  <c r="J6" i="55"/>
  <c r="O6" i="55" s="1"/>
  <c r="J10" i="55"/>
  <c r="O10" i="55" s="1"/>
  <c r="J8" i="55"/>
  <c r="O8" i="55" s="1"/>
  <c r="J9" i="55"/>
  <c r="O9" i="55" s="1"/>
  <c r="J7" i="55"/>
  <c r="O7" i="55" s="1"/>
  <c r="J11" i="55"/>
  <c r="O11" i="55" s="1"/>
  <c r="D24" i="58"/>
  <c r="D9" i="58"/>
  <c r="H156" i="52"/>
  <c r="H157" i="52" s="1"/>
  <c r="J90" i="52"/>
  <c r="J88" i="52"/>
  <c r="J89" i="52"/>
  <c r="E134" i="52"/>
  <c r="E192" i="52"/>
  <c r="I125" i="52"/>
  <c r="I126" i="52" s="1"/>
  <c r="H184" i="52"/>
  <c r="E178" i="52"/>
  <c r="H170" i="52"/>
  <c r="E164" i="52"/>
  <c r="E100" i="52"/>
  <c r="M17" i="50"/>
  <c r="K7" i="40"/>
  <c r="K11" i="40"/>
  <c r="K8" i="40"/>
  <c r="K9" i="40"/>
  <c r="K12" i="40"/>
  <c r="H23" i="40"/>
  <c r="G17" i="52"/>
  <c r="H17" i="52" s="1"/>
  <c r="G16" i="52"/>
  <c r="J16" i="52" s="1"/>
  <c r="F18" i="52"/>
  <c r="G18" i="52"/>
  <c r="H18" i="52"/>
  <c r="D19" i="52"/>
  <c r="F4" i="52" s="1"/>
  <c r="E19" i="52"/>
  <c r="B33" i="54"/>
  <c r="G29" i="6"/>
  <c r="G28" i="6"/>
  <c r="D24" i="52" l="1"/>
  <c r="D28" i="52" s="1"/>
  <c r="J23" i="40"/>
  <c r="J91" i="52"/>
  <c r="H185" i="52"/>
  <c r="I18" i="52"/>
  <c r="I19" i="52" s="1"/>
  <c r="E27" i="52" s="1"/>
  <c r="G27" i="52" s="1"/>
  <c r="H171" i="52"/>
  <c r="K23" i="40"/>
  <c r="C28" i="40" s="1"/>
  <c r="H19" i="52"/>
  <c r="E26" i="52" s="1"/>
  <c r="G26" i="52" s="1"/>
  <c r="J17" i="52"/>
  <c r="G19" i="52"/>
  <c r="E25" i="52" s="1"/>
  <c r="G25" i="52" s="1"/>
  <c r="F19" i="52"/>
  <c r="E24" i="52" s="1"/>
  <c r="A32" i="54"/>
  <c r="A31" i="54"/>
  <c r="A30" i="54"/>
  <c r="G24" i="52" l="1"/>
  <c r="G28" i="52" s="1"/>
  <c r="J18" i="52"/>
  <c r="F44" i="51"/>
  <c r="J19" i="51"/>
  <c r="J18" i="51"/>
  <c r="J42" i="51"/>
  <c r="J23" i="51"/>
  <c r="K23" i="51" s="1"/>
  <c r="K13" i="40"/>
  <c r="E14" i="40"/>
  <c r="D14" i="40"/>
  <c r="K6" i="40" l="1"/>
  <c r="J19" i="52"/>
  <c r="E28" i="52"/>
  <c r="K19" i="51"/>
  <c r="K18" i="51"/>
  <c r="K42" i="51"/>
  <c r="H14" i="40"/>
  <c r="C6" i="56"/>
  <c r="C5" i="56"/>
  <c r="G5" i="55"/>
  <c r="G16" i="55" s="1"/>
  <c r="C21" i="54"/>
  <c r="C14" i="54"/>
  <c r="C5" i="54"/>
  <c r="J14" i="40" l="1"/>
  <c r="K14" i="40" s="1"/>
  <c r="C27" i="40" s="1"/>
  <c r="C29" i="40" s="1"/>
  <c r="E22" i="6" s="1"/>
  <c r="D25" i="54"/>
  <c r="D27" i="54" s="1"/>
  <c r="C22" i="54"/>
  <c r="F5" i="55"/>
  <c r="F16" i="55" s="1"/>
  <c r="J5" i="55" l="1"/>
  <c r="D30" i="54"/>
  <c r="E24" i="6" s="1"/>
  <c r="D31" i="54"/>
  <c r="E25" i="6" s="1"/>
  <c r="D32" i="54"/>
  <c r="J16" i="55" l="1"/>
  <c r="O5" i="55"/>
  <c r="O16" i="55" s="1"/>
  <c r="O18" i="55" s="1"/>
  <c r="J18" i="55"/>
  <c r="D33" i="54"/>
  <c r="D36" i="54" s="1"/>
  <c r="H44" i="51"/>
  <c r="J41" i="51"/>
  <c r="K41" i="51" s="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K27" i="5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J21" i="55" l="1"/>
  <c r="J23" i="55" s="1"/>
  <c r="J31" i="55"/>
  <c r="J33" i="55" s="1"/>
  <c r="J35" i="55" s="1"/>
  <c r="E21" i="6" s="1"/>
  <c r="F41" i="2"/>
  <c r="K44" i="51"/>
  <c r="J44" i="51"/>
  <c r="M20" i="50"/>
  <c r="G23" i="6" l="1"/>
  <c r="E18" i="6"/>
  <c r="G19" i="6" s="1"/>
  <c r="H41" i="2"/>
  <c r="J25" i="55"/>
  <c r="J27" i="55" s="1"/>
  <c r="J29" i="55" s="1"/>
  <c r="E40" i="6" s="1"/>
  <c r="M22" i="50"/>
  <c r="E37" i="6" l="1"/>
  <c r="E41" i="6" s="1"/>
  <c r="G40" i="6"/>
  <c r="G36" i="6"/>
  <c r="G35" i="6"/>
  <c r="G34" i="6"/>
  <c r="G33" i="6"/>
  <c r="G32" i="6"/>
  <c r="G31" i="6"/>
  <c r="G27" i="6"/>
  <c r="G26" i="6"/>
  <c r="G25" i="6"/>
  <c r="G24" i="6"/>
  <c r="G20" i="6"/>
  <c r="G7" i="6"/>
  <c r="G13" i="6" l="1"/>
  <c r="D10" i="58" l="1"/>
  <c r="D25" i="58"/>
  <c r="G11" i="6"/>
  <c r="D14" i="6"/>
  <c r="G37" i="6" l="1"/>
  <c r="D41" i="6"/>
  <c r="G41" i="6" l="1"/>
  <c r="D43" i="6"/>
  <c r="D5" i="58" l="1"/>
  <c r="D8" i="58" s="1"/>
  <c r="D12" i="58" s="1"/>
  <c r="H7" i="53" s="1"/>
  <c r="D19" i="58"/>
  <c r="D21" i="58" s="1"/>
  <c r="D23" i="58" s="1"/>
  <c r="D27" i="58" s="1"/>
  <c r="G163" i="52" l="1"/>
  <c r="G100" i="52" l="1"/>
  <c r="G131" i="52" l="1"/>
  <c r="G134" i="52" s="1"/>
  <c r="G162" i="52" l="1"/>
  <c r="G164" i="52" s="1"/>
  <c r="G176" i="52" l="1"/>
  <c r="G178" i="52" s="1"/>
  <c r="E14" i="6"/>
  <c r="E43" i="6" s="1"/>
  <c r="G6" i="6"/>
  <c r="D28" i="58" s="1"/>
  <c r="D29" i="58" s="1"/>
  <c r="D30" i="58" s="1"/>
  <c r="D13" i="58" l="1"/>
  <c r="D14" i="58" s="1"/>
  <c r="D15" i="58" s="1"/>
  <c r="G14" i="6"/>
  <c r="G43" i="6" s="1"/>
  <c r="F38" i="2" l="1"/>
  <c r="H38" i="2" s="1"/>
  <c r="I38" i="2" s="1"/>
  <c r="F24" i="2"/>
  <c r="F11" i="2"/>
  <c r="F13" i="2"/>
  <c r="F17" i="2"/>
  <c r="F10" i="2"/>
  <c r="F23" i="2"/>
  <c r="F19" i="2"/>
  <c r="F36" i="2"/>
  <c r="F191" i="53" s="1"/>
  <c r="G191" i="53" s="1"/>
  <c r="F12" i="2"/>
  <c r="F28" i="2"/>
  <c r="F163" i="53" s="1"/>
  <c r="G163" i="53" s="1"/>
  <c r="F32" i="2"/>
  <c r="F177" i="53" s="1"/>
  <c r="G177" i="53" s="1"/>
  <c r="F18" i="2"/>
  <c r="F98" i="53" l="1"/>
  <c r="G98" i="53" s="1"/>
  <c r="F116" i="53"/>
  <c r="G116" i="53" s="1"/>
  <c r="F99" i="53"/>
  <c r="G99" i="53" s="1"/>
  <c r="F117" i="53"/>
  <c r="G117" i="53" s="1"/>
  <c r="F78" i="53"/>
  <c r="G78" i="53" s="1"/>
  <c r="F42" i="53"/>
  <c r="G42" i="53" s="1"/>
  <c r="F60" i="53"/>
  <c r="G60" i="53" s="1"/>
  <c r="F24" i="53"/>
  <c r="G24" i="53" s="1"/>
  <c r="F115" i="53"/>
  <c r="G115" i="53" s="1"/>
  <c r="F97" i="53"/>
  <c r="G97" i="53" s="1"/>
  <c r="F63" i="53"/>
  <c r="G63" i="53" s="1"/>
  <c r="F27" i="53"/>
  <c r="G27" i="53" s="1"/>
  <c r="F81" i="53"/>
  <c r="G81" i="53" s="1"/>
  <c r="F45" i="53"/>
  <c r="G45" i="53" s="1"/>
  <c r="F79" i="53"/>
  <c r="G79" i="53" s="1"/>
  <c r="F43" i="53"/>
  <c r="G43" i="53" s="1"/>
  <c r="F61" i="53"/>
  <c r="G61" i="53" s="1"/>
  <c r="F25" i="53"/>
  <c r="G25" i="53" s="1"/>
  <c r="F148" i="53"/>
  <c r="G148" i="53" s="1"/>
  <c r="F132" i="53"/>
  <c r="G132" i="53" s="1"/>
  <c r="F62" i="53"/>
  <c r="G62" i="53" s="1"/>
  <c r="F26" i="53"/>
  <c r="G26" i="53" s="1"/>
  <c r="F80" i="53"/>
  <c r="G80" i="53" s="1"/>
  <c r="F44" i="53"/>
  <c r="G44" i="53" s="1"/>
  <c r="F149" i="53"/>
  <c r="G149" i="53" s="1"/>
  <c r="F133" i="53"/>
  <c r="G133" i="53" s="1"/>
  <c r="H28" i="2"/>
  <c r="I28" i="2" s="1"/>
  <c r="H19" i="2"/>
  <c r="I19" i="2" s="1"/>
  <c r="H23" i="2"/>
  <c r="I23" i="2" s="1"/>
  <c r="F14" i="57"/>
  <c r="G14" i="57" s="1"/>
  <c r="H14" i="57" s="1"/>
  <c r="F16" i="42"/>
  <c r="G16" i="42" s="1"/>
  <c r="H16" i="42" s="1"/>
  <c r="F15" i="57"/>
  <c r="G15" i="57" s="1"/>
  <c r="H15" i="57" s="1"/>
  <c r="H10" i="2"/>
  <c r="I10" i="2" s="1"/>
  <c r="F12" i="57"/>
  <c r="G12" i="57" s="1"/>
  <c r="H12" i="57" s="1"/>
  <c r="F15" i="42"/>
  <c r="G15" i="42" s="1"/>
  <c r="H15" i="42" s="1"/>
  <c r="F13" i="42"/>
  <c r="G13" i="42" s="1"/>
  <c r="H13" i="42" s="1"/>
  <c r="F11" i="42"/>
  <c r="G11" i="42" s="1"/>
  <c r="H11" i="42" s="1"/>
  <c r="F16" i="57"/>
  <c r="G16" i="57" s="1"/>
  <c r="H16" i="57" s="1"/>
  <c r="F16" i="2"/>
  <c r="F10" i="42"/>
  <c r="G10" i="42" s="1"/>
  <c r="H10" i="42" s="1"/>
  <c r="F13" i="57"/>
  <c r="G13" i="57" s="1"/>
  <c r="H13" i="57" s="1"/>
  <c r="F11" i="57"/>
  <c r="G11" i="57" s="1"/>
  <c r="H11" i="57" s="1"/>
  <c r="F9" i="42"/>
  <c r="G9" i="42" s="1"/>
  <c r="H9" i="42" s="1"/>
  <c r="F10" i="57"/>
  <c r="G10" i="57" s="1"/>
  <c r="H10" i="57" s="1"/>
  <c r="F12" i="42"/>
  <c r="G12" i="42" s="1"/>
  <c r="H12" i="42" s="1"/>
  <c r="F9" i="57"/>
  <c r="G9" i="57" s="1"/>
  <c r="H9" i="57" s="1"/>
  <c r="F14" i="42"/>
  <c r="G14" i="42" s="1"/>
  <c r="H14" i="42" s="1"/>
  <c r="H17" i="2"/>
  <c r="I17" i="2" s="1"/>
  <c r="H12" i="2"/>
  <c r="I12" i="2" s="1"/>
  <c r="H18" i="2"/>
  <c r="I18" i="2" s="1"/>
  <c r="H32" i="2"/>
  <c r="I32" i="2" s="1"/>
  <c r="H13" i="2"/>
  <c r="I13" i="2" s="1"/>
  <c r="H11" i="2"/>
  <c r="I11" i="2" s="1"/>
  <c r="H24" i="2"/>
  <c r="I24" i="2" s="1"/>
  <c r="H36" i="2"/>
  <c r="I36" i="2" s="1"/>
  <c r="G28" i="53" l="1"/>
  <c r="G64" i="53"/>
  <c r="G82" i="53"/>
  <c r="G46" i="53"/>
  <c r="F114" i="53"/>
  <c r="G114" i="53" s="1"/>
  <c r="G118" i="53" s="1"/>
  <c r="F96" i="53"/>
  <c r="G96" i="53" s="1"/>
  <c r="G100" i="53" s="1"/>
  <c r="H16" i="2"/>
  <c r="I16" i="2" s="1"/>
  <c r="F22" i="2"/>
  <c r="F18" i="42"/>
  <c r="G18" i="42" s="1"/>
  <c r="H18" i="42" s="1"/>
  <c r="F17" i="57"/>
  <c r="G17" i="57" s="1"/>
  <c r="H17" i="57" s="1"/>
  <c r="F17" i="42"/>
  <c r="G17" i="42" s="1"/>
  <c r="H17" i="42" s="1"/>
  <c r="F18" i="57"/>
  <c r="G18" i="57" s="1"/>
  <c r="H18" i="57" s="1"/>
  <c r="F147" i="53" l="1"/>
  <c r="G147" i="53" s="1"/>
  <c r="G150" i="53" s="1"/>
  <c r="F131" i="53"/>
  <c r="G131" i="53" s="1"/>
  <c r="G134" i="53" s="1"/>
  <c r="F19" i="42"/>
  <c r="G19" i="42" s="1"/>
  <c r="H19" i="42" s="1"/>
  <c r="H22" i="2"/>
  <c r="I22" i="2" s="1"/>
  <c r="F27" i="2"/>
  <c r="F162" i="53" s="1"/>
  <c r="G162" i="53" s="1"/>
  <c r="G164" i="53" s="1"/>
  <c r="F19" i="57"/>
  <c r="G19" i="57" s="1"/>
  <c r="H19" i="57" s="1"/>
  <c r="F20" i="57"/>
  <c r="G20" i="57" s="1"/>
  <c r="H20" i="57" s="1"/>
  <c r="F20" i="42"/>
  <c r="G20" i="42" s="1"/>
  <c r="H20" i="42" s="1"/>
  <c r="F21" i="57"/>
  <c r="G21" i="57" s="1"/>
  <c r="H21" i="57" s="1"/>
  <c r="F21" i="42"/>
  <c r="G21" i="42" s="1"/>
  <c r="H21" i="42" s="1"/>
  <c r="F31" i="2" l="1"/>
  <c r="F176" i="53" s="1"/>
  <c r="G176" i="53" s="1"/>
  <c r="G178" i="53" s="1"/>
  <c r="H27" i="2"/>
  <c r="I27" i="2" s="1"/>
  <c r="F22" i="42"/>
  <c r="G22" i="42" s="1"/>
  <c r="H22" i="42" s="1"/>
  <c r="F22" i="57"/>
  <c r="G22" i="57" s="1"/>
  <c r="H22" i="57" s="1"/>
  <c r="H31" i="2" l="1"/>
  <c r="I31" i="2" s="1"/>
  <c r="F23" i="57"/>
  <c r="G23" i="57" s="1"/>
  <c r="H23" i="57" s="1"/>
  <c r="F23" i="42"/>
  <c r="G23" i="42" s="1"/>
  <c r="H23" i="42" s="1"/>
  <c r="F35" i="2"/>
  <c r="F190" i="53" s="1"/>
  <c r="G190" i="53" s="1"/>
  <c r="G192" i="53" s="1"/>
  <c r="H4" i="53" s="1"/>
  <c r="H6" i="53" s="1"/>
  <c r="H8" i="53" s="1"/>
  <c r="N8" i="53" l="1"/>
  <c r="L8" i="53"/>
  <c r="G190" i="52"/>
  <c r="G192" i="52" s="1"/>
  <c r="H4" i="52" s="1"/>
  <c r="H6" i="52" s="1"/>
  <c r="H8" i="52" s="1"/>
  <c r="H35" i="2"/>
  <c r="I35" i="2" s="1"/>
  <c r="F24" i="42"/>
  <c r="G24" i="42" s="1"/>
  <c r="H24" i="42" s="1"/>
  <c r="F24" i="57"/>
  <c r="G24" i="57" s="1"/>
  <c r="H24" i="57" s="1"/>
  <c r="N8" i="52" l="1"/>
  <c r="L8" i="52"/>
</calcChain>
</file>

<file path=xl/sharedStrings.xml><?xml version="1.0" encoding="utf-8"?>
<sst xmlns="http://schemas.openxmlformats.org/spreadsheetml/2006/main" count="1041" uniqueCount="341">
  <si>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</si>
  <si>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</si>
  <si>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</si>
  <si>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</si>
  <si>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</si>
  <si>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</si>
  <si>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</si>
  <si>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</si>
  <si>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</si>
  <si>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</si>
  <si>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</si>
  <si>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</si>
  <si>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</si>
  <si>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</si>
  <si>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</si>
  <si>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</si>
  <si>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</si>
  <si>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</si>
  <si>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</si>
  <si>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</si>
  <si>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</si>
  <si>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Plus:</t>
  </si>
  <si>
    <t>Less: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</si>
  <si>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</si>
  <si>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</si>
  <si>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</si>
  <si>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</si>
  <si>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</si>
  <si>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</si>
  <si>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</si>
  <si>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</si>
  <si>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</si>
  <si>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</si>
  <si>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</si>
  <si>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</si>
  <si>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</si>
  <si>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</si>
  <si>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</si>
  <si>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</si>
  <si>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</si>
  <si>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</si>
  <si>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</si>
  <si>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</si>
  <si>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</si>
  <si>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</si>
  <si>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</si>
  <si>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</si>
  <si>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</si>
  <si>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TOTAL</t>
  </si>
  <si>
    <t>CURRENT AND PROPOSED RATES</t>
  </si>
  <si>
    <t>Current</t>
  </si>
  <si>
    <t>Private Fire Protection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</si>
  <si>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</si>
  <si>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</si>
  <si>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</si>
  <si>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</si>
  <si>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</si>
  <si>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</si>
  <si>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</si>
  <si>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</si>
  <si>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</si>
  <si>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</si>
  <si>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Difference</t>
  </si>
  <si>
    <t>Bill</t>
  </si>
  <si>
    <t>Percentage</t>
  </si>
  <si>
    <t>Size</t>
  </si>
  <si>
    <t>5/8 x 3/4"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</si>
  <si>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</si>
  <si>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</si>
  <si>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</si>
  <si>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</si>
  <si>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</si>
  <si>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</si>
  <si>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</si>
  <si>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</si>
  <si>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</si>
  <si>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</si>
  <si>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</si>
  <si>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</si>
  <si>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</si>
  <si>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</si>
  <si>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</si>
  <si>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</si>
  <si>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</si>
  <si>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</si>
  <si>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</si>
  <si>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</si>
  <si>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</si>
  <si>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</si>
  <si>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</si>
  <si>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</si>
  <si>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</si>
  <si>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</si>
  <si>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</si>
  <si>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</si>
  <si>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</si>
  <si>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</si>
  <si>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Table B</t>
  </si>
  <si>
    <t>DEBT SERVICE SCHDULE</t>
  </si>
  <si>
    <t>CY 2022 - 2026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</si>
  <si>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</si>
  <si>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</si>
  <si>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</si>
  <si>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</si>
  <si>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</si>
  <si>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</si>
  <si>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</si>
  <si>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</si>
  <si>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</si>
  <si>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</si>
  <si>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</si>
  <si>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</si>
  <si>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</si>
  <si>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</si>
  <si>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</si>
  <si>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</si>
  <si>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</si>
  <si>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</si>
  <si>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</si>
  <si>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</si>
  <si>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</si>
  <si>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</si>
  <si>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</si>
  <si>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</si>
  <si>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</si>
  <si>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</si>
  <si>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</si>
  <si>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</si>
  <si>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</si>
  <si>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</si>
  <si>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</si>
  <si>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</si>
  <si>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</si>
  <si>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</si>
  <si>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</si>
  <si>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</si>
  <si>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</si>
  <si>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Water Loss Adjustment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</si>
  <si>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</si>
  <si>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</si>
  <si>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</si>
  <si>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</si>
  <si>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</si>
  <si>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</si>
  <si>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</si>
  <si>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</si>
  <si>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</si>
  <si>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</si>
  <si>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</si>
  <si>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</si>
  <si>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</si>
  <si>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</si>
  <si>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Line Leaks</t>
  </si>
  <si>
    <t xml:space="preserve">   Unknown</t>
  </si>
  <si>
    <t>Total Losses:</t>
  </si>
  <si>
    <t>Sold, Used, and Lost</t>
  </si>
  <si>
    <t>Total Gross Wages</t>
  </si>
  <si>
    <t>Gross Wages for Full Time Employees CERS Eligible</t>
  </si>
  <si>
    <t>Labor and Materials Adjustment for New Service Installations</t>
  </si>
  <si>
    <t xml:space="preserve">Labor </t>
  </si>
  <si>
    <t xml:space="preserve">Materials </t>
  </si>
  <si>
    <t>New Meter Fees Collected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</si>
  <si>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</si>
  <si>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</si>
  <si>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</si>
  <si>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</si>
  <si>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</si>
  <si>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</si>
  <si>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</si>
  <si>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</si>
  <si>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</si>
  <si>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</si>
  <si>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</si>
  <si>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</si>
  <si>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Structures and Improvements</t>
  </si>
  <si>
    <t>Water Treatment Equipment</t>
  </si>
  <si>
    <t>Source of Supply Plant</t>
  </si>
  <si>
    <t>Collecting &amp; Impounding Reservoirs</t>
  </si>
  <si>
    <t>Supply Mains</t>
  </si>
  <si>
    <t>Pension</t>
  </si>
  <si>
    <t>Eligible</t>
  </si>
  <si>
    <t>TABLE D</t>
  </si>
  <si>
    <t>Total Adjustment</t>
  </si>
  <si>
    <t>Monthly Surcharge Amount</t>
  </si>
  <si>
    <t>CURRENT AND PROPOSED BILLS</t>
  </si>
  <si>
    <t>/ Number of Bills</t>
  </si>
  <si>
    <t>Contractual Services - Accounting</t>
  </si>
  <si>
    <t>Contractual Services - Management</t>
  </si>
  <si>
    <t>Contractual Services - Other</t>
  </si>
  <si>
    <t>Insurance - General Liability</t>
  </si>
  <si>
    <t xml:space="preserve">   Tank Overflows</t>
  </si>
  <si>
    <t xml:space="preserve">   Line Breaks</t>
  </si>
  <si>
    <t>CURRENT BILLING ANALYSIS</t>
  </si>
  <si>
    <t>Summary</t>
  </si>
  <si>
    <t># of Bills</t>
  </si>
  <si>
    <t>Gallons Sold</t>
  </si>
  <si>
    <t>Revenue</t>
  </si>
  <si>
    <t>Residential/Commercial</t>
  </si>
  <si>
    <t>First</t>
  </si>
  <si>
    <t>Next</t>
  </si>
  <si>
    <t>Over</t>
  </si>
  <si>
    <t>Usage</t>
  </si>
  <si>
    <t>Bills</t>
  </si>
  <si>
    <t>REVENUE BY RATE INCREMENT</t>
  </si>
  <si>
    <t xml:space="preserve">Rate </t>
  </si>
  <si>
    <t>,</t>
  </si>
  <si>
    <t>Costs Subject to Water Loss Adjustment</t>
  </si>
  <si>
    <t>Computation of Water Loss Surcharge</t>
  </si>
  <si>
    <t>Net Retail</t>
  </si>
  <si>
    <t>From PSC Annual Report</t>
  </si>
  <si>
    <t>Adjustment to SAO Billed Retail Revenues</t>
  </si>
  <si>
    <t>varlies</t>
  </si>
  <si>
    <t>Computation of Adjustment:</t>
  </si>
  <si>
    <t>Medical and Dental Insurance Adjustment</t>
  </si>
  <si>
    <t>Minimum Bill</t>
  </si>
  <si>
    <t>All Over</t>
  </si>
  <si>
    <t>50,000 Gallons</t>
  </si>
  <si>
    <t>2,000 Gallons</t>
  </si>
  <si>
    <t>Monthly Rates for Water</t>
  </si>
  <si>
    <t>CERS</t>
  </si>
  <si>
    <t>Less Leak Adjustments</t>
  </si>
  <si>
    <t>PROPOSED BILLING ANALYSIS</t>
  </si>
  <si>
    <t>MEDICAL</t>
  </si>
  <si>
    <t>PLAN</t>
  </si>
  <si>
    <t>TYPE</t>
  </si>
  <si>
    <t>DENTAL</t>
  </si>
  <si>
    <t>Unallowed</t>
  </si>
  <si>
    <t>Unallowed Medical</t>
  </si>
  <si>
    <t>Unallowed Dental</t>
  </si>
  <si>
    <t>Unallowed Total Premium</t>
  </si>
  <si>
    <t>Location</t>
  </si>
  <si>
    <t>Water Loss Surcharge</t>
  </si>
  <si>
    <t>Per Bill</t>
  </si>
  <si>
    <t>TABLE E</t>
  </si>
  <si>
    <t>Henderson County Water District</t>
  </si>
  <si>
    <t>HENDERSON COUNTY WATER DISTRICT</t>
  </si>
  <si>
    <t>5/8-Inch X 3/4-Inch Meter</t>
  </si>
  <si>
    <t>8,000 Gallons</t>
  </si>
  <si>
    <t>20,000 Gallons</t>
  </si>
  <si>
    <t>30,000 Gallons</t>
  </si>
  <si>
    <t>1-Inch Meter</t>
  </si>
  <si>
    <t>2-Inch Meter</t>
  </si>
  <si>
    <t>5,000 Gallons</t>
  </si>
  <si>
    <t>16,000 Gallons</t>
  </si>
  <si>
    <t>14,000 Gallons</t>
  </si>
  <si>
    <t>3-Inch Meter</t>
  </si>
  <si>
    <t>4-Inch Meter</t>
  </si>
  <si>
    <t>6-Inch Meter</t>
  </si>
  <si>
    <t>Per Gallon</t>
  </si>
  <si>
    <t>3"</t>
  </si>
  <si>
    <t>4"</t>
  </si>
  <si>
    <t>6"</t>
  </si>
  <si>
    <t>100,000 Gallons</t>
  </si>
  <si>
    <t>CURRENT AND PROPOSED BILLS WITH WATER LOSS SURCHARGE</t>
  </si>
  <si>
    <t>Series 2013 Bonds</t>
  </si>
  <si>
    <t>Series 2013A Bonds</t>
  </si>
  <si>
    <t>Series 2016B Bonds</t>
  </si>
  <si>
    <t>Old National Bank Note</t>
  </si>
  <si>
    <t>CY 2027</t>
  </si>
  <si>
    <t>Interest Only</t>
  </si>
  <si>
    <t>Average Interest Only</t>
  </si>
  <si>
    <t>REVENUE REQUIREMENTS USING OPERATING RATIO METHOD</t>
  </si>
  <si>
    <t>REVENUE REQUIREMENTS USING DEBT SERVICE COVERAGE METHOD</t>
  </si>
  <si>
    <t>Average Annual Interest Expense</t>
  </si>
  <si>
    <t>Miscellaneous Service Revenues</t>
  </si>
  <si>
    <t>CONSUMPTION BY RATE INCREMENT</t>
  </si>
  <si>
    <t>5/8X3/4 INCH METERS</t>
  </si>
  <si>
    <t>1 INCH METERS</t>
  </si>
  <si>
    <t>2 INCH METERS</t>
  </si>
  <si>
    <t>3 INCH METERS</t>
  </si>
  <si>
    <t>4 INCH METERS</t>
  </si>
  <si>
    <t>6 INCH METERS</t>
  </si>
  <si>
    <t>Name</t>
  </si>
  <si>
    <t>E Brittain</t>
  </si>
  <si>
    <t>P Conrad</t>
  </si>
  <si>
    <t>L Gish</t>
  </si>
  <si>
    <t>J Graves</t>
  </si>
  <si>
    <t>C Hoggard</t>
  </si>
  <si>
    <t>M Powell</t>
  </si>
  <si>
    <t>B Robards</t>
  </si>
  <si>
    <t>O Wallace</t>
  </si>
  <si>
    <t>Mileage</t>
  </si>
  <si>
    <t>Bonus</t>
  </si>
  <si>
    <t>Y</t>
  </si>
  <si>
    <t>CERS contributions related to increased wage rates.</t>
  </si>
  <si>
    <t>Increased wage rates.</t>
  </si>
  <si>
    <t>2021 PSC Annual Report</t>
  </si>
  <si>
    <t>2021 Payroll Summary</t>
  </si>
  <si>
    <t>New FT Employee/C Willett</t>
  </si>
  <si>
    <t>New FT Employee/M Sauer</t>
  </si>
  <si>
    <t>New PT Employee</t>
  </si>
  <si>
    <t>N</t>
  </si>
  <si>
    <t>Expenses capitalized per email from Pete Conrad 2/15/2023.</t>
  </si>
  <si>
    <t>Payroll taxes related to increased wage rates.</t>
  </si>
  <si>
    <t>None</t>
  </si>
  <si>
    <t>Unallowed medical insurance premiums.</t>
  </si>
  <si>
    <t>No Dental Insurance per</t>
  </si>
  <si>
    <t>email from Pete Conrad</t>
  </si>
  <si>
    <t>Employee</t>
  </si>
  <si>
    <t>Employee+Child</t>
  </si>
  <si>
    <t>Employee+Spouse</t>
  </si>
  <si>
    <t>Volunteer Fire Department</t>
  </si>
  <si>
    <t>1 UNIT</t>
  </si>
  <si>
    <t>2 UNITS</t>
  </si>
  <si>
    <t>3 UNITS</t>
  </si>
  <si>
    <t>4 UNITS</t>
  </si>
  <si>
    <t>Adjust revenues to billing analysis.</t>
  </si>
  <si>
    <t>Adjust to allowable useful lives.</t>
  </si>
  <si>
    <t>Adjust to allowable water loss.</t>
  </si>
  <si>
    <t>Revenue Requirement</t>
  </si>
  <si>
    <t>Tab ExBa Cell H8</t>
  </si>
  <si>
    <t>Tab Wages Cell J23</t>
  </si>
  <si>
    <t>Tab Wages Cell J35</t>
  </si>
  <si>
    <t>Tab Medical Cell C29</t>
  </si>
  <si>
    <t>Tab Water Loss Cell D30</t>
  </si>
  <si>
    <t>Tab Water Loss Cell D31</t>
  </si>
  <si>
    <t>Tab Depreciation Cell K44</t>
  </si>
  <si>
    <t>Tab Wages Cell J29</t>
  </si>
  <si>
    <t>A</t>
  </si>
  <si>
    <t>B</t>
  </si>
  <si>
    <t>C</t>
  </si>
  <si>
    <t>D</t>
  </si>
  <si>
    <t>E</t>
  </si>
  <si>
    <t>F</t>
  </si>
  <si>
    <t xml:space="preserve">Divided by:  </t>
  </si>
  <si>
    <t>Operating Ratio</t>
  </si>
  <si>
    <t>Subtotal</t>
  </si>
  <si>
    <t>G</t>
  </si>
  <si>
    <t>H</t>
  </si>
  <si>
    <t>I</t>
  </si>
  <si>
    <t>J</t>
  </si>
  <si>
    <t>Average Annual Debt Service</t>
  </si>
  <si>
    <t>Tab Debt Service Cell M20</t>
  </si>
  <si>
    <t>Debt Service Coverage Requirement</t>
  </si>
  <si>
    <t>Tab Debt Service Cell M22</t>
  </si>
  <si>
    <t>Adjust Operating Expenses by Operrating Ratio</t>
  </si>
  <si>
    <t>Average Annual Interest Payments</t>
  </si>
  <si>
    <t>Tab Debt Service Cell M27</t>
  </si>
  <si>
    <t>(Metered Services)</t>
  </si>
  <si>
    <t>Test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</si>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</sst>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&quot;$&quot;* #,##0.00000_);_(&quot;$&quot;* \(#,##0.00000\);_(&quot;$&quot;* &quot;-&quot;??_);_(@_)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13">
    <xf numFmtId="0" fontId="0" fillId="0" borderId="0" xfId="0"/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0" fillId="0" borderId="6" xfId="0" applyBorder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165" fontId="11" fillId="0" borderId="0" xfId="1" applyNumberFormat="1" applyFont="1" applyBorder="1" applyAlignment="1">
      <alignment horizontal="center"/>
    </xf>
    <xf numFmtId="43" fontId="5" fillId="0" borderId="0" xfId="1" applyFont="1" applyBorder="1"/>
    <xf numFmtId="165" fontId="5" fillId="0" borderId="0" xfId="5" applyNumberFormat="1" applyFont="1"/>
    <xf numFmtId="3" fontId="5" fillId="0" borderId="0" xfId="0" applyNumberFormat="1" applyFont="1" applyAlignment="1">
      <alignment horizontal="right"/>
    </xf>
    <xf numFmtId="165" fontId="5" fillId="0" borderId="7" xfId="5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5" fillId="0" borderId="0" xfId="5" applyNumberFormat="1" applyFont="1" applyBorder="1"/>
    <xf numFmtId="167" fontId="10" fillId="0" borderId="0" xfId="5" applyNumberFormat="1" applyFont="1" applyBorder="1" applyAlignment="1">
      <alignment horizontal="center"/>
    </xf>
    <xf numFmtId="43" fontId="5" fillId="0" borderId="0" xfId="1" applyFont="1" applyBorder="1" applyAlignment="1"/>
    <xf numFmtId="43" fontId="5" fillId="0" borderId="0" xfId="1" applyFont="1" applyBorder="1" applyAlignment="1">
      <alignment horizontal="right"/>
    </xf>
    <xf numFmtId="44" fontId="5" fillId="0" borderId="0" xfId="2" applyFont="1" applyBorder="1" applyAlignment="1"/>
    <xf numFmtId="165" fontId="5" fillId="0" borderId="1" xfId="0" applyNumberFormat="1" applyFont="1" applyBorder="1"/>
    <xf numFmtId="164" fontId="5" fillId="0" borderId="0" xfId="6" applyNumberFormat="1" applyFont="1"/>
    <xf numFmtId="165" fontId="8" fillId="0" borderId="0" xfId="1" applyNumberFormat="1" applyFont="1"/>
    <xf numFmtId="165" fontId="11" fillId="0" borderId="8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43" fontId="5" fillId="0" borderId="8" xfId="1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1" xfId="1" applyFont="1" applyBorder="1"/>
    <xf numFmtId="166" fontId="5" fillId="0" borderId="8" xfId="3" applyNumberFormat="1" applyFont="1" applyBorder="1"/>
    <xf numFmtId="165" fontId="5" fillId="2" borderId="0" xfId="1" applyNumberFormat="1" applyFont="1" applyFill="1" applyBorder="1"/>
    <xf numFmtId="43" fontId="5" fillId="2" borderId="8" xfId="1" quotePrefix="1" applyFont="1" applyFill="1" applyBorder="1" applyAlignment="1">
      <alignment horizontal="center"/>
    </xf>
    <xf numFmtId="43" fontId="5" fillId="2" borderId="0" xfId="1" applyFont="1" applyFill="1" applyBorder="1"/>
    <xf numFmtId="166" fontId="5" fillId="2" borderId="8" xfId="3" applyNumberFormat="1" applyFont="1" applyFill="1" applyBorder="1"/>
    <xf numFmtId="165" fontId="15" fillId="0" borderId="0" xfId="1" applyNumberFormat="1" applyFont="1"/>
    <xf numFmtId="0" fontId="21" fillId="0" borderId="0" xfId="0" applyFont="1" applyAlignment="1">
      <alignment horizontal="center"/>
    </xf>
    <xf numFmtId="10" fontId="5" fillId="0" borderId="0" xfId="0" applyNumberFormat="1" applyFont="1"/>
    <xf numFmtId="44" fontId="5" fillId="0" borderId="0" xfId="2" applyFont="1" applyBorder="1"/>
    <xf numFmtId="165" fontId="5" fillId="0" borderId="0" xfId="5" quotePrefix="1" applyNumberFormat="1" applyFont="1"/>
    <xf numFmtId="0" fontId="5" fillId="0" borderId="7" xfId="0" applyFont="1" applyBorder="1"/>
    <xf numFmtId="165" fontId="18" fillId="0" borderId="0" xfId="1" applyNumberFormat="1" applyFont="1"/>
    <xf numFmtId="165" fontId="5" fillId="0" borderId="0" xfId="1" applyNumberFormat="1" applyFont="1" applyAlignment="1">
      <alignment horizontal="centerContinuous" vertical="center"/>
    </xf>
    <xf numFmtId="165" fontId="5" fillId="0" borderId="0" xfId="1" applyNumberFormat="1" applyFont="1" applyAlignment="1">
      <alignment vertical="center"/>
    </xf>
    <xf numFmtId="165" fontId="13" fillId="0" borderId="0" xfId="1" applyNumberFormat="1" applyFont="1" applyAlignment="1">
      <alignment horizontal="centerContinuous" vertical="center"/>
    </xf>
    <xf numFmtId="165" fontId="10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9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left"/>
    </xf>
    <xf numFmtId="165" fontId="14" fillId="0" borderId="0" xfId="1" applyNumberFormat="1" applyFont="1" applyAlignment="1">
      <alignment horizontal="center"/>
    </xf>
    <xf numFmtId="165" fontId="12" fillId="0" borderId="0" xfId="1" quotePrefix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5" fontId="12" fillId="0" borderId="0" xfId="1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165" fontId="5" fillId="0" borderId="6" xfId="5" applyNumberFormat="1" applyFont="1" applyBorder="1"/>
    <xf numFmtId="165" fontId="5" fillId="0" borderId="0" xfId="5" applyNumberFormat="1" applyFont="1" applyBorder="1" applyAlignment="1">
      <alignment horizontal="center"/>
    </xf>
    <xf numFmtId="10" fontId="5" fillId="0" borderId="0" xfId="3" applyNumberFormat="1" applyFont="1" applyBorder="1"/>
    <xf numFmtId="10" fontId="5" fillId="2" borderId="0" xfId="3" applyNumberFormat="1" applyFont="1" applyFill="1" applyBorder="1"/>
    <xf numFmtId="165" fontId="5" fillId="0" borderId="8" xfId="5" applyNumberFormat="1" applyFont="1" applyBorder="1"/>
    <xf numFmtId="165" fontId="9" fillId="0" borderId="7" xfId="5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0" fillId="0" borderId="0" xfId="5" applyNumberFormat="1" applyFont="1" applyAlignment="1">
      <alignment horizontal="centerContinuous"/>
    </xf>
    <xf numFmtId="3" fontId="13" fillId="0" borderId="7" xfId="0" applyNumberFormat="1" applyFont="1" applyBorder="1" applyAlignment="1">
      <alignment horizontal="centerContinuous" vertical="center"/>
    </xf>
    <xf numFmtId="165" fontId="23" fillId="0" borderId="7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9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5" fillId="0" borderId="10" xfId="5" applyNumberFormat="1" applyFont="1" applyBorder="1"/>
    <xf numFmtId="165" fontId="12" fillId="0" borderId="0" xfId="5" applyNumberFormat="1" applyFont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165" fontId="5" fillId="0" borderId="10" xfId="5" applyNumberFormat="1" applyFont="1" applyBorder="1" applyAlignment="1">
      <alignment horizontal="left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center"/>
    </xf>
    <xf numFmtId="165" fontId="9" fillId="0" borderId="7" xfId="5" quotePrefix="1" applyNumberFormat="1" applyFont="1" applyBorder="1" applyAlignment="1">
      <alignment horizontal="left"/>
    </xf>
    <xf numFmtId="164" fontId="9" fillId="0" borderId="0" xfId="6" quotePrefix="1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right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8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2" xfId="5" applyNumberFormat="1" applyFont="1" applyBorder="1" applyAlignment="1">
      <alignment horizontal="right"/>
    </xf>
    <xf numFmtId="165" fontId="9" fillId="0" borderId="7" xfId="5" applyNumberFormat="1" applyFont="1" applyBorder="1"/>
    <xf numFmtId="164" fontId="9" fillId="0" borderId="0" xfId="6" applyNumberFormat="1" applyFont="1"/>
    <xf numFmtId="165" fontId="9" fillId="0" borderId="0" xfId="5" applyNumberFormat="1" applyFont="1"/>
    <xf numFmtId="165" fontId="9" fillId="0" borderId="0" xfId="5" applyNumberFormat="1" applyFont="1" applyBorder="1"/>
    <xf numFmtId="164" fontId="9" fillId="0" borderId="0" xfId="6" applyNumberFormat="1" applyFont="1" applyBorder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3" fontId="5" fillId="0" borderId="2" xfId="0" applyNumberFormat="1" applyFont="1" applyBorder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9" fillId="0" borderId="0" xfId="0" applyNumberFormat="1" applyFont="1"/>
    <xf numFmtId="3" fontId="5" fillId="0" borderId="1" xfId="0" applyNumberFormat="1" applyFont="1" applyBorder="1"/>
    <xf numFmtId="44" fontId="1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5" applyNumberFormat="1" applyFont="1" applyAlignment="1"/>
    <xf numFmtId="167" fontId="5" fillId="0" borderId="2" xfId="5" applyNumberFormat="1" applyFont="1" applyBorder="1"/>
    <xf numFmtId="167" fontId="5" fillId="0" borderId="0" xfId="5" applyNumberFormat="1" applyFont="1" applyBorder="1" applyAlignment="1"/>
    <xf numFmtId="167" fontId="5" fillId="0" borderId="0" xfId="5" applyNumberFormat="1" applyFont="1" applyBorder="1" applyAlignment="1">
      <alignment horizontal="center"/>
    </xf>
    <xf numFmtId="167" fontId="15" fillId="0" borderId="0" xfId="5" applyNumberFormat="1" applyFont="1" applyBorder="1" applyAlignment="1"/>
    <xf numFmtId="170" fontId="5" fillId="0" borderId="0" xfId="0" applyNumberFormat="1" applyFont="1"/>
    <xf numFmtId="169" fontId="9" fillId="0" borderId="0" xfId="0" applyNumberFormat="1" applyFont="1"/>
    <xf numFmtId="167" fontId="5" fillId="0" borderId="0" xfId="5" quotePrefix="1" applyNumberFormat="1" applyFont="1" applyBorder="1" applyAlignment="1">
      <alignment horizont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0" xfId="0" applyFont="1" applyAlignment="1">
      <alignment vertical="top"/>
    </xf>
    <xf numFmtId="0" fontId="24" fillId="0" borderId="0" xfId="0" applyFont="1"/>
    <xf numFmtId="165" fontId="24" fillId="0" borderId="0" xfId="1" applyNumberFormat="1" applyFont="1"/>
    <xf numFmtId="43" fontId="5" fillId="0" borderId="0" xfId="1" applyFont="1" applyAlignment="1">
      <alignment horizontal="right"/>
    </xf>
    <xf numFmtId="10" fontId="5" fillId="0" borderId="1" xfId="3" applyNumberFormat="1" applyFont="1" applyBorder="1"/>
    <xf numFmtId="165" fontId="5" fillId="0" borderId="0" xfId="5" applyNumberFormat="1" applyFont="1" applyBorder="1" applyAlignment="1">
      <alignment horizontal="right"/>
    </xf>
    <xf numFmtId="165" fontId="5" fillId="0" borderId="0" xfId="1" applyNumberFormat="1" applyFont="1" applyFill="1" applyAlignment="1">
      <alignment vertical="center"/>
    </xf>
    <xf numFmtId="6" fontId="5" fillId="0" borderId="0" xfId="0" applyNumberFormat="1" applyFont="1"/>
    <xf numFmtId="9" fontId="5" fillId="0" borderId="0" xfId="0" applyNumberFormat="1" applyFont="1"/>
    <xf numFmtId="165" fontId="5" fillId="0" borderId="0" xfId="9" applyNumberFormat="1" applyFont="1" applyFill="1" applyBorder="1"/>
    <xf numFmtId="165" fontId="11" fillId="0" borderId="0" xfId="9" applyNumberFormat="1" applyFont="1" applyFill="1" applyBorder="1"/>
    <xf numFmtId="43" fontId="5" fillId="0" borderId="0" xfId="1" applyFont="1" applyFill="1" applyBorder="1"/>
    <xf numFmtId="166" fontId="5" fillId="0" borderId="0" xfId="3" applyNumberFormat="1" applyFont="1" applyFill="1" applyBorder="1"/>
    <xf numFmtId="44" fontId="5" fillId="0" borderId="0" xfId="0" applyNumberFormat="1" applyFont="1"/>
    <xf numFmtId="4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9" fontId="5" fillId="0" borderId="0" xfId="3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44" fontId="5" fillId="0" borderId="0" xfId="10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1" xfId="10" applyFont="1" applyFill="1" applyBorder="1" applyAlignment="1">
      <alignment horizontal="right"/>
    </xf>
    <xf numFmtId="166" fontId="5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9" fontId="21" fillId="0" borderId="0" xfId="4" applyNumberFormat="1" applyFont="1" applyAlignment="1">
      <alignment horizontal="right"/>
    </xf>
    <xf numFmtId="9" fontId="5" fillId="0" borderId="0" xfId="9" applyNumberFormat="1" applyFont="1" applyFill="1" applyBorder="1" applyAlignment="1">
      <alignment horizontal="right"/>
    </xf>
    <xf numFmtId="9" fontId="11" fillId="0" borderId="0" xfId="9" applyNumberFormat="1" applyFont="1" applyFill="1" applyBorder="1" applyAlignment="1">
      <alignment horizontal="right"/>
    </xf>
    <xf numFmtId="9" fontId="21" fillId="0" borderId="0" xfId="3" applyFont="1" applyFill="1" applyBorder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44" fontId="21" fillId="0" borderId="0" xfId="0" applyNumberFormat="1" applyFont="1" applyAlignment="1">
      <alignment horizontal="right"/>
    </xf>
    <xf numFmtId="44" fontId="5" fillId="0" borderId="0" xfId="9" applyNumberFormat="1" applyFont="1" applyFill="1" applyBorder="1" applyAlignment="1">
      <alignment horizontal="right"/>
    </xf>
    <xf numFmtId="44" fontId="11" fillId="0" borderId="0" xfId="9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9" fillId="0" borderId="0" xfId="0" applyNumberFormat="1" applyFont="1" applyAlignment="1">
      <alignment horizontal="right"/>
    </xf>
    <xf numFmtId="167" fontId="5" fillId="0" borderId="1" xfId="5" applyNumberFormat="1" applyFont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0" fontId="5" fillId="0" borderId="0" xfId="3" applyNumberFormat="1" applyFont="1" applyBorder="1" applyAlignment="1"/>
    <xf numFmtId="43" fontId="5" fillId="0" borderId="0" xfId="1" applyFont="1" applyBorder="1" applyAlignment="1">
      <alignment vertical="center"/>
    </xf>
    <xf numFmtId="44" fontId="5" fillId="0" borderId="0" xfId="1" applyNumberFormat="1" applyFont="1"/>
    <xf numFmtId="44" fontId="5" fillId="0" borderId="0" xfId="1" applyNumberFormat="1" applyFont="1" applyBorder="1"/>
    <xf numFmtId="44" fontId="5" fillId="0" borderId="1" xfId="0" applyNumberFormat="1" applyFont="1" applyBorder="1"/>
    <xf numFmtId="43" fontId="5" fillId="0" borderId="5" xfId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0" xfId="2" applyNumberFormat="1" applyFont="1"/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0" xfId="1" applyNumberFormat="1" applyFont="1"/>
    <xf numFmtId="164" fontId="5" fillId="0" borderId="1" xfId="1" applyNumberFormat="1" applyFont="1" applyBorder="1"/>
    <xf numFmtId="9" fontId="5" fillId="0" borderId="0" xfId="3" applyFont="1" applyAlignment="1">
      <alignment vertical="top"/>
    </xf>
    <xf numFmtId="10" fontId="5" fillId="0" borderId="0" xfId="3" applyNumberFormat="1" applyFont="1" applyAlignment="1">
      <alignment vertical="top"/>
    </xf>
    <xf numFmtId="164" fontId="5" fillId="0" borderId="1" xfId="1" applyNumberFormat="1" applyFont="1" applyBorder="1" applyAlignment="1">
      <alignment horizontal="right" vertical="center"/>
    </xf>
    <xf numFmtId="10" fontId="5" fillId="0" borderId="0" xfId="3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4" fontId="5" fillId="0" borderId="0" xfId="0" applyNumberFormat="1" applyFont="1" applyAlignment="1">
      <alignment horizontal="right" wrapText="1"/>
    </xf>
    <xf numFmtId="166" fontId="5" fillId="0" borderId="0" xfId="3" applyNumberFormat="1" applyFont="1" applyFill="1" applyBorder="1" applyAlignment="1">
      <alignment horizontal="right" wrapText="1"/>
    </xf>
    <xf numFmtId="9" fontId="5" fillId="0" borderId="0" xfId="0" applyNumberFormat="1" applyFont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44" fontId="5" fillId="0" borderId="0" xfId="0" applyNumberFormat="1" applyFont="1" applyAlignment="1">
      <alignment wrapText="1"/>
    </xf>
    <xf numFmtId="43" fontId="5" fillId="0" borderId="1" xfId="1" applyFont="1" applyFill="1" applyBorder="1"/>
    <xf numFmtId="165" fontId="5" fillId="0" borderId="0" xfId="1" applyNumberFormat="1" applyFont="1" applyFill="1"/>
    <xf numFmtId="165" fontId="5" fillId="0" borderId="2" xfId="1" applyNumberFormat="1" applyFont="1" applyFill="1" applyBorder="1"/>
    <xf numFmtId="165" fontId="5" fillId="0" borderId="1" xfId="1" applyNumberFormat="1" applyFont="1" applyFill="1" applyBorder="1"/>
    <xf numFmtId="3" fontId="13" fillId="0" borderId="7" xfId="0" applyNumberFormat="1" applyFont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/>
    </xf>
    <xf numFmtId="43" fontId="5" fillId="0" borderId="7" xfId="1" applyFont="1" applyFill="1" applyBorder="1"/>
    <xf numFmtId="165" fontId="11" fillId="0" borderId="0" xfId="1" applyNumberFormat="1" applyFont="1" applyFill="1" applyBorder="1" applyAlignment="1">
      <alignment horizontal="center"/>
    </xf>
    <xf numFmtId="43" fontId="5" fillId="2" borderId="7" xfId="1" applyFont="1" applyFill="1" applyBorder="1"/>
    <xf numFmtId="43" fontId="5" fillId="0" borderId="15" xfId="1" applyFont="1" applyBorder="1" applyAlignment="1"/>
    <xf numFmtId="43" fontId="5" fillId="0" borderId="16" xfId="1" applyFont="1" applyBorder="1" applyAlignment="1"/>
    <xf numFmtId="43" fontId="11" fillId="0" borderId="16" xfId="1" applyFont="1" applyBorder="1" applyAlignment="1">
      <alignment horizontal="center"/>
    </xf>
    <xf numFmtId="43" fontId="5" fillId="0" borderId="15" xfId="1" applyFont="1" applyBorder="1" applyAlignment="1">
      <alignment horizontal="right"/>
    </xf>
    <xf numFmtId="44" fontId="5" fillId="0" borderId="16" xfId="2" applyFont="1" applyBorder="1" applyAlignment="1"/>
    <xf numFmtId="43" fontId="5" fillId="0" borderId="17" xfId="1" applyFont="1" applyBorder="1" applyAlignment="1"/>
    <xf numFmtId="43" fontId="5" fillId="0" borderId="18" xfId="1" applyFont="1" applyBorder="1" applyAlignment="1"/>
    <xf numFmtId="10" fontId="5" fillId="0" borderId="18" xfId="3" applyNumberFormat="1" applyFont="1" applyBorder="1" applyAlignment="1">
      <alignment horizontal="center"/>
    </xf>
    <xf numFmtId="43" fontId="5" fillId="0" borderId="19" xfId="1" applyFont="1" applyBorder="1" applyAlignment="1"/>
    <xf numFmtId="43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7" fontId="5" fillId="0" borderId="1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164" fontId="5" fillId="0" borderId="1" xfId="2" applyNumberFormat="1" applyFont="1" applyBorder="1"/>
    <xf numFmtId="10" fontId="5" fillId="0" borderId="0" xfId="3" applyNumberFormat="1" applyFont="1"/>
    <xf numFmtId="0" fontId="9" fillId="0" borderId="0" xfId="0" applyFont="1"/>
    <xf numFmtId="166" fontId="5" fillId="0" borderId="0" xfId="0" applyNumberFormat="1" applyFont="1" applyAlignment="1">
      <alignment horizontal="right"/>
    </xf>
    <xf numFmtId="43" fontId="5" fillId="0" borderId="0" xfId="1" applyFont="1" applyFill="1"/>
    <xf numFmtId="43" fontId="9" fillId="0" borderId="0" xfId="1" applyFont="1"/>
    <xf numFmtId="165" fontId="12" fillId="0" borderId="0" xfId="1" applyNumberFormat="1" applyFont="1"/>
    <xf numFmtId="44" fontId="5" fillId="0" borderId="0" xfId="2" applyFont="1" applyFill="1" applyBorder="1" applyAlignment="1">
      <alignment vertical="center"/>
    </xf>
    <xf numFmtId="44" fontId="11" fillId="0" borderId="0" xfId="0" applyNumberFormat="1" applyFont="1" applyAlignment="1">
      <alignment horizontal="right"/>
    </xf>
    <xf numFmtId="0" fontId="25" fillId="0" borderId="0" xfId="0" applyFont="1"/>
    <xf numFmtId="44" fontId="5" fillId="0" borderId="18" xfId="2" applyFont="1" applyBorder="1" applyAlignment="1"/>
    <xf numFmtId="44" fontId="5" fillId="0" borderId="0" xfId="2" applyFont="1" applyFill="1" applyBorder="1" applyAlignment="1"/>
    <xf numFmtId="44" fontId="5" fillId="0" borderId="18" xfId="2" applyFont="1" applyFill="1" applyBorder="1" applyAlignment="1"/>
    <xf numFmtId="171" fontId="5" fillId="0" borderId="0" xfId="2" applyNumberFormat="1" applyFont="1" applyFill="1" applyBorder="1" applyAlignment="1">
      <alignment vertical="center"/>
    </xf>
    <xf numFmtId="171" fontId="5" fillId="0" borderId="0" xfId="2" applyNumberFormat="1" applyFont="1" applyBorder="1" applyAlignment="1"/>
    <xf numFmtId="165" fontId="6" fillId="0" borderId="0" xfId="1" applyNumberFormat="1" applyFont="1" applyAlignment="1">
      <alignment horizontal="center" vertical="center"/>
    </xf>
    <xf numFmtId="0" fontId="26" fillId="0" borderId="0" xfId="0" applyFont="1"/>
    <xf numFmtId="165" fontId="26" fillId="0" borderId="0" xfId="0" applyNumberFormat="1" applyFont="1"/>
    <xf numFmtId="165" fontId="9" fillId="0" borderId="10" xfId="5" quotePrefix="1" applyNumberFormat="1" applyFont="1" applyBorder="1" applyAlignment="1">
      <alignment horizontal="left"/>
    </xf>
    <xf numFmtId="164" fontId="25" fillId="0" borderId="0" xfId="2" applyNumberFormat="1" applyFont="1"/>
    <xf numFmtId="164" fontId="25" fillId="0" borderId="0" xfId="0" applyNumberFormat="1" applyFont="1"/>
    <xf numFmtId="3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5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7" applyNumberFormat="1" applyFont="1" applyAlignment="1">
      <alignment vertical="center"/>
    </xf>
    <xf numFmtId="165" fontId="27" fillId="0" borderId="0" xfId="1" applyNumberFormat="1" applyFont="1" applyAlignment="1">
      <alignment horizontal="centerContinuous" vertical="center"/>
    </xf>
    <xf numFmtId="165" fontId="6" fillId="0" borderId="0" xfId="1" applyNumberFormat="1" applyFont="1" applyAlignment="1">
      <alignment horizontal="centerContinuous" vertical="center"/>
    </xf>
    <xf numFmtId="9" fontId="5" fillId="0" borderId="1" xfId="7" applyFont="1" applyBorder="1"/>
    <xf numFmtId="165" fontId="5" fillId="0" borderId="1" xfId="5" applyNumberFormat="1" applyFont="1" applyBorder="1"/>
    <xf numFmtId="171" fontId="5" fillId="0" borderId="0" xfId="2" applyNumberFormat="1" applyFont="1"/>
    <xf numFmtId="44" fontId="5" fillId="0" borderId="0" xfId="2" applyFont="1"/>
    <xf numFmtId="165" fontId="11" fillId="0" borderId="1" xfId="1" applyNumberFormat="1" applyFont="1" applyFill="1" applyBorder="1" applyAlignment="1">
      <alignment vertical="center"/>
    </xf>
    <xf numFmtId="165" fontId="11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 vertical="center"/>
    </xf>
    <xf numFmtId="165" fontId="6" fillId="0" borderId="0" xfId="5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167" fontId="10" fillId="0" borderId="0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43" fontId="5" fillId="0" borderId="15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6" fillId="0" borderId="15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6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43" fontId="6" fillId="0" borderId="12" xfId="1" applyFont="1" applyBorder="1" applyAlignment="1">
      <alignment horizontal="center"/>
    </xf>
    <xf numFmtId="43" fontId="6" fillId="0" borderId="13" xfId="1" applyFont="1" applyBorder="1" applyAlignment="1">
      <alignment horizontal="center"/>
    </xf>
    <xf numFmtId="43" fontId="6" fillId="0" borderId="14" xfId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43" fontId="11" fillId="0" borderId="15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Henderson%20County%20WD/18%20Employee%20Compensation.xlsx" TargetMode="External"/><Relationship Id="rId1" Type="http://schemas.openxmlformats.org/officeDocument/2006/relationships/externalLinkPath" Target="18%20Employee%20Compens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oyee 2022"/>
      <sheetName val="Employees 2021"/>
    </sheetNames>
    <sheetDataSet>
      <sheetData sheetId="0"/>
      <sheetData sheetId="1">
        <row r="26">
          <cell r="I26">
            <v>35467.519999999997</v>
          </cell>
          <cell r="O26">
            <v>73640.95</v>
          </cell>
          <cell r="U26">
            <v>54073.82</v>
          </cell>
          <cell r="AG26">
            <v>73041.039999999994</v>
          </cell>
          <cell r="AM26">
            <v>38117.53</v>
          </cell>
        </row>
        <row r="34">
          <cell r="AY34">
            <v>49590.77</v>
          </cell>
          <cell r="BE34">
            <v>28313.21</v>
          </cell>
          <cell r="BK34">
            <v>30581.52</v>
          </cell>
        </row>
        <row r="48">
          <cell r="AS48">
            <v>17322.89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62"/>
  <sheetViews>
    <sheetView showGridLines="0" workbookViewId="0">
      <selection activeCell="E7" sqref="E7"/>
    </sheetView>
  </sheetViews>
  <sheetFormatPr defaultColWidth="8.777343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11" width="11.33203125" style="7" customWidth="1"/>
    <col min="12" max="12" width="10.88671875" style="7" customWidth="1"/>
    <col min="13" max="16384" width="8.77734375" style="7"/>
  </cols>
  <sheetData>
    <row r="1" spans="1:13" ht="18" x14ac:dyDescent="0.45">
      <c r="A1" s="279" t="s">
        <v>28</v>
      </c>
      <c r="B1" s="279"/>
      <c r="C1" s="279"/>
      <c r="D1" s="279"/>
      <c r="E1" s="279"/>
      <c r="F1" s="279"/>
      <c r="G1" s="279"/>
      <c r="H1" s="51"/>
      <c r="I1" s="51"/>
      <c r="J1" s="51"/>
      <c r="K1" s="51"/>
    </row>
    <row r="2" spans="1:13" ht="15.75" x14ac:dyDescent="0.45">
      <c r="A2" s="52" t="s">
        <v>234</v>
      </c>
      <c r="B2" s="50"/>
      <c r="C2" s="50"/>
      <c r="D2" s="50"/>
      <c r="E2" s="50"/>
      <c r="F2" s="50"/>
      <c r="G2" s="50"/>
      <c r="H2" s="51"/>
      <c r="I2" s="51"/>
      <c r="J2" s="51"/>
      <c r="K2" s="51"/>
      <c r="L2" s="51"/>
    </row>
    <row r="3" spans="1:13" x14ac:dyDescent="0.45">
      <c r="A3" s="43"/>
      <c r="B3" s="50"/>
      <c r="C3" s="50"/>
      <c r="D3" s="50"/>
      <c r="E3" s="50"/>
      <c r="F3" s="50"/>
      <c r="G3" s="50"/>
      <c r="H3" s="51"/>
      <c r="I3" s="51"/>
      <c r="J3" s="51"/>
      <c r="K3" s="51"/>
    </row>
    <row r="4" spans="1:13" ht="16.5" x14ac:dyDescent="0.75">
      <c r="A4" s="51"/>
      <c r="B4" s="51"/>
      <c r="C4" s="51"/>
      <c r="D4" s="53" t="s">
        <v>29</v>
      </c>
      <c r="E4" s="53" t="s">
        <v>30</v>
      </c>
      <c r="F4" s="53" t="s">
        <v>31</v>
      </c>
      <c r="G4" s="53" t="s">
        <v>32</v>
      </c>
      <c r="H4" s="51"/>
      <c r="I4" s="66" t="s">
        <v>37</v>
      </c>
      <c r="J4" s="51"/>
      <c r="K4" s="51"/>
      <c r="M4" s="248" t="s">
        <v>230</v>
      </c>
    </row>
    <row r="5" spans="1:13" x14ac:dyDescent="0.45">
      <c r="A5" s="54" t="s">
        <v>14</v>
      </c>
      <c r="B5" s="51"/>
      <c r="C5" s="51"/>
      <c r="D5" s="51"/>
      <c r="F5" s="51"/>
      <c r="G5" s="51"/>
      <c r="H5" s="51"/>
      <c r="J5" s="51"/>
      <c r="K5" s="51"/>
    </row>
    <row r="6" spans="1:13" x14ac:dyDescent="0.45">
      <c r="A6" s="51"/>
      <c r="B6" s="51" t="s">
        <v>39</v>
      </c>
      <c r="C6" s="51"/>
      <c r="D6" s="51">
        <v>3163386</v>
      </c>
      <c r="E6" s="51">
        <v>-11857.76</v>
      </c>
      <c r="F6" s="55" t="s">
        <v>318</v>
      </c>
      <c r="G6" s="51">
        <f>D6+E6</f>
        <v>3151528.24</v>
      </c>
      <c r="H6" s="56"/>
      <c r="I6" s="51" t="s">
        <v>306</v>
      </c>
      <c r="J6" s="51"/>
      <c r="K6" s="51"/>
      <c r="M6" s="7" t="s">
        <v>310</v>
      </c>
    </row>
    <row r="7" spans="1:13" x14ac:dyDescent="0.45">
      <c r="A7" s="51"/>
      <c r="B7" s="51" t="s">
        <v>51</v>
      </c>
      <c r="C7" s="51"/>
      <c r="D7" s="51">
        <v>0</v>
      </c>
      <c r="E7" s="51"/>
      <c r="F7" s="55"/>
      <c r="G7" s="51">
        <f>D7+E7</f>
        <v>0</v>
      </c>
      <c r="H7" s="57"/>
      <c r="I7" s="49"/>
      <c r="J7" s="51"/>
      <c r="K7" s="51"/>
    </row>
    <row r="8" spans="1:13" x14ac:dyDescent="0.45">
      <c r="A8" s="51"/>
      <c r="B8" s="51" t="s">
        <v>15</v>
      </c>
      <c r="C8" s="51"/>
      <c r="D8" s="51">
        <v>0</v>
      </c>
      <c r="E8" s="51"/>
      <c r="F8" s="55"/>
      <c r="G8" s="51">
        <f>D8+E8</f>
        <v>0</v>
      </c>
      <c r="H8" s="56"/>
      <c r="I8" s="51"/>
      <c r="J8" s="51"/>
    </row>
    <row r="9" spans="1:13" x14ac:dyDescent="0.45">
      <c r="A9" s="51"/>
      <c r="B9" s="51"/>
      <c r="C9" s="51"/>
      <c r="D9" s="51"/>
      <c r="E9" s="51"/>
      <c r="F9" s="55"/>
      <c r="G9" s="51"/>
      <c r="H9" s="56"/>
      <c r="I9" s="51"/>
      <c r="J9" s="51"/>
    </row>
    <row r="10" spans="1:13" x14ac:dyDescent="0.45">
      <c r="A10" s="51"/>
      <c r="B10" s="51" t="s">
        <v>16</v>
      </c>
      <c r="C10" s="51"/>
      <c r="D10" s="51"/>
      <c r="E10" s="51"/>
      <c r="F10" s="55"/>
      <c r="G10" s="51"/>
      <c r="H10" s="58"/>
      <c r="I10" s="51"/>
      <c r="J10" s="51"/>
      <c r="K10" s="51"/>
    </row>
    <row r="11" spans="1:13" x14ac:dyDescent="0.45">
      <c r="A11" s="51"/>
      <c r="B11" s="51"/>
      <c r="C11" s="51" t="s">
        <v>38</v>
      </c>
      <c r="D11" s="51">
        <v>0</v>
      </c>
      <c r="E11" s="51"/>
      <c r="F11" s="55"/>
      <c r="G11" s="51">
        <f>D11+E11</f>
        <v>0</v>
      </c>
      <c r="H11" s="56"/>
      <c r="I11" s="51"/>
      <c r="J11" s="51"/>
      <c r="K11" s="51"/>
    </row>
    <row r="12" spans="1:13" x14ac:dyDescent="0.45">
      <c r="A12" s="51"/>
      <c r="C12" s="51" t="s">
        <v>17</v>
      </c>
      <c r="D12" s="51">
        <v>21103</v>
      </c>
      <c r="E12" s="51"/>
      <c r="F12" s="55"/>
      <c r="G12" s="51">
        <f>D12+E12</f>
        <v>21103</v>
      </c>
      <c r="H12" s="56"/>
      <c r="J12" s="51"/>
      <c r="K12" s="51"/>
    </row>
    <row r="13" spans="1:13" ht="16.5" x14ac:dyDescent="0.45">
      <c r="A13" s="51"/>
      <c r="C13" s="51" t="s">
        <v>52</v>
      </c>
      <c r="D13" s="74">
        <v>76590</v>
      </c>
      <c r="E13" s="276"/>
      <c r="F13" s="55"/>
      <c r="G13" s="74">
        <f>D13+E13</f>
        <v>76590</v>
      </c>
      <c r="H13" s="57"/>
      <c r="I13" s="51"/>
      <c r="J13" s="51"/>
      <c r="K13" s="51"/>
    </row>
    <row r="14" spans="1:13" x14ac:dyDescent="0.45">
      <c r="A14" s="59" t="s">
        <v>18</v>
      </c>
      <c r="B14" s="51"/>
      <c r="C14" s="51"/>
      <c r="D14" s="51">
        <f>SUM(D6:D13)</f>
        <v>3261079</v>
      </c>
      <c r="E14" s="51">
        <f>SUM(E6:E13)</f>
        <v>-11857.76</v>
      </c>
      <c r="F14" s="55"/>
      <c r="G14" s="51">
        <f>SUM(G6:G13)</f>
        <v>3249221.24</v>
      </c>
      <c r="H14" s="58"/>
      <c r="J14" s="51"/>
      <c r="K14" s="51"/>
    </row>
    <row r="15" spans="1:13" x14ac:dyDescent="0.45">
      <c r="A15" s="51"/>
      <c r="B15" s="51"/>
      <c r="C15" s="51"/>
      <c r="D15" s="51"/>
      <c r="E15" s="51"/>
      <c r="F15" s="55"/>
      <c r="G15" s="51"/>
      <c r="H15" s="58"/>
      <c r="I15" s="51"/>
      <c r="J15" s="51"/>
      <c r="K15" s="51"/>
    </row>
    <row r="16" spans="1:13" x14ac:dyDescent="0.45">
      <c r="A16" s="54" t="s">
        <v>19</v>
      </c>
      <c r="B16" s="51"/>
      <c r="C16" s="51"/>
      <c r="D16" s="51"/>
      <c r="E16" s="51"/>
      <c r="F16" s="55"/>
      <c r="G16" s="51"/>
      <c r="H16" s="58"/>
      <c r="I16" s="51"/>
      <c r="J16" s="51"/>
      <c r="K16" s="51"/>
    </row>
    <row r="17" spans="1:13" x14ac:dyDescent="0.45">
      <c r="A17" s="51"/>
      <c r="B17" s="51" t="s">
        <v>33</v>
      </c>
      <c r="C17" s="51"/>
      <c r="D17" s="51"/>
      <c r="E17" s="51"/>
      <c r="F17" s="55"/>
      <c r="G17" s="51"/>
      <c r="H17" s="58"/>
      <c r="I17" s="51"/>
      <c r="J17" s="51"/>
      <c r="K17" s="51"/>
    </row>
    <row r="18" spans="1:13" x14ac:dyDescent="0.45">
      <c r="A18" s="51"/>
      <c r="B18" s="51"/>
      <c r="C18" s="51" t="s">
        <v>2</v>
      </c>
      <c r="D18" s="51">
        <v>436307</v>
      </c>
      <c r="E18" s="149">
        <f>Wages!J23</f>
        <v>96685.671499999939</v>
      </c>
      <c r="F18" s="60" t="s">
        <v>319</v>
      </c>
      <c r="G18" s="51"/>
      <c r="H18" s="56"/>
      <c r="I18" s="51" t="s">
        <v>285</v>
      </c>
      <c r="J18" s="51"/>
      <c r="K18" s="51"/>
      <c r="M18" s="7" t="s">
        <v>311</v>
      </c>
    </row>
    <row r="19" spans="1:13" x14ac:dyDescent="0.45">
      <c r="A19" s="51"/>
      <c r="B19" s="51"/>
      <c r="C19" s="51"/>
      <c r="D19" s="51"/>
      <c r="E19" s="149"/>
      <c r="F19" s="60"/>
      <c r="G19" s="51">
        <f>D18+E18+E19</f>
        <v>532992.67149999994</v>
      </c>
      <c r="H19" s="56"/>
      <c r="I19" s="51"/>
      <c r="J19" s="51"/>
      <c r="K19" s="51"/>
    </row>
    <row r="20" spans="1:13" x14ac:dyDescent="0.45">
      <c r="A20" s="51"/>
      <c r="B20" s="51"/>
      <c r="C20" s="51" t="s">
        <v>3</v>
      </c>
      <c r="D20" s="51">
        <v>8400</v>
      </c>
      <c r="E20" s="149"/>
      <c r="F20" s="55"/>
      <c r="G20" s="51">
        <f t="shared" ref="G20:G36" si="0">D20+E20</f>
        <v>8400</v>
      </c>
      <c r="H20" s="56"/>
    </row>
    <row r="21" spans="1:13" x14ac:dyDescent="0.45">
      <c r="A21" s="51"/>
      <c r="B21" s="51"/>
      <c r="C21" s="149" t="s">
        <v>4</v>
      </c>
      <c r="D21" s="51">
        <v>374492</v>
      </c>
      <c r="E21" s="149">
        <f>Wages!J35</f>
        <v>32196.344969250014</v>
      </c>
      <c r="F21" s="60" t="s">
        <v>320</v>
      </c>
      <c r="G21" s="51"/>
      <c r="H21" s="56"/>
      <c r="I21" s="51" t="s">
        <v>284</v>
      </c>
      <c r="J21" s="51"/>
      <c r="K21" s="51"/>
      <c r="M21" s="7" t="s">
        <v>312</v>
      </c>
    </row>
    <row r="22" spans="1:13" x14ac:dyDescent="0.45">
      <c r="A22" s="51"/>
      <c r="B22" s="51"/>
      <c r="C22" s="149"/>
      <c r="D22" s="51"/>
      <c r="E22" s="149">
        <f>-Medical!C29</f>
        <v>-21928.341599999985</v>
      </c>
      <c r="F22" s="60"/>
      <c r="G22" s="51"/>
      <c r="H22" s="56"/>
      <c r="I22" s="51" t="s">
        <v>295</v>
      </c>
      <c r="J22" s="51"/>
      <c r="K22" s="51"/>
      <c r="M22" s="7" t="s">
        <v>313</v>
      </c>
    </row>
    <row r="23" spans="1:13" x14ac:dyDescent="0.45">
      <c r="A23" s="51"/>
      <c r="B23" s="51"/>
      <c r="C23" s="149"/>
      <c r="D23" s="51"/>
      <c r="E23" s="149"/>
      <c r="F23" s="60"/>
      <c r="G23" s="51">
        <f>D21+E21+E22+E23</f>
        <v>384760.00336925004</v>
      </c>
      <c r="H23" s="56"/>
      <c r="I23" s="51"/>
      <c r="J23" s="51"/>
      <c r="K23" s="51"/>
    </row>
    <row r="24" spans="1:13" x14ac:dyDescent="0.45">
      <c r="A24" s="51"/>
      <c r="B24" s="51"/>
      <c r="C24" s="51" t="s">
        <v>5</v>
      </c>
      <c r="D24" s="51">
        <v>1387417</v>
      </c>
      <c r="E24" s="149">
        <f>'Water Loss'!D30</f>
        <v>-94332.686763219463</v>
      </c>
      <c r="F24" s="60" t="s">
        <v>322</v>
      </c>
      <c r="G24" s="51">
        <f t="shared" si="0"/>
        <v>1293084.3132367805</v>
      </c>
      <c r="H24" s="61"/>
      <c r="I24" s="7" t="s">
        <v>308</v>
      </c>
      <c r="M24" s="7" t="s">
        <v>314</v>
      </c>
    </row>
    <row r="25" spans="1:13" x14ac:dyDescent="0.45">
      <c r="A25" s="51"/>
      <c r="B25" s="51"/>
      <c r="C25" s="51" t="s">
        <v>6</v>
      </c>
      <c r="D25" s="51">
        <v>68706</v>
      </c>
      <c r="E25" s="51">
        <f>'Water Loss'!D31</f>
        <v>-4671.4301300573343</v>
      </c>
      <c r="F25" s="60" t="s">
        <v>322</v>
      </c>
      <c r="G25" s="51">
        <f t="shared" si="0"/>
        <v>64034.569869942665</v>
      </c>
      <c r="H25" s="62"/>
      <c r="I25" s="7" t="s">
        <v>308</v>
      </c>
      <c r="J25" s="51"/>
      <c r="K25" s="51"/>
      <c r="M25" s="7" t="s">
        <v>315</v>
      </c>
    </row>
    <row r="26" spans="1:13" x14ac:dyDescent="0.45">
      <c r="A26" s="51"/>
      <c r="B26" s="51"/>
      <c r="C26" s="51" t="s">
        <v>71</v>
      </c>
      <c r="D26" s="51">
        <v>0</v>
      </c>
      <c r="E26" s="51"/>
      <c r="F26" s="60"/>
      <c r="G26" s="51">
        <f t="shared" si="0"/>
        <v>0</v>
      </c>
      <c r="H26" s="62"/>
      <c r="J26" s="51"/>
      <c r="K26" s="51"/>
    </row>
    <row r="27" spans="1:13" x14ac:dyDescent="0.45">
      <c r="A27" s="51"/>
      <c r="B27" s="51"/>
      <c r="C27" s="149" t="s">
        <v>7</v>
      </c>
      <c r="D27" s="51">
        <v>194179</v>
      </c>
      <c r="E27" s="51"/>
      <c r="F27" s="60"/>
      <c r="G27" s="51">
        <f t="shared" si="0"/>
        <v>194179</v>
      </c>
      <c r="H27" s="56"/>
      <c r="I27" s="51"/>
      <c r="J27" s="51"/>
      <c r="K27" s="51"/>
    </row>
    <row r="28" spans="1:13" x14ac:dyDescent="0.45">
      <c r="A28" s="51"/>
      <c r="B28" s="51"/>
      <c r="C28" s="51" t="s">
        <v>186</v>
      </c>
      <c r="D28" s="51">
        <v>14915</v>
      </c>
      <c r="E28" s="51"/>
      <c r="F28" s="60"/>
      <c r="G28" s="51">
        <f t="shared" si="0"/>
        <v>14915</v>
      </c>
      <c r="H28" s="56"/>
      <c r="I28" s="51"/>
      <c r="J28" s="51"/>
      <c r="K28" s="51"/>
    </row>
    <row r="29" spans="1:13" x14ac:dyDescent="0.45">
      <c r="A29" s="51"/>
      <c r="B29" s="51"/>
      <c r="C29" s="149" t="s">
        <v>187</v>
      </c>
      <c r="D29" s="51">
        <v>0</v>
      </c>
      <c r="E29" s="149"/>
      <c r="F29" s="60"/>
      <c r="G29" s="51">
        <f t="shared" si="0"/>
        <v>0</v>
      </c>
      <c r="H29" s="56"/>
      <c r="I29" s="51"/>
      <c r="J29" s="51"/>
      <c r="K29" s="51"/>
    </row>
    <row r="30" spans="1:13" x14ac:dyDescent="0.45">
      <c r="A30" s="51"/>
      <c r="B30" s="51"/>
      <c r="C30" s="149" t="s">
        <v>188</v>
      </c>
      <c r="D30" s="51">
        <v>3238</v>
      </c>
      <c r="E30" s="149"/>
      <c r="F30" s="60"/>
      <c r="G30" s="51">
        <f t="shared" si="0"/>
        <v>3238</v>
      </c>
      <c r="H30" s="56"/>
      <c r="I30" s="51"/>
      <c r="J30" s="51"/>
      <c r="K30" s="51"/>
    </row>
    <row r="31" spans="1:13" x14ac:dyDescent="0.45">
      <c r="A31" s="51"/>
      <c r="B31" s="51"/>
      <c r="C31" s="51" t="s">
        <v>53</v>
      </c>
      <c r="D31" s="51">
        <v>0</v>
      </c>
      <c r="E31" s="149"/>
      <c r="F31" s="60"/>
      <c r="G31" s="51">
        <f t="shared" si="0"/>
        <v>0</v>
      </c>
      <c r="H31" s="56"/>
      <c r="I31" s="51"/>
      <c r="J31" s="51"/>
      <c r="K31" s="51"/>
    </row>
    <row r="32" spans="1:13" x14ac:dyDescent="0.45">
      <c r="A32" s="51"/>
      <c r="B32" s="51"/>
      <c r="C32" s="51" t="s">
        <v>9</v>
      </c>
      <c r="D32" s="51">
        <v>31481</v>
      </c>
      <c r="E32" s="149"/>
      <c r="F32" s="60"/>
      <c r="G32" s="51">
        <f t="shared" si="0"/>
        <v>31481</v>
      </c>
      <c r="H32" s="58"/>
      <c r="I32" s="51"/>
      <c r="J32" s="51"/>
      <c r="K32" s="51"/>
    </row>
    <row r="33" spans="1:13" x14ac:dyDescent="0.45">
      <c r="A33" s="51"/>
      <c r="B33" s="51"/>
      <c r="C33" s="149" t="s">
        <v>189</v>
      </c>
      <c r="D33" s="51">
        <v>25818</v>
      </c>
      <c r="E33" s="149"/>
      <c r="F33" s="60"/>
      <c r="G33" s="51">
        <f t="shared" si="0"/>
        <v>25818</v>
      </c>
      <c r="H33" s="58"/>
      <c r="I33" s="51"/>
      <c r="J33" s="51"/>
      <c r="K33" s="51"/>
    </row>
    <row r="34" spans="1:13" x14ac:dyDescent="0.45">
      <c r="A34" s="51"/>
      <c r="B34" s="51"/>
      <c r="C34" s="51" t="s">
        <v>54</v>
      </c>
      <c r="D34" s="51">
        <f>5214+7647+229</f>
        <v>13090</v>
      </c>
      <c r="E34" s="149"/>
      <c r="F34" s="60"/>
      <c r="G34" s="51">
        <f t="shared" si="0"/>
        <v>13090</v>
      </c>
      <c r="H34" s="58"/>
      <c r="I34" s="51"/>
      <c r="J34" s="51"/>
      <c r="K34" s="51"/>
    </row>
    <row r="35" spans="1:13" x14ac:dyDescent="0.45">
      <c r="A35" s="51"/>
      <c r="B35" s="51"/>
      <c r="C35" s="51" t="s">
        <v>55</v>
      </c>
      <c r="D35" s="51">
        <v>11454</v>
      </c>
      <c r="E35" s="149"/>
      <c r="F35" s="55"/>
      <c r="G35" s="51">
        <f t="shared" si="0"/>
        <v>11454</v>
      </c>
      <c r="H35" s="58"/>
      <c r="I35" s="51"/>
      <c r="J35" s="51"/>
      <c r="K35" s="51"/>
    </row>
    <row r="36" spans="1:13" ht="16.5" x14ac:dyDescent="0.45">
      <c r="A36" s="51"/>
      <c r="B36" s="51"/>
      <c r="C36" s="149" t="s">
        <v>8</v>
      </c>
      <c r="D36" s="76">
        <v>11790</v>
      </c>
      <c r="E36" s="275"/>
      <c r="F36" s="60"/>
      <c r="G36" s="74">
        <f t="shared" si="0"/>
        <v>11790</v>
      </c>
      <c r="H36" s="58"/>
      <c r="I36" s="51"/>
      <c r="J36" s="51"/>
      <c r="K36" s="51"/>
    </row>
    <row r="37" spans="1:13" x14ac:dyDescent="0.45">
      <c r="A37" s="51"/>
      <c r="B37" s="51" t="s">
        <v>34</v>
      </c>
      <c r="C37" s="51"/>
      <c r="D37" s="51">
        <f>SUM(D18:D36)</f>
        <v>2581287</v>
      </c>
      <c r="E37" s="51">
        <f>SUM(E18:E36)</f>
        <v>7949.5579759731709</v>
      </c>
      <c r="F37" s="55"/>
      <c r="G37" s="51">
        <f>SUM(G18:G36)</f>
        <v>2589236.557975973</v>
      </c>
      <c r="H37" s="58"/>
      <c r="I37" s="51"/>
      <c r="J37" s="51"/>
      <c r="K37" s="51"/>
    </row>
    <row r="38" spans="1:13" ht="4.05" customHeight="1" x14ac:dyDescent="0.45">
      <c r="A38" s="51"/>
      <c r="B38" s="51"/>
      <c r="C38" s="51"/>
      <c r="D38" s="51"/>
      <c r="E38" s="51"/>
      <c r="F38" s="55"/>
      <c r="G38" s="51"/>
      <c r="H38" s="58"/>
      <c r="I38" s="51"/>
      <c r="J38" s="51"/>
      <c r="K38" s="51"/>
    </row>
    <row r="39" spans="1:13" x14ac:dyDescent="0.45">
      <c r="A39" s="51"/>
      <c r="B39" s="51" t="s">
        <v>20</v>
      </c>
      <c r="C39" s="51"/>
      <c r="D39" s="51">
        <v>398042</v>
      </c>
      <c r="E39" s="149">
        <f>Depreciation!K44</f>
        <v>98609.127681111131</v>
      </c>
      <c r="F39" s="55" t="s">
        <v>323</v>
      </c>
      <c r="G39" s="51">
        <f t="shared" ref="G39" si="1">D39+E39</f>
        <v>496651.1276811111</v>
      </c>
      <c r="H39" s="58"/>
      <c r="I39" s="7" t="s">
        <v>307</v>
      </c>
      <c r="J39" s="51"/>
      <c r="M39" s="7" t="s">
        <v>316</v>
      </c>
    </row>
    <row r="40" spans="1:13" ht="16.5" x14ac:dyDescent="0.45">
      <c r="A40" s="51"/>
      <c r="B40" s="149" t="s">
        <v>1</v>
      </c>
      <c r="C40" s="149"/>
      <c r="D40" s="74">
        <v>38173</v>
      </c>
      <c r="E40" s="74">
        <f>Wages!J29</f>
        <v>8795.6193697499984</v>
      </c>
      <c r="F40" s="75" t="s">
        <v>321</v>
      </c>
      <c r="G40" s="74">
        <f t="shared" ref="G40" si="2">D40+E40</f>
        <v>46968.619369749998</v>
      </c>
      <c r="H40" s="58"/>
      <c r="I40" s="51" t="s">
        <v>293</v>
      </c>
      <c r="J40" s="51"/>
      <c r="M40" s="7" t="s">
        <v>317</v>
      </c>
    </row>
    <row r="41" spans="1:13" ht="16.5" x14ac:dyDescent="0.45">
      <c r="A41" s="59" t="s">
        <v>0</v>
      </c>
      <c r="B41" s="51"/>
      <c r="C41" s="51"/>
      <c r="D41" s="74">
        <f>SUM(D37:D40)</f>
        <v>3017502</v>
      </c>
      <c r="E41" s="74">
        <f>SUM(E37:E40)</f>
        <v>115354.30502683431</v>
      </c>
      <c r="F41" s="75"/>
      <c r="G41" s="74">
        <f>SUM(G37:G40)</f>
        <v>3132856.3050268339</v>
      </c>
      <c r="H41" s="58"/>
      <c r="I41" s="51"/>
      <c r="J41" s="51"/>
      <c r="K41" s="51"/>
    </row>
    <row r="42" spans="1:13" ht="4.05" customHeight="1" x14ac:dyDescent="0.45">
      <c r="A42" s="59"/>
      <c r="B42" s="51"/>
      <c r="C42" s="51"/>
      <c r="D42" s="76"/>
      <c r="E42" s="76"/>
      <c r="F42" s="55"/>
      <c r="G42" s="51"/>
      <c r="H42" s="51"/>
      <c r="I42" s="51"/>
      <c r="J42" s="51"/>
      <c r="K42" s="51"/>
    </row>
    <row r="43" spans="1:13" x14ac:dyDescent="0.45">
      <c r="A43" s="59" t="s">
        <v>35</v>
      </c>
      <c r="B43" s="51"/>
      <c r="C43" s="51"/>
      <c r="D43" s="51">
        <f>D14-D41</f>
        <v>243577</v>
      </c>
      <c r="E43" s="51">
        <f>E14-E41</f>
        <v>-127212.0650268343</v>
      </c>
      <c r="F43" s="55"/>
      <c r="G43" s="51">
        <f>G14-G41</f>
        <v>116364.93497316632</v>
      </c>
      <c r="H43" s="51"/>
      <c r="I43" s="51"/>
      <c r="K43" s="51"/>
    </row>
    <row r="44" spans="1:13" x14ac:dyDescent="0.45">
      <c r="A44" s="51"/>
      <c r="B44" s="51"/>
      <c r="C44" s="51"/>
      <c r="D44" s="51"/>
      <c r="E44" s="51"/>
      <c r="F44" s="55"/>
      <c r="G44" s="51"/>
      <c r="H44" s="51"/>
      <c r="I44" s="51"/>
      <c r="J44" s="51"/>
      <c r="K44" s="51"/>
    </row>
    <row r="45" spans="1:13" ht="16.5" x14ac:dyDescent="0.45">
      <c r="H45" s="51"/>
      <c r="I45" s="63"/>
      <c r="J45" s="64"/>
      <c r="K45" s="51"/>
    </row>
    <row r="46" spans="1:13" x14ac:dyDescent="0.45">
      <c r="H46" s="51"/>
      <c r="J46" s="51"/>
      <c r="K46" s="51"/>
    </row>
    <row r="47" spans="1:13" x14ac:dyDescent="0.45">
      <c r="H47" s="51"/>
      <c r="J47" s="51"/>
      <c r="K47" s="51"/>
    </row>
    <row r="48" spans="1:13" x14ac:dyDescent="0.45">
      <c r="H48" s="51"/>
      <c r="J48" s="51"/>
      <c r="K48" s="51"/>
    </row>
    <row r="49" spans="1:11" x14ac:dyDescent="0.45">
      <c r="H49" s="51"/>
      <c r="J49" s="51"/>
      <c r="K49" s="51"/>
    </row>
    <row r="50" spans="1:11" x14ac:dyDescent="0.45">
      <c r="H50" s="51"/>
      <c r="J50" s="51"/>
      <c r="K50" s="51"/>
    </row>
    <row r="51" spans="1:11" x14ac:dyDescent="0.45">
      <c r="H51" s="51"/>
      <c r="J51" s="51"/>
      <c r="K51" s="51"/>
    </row>
    <row r="52" spans="1:11" x14ac:dyDescent="0.45">
      <c r="H52" s="51"/>
      <c r="I52" s="30"/>
      <c r="J52" s="51"/>
      <c r="K52" s="51"/>
    </row>
    <row r="53" spans="1:11" x14ac:dyDescent="0.45">
      <c r="H53" s="51"/>
      <c r="J53" s="51"/>
      <c r="K53" s="51"/>
    </row>
    <row r="54" spans="1:11" x14ac:dyDescent="0.45">
      <c r="H54" s="51"/>
      <c r="I54" s="30"/>
      <c r="J54" s="51"/>
      <c r="K54" s="51"/>
    </row>
    <row r="55" spans="1:11" x14ac:dyDescent="0.45">
      <c r="H55" s="51"/>
      <c r="I55" s="51"/>
      <c r="J55" s="51"/>
      <c r="K55" s="51"/>
    </row>
    <row r="56" spans="1:11" ht="4.05" customHeight="1" x14ac:dyDescent="0.45">
      <c r="H56" s="51"/>
      <c r="I56" s="51"/>
      <c r="J56" s="51"/>
      <c r="K56" s="51"/>
    </row>
    <row r="57" spans="1:11" x14ac:dyDescent="0.45">
      <c r="H57" s="51"/>
      <c r="I57" s="51"/>
      <c r="J57" s="51"/>
      <c r="K57" s="51"/>
    </row>
    <row r="60" spans="1:11" x14ac:dyDescent="0.45">
      <c r="A60" s="59"/>
      <c r="B60" s="51"/>
      <c r="C60" s="51"/>
      <c r="D60" s="65"/>
      <c r="E60" s="51"/>
      <c r="F60" s="60"/>
      <c r="G60" s="51"/>
    </row>
    <row r="61" spans="1:11" x14ac:dyDescent="0.45">
      <c r="A61" s="51"/>
      <c r="B61" s="51"/>
      <c r="C61" s="51"/>
      <c r="D61" s="65"/>
      <c r="E61" s="51"/>
      <c r="F61" s="60"/>
      <c r="G61" s="51"/>
    </row>
    <row r="62" spans="1:11" x14ac:dyDescent="0.45">
      <c r="A62" s="59"/>
      <c r="B62" s="51"/>
      <c r="C62" s="51"/>
      <c r="D62" s="65"/>
      <c r="E62" s="51"/>
      <c r="F62" s="60"/>
      <c r="G62" s="51"/>
    </row>
  </sheetData>
  <mergeCells count="1">
    <mergeCell ref="A1:G1"/>
  </mergeCells>
  <printOptions horizontalCentered="1"/>
  <pageMargins left="0.45" right="0.25" top="0.5" bottom="0.5" header="0.3" footer="0.3"/>
  <pageSetup orientation="portrait" horizontalDpi="4294967293" r:id="rId1"/>
  <rowBreaks count="2" manualBreakCount="2">
    <brk id="43" max="16383" man="1"/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O27"/>
  <sheetViews>
    <sheetView showGridLines="0" workbookViewId="0">
      <selection activeCell="J27" sqref="A1:J27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19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1" x14ac:dyDescent="0.45">
      <c r="B1" s="8"/>
      <c r="C1" s="9"/>
      <c r="D1" s="9"/>
      <c r="E1" s="220"/>
      <c r="F1" s="220"/>
      <c r="G1" s="9"/>
      <c r="H1" s="9"/>
      <c r="I1" s="10"/>
    </row>
    <row r="2" spans="2:11" ht="18" x14ac:dyDescent="0.55000000000000004">
      <c r="B2" s="11"/>
      <c r="C2" s="307" t="s">
        <v>181</v>
      </c>
      <c r="D2" s="307"/>
      <c r="E2" s="307"/>
      <c r="F2" s="307"/>
      <c r="G2" s="307"/>
      <c r="H2" s="307"/>
      <c r="I2" s="308"/>
    </row>
    <row r="3" spans="2:11" ht="18" x14ac:dyDescent="0.55000000000000004">
      <c r="B3" s="11"/>
      <c r="C3" s="304" t="s">
        <v>184</v>
      </c>
      <c r="D3" s="304"/>
      <c r="E3" s="304"/>
      <c r="F3" s="304"/>
      <c r="G3" s="304"/>
      <c r="H3" s="304"/>
      <c r="I3" s="305"/>
    </row>
    <row r="4" spans="2:11" ht="15.75" x14ac:dyDescent="0.45">
      <c r="B4" s="11"/>
      <c r="C4" s="283" t="s">
        <v>235</v>
      </c>
      <c r="D4" s="283"/>
      <c r="E4" s="283"/>
      <c r="F4" s="283"/>
      <c r="G4" s="283"/>
      <c r="H4" s="283"/>
      <c r="I4" s="306"/>
    </row>
    <row r="5" spans="2:11" x14ac:dyDescent="0.45">
      <c r="B5" s="13"/>
      <c r="C5" s="5"/>
      <c r="D5" s="5"/>
      <c r="E5" s="221"/>
      <c r="F5" s="221"/>
      <c r="G5" s="5"/>
      <c r="H5" s="5"/>
      <c r="I5" s="14"/>
    </row>
    <row r="6" spans="2:11" ht="6" customHeight="1" x14ac:dyDescent="0.45">
      <c r="B6" s="11"/>
      <c r="C6" s="6"/>
      <c r="D6" s="12"/>
      <c r="E6" s="222"/>
      <c r="F6" s="33"/>
      <c r="G6" s="33"/>
      <c r="H6" s="33"/>
      <c r="I6" s="34"/>
      <c r="J6" s="32"/>
      <c r="K6" s="32"/>
    </row>
    <row r="7" spans="2:11" ht="16.5" x14ac:dyDescent="0.75">
      <c r="B7" s="11"/>
      <c r="C7" s="16" t="s">
        <v>13</v>
      </c>
      <c r="D7" s="31" t="s">
        <v>61</v>
      </c>
      <c r="E7" s="223" t="s">
        <v>23</v>
      </c>
      <c r="F7" s="225" t="s">
        <v>10</v>
      </c>
      <c r="G7" s="16"/>
      <c r="H7" s="16"/>
      <c r="I7" s="31"/>
    </row>
    <row r="8" spans="2:11" ht="16.5" x14ac:dyDescent="0.75">
      <c r="B8" s="11"/>
      <c r="C8" s="16" t="s">
        <v>69</v>
      </c>
      <c r="D8" s="31" t="s">
        <v>65</v>
      </c>
      <c r="E8" s="223" t="s">
        <v>63</v>
      </c>
      <c r="F8" s="225" t="s">
        <v>63</v>
      </c>
      <c r="G8" s="16" t="s">
        <v>24</v>
      </c>
      <c r="H8" s="16" t="s">
        <v>64</v>
      </c>
      <c r="I8" s="31"/>
    </row>
    <row r="9" spans="2:11" x14ac:dyDescent="0.45">
      <c r="B9" s="11"/>
      <c r="C9" s="17">
        <v>0</v>
      </c>
      <c r="D9" s="35" t="s">
        <v>66</v>
      </c>
      <c r="E9" s="224">
        <f>ROUND(Rates!$D$10,2)</f>
        <v>20.76</v>
      </c>
      <c r="F9" s="154">
        <f>ROUND(Rates!$F$10,2)</f>
        <v>22.88</v>
      </c>
      <c r="G9" s="46">
        <f>F9-E9</f>
        <v>2.1199999999999974</v>
      </c>
      <c r="H9" s="70">
        <f>G9/E9</f>
        <v>0.10211946050096327</v>
      </c>
      <c r="I9" s="38"/>
    </row>
    <row r="10" spans="2:11" x14ac:dyDescent="0.45">
      <c r="B10" s="11"/>
      <c r="C10" s="6">
        <v>2000</v>
      </c>
      <c r="D10" s="35" t="s">
        <v>66</v>
      </c>
      <c r="E10" s="224">
        <f>ROUND(Rates!$D$10,2)</f>
        <v>20.76</v>
      </c>
      <c r="F10" s="224">
        <f>ROUND(Rates!$F$10,2)</f>
        <v>22.88</v>
      </c>
      <c r="G10" s="17">
        <f t="shared" ref="G10:G17" si="0">F10-E10</f>
        <v>2.1199999999999974</v>
      </c>
      <c r="H10" s="70">
        <f t="shared" ref="H10:H24" si="1">G10/E10</f>
        <v>0.10211946050096327</v>
      </c>
      <c r="I10" s="38"/>
    </row>
    <row r="11" spans="2:11" x14ac:dyDescent="0.45">
      <c r="B11" s="11"/>
      <c r="C11" s="39">
        <v>4000</v>
      </c>
      <c r="D11" s="40" t="s">
        <v>66</v>
      </c>
      <c r="E11" s="226">
        <f>ROUND(Rates!$D$10+2000*Rates!$D$11,2)</f>
        <v>36.14</v>
      </c>
      <c r="F11" s="226">
        <f>ROUND(Rates!$F$10+2000*Rates!$F$11,2)</f>
        <v>39.83</v>
      </c>
      <c r="G11" s="41">
        <f t="shared" si="0"/>
        <v>3.6899999999999977</v>
      </c>
      <c r="H11" s="71">
        <f t="shared" si="1"/>
        <v>0.10210293303818477</v>
      </c>
      <c r="I11" s="42"/>
    </row>
    <row r="12" spans="2:11" x14ac:dyDescent="0.45">
      <c r="B12" s="11"/>
      <c r="C12" s="6">
        <v>6000</v>
      </c>
      <c r="D12" s="35" t="s">
        <v>66</v>
      </c>
      <c r="E12" s="224">
        <f>ROUND(Rates!$D$10+4000*Rates!$D$11,2)</f>
        <v>51.52</v>
      </c>
      <c r="F12" s="224">
        <f>ROUND(Rates!$F$10+4000*Rates!$F$11,2)</f>
        <v>56.78</v>
      </c>
      <c r="G12" s="17">
        <f t="shared" si="0"/>
        <v>5.259999999999998</v>
      </c>
      <c r="H12" s="70">
        <f t="shared" si="1"/>
        <v>0.10209627329192542</v>
      </c>
      <c r="I12" s="38"/>
    </row>
    <row r="13" spans="2:11" x14ac:dyDescent="0.45">
      <c r="B13" s="11"/>
      <c r="C13" s="6">
        <v>8000</v>
      </c>
      <c r="D13" s="35" t="s">
        <v>66</v>
      </c>
      <c r="E13" s="224">
        <f>ROUND(Rates!$D$10+6000*Rates!$D$11,2)</f>
        <v>66.900000000000006</v>
      </c>
      <c r="F13" s="224">
        <f>ROUND(Rates!$F$10+6000*Rates!$F$11,2)</f>
        <v>73.72</v>
      </c>
      <c r="G13" s="17">
        <f t="shared" si="0"/>
        <v>6.8199999999999932</v>
      </c>
      <c r="H13" s="70">
        <f t="shared" si="1"/>
        <v>0.10194319880418524</v>
      </c>
      <c r="I13" s="38"/>
    </row>
    <row r="14" spans="2:11" x14ac:dyDescent="0.45">
      <c r="B14" s="11"/>
      <c r="C14" s="6">
        <v>10000</v>
      </c>
      <c r="D14" s="35" t="s">
        <v>66</v>
      </c>
      <c r="E14" s="224">
        <f>ROUND(Rates!$D$10+8000*Rates!$D$11,2)</f>
        <v>82.28</v>
      </c>
      <c r="F14" s="224">
        <f>ROUND(Rates!$F$10+8000*Rates!$F$11,2)</f>
        <v>90.67</v>
      </c>
      <c r="G14" s="17">
        <f t="shared" si="0"/>
        <v>8.39</v>
      </c>
      <c r="H14" s="70">
        <f t="shared" si="1"/>
        <v>0.10196888672824503</v>
      </c>
      <c r="I14" s="38"/>
    </row>
    <row r="15" spans="2:11" x14ac:dyDescent="0.45">
      <c r="B15" s="11"/>
      <c r="C15" s="6">
        <v>15000</v>
      </c>
      <c r="D15" s="35" t="s">
        <v>66</v>
      </c>
      <c r="E15" s="224">
        <f>ROUND(Rates!$D$10+8000*Rates!$D$11+5000*Rates!$D$12,2)</f>
        <v>118.08</v>
      </c>
      <c r="F15" s="224">
        <f>ROUND(Rates!$F$10+8000*Rates!$F$11+5000*Rates!$F$12,2)</f>
        <v>130.12</v>
      </c>
      <c r="G15" s="17">
        <f t="shared" si="0"/>
        <v>12.040000000000006</v>
      </c>
      <c r="H15" s="70">
        <f t="shared" si="1"/>
        <v>0.10196476964769653</v>
      </c>
      <c r="I15" s="38"/>
    </row>
    <row r="16" spans="2:11" x14ac:dyDescent="0.45">
      <c r="B16" s="11"/>
      <c r="C16" s="6">
        <v>20000</v>
      </c>
      <c r="D16" s="35" t="s">
        <v>66</v>
      </c>
      <c r="E16" s="224">
        <f>ROUND(Rates!$D$10+8000*Rates!$D$11+10000*Rates!$D$12,2)</f>
        <v>153.88</v>
      </c>
      <c r="F16" s="224">
        <f>ROUND(Rates!$F$10+8000*Rates!$F$11+10000*Rates!$F$12,2)</f>
        <v>169.57</v>
      </c>
      <c r="G16" s="17">
        <f t="shared" si="0"/>
        <v>15.689999999999998</v>
      </c>
      <c r="H16" s="70">
        <f t="shared" si="1"/>
        <v>0.1019625682349883</v>
      </c>
      <c r="I16" s="38"/>
    </row>
    <row r="17" spans="2:15" x14ac:dyDescent="0.45">
      <c r="B17" s="11"/>
      <c r="C17" s="6">
        <v>25000</v>
      </c>
      <c r="D17" s="36" t="s">
        <v>25</v>
      </c>
      <c r="E17" s="224">
        <f>ROUND(Rates!$D$16+5000*Rates!$D$17+15000*Rates!$D$18,2)</f>
        <v>189.68</v>
      </c>
      <c r="F17" s="224">
        <f>ROUND(Rates!$F$16+5000*Rates!$F$17+15000*Rates!$F$18,2)</f>
        <v>209.02</v>
      </c>
      <c r="G17" s="17">
        <f t="shared" si="0"/>
        <v>19.340000000000003</v>
      </c>
      <c r="H17" s="70">
        <f t="shared" si="1"/>
        <v>0.10196119780683258</v>
      </c>
      <c r="I17" s="38"/>
    </row>
    <row r="18" spans="2:15" x14ac:dyDescent="0.45">
      <c r="B18" s="11"/>
      <c r="C18" s="6">
        <v>30000</v>
      </c>
      <c r="D18" s="36" t="s">
        <v>25</v>
      </c>
      <c r="E18" s="224">
        <f>ROUND(Rates!$D$16+5000*Rates!$D$17+20000*Rates!$D$18,2)</f>
        <v>225.48</v>
      </c>
      <c r="F18" s="224">
        <f>ROUND(Rates!$F$16+5000*Rates!$F$17+20000*Rates!$F$18,2)</f>
        <v>248.47</v>
      </c>
      <c r="G18" s="17">
        <f t="shared" ref="G18:G24" si="2">F18-E18</f>
        <v>22.990000000000009</v>
      </c>
      <c r="H18" s="70">
        <f t="shared" si="1"/>
        <v>0.10196026255100235</v>
      </c>
      <c r="I18" s="38"/>
      <c r="O18" s="6"/>
    </row>
    <row r="19" spans="2:15" x14ac:dyDescent="0.45">
      <c r="B19" s="11"/>
      <c r="C19" s="6">
        <v>40000</v>
      </c>
      <c r="D19" s="36" t="s">
        <v>26</v>
      </c>
      <c r="E19" s="224">
        <f>ROUND(Rates!$D$22+14000*Rates!$D$23+10000*Rates!$D$24,2)</f>
        <v>291.77999999999997</v>
      </c>
      <c r="F19" s="224">
        <f>ROUND(Rates!$F$22+14000*Rates!$F$23+10000*Rates!$F$24,2)</f>
        <v>321.52999999999997</v>
      </c>
      <c r="G19" s="17">
        <f t="shared" si="2"/>
        <v>29.75</v>
      </c>
      <c r="H19" s="70">
        <f t="shared" si="1"/>
        <v>0.10196038110905478</v>
      </c>
      <c r="I19" s="38"/>
    </row>
    <row r="20" spans="2:15" x14ac:dyDescent="0.45">
      <c r="B20" s="11"/>
      <c r="C20" s="6">
        <v>50000</v>
      </c>
      <c r="D20" s="36" t="s">
        <v>26</v>
      </c>
      <c r="E20" s="224">
        <f>ROUND(Rates!$D$22+14000*Rates!$D$23+20000*Rates!$D$24,2)</f>
        <v>358.08</v>
      </c>
      <c r="F20" s="224">
        <f>ROUND(Rates!$F$22+14000*Rates!$F$23+20000*Rates!$F$24,2)</f>
        <v>394.59</v>
      </c>
      <c r="G20" s="17">
        <f t="shared" si="2"/>
        <v>36.509999999999991</v>
      </c>
      <c r="H20" s="70">
        <f t="shared" si="1"/>
        <v>0.10196045576407504</v>
      </c>
      <c r="I20" s="38"/>
    </row>
    <row r="21" spans="2:15" x14ac:dyDescent="0.45">
      <c r="B21" s="11"/>
      <c r="C21" s="6">
        <v>75000</v>
      </c>
      <c r="D21" s="36" t="s">
        <v>26</v>
      </c>
      <c r="E21" s="224">
        <f>ROUND(Rates!$D$22+14000*Rates!$D$23+45000*Rates!$D$24,2)</f>
        <v>523.83000000000004</v>
      </c>
      <c r="F21" s="224">
        <f>ROUND(Rates!$F$22+14000*Rates!$F$23+45000*Rates!$F$24,2)</f>
        <v>577.24</v>
      </c>
      <c r="G21" s="17">
        <f t="shared" si="2"/>
        <v>53.409999999999968</v>
      </c>
      <c r="H21" s="70">
        <f t="shared" si="1"/>
        <v>0.10196055972357437</v>
      </c>
      <c r="I21" s="38"/>
    </row>
    <row r="22" spans="2:15" x14ac:dyDescent="0.45">
      <c r="B22" s="11"/>
      <c r="C22" s="6">
        <v>100000</v>
      </c>
      <c r="D22" s="36" t="s">
        <v>249</v>
      </c>
      <c r="E22" s="224">
        <f>ROUND(Rates!$D$27+70000*Rates!$D$28,2)</f>
        <v>689.58</v>
      </c>
      <c r="F22" s="224">
        <f>ROUND(Rates!$F$27+70000*Rates!$F$28,2)</f>
        <v>759.89</v>
      </c>
      <c r="G22" s="17">
        <f t="shared" si="2"/>
        <v>70.309999999999945</v>
      </c>
      <c r="H22" s="70">
        <f t="shared" si="1"/>
        <v>0.10196061370689397</v>
      </c>
      <c r="I22" s="38"/>
    </row>
    <row r="23" spans="2:15" x14ac:dyDescent="0.45">
      <c r="B23" s="11"/>
      <c r="C23" s="6">
        <v>200000</v>
      </c>
      <c r="D23" s="36" t="s">
        <v>250</v>
      </c>
      <c r="E23" s="224">
        <f>ROUND(Rates!$D$31+150000*Rates!$D$32,2)</f>
        <v>1352.58</v>
      </c>
      <c r="F23" s="224">
        <f>ROUND(Rates!$F$31+150000*Rates!$F$32,2)</f>
        <v>1490.49</v>
      </c>
      <c r="G23" s="17">
        <f t="shared" si="2"/>
        <v>137.91000000000008</v>
      </c>
      <c r="H23" s="70">
        <f t="shared" si="1"/>
        <v>0.10196069733398401</v>
      </c>
      <c r="I23" s="38"/>
    </row>
    <row r="24" spans="2:15" x14ac:dyDescent="0.45">
      <c r="B24" s="11"/>
      <c r="C24" s="6">
        <v>500000</v>
      </c>
      <c r="D24" s="36" t="s">
        <v>251</v>
      </c>
      <c r="E24" s="224">
        <f>ROUND(Rates!$D$35+400000*Rates!$D$32,2)</f>
        <v>3341.58</v>
      </c>
      <c r="F24" s="224">
        <f>ROUND(Rates!$F$35+400000*Rates!$F$32,2)</f>
        <v>3682.29</v>
      </c>
      <c r="G24" s="17">
        <f t="shared" si="2"/>
        <v>340.71000000000004</v>
      </c>
      <c r="H24" s="70">
        <f t="shared" si="1"/>
        <v>0.10196074910671002</v>
      </c>
      <c r="I24" s="38"/>
    </row>
    <row r="25" spans="2:15" ht="6" customHeight="1" x14ac:dyDescent="0.45">
      <c r="B25" s="13"/>
      <c r="C25" s="5"/>
      <c r="D25" s="4"/>
      <c r="E25" s="196"/>
      <c r="F25" s="218"/>
      <c r="G25" s="37"/>
      <c r="H25" s="5"/>
      <c r="I25" s="14"/>
    </row>
    <row r="27" spans="2:15" x14ac:dyDescent="0.45">
      <c r="D27" s="47" t="s">
        <v>70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E93C-42CC-459D-BB55-EB7041DDE4DA}">
  <sheetPr>
    <tabColor rgb="FF92D050"/>
  </sheetPr>
  <dimension ref="B1:O27"/>
  <sheetViews>
    <sheetView showGridLines="0" workbookViewId="0">
      <selection activeCell="F11" sqref="F11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19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1" x14ac:dyDescent="0.45">
      <c r="B1" s="8"/>
      <c r="C1" s="9"/>
      <c r="D1" s="9"/>
      <c r="E1" s="220"/>
      <c r="F1" s="220"/>
      <c r="G1" s="9"/>
      <c r="H1" s="9"/>
      <c r="I1" s="10"/>
    </row>
    <row r="2" spans="2:11" ht="18" x14ac:dyDescent="0.55000000000000004">
      <c r="B2" s="11"/>
      <c r="C2" s="307" t="s">
        <v>233</v>
      </c>
      <c r="D2" s="307"/>
      <c r="E2" s="307"/>
      <c r="F2" s="307"/>
      <c r="G2" s="307"/>
      <c r="H2" s="307"/>
      <c r="I2" s="308"/>
    </row>
    <row r="3" spans="2:11" ht="18" x14ac:dyDescent="0.55000000000000004">
      <c r="B3" s="11"/>
      <c r="C3" s="304" t="s">
        <v>253</v>
      </c>
      <c r="D3" s="304"/>
      <c r="E3" s="304"/>
      <c r="F3" s="304"/>
      <c r="G3" s="304"/>
      <c r="H3" s="304"/>
      <c r="I3" s="305"/>
    </row>
    <row r="4" spans="2:11" ht="15.75" x14ac:dyDescent="0.45">
      <c r="B4" s="11"/>
      <c r="C4" s="283" t="s">
        <v>235</v>
      </c>
      <c r="D4" s="283"/>
      <c r="E4" s="283"/>
      <c r="F4" s="283"/>
      <c r="G4" s="283"/>
      <c r="H4" s="283"/>
      <c r="I4" s="306"/>
    </row>
    <row r="5" spans="2:11" x14ac:dyDescent="0.45">
      <c r="B5" s="13"/>
      <c r="C5" s="5"/>
      <c r="D5" s="5"/>
      <c r="E5" s="221"/>
      <c r="F5" s="221"/>
      <c r="G5" s="5"/>
      <c r="H5" s="5"/>
      <c r="I5" s="14"/>
    </row>
    <row r="6" spans="2:11" ht="6" customHeight="1" x14ac:dyDescent="0.45">
      <c r="B6" s="11"/>
      <c r="C6" s="6"/>
      <c r="D6" s="12"/>
      <c r="E6" s="222"/>
      <c r="F6" s="33"/>
      <c r="G6" s="33"/>
      <c r="H6" s="33"/>
      <c r="I6" s="34"/>
      <c r="J6" s="32"/>
      <c r="K6" s="32"/>
    </row>
    <row r="7" spans="2:11" ht="16.5" x14ac:dyDescent="0.75">
      <c r="B7" s="11"/>
      <c r="C7" s="16" t="s">
        <v>13</v>
      </c>
      <c r="D7" s="31" t="s">
        <v>61</v>
      </c>
      <c r="E7" s="223" t="s">
        <v>23</v>
      </c>
      <c r="F7" s="225" t="s">
        <v>10</v>
      </c>
      <c r="G7" s="16"/>
      <c r="H7" s="16"/>
      <c r="I7" s="31"/>
    </row>
    <row r="8" spans="2:11" ht="16.5" x14ac:dyDescent="0.75">
      <c r="B8" s="11"/>
      <c r="C8" s="16" t="s">
        <v>69</v>
      </c>
      <c r="D8" s="31" t="s">
        <v>65</v>
      </c>
      <c r="E8" s="223" t="s">
        <v>63</v>
      </c>
      <c r="F8" s="225" t="s">
        <v>63</v>
      </c>
      <c r="G8" s="16" t="s">
        <v>24</v>
      </c>
      <c r="H8" s="16" t="s">
        <v>64</v>
      </c>
      <c r="I8" s="31"/>
    </row>
    <row r="9" spans="2:11" x14ac:dyDescent="0.45">
      <c r="B9" s="11"/>
      <c r="C9" s="17">
        <v>0</v>
      </c>
      <c r="D9" s="35" t="s">
        <v>66</v>
      </c>
      <c r="E9" s="224">
        <f>ROUND(Rates!$D$10,2)</f>
        <v>20.76</v>
      </c>
      <c r="F9" s="154">
        <f>ROUND(Rates!$F$10,2)+Rates!H41</f>
        <v>24.18</v>
      </c>
      <c r="G9" s="46">
        <f>F9-E9</f>
        <v>3.4199999999999982</v>
      </c>
      <c r="H9" s="70">
        <f>G9/E9</f>
        <v>0.16473988439306347</v>
      </c>
      <c r="I9" s="38"/>
    </row>
    <row r="10" spans="2:11" x14ac:dyDescent="0.45">
      <c r="B10" s="11"/>
      <c r="C10" s="6">
        <v>2000</v>
      </c>
      <c r="D10" s="35" t="s">
        <v>66</v>
      </c>
      <c r="E10" s="224">
        <f>ROUND(Rates!$D$10,2)</f>
        <v>20.76</v>
      </c>
      <c r="F10" s="224">
        <f>ROUND(Rates!$F$10,2)+Rates!F41</f>
        <v>24.18</v>
      </c>
      <c r="G10" s="17">
        <f t="shared" ref="G10:G24" si="0">F10-E10</f>
        <v>3.4199999999999982</v>
      </c>
      <c r="H10" s="70">
        <f t="shared" ref="H10:H24" si="1">G10/E10</f>
        <v>0.16473988439306347</v>
      </c>
      <c r="I10" s="38"/>
    </row>
    <row r="11" spans="2:11" x14ac:dyDescent="0.45">
      <c r="B11" s="11"/>
      <c r="C11" s="39">
        <v>4000</v>
      </c>
      <c r="D11" s="40" t="s">
        <v>66</v>
      </c>
      <c r="E11" s="226">
        <f>ROUND(Rates!$D$10+2000*Rates!$D$11,2)</f>
        <v>36.14</v>
      </c>
      <c r="F11" s="226">
        <f>ROUND(Rates!$F$10+2000*Rates!$F$11,2)+Rates!F41</f>
        <v>41.129999999999995</v>
      </c>
      <c r="G11" s="41">
        <f t="shared" si="0"/>
        <v>4.9899999999999949</v>
      </c>
      <c r="H11" s="71">
        <f t="shared" si="1"/>
        <v>0.13807415605976742</v>
      </c>
      <c r="I11" s="42"/>
    </row>
    <row r="12" spans="2:11" x14ac:dyDescent="0.45">
      <c r="B12" s="11"/>
      <c r="C12" s="6">
        <v>6000</v>
      </c>
      <c r="D12" s="35" t="s">
        <v>66</v>
      </c>
      <c r="E12" s="224">
        <f>ROUND(Rates!$D$10+4000*Rates!$D$11,2)</f>
        <v>51.52</v>
      </c>
      <c r="F12" s="224">
        <f>ROUND(Rates!$F$10+4000*Rates!$F$11,2)+Rates!F41</f>
        <v>58.08</v>
      </c>
      <c r="G12" s="17">
        <f t="shared" si="0"/>
        <v>6.5599999999999952</v>
      </c>
      <c r="H12" s="70">
        <f t="shared" si="1"/>
        <v>0.12732919254658376</v>
      </c>
      <c r="I12" s="38"/>
    </row>
    <row r="13" spans="2:11" x14ac:dyDescent="0.45">
      <c r="B13" s="11"/>
      <c r="C13" s="6">
        <v>8000</v>
      </c>
      <c r="D13" s="35" t="s">
        <v>66</v>
      </c>
      <c r="E13" s="224">
        <f>ROUND(Rates!$D$10+6000*Rates!$D$11,2)</f>
        <v>66.900000000000006</v>
      </c>
      <c r="F13" s="224">
        <f>ROUND(Rates!$F$10+6000*Rates!$F$11,2)+Rates!F41</f>
        <v>75.02</v>
      </c>
      <c r="G13" s="17">
        <f t="shared" si="0"/>
        <v>8.1199999999999903</v>
      </c>
      <c r="H13" s="70">
        <f t="shared" si="1"/>
        <v>0.12137518684603871</v>
      </c>
      <c r="I13" s="38"/>
    </row>
    <row r="14" spans="2:11" x14ac:dyDescent="0.45">
      <c r="B14" s="11"/>
      <c r="C14" s="6">
        <v>10000</v>
      </c>
      <c r="D14" s="35" t="s">
        <v>66</v>
      </c>
      <c r="E14" s="224">
        <f>ROUND(Rates!$D$10+8000*Rates!$D$11,2)</f>
        <v>82.28</v>
      </c>
      <c r="F14" s="224">
        <f>ROUND(Rates!$F$10+8000*Rates!$F$11,2)+Rates!F41</f>
        <v>91.97</v>
      </c>
      <c r="G14" s="17">
        <f t="shared" si="0"/>
        <v>9.6899999999999977</v>
      </c>
      <c r="H14" s="70">
        <f t="shared" si="1"/>
        <v>0.11776859504132228</v>
      </c>
      <c r="I14" s="38"/>
    </row>
    <row r="15" spans="2:11" x14ac:dyDescent="0.45">
      <c r="B15" s="11"/>
      <c r="C15" s="6">
        <v>15000</v>
      </c>
      <c r="D15" s="35" t="s">
        <v>66</v>
      </c>
      <c r="E15" s="224">
        <f>ROUND(Rates!$D$10+8000*Rates!$D$11+5000*Rates!$D$12,2)</f>
        <v>118.08</v>
      </c>
      <c r="F15" s="224">
        <f>ROUND(Rates!$F$10+8000*Rates!$F$11+5000*Rates!$F$12,2)+Rates!F41</f>
        <v>131.42000000000002</v>
      </c>
      <c r="G15" s="17">
        <f t="shared" si="0"/>
        <v>13.340000000000018</v>
      </c>
      <c r="H15" s="70">
        <f t="shared" si="1"/>
        <v>0.11297425474254758</v>
      </c>
      <c r="I15" s="38"/>
    </row>
    <row r="16" spans="2:11" x14ac:dyDescent="0.45">
      <c r="B16" s="11"/>
      <c r="C16" s="6">
        <v>20000</v>
      </c>
      <c r="D16" s="35" t="s">
        <v>66</v>
      </c>
      <c r="E16" s="224">
        <f>ROUND(Rates!$D$10+8000*Rates!$D$11+10000*Rates!$D$12,2)</f>
        <v>153.88</v>
      </c>
      <c r="F16" s="224">
        <f>ROUND(Rates!$F$10+8000*Rates!$F$11+10000*Rates!$F$12,2)+Rates!F41</f>
        <v>170.87</v>
      </c>
      <c r="G16" s="17">
        <f t="shared" si="0"/>
        <v>16.990000000000009</v>
      </c>
      <c r="H16" s="70">
        <f t="shared" si="1"/>
        <v>0.1104107096438784</v>
      </c>
      <c r="I16" s="38"/>
    </row>
    <row r="17" spans="2:15" x14ac:dyDescent="0.45">
      <c r="B17" s="11"/>
      <c r="C17" s="6">
        <v>25000</v>
      </c>
      <c r="D17" s="36" t="s">
        <v>25</v>
      </c>
      <c r="E17" s="224">
        <f>ROUND(Rates!$D$16+5000*Rates!$D$17+15000*Rates!$D$18,2)</f>
        <v>189.68</v>
      </c>
      <c r="F17" s="224">
        <f>ROUND(Rates!$F$16+5000*Rates!$F$17+15000*Rates!$F$18,2)+Rates!F41</f>
        <v>210.32000000000002</v>
      </c>
      <c r="G17" s="17">
        <f t="shared" si="0"/>
        <v>20.640000000000015</v>
      </c>
      <c r="H17" s="70">
        <f t="shared" si="1"/>
        <v>0.10881484605651631</v>
      </c>
      <c r="I17" s="38"/>
    </row>
    <row r="18" spans="2:15" x14ac:dyDescent="0.45">
      <c r="B18" s="11"/>
      <c r="C18" s="6">
        <v>30000</v>
      </c>
      <c r="D18" s="36" t="s">
        <v>25</v>
      </c>
      <c r="E18" s="224">
        <f>ROUND(Rates!$D$16+5000*Rates!$D$17+20000*Rates!$D$18,2)</f>
        <v>225.48</v>
      </c>
      <c r="F18" s="224">
        <f>ROUND(Rates!$F$16+5000*Rates!$F$17+20000*Rates!$F$18,2)+Rates!F41</f>
        <v>249.77</v>
      </c>
      <c r="G18" s="17">
        <f t="shared" si="0"/>
        <v>24.29000000000002</v>
      </c>
      <c r="H18" s="70">
        <f t="shared" si="1"/>
        <v>0.10772574064218565</v>
      </c>
      <c r="I18" s="38"/>
      <c r="O18" s="6"/>
    </row>
    <row r="19" spans="2:15" x14ac:dyDescent="0.45">
      <c r="B19" s="11"/>
      <c r="C19" s="6">
        <v>40000</v>
      </c>
      <c r="D19" s="36" t="s">
        <v>26</v>
      </c>
      <c r="E19" s="224">
        <f>ROUND(Rates!$D$22+14000*Rates!$D$23+10000*Rates!$D$24,2)</f>
        <v>291.77999999999997</v>
      </c>
      <c r="F19" s="224">
        <f>ROUND(Rates!$F$22+14000*Rates!$F$23+10000*Rates!$F$24,2)+Rates!F41</f>
        <v>322.83</v>
      </c>
      <c r="G19" s="17">
        <f t="shared" si="0"/>
        <v>31.050000000000011</v>
      </c>
      <c r="H19" s="70">
        <f t="shared" si="1"/>
        <v>0.10641579272054293</v>
      </c>
      <c r="I19" s="38"/>
    </row>
    <row r="20" spans="2:15" x14ac:dyDescent="0.45">
      <c r="B20" s="11"/>
      <c r="C20" s="6">
        <v>50000</v>
      </c>
      <c r="D20" s="36" t="s">
        <v>26</v>
      </c>
      <c r="E20" s="224">
        <f>ROUND(Rates!$D$22+14000*Rates!$D$23+20000*Rates!$D$24,2)</f>
        <v>358.08</v>
      </c>
      <c r="F20" s="224">
        <f>ROUND(Rates!$F$22+14000*Rates!$F$23+20000*Rates!$F$24,2)+Rates!F41</f>
        <v>395.89</v>
      </c>
      <c r="G20" s="17">
        <f t="shared" si="0"/>
        <v>37.81</v>
      </c>
      <c r="H20" s="70">
        <f t="shared" si="1"/>
        <v>0.10559092940125113</v>
      </c>
      <c r="I20" s="38"/>
    </row>
    <row r="21" spans="2:15" x14ac:dyDescent="0.45">
      <c r="B21" s="11"/>
      <c r="C21" s="6">
        <v>75000</v>
      </c>
      <c r="D21" s="36" t="s">
        <v>26</v>
      </c>
      <c r="E21" s="224">
        <f>ROUND(Rates!$D$22+14000*Rates!$D$23+45000*Rates!$D$24,2)</f>
        <v>523.83000000000004</v>
      </c>
      <c r="F21" s="224">
        <f>ROUND(Rates!$F$22+14000*Rates!$F$23+45000*Rates!$F$24,2)+Rates!F41</f>
        <v>578.54</v>
      </c>
      <c r="G21" s="17">
        <f t="shared" si="0"/>
        <v>54.709999999999923</v>
      </c>
      <c r="H21" s="70">
        <f t="shared" si="1"/>
        <v>0.10444228089265586</v>
      </c>
      <c r="I21" s="38"/>
    </row>
    <row r="22" spans="2:15" x14ac:dyDescent="0.45">
      <c r="B22" s="11"/>
      <c r="C22" s="6">
        <v>100000</v>
      </c>
      <c r="D22" s="36" t="s">
        <v>249</v>
      </c>
      <c r="E22" s="224">
        <f>ROUND(Rates!$D$27+70000*Rates!$D$28,2)</f>
        <v>689.58</v>
      </c>
      <c r="F22" s="224">
        <f>ROUND(Rates!$F$27+70000*Rates!$F$28,2)+Rates!F41</f>
        <v>761.18999999999994</v>
      </c>
      <c r="G22" s="17">
        <f t="shared" si="0"/>
        <v>71.6099999999999</v>
      </c>
      <c r="H22" s="70">
        <f t="shared" si="1"/>
        <v>0.10384581919429203</v>
      </c>
      <c r="I22" s="38"/>
    </row>
    <row r="23" spans="2:15" x14ac:dyDescent="0.45">
      <c r="B23" s="11"/>
      <c r="C23" s="6">
        <v>200000</v>
      </c>
      <c r="D23" s="36" t="s">
        <v>250</v>
      </c>
      <c r="E23" s="224">
        <f>ROUND(Rates!$D$31+150000*Rates!$D$32,2)</f>
        <v>1352.58</v>
      </c>
      <c r="F23" s="224">
        <f>ROUND(Rates!$F$31+150000*Rates!$F$32,2)+Rates!F41</f>
        <v>1491.79</v>
      </c>
      <c r="G23" s="17">
        <f t="shared" si="0"/>
        <v>139.21000000000004</v>
      </c>
      <c r="H23" s="70">
        <f t="shared" si="1"/>
        <v>0.10292182347809375</v>
      </c>
      <c r="I23" s="38"/>
    </row>
    <row r="24" spans="2:15" x14ac:dyDescent="0.45">
      <c r="B24" s="11"/>
      <c r="C24" s="6">
        <v>500000</v>
      </c>
      <c r="D24" s="36" t="s">
        <v>251</v>
      </c>
      <c r="E24" s="224">
        <f>ROUND(Rates!$D$35+400000*Rates!$D$32,2)</f>
        <v>3341.58</v>
      </c>
      <c r="F24" s="224">
        <f>ROUND(Rates!$F$35+400000*Rates!$F$32,2)+Rates!F41</f>
        <v>3683.59</v>
      </c>
      <c r="G24" s="17">
        <f t="shared" si="0"/>
        <v>342.01000000000022</v>
      </c>
      <c r="H24" s="70">
        <f t="shared" si="1"/>
        <v>0.10234978662788269</v>
      </c>
      <c r="I24" s="38"/>
    </row>
    <row r="25" spans="2:15" ht="6" customHeight="1" x14ac:dyDescent="0.45">
      <c r="B25" s="13"/>
      <c r="C25" s="5"/>
      <c r="D25" s="4"/>
      <c r="E25" s="196"/>
      <c r="F25" s="218"/>
      <c r="G25" s="37"/>
      <c r="H25" s="5"/>
      <c r="I25" s="14"/>
    </row>
    <row r="27" spans="2:15" x14ac:dyDescent="0.45">
      <c r="D27" s="47" t="s">
        <v>70</v>
      </c>
    </row>
  </sheetData>
  <mergeCells count="3">
    <mergeCell ref="C2:I2"/>
    <mergeCell ref="C3:I3"/>
    <mergeCell ref="C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tabColor rgb="FF92D050"/>
    <pageSetUpPr fitToPage="1"/>
  </sheetPr>
  <dimension ref="A1:N192"/>
  <sheetViews>
    <sheetView workbookViewId="0">
      <selection activeCell="G4" sqref="G4"/>
    </sheetView>
  </sheetViews>
  <sheetFormatPr defaultRowHeight="14.25" x14ac:dyDescent="0.4"/>
  <cols>
    <col min="1" max="2" width="8.88671875" style="143"/>
    <col min="3" max="3" width="9.27734375" style="143" bestFit="1" customWidth="1"/>
    <col min="4" max="4" width="7.609375" style="143" bestFit="1" customWidth="1"/>
    <col min="5" max="5" width="20.44140625" style="143" bestFit="1" customWidth="1"/>
    <col min="6" max="9" width="11.38671875" style="143" bestFit="1" customWidth="1"/>
    <col min="10" max="11" width="11.38671875" style="143" customWidth="1"/>
    <col min="12" max="12" width="10.44140625" style="143" bestFit="1" customWidth="1"/>
    <col min="13" max="13" width="11.38671875" style="143" bestFit="1" customWidth="1"/>
    <col min="14" max="16384" width="8.88671875" style="143"/>
  </cols>
  <sheetData>
    <row r="1" spans="1:14" x14ac:dyDescent="0.45">
      <c r="A1" s="1"/>
      <c r="B1" s="1"/>
      <c r="C1" s="1"/>
      <c r="D1" s="244">
        <v>2021</v>
      </c>
      <c r="E1" s="244" t="s">
        <v>192</v>
      </c>
      <c r="F1" s="311" t="s">
        <v>234</v>
      </c>
      <c r="G1" s="311"/>
      <c r="H1" s="311"/>
      <c r="I1" s="1"/>
      <c r="J1" s="1"/>
      <c r="K1" s="1"/>
      <c r="L1" s="1"/>
      <c r="M1" s="1"/>
    </row>
    <row r="2" spans="1:14" x14ac:dyDescent="0.45">
      <c r="A2" s="1"/>
      <c r="B2" s="1"/>
      <c r="C2" s="1"/>
      <c r="F2" s="198"/>
      <c r="G2" s="198"/>
      <c r="H2" s="55"/>
      <c r="I2" s="1"/>
      <c r="J2" s="1"/>
      <c r="K2" s="1"/>
      <c r="L2" s="1"/>
      <c r="M2" s="1"/>
    </row>
    <row r="3" spans="1:14" x14ac:dyDescent="0.45">
      <c r="A3" s="1"/>
      <c r="B3" s="1"/>
      <c r="C3" s="1"/>
      <c r="D3" s="309" t="s">
        <v>193</v>
      </c>
      <c r="E3" s="309"/>
      <c r="F3" s="197" t="s">
        <v>194</v>
      </c>
      <c r="G3" s="197" t="s">
        <v>195</v>
      </c>
      <c r="H3" s="200" t="s">
        <v>196</v>
      </c>
      <c r="I3" s="1"/>
      <c r="J3" s="1"/>
      <c r="K3" s="1"/>
      <c r="L3" s="1"/>
      <c r="M3" s="1"/>
    </row>
    <row r="4" spans="1:14" x14ac:dyDescent="0.45">
      <c r="A4" s="1"/>
      <c r="B4" s="1"/>
      <c r="C4" s="1"/>
      <c r="D4" s="312" t="s">
        <v>197</v>
      </c>
      <c r="E4" s="312"/>
      <c r="F4" s="199">
        <f>D19+D37+D55+D73+D91+D109+D126+D142+D157+D171+D185</f>
        <v>76009</v>
      </c>
      <c r="G4" s="199">
        <f>E19+E37+E55+E73+E91+E109+E126+E142+E157+E171+E185</f>
        <v>334729760</v>
      </c>
      <c r="H4" s="203">
        <f>G28+G46+G64+G82+G100+G118+G134+G150+G164+G178+G192</f>
        <v>3157692.7865399998</v>
      </c>
      <c r="I4" s="1"/>
      <c r="J4" s="1"/>
      <c r="K4" s="1"/>
      <c r="L4" s="1"/>
      <c r="M4" s="1"/>
    </row>
    <row r="5" spans="1:14" x14ac:dyDescent="0.45">
      <c r="A5" s="1"/>
      <c r="B5" s="1"/>
      <c r="C5" s="1"/>
      <c r="D5" s="309" t="s">
        <v>220</v>
      </c>
      <c r="E5" s="309"/>
      <c r="F5" s="198"/>
      <c r="G5" s="198"/>
      <c r="H5" s="210">
        <v>-6164.55</v>
      </c>
      <c r="I5" s="1"/>
      <c r="J5" s="1"/>
      <c r="K5" s="1"/>
      <c r="L5" s="1"/>
      <c r="M5" s="1"/>
    </row>
    <row r="6" spans="1:14" x14ac:dyDescent="0.45">
      <c r="A6" s="1"/>
      <c r="B6" s="1"/>
      <c r="C6" s="1"/>
      <c r="D6" s="309" t="s">
        <v>208</v>
      </c>
      <c r="E6" s="309"/>
      <c r="F6" s="198"/>
      <c r="G6" s="198"/>
      <c r="H6" s="204">
        <f>H4+H5</f>
        <v>3151528.23654</v>
      </c>
      <c r="I6" s="1"/>
      <c r="J6" s="1"/>
      <c r="K6" s="1"/>
      <c r="L6" s="1"/>
      <c r="M6" s="1"/>
    </row>
    <row r="7" spans="1:14" x14ac:dyDescent="0.45">
      <c r="A7" s="1"/>
      <c r="B7" s="1"/>
      <c r="C7" s="1"/>
      <c r="D7" s="309" t="s">
        <v>209</v>
      </c>
      <c r="E7" s="309"/>
      <c r="F7" s="198"/>
      <c r="G7" s="198"/>
      <c r="H7" s="210">
        <f>SAO!D6</f>
        <v>3163386</v>
      </c>
      <c r="I7" s="1"/>
      <c r="J7" s="1"/>
      <c r="K7" s="1"/>
      <c r="L7" s="1"/>
      <c r="M7" s="1"/>
    </row>
    <row r="8" spans="1:14" x14ac:dyDescent="0.45">
      <c r="A8" s="1"/>
      <c r="B8" s="1"/>
      <c r="C8" s="1"/>
      <c r="D8" s="309" t="s">
        <v>62</v>
      </c>
      <c r="E8" s="309"/>
      <c r="F8" s="198"/>
      <c r="G8" s="198"/>
      <c r="H8" s="204">
        <f>H6-H7</f>
        <v>-11857.763460000046</v>
      </c>
      <c r="I8" s="1" t="s">
        <v>210</v>
      </c>
      <c r="J8" s="1"/>
      <c r="K8" s="1"/>
      <c r="L8" s="243">
        <f>H8/H7</f>
        <v>-3.7484402662210825E-3</v>
      </c>
      <c r="M8" s="1"/>
      <c r="N8" s="209">
        <f>H8/H7</f>
        <v>-3.7484402662210825E-3</v>
      </c>
    </row>
    <row r="9" spans="1:14" x14ac:dyDescent="0.45">
      <c r="A9" s="1"/>
      <c r="B9" s="1"/>
      <c r="C9" s="1"/>
      <c r="D9" s="309"/>
      <c r="E9" s="309"/>
      <c r="F9" s="198"/>
      <c r="G9" s="198"/>
      <c r="H9" s="75"/>
      <c r="I9" s="1"/>
      <c r="J9" s="1"/>
      <c r="K9" s="1"/>
      <c r="L9" s="1"/>
      <c r="M9" s="1"/>
      <c r="N9" s="208"/>
    </row>
    <row r="10" spans="1:14" x14ac:dyDescent="0.45">
      <c r="A10" s="1"/>
      <c r="B10" s="1"/>
      <c r="C10" s="1"/>
      <c r="D10" s="310"/>
      <c r="E10" s="310"/>
      <c r="F10" s="1"/>
      <c r="G10" s="1"/>
      <c r="H10" s="7"/>
      <c r="I10" s="1"/>
      <c r="J10" s="1"/>
      <c r="K10" s="1"/>
      <c r="L10" s="1"/>
      <c r="M10" s="1"/>
    </row>
    <row r="11" spans="1:14" x14ac:dyDescent="0.45">
      <c r="A11" s="1"/>
      <c r="B11" s="1"/>
      <c r="C11" s="1"/>
      <c r="D11" s="1"/>
      <c r="E11" s="1"/>
      <c r="F11" s="1"/>
      <c r="G11" s="1"/>
      <c r="H11" s="7"/>
      <c r="I11" s="1"/>
      <c r="J11" s="1"/>
      <c r="K11" s="1"/>
      <c r="L11" s="1"/>
      <c r="M11" s="1"/>
    </row>
    <row r="12" spans="1:14" x14ac:dyDescent="0.45">
      <c r="A12" s="1" t="s">
        <v>266</v>
      </c>
      <c r="B12" s="1"/>
      <c r="C12" s="1" t="s">
        <v>265</v>
      </c>
      <c r="D12" s="1"/>
      <c r="E12" s="1"/>
      <c r="F12" s="1"/>
      <c r="G12" s="1"/>
      <c r="H12" s="7"/>
      <c r="I12" s="1"/>
      <c r="J12" s="1"/>
      <c r="K12" s="1"/>
      <c r="L12" s="1"/>
      <c r="M12" s="1"/>
    </row>
    <row r="13" spans="1:14" x14ac:dyDescent="0.45">
      <c r="A13" s="1" t="s">
        <v>302</v>
      </c>
      <c r="B13" s="198"/>
      <c r="C13" s="198"/>
      <c r="D13" s="198"/>
      <c r="E13" s="198"/>
      <c r="F13" s="238" t="str">
        <f>B15</f>
        <v>First</v>
      </c>
      <c r="G13" s="238" t="str">
        <f>B16</f>
        <v>Next</v>
      </c>
      <c r="H13" s="241" t="str">
        <f>B17</f>
        <v>Next</v>
      </c>
      <c r="I13" s="238" t="str">
        <f>B18</f>
        <v>Over</v>
      </c>
      <c r="J13" s="238" t="s">
        <v>12</v>
      </c>
    </row>
    <row r="14" spans="1:14" x14ac:dyDescent="0.45">
      <c r="A14" s="1"/>
      <c r="B14" s="198"/>
      <c r="C14" s="197" t="s">
        <v>201</v>
      </c>
      <c r="D14" s="197" t="s">
        <v>202</v>
      </c>
      <c r="E14" s="197" t="s">
        <v>13</v>
      </c>
      <c r="F14" s="240">
        <f>C15</f>
        <v>2000</v>
      </c>
      <c r="G14" s="240">
        <f>C16</f>
        <v>8000</v>
      </c>
      <c r="H14" s="240">
        <f>C17</f>
        <v>20000</v>
      </c>
      <c r="I14" s="239">
        <f>C18</f>
        <v>30000</v>
      </c>
      <c r="J14" s="197"/>
    </row>
    <row r="15" spans="1:14" x14ac:dyDescent="0.45">
      <c r="A15" s="1"/>
      <c r="B15" s="198" t="s">
        <v>198</v>
      </c>
      <c r="C15" s="75">
        <v>2000</v>
      </c>
      <c r="D15" s="199">
        <f>17161+659+666+71+162</f>
        <v>18719</v>
      </c>
      <c r="E15" s="199">
        <f>18200941+292091+637562+27388+90345</f>
        <v>19248327</v>
      </c>
      <c r="F15" s="199">
        <f>E15</f>
        <v>19248327</v>
      </c>
      <c r="G15" s="199">
        <v>0</v>
      </c>
      <c r="H15" s="55">
        <v>0</v>
      </c>
      <c r="I15" s="199">
        <v>0</v>
      </c>
      <c r="J15" s="199">
        <f>SUM(F15:I15)</f>
        <v>19248327</v>
      </c>
    </row>
    <row r="16" spans="1:14" x14ac:dyDescent="0.45">
      <c r="A16" s="1"/>
      <c r="B16" s="198" t="s">
        <v>199</v>
      </c>
      <c r="C16" s="75">
        <v>8000</v>
      </c>
      <c r="D16" s="199">
        <f>47326+483+1551+18+61</f>
        <v>49439</v>
      </c>
      <c r="E16" s="199">
        <f>206641720+2170494+6920077+120602+291641</f>
        <v>216144534</v>
      </c>
      <c r="F16" s="199">
        <f t="shared" ref="F16:F18" si="0">D16*$C$15</f>
        <v>98878000</v>
      </c>
      <c r="G16" s="199">
        <f>E16-F16</f>
        <v>117266534</v>
      </c>
      <c r="H16" s="55">
        <v>0</v>
      </c>
      <c r="I16" s="199">
        <v>0</v>
      </c>
      <c r="J16" s="199">
        <f>SUM(F16:I16)</f>
        <v>216144534</v>
      </c>
    </row>
    <row r="17" spans="1:13" x14ac:dyDescent="0.45">
      <c r="A17" s="1"/>
      <c r="B17" s="198" t="s">
        <v>199</v>
      </c>
      <c r="C17" s="75">
        <v>20000</v>
      </c>
      <c r="D17" s="199">
        <f>2910+90+125+7+5</f>
        <v>3137</v>
      </c>
      <c r="E17" s="199">
        <f>42140178+1426971+1964330+81306+72352</f>
        <v>45685137</v>
      </c>
      <c r="F17" s="199">
        <f t="shared" si="0"/>
        <v>6274000</v>
      </c>
      <c r="G17" s="199">
        <f>D17*$C$16</f>
        <v>25096000</v>
      </c>
      <c r="H17" s="55">
        <f>E17-F17-G17</f>
        <v>14315137</v>
      </c>
      <c r="I17" s="199">
        <v>0</v>
      </c>
      <c r="J17" s="199">
        <f>SUM(F17:I17)</f>
        <v>45685137</v>
      </c>
    </row>
    <row r="18" spans="1:13" x14ac:dyDescent="0.45">
      <c r="A18" s="1"/>
      <c r="B18" s="198" t="s">
        <v>200</v>
      </c>
      <c r="C18" s="200">
        <v>30000</v>
      </c>
      <c r="D18" s="205">
        <f>222+26+15+0+3</f>
        <v>266</v>
      </c>
      <c r="E18" s="205">
        <f>10886755+1521674+785929+0+172498</f>
        <v>13366856</v>
      </c>
      <c r="F18" s="205">
        <f t="shared" si="0"/>
        <v>532000</v>
      </c>
      <c r="G18" s="205">
        <f>D18*$C$16</f>
        <v>2128000</v>
      </c>
      <c r="H18" s="200">
        <f>D18*$C$17</f>
        <v>5320000</v>
      </c>
      <c r="I18" s="205">
        <f>E18-F18-G18-H18</f>
        <v>5386856</v>
      </c>
      <c r="J18" s="205">
        <f>SUM(F18:I18)</f>
        <v>13366856</v>
      </c>
    </row>
    <row r="19" spans="1:13" x14ac:dyDescent="0.45">
      <c r="A19" s="1"/>
      <c r="B19" s="198"/>
      <c r="C19" s="1" t="s">
        <v>67</v>
      </c>
      <c r="D19" s="2">
        <f t="shared" ref="D19:J19" si="1">SUM(D15:D18)</f>
        <v>71561</v>
      </c>
      <c r="E19" s="2">
        <f t="shared" si="1"/>
        <v>294444854</v>
      </c>
      <c r="F19" s="2">
        <f t="shared" si="1"/>
        <v>124932327</v>
      </c>
      <c r="G19" s="2">
        <f t="shared" si="1"/>
        <v>144490534</v>
      </c>
      <c r="H19" s="7">
        <f t="shared" si="1"/>
        <v>19635137</v>
      </c>
      <c r="I19" s="2">
        <f t="shared" si="1"/>
        <v>5386856</v>
      </c>
      <c r="J19" s="2">
        <f t="shared" si="1"/>
        <v>294444854</v>
      </c>
    </row>
    <row r="20" spans="1:13" x14ac:dyDescent="0.45">
      <c r="A20" s="1"/>
      <c r="B20" s="1"/>
      <c r="C20" s="1"/>
      <c r="D20" s="1"/>
      <c r="E20" s="1"/>
      <c r="F20" s="1"/>
      <c r="G20" s="1"/>
      <c r="H20" s="7"/>
      <c r="I20" s="1"/>
      <c r="J20" s="1"/>
      <c r="K20" s="1"/>
      <c r="L20" s="1"/>
      <c r="M20" s="1"/>
    </row>
    <row r="21" spans="1:13" x14ac:dyDescent="0.45">
      <c r="A21" s="1"/>
      <c r="B21" s="1"/>
      <c r="C21" s="1" t="s">
        <v>203</v>
      </c>
      <c r="D21" s="1"/>
      <c r="E21" s="1"/>
      <c r="F21" s="1"/>
      <c r="G21" s="1"/>
      <c r="H21" s="7"/>
      <c r="I21" s="1"/>
      <c r="J21" s="1"/>
      <c r="K21" s="1"/>
      <c r="L21" s="1"/>
      <c r="M21" s="1"/>
    </row>
    <row r="22" spans="1:13" x14ac:dyDescent="0.45">
      <c r="A22" s="1"/>
      <c r="B22" s="1"/>
      <c r="C22" s="1"/>
      <c r="D22" s="1"/>
      <c r="E22" s="1"/>
      <c r="F22" s="1"/>
      <c r="G22" s="1"/>
      <c r="H22" s="7"/>
      <c r="I22" s="1"/>
      <c r="J22" s="1"/>
      <c r="K22" s="1"/>
      <c r="L22" s="1"/>
      <c r="M22" s="1"/>
    </row>
    <row r="23" spans="1:13" x14ac:dyDescent="0.45">
      <c r="A23" s="1"/>
      <c r="B23" s="1"/>
      <c r="C23" s="237" t="s">
        <v>201</v>
      </c>
      <c r="D23" s="237" t="s">
        <v>202</v>
      </c>
      <c r="E23" s="237" t="s">
        <v>13</v>
      </c>
      <c r="F23" s="237" t="s">
        <v>204</v>
      </c>
      <c r="G23" s="237" t="s">
        <v>196</v>
      </c>
      <c r="H23" s="7"/>
      <c r="I23" s="1"/>
      <c r="J23" s="1"/>
      <c r="K23" s="1"/>
      <c r="L23" s="1"/>
      <c r="M23" s="1"/>
    </row>
    <row r="24" spans="1:13" x14ac:dyDescent="0.45">
      <c r="A24" s="1"/>
      <c r="B24" s="198" t="s">
        <v>198</v>
      </c>
      <c r="C24" s="75">
        <f>C15</f>
        <v>2000</v>
      </c>
      <c r="D24" s="2">
        <f>D19</f>
        <v>71561</v>
      </c>
      <c r="E24" s="2">
        <f>F19</f>
        <v>124932327</v>
      </c>
      <c r="F24" s="274">
        <f>Rates!D10</f>
        <v>20.76</v>
      </c>
      <c r="G24" s="202">
        <f>F24*D24</f>
        <v>1485606.36</v>
      </c>
      <c r="H24" s="7"/>
      <c r="I24" s="1"/>
      <c r="J24" s="1"/>
      <c r="K24" s="1"/>
      <c r="L24" s="1"/>
      <c r="M24" s="1"/>
    </row>
    <row r="25" spans="1:13" x14ac:dyDescent="0.45">
      <c r="A25" s="1"/>
      <c r="B25" s="198" t="s">
        <v>199</v>
      </c>
      <c r="C25" s="75">
        <f>C16</f>
        <v>8000</v>
      </c>
      <c r="D25" s="1"/>
      <c r="E25" s="2">
        <f>G19</f>
        <v>144490534</v>
      </c>
      <c r="F25" s="273">
        <f>Rates!D11</f>
        <v>7.6899999999999998E-3</v>
      </c>
      <c r="G25" s="202">
        <f>E25*F25</f>
        <v>1111132.20646</v>
      </c>
      <c r="H25" s="7"/>
      <c r="I25" s="1"/>
      <c r="J25" s="1"/>
      <c r="K25" s="1"/>
      <c r="L25" s="1"/>
      <c r="M25" s="1"/>
    </row>
    <row r="26" spans="1:13" x14ac:dyDescent="0.45">
      <c r="A26" s="1"/>
      <c r="B26" s="198" t="s">
        <v>199</v>
      </c>
      <c r="C26" s="75">
        <f>C17</f>
        <v>20000</v>
      </c>
      <c r="D26" s="1"/>
      <c r="E26" s="2">
        <f>H19</f>
        <v>19635137</v>
      </c>
      <c r="F26" s="273">
        <f>Rates!D12</f>
        <v>7.1599999999999997E-3</v>
      </c>
      <c r="G26" s="202">
        <f>E26*F26</f>
        <v>140587.58092000001</v>
      </c>
      <c r="H26" s="7"/>
      <c r="I26" s="1"/>
      <c r="J26" s="1"/>
      <c r="K26" s="1"/>
      <c r="L26" s="1"/>
      <c r="M26" s="1"/>
    </row>
    <row r="27" spans="1:13" x14ac:dyDescent="0.45">
      <c r="A27" s="1"/>
      <c r="B27" s="198" t="s">
        <v>200</v>
      </c>
      <c r="C27" s="200">
        <f>C18</f>
        <v>30000</v>
      </c>
      <c r="D27" s="201"/>
      <c r="E27" s="28">
        <f>I19</f>
        <v>5386856</v>
      </c>
      <c r="F27" s="273">
        <f>Rates!D13</f>
        <v>6.6299999999999996E-3</v>
      </c>
      <c r="G27" s="242">
        <f>E27*F27</f>
        <v>35714.855279999996</v>
      </c>
      <c r="H27" s="7"/>
      <c r="I27" s="1"/>
      <c r="J27" s="1"/>
      <c r="K27" s="1"/>
      <c r="L27" s="1"/>
      <c r="M27" s="1"/>
    </row>
    <row r="28" spans="1:13" x14ac:dyDescent="0.45">
      <c r="A28" s="1"/>
      <c r="B28" s="1"/>
      <c r="C28" s="1" t="s">
        <v>48</v>
      </c>
      <c r="D28" s="2">
        <f>SUM(D24:D27)</f>
        <v>71561</v>
      </c>
      <c r="E28" s="2">
        <f>SUM(E24:E27)</f>
        <v>294444854</v>
      </c>
      <c r="F28" s="1"/>
      <c r="G28" s="202">
        <f>SUM(G24:G27)</f>
        <v>2773041.0026600002</v>
      </c>
      <c r="H28" s="7"/>
      <c r="I28" s="1"/>
      <c r="J28" s="1"/>
      <c r="K28" s="1"/>
      <c r="L28" s="1"/>
      <c r="M28" s="1" t="s">
        <v>205</v>
      </c>
    </row>
    <row r="30" spans="1:13" x14ac:dyDescent="0.45">
      <c r="A30" s="1" t="s">
        <v>266</v>
      </c>
      <c r="B30" s="1"/>
      <c r="C30" s="1" t="s">
        <v>265</v>
      </c>
      <c r="D30" s="1"/>
      <c r="E30" s="1"/>
      <c r="F30" s="1"/>
      <c r="G30" s="1"/>
      <c r="H30" s="7"/>
      <c r="I30" s="1"/>
      <c r="J30" s="1"/>
    </row>
    <row r="31" spans="1:13" x14ac:dyDescent="0.45">
      <c r="A31" s="1" t="s">
        <v>303</v>
      </c>
      <c r="B31" s="198"/>
      <c r="C31" s="198"/>
      <c r="D31" s="198"/>
      <c r="E31" s="198"/>
      <c r="F31" s="238" t="str">
        <f>B33</f>
        <v>First</v>
      </c>
      <c r="G31" s="238" t="str">
        <f>B34</f>
        <v>Next</v>
      </c>
      <c r="H31" s="241" t="str">
        <f>B35</f>
        <v>Next</v>
      </c>
      <c r="I31" s="238" t="str">
        <f>B36</f>
        <v>Over</v>
      </c>
      <c r="J31" s="238" t="s">
        <v>12</v>
      </c>
    </row>
    <row r="32" spans="1:13" x14ac:dyDescent="0.45">
      <c r="A32" s="1"/>
      <c r="B32" s="198"/>
      <c r="C32" s="197" t="s">
        <v>201</v>
      </c>
      <c r="D32" s="197" t="s">
        <v>202</v>
      </c>
      <c r="E32" s="197" t="s">
        <v>13</v>
      </c>
      <c r="F32" s="240">
        <f>C33</f>
        <v>4000</v>
      </c>
      <c r="G32" s="240">
        <f>C34</f>
        <v>16000</v>
      </c>
      <c r="H32" s="240">
        <f>C35</f>
        <v>40000</v>
      </c>
      <c r="I32" s="239">
        <f>C36</f>
        <v>60000</v>
      </c>
      <c r="J32" s="197"/>
    </row>
    <row r="33" spans="1:10" x14ac:dyDescent="0.45">
      <c r="A33" s="1"/>
      <c r="B33" s="198" t="s">
        <v>198</v>
      </c>
      <c r="C33" s="75">
        <v>4000</v>
      </c>
      <c r="D33" s="199">
        <f>298+14</f>
        <v>312</v>
      </c>
      <c r="E33" s="199">
        <f>764071+43612</f>
        <v>807683</v>
      </c>
      <c r="F33" s="199">
        <f>E33</f>
        <v>807683</v>
      </c>
      <c r="G33" s="199">
        <v>0</v>
      </c>
      <c r="H33" s="55">
        <v>0</v>
      </c>
      <c r="I33" s="199">
        <v>0</v>
      </c>
      <c r="J33" s="199">
        <f>SUM(F33:I33)</f>
        <v>807683</v>
      </c>
    </row>
    <row r="34" spans="1:10" x14ac:dyDescent="0.45">
      <c r="A34" s="1"/>
      <c r="B34" s="198" t="s">
        <v>199</v>
      </c>
      <c r="C34" s="75">
        <v>16000</v>
      </c>
      <c r="D34" s="199">
        <f>494+10</f>
        <v>504</v>
      </c>
      <c r="E34" s="199">
        <f>3715801+45327</f>
        <v>3761128</v>
      </c>
      <c r="F34" s="199">
        <f>D34*$C$33</f>
        <v>2016000</v>
      </c>
      <c r="G34" s="199">
        <f>E34-F34</f>
        <v>1745128</v>
      </c>
      <c r="H34" s="55">
        <v>0</v>
      </c>
      <c r="I34" s="199">
        <v>0</v>
      </c>
      <c r="J34" s="199">
        <f>SUM(F34:I34)</f>
        <v>3761128</v>
      </c>
    </row>
    <row r="35" spans="1:10" x14ac:dyDescent="0.45">
      <c r="A35" s="1"/>
      <c r="B35" s="198" t="s">
        <v>199</v>
      </c>
      <c r="C35" s="75">
        <v>40000</v>
      </c>
      <c r="D35" s="199">
        <v>25</v>
      </c>
      <c r="E35" s="199">
        <v>756135</v>
      </c>
      <c r="F35" s="199">
        <f>D35*$C$33</f>
        <v>100000</v>
      </c>
      <c r="G35" s="199">
        <f>D35*$C$34</f>
        <v>400000</v>
      </c>
      <c r="H35" s="55">
        <f>E35-F35-G35</f>
        <v>256135</v>
      </c>
      <c r="I35" s="199">
        <v>0</v>
      </c>
      <c r="J35" s="199">
        <f>SUM(F35:I35)</f>
        <v>756135</v>
      </c>
    </row>
    <row r="36" spans="1:10" x14ac:dyDescent="0.45">
      <c r="A36" s="1"/>
      <c r="B36" s="198" t="s">
        <v>200</v>
      </c>
      <c r="C36" s="200">
        <v>60000</v>
      </c>
      <c r="D36" s="205">
        <v>8</v>
      </c>
      <c r="E36" s="205">
        <v>1226651</v>
      </c>
      <c r="F36" s="205">
        <f>D36*$C$33</f>
        <v>32000</v>
      </c>
      <c r="G36" s="205">
        <f>D36*$C$34</f>
        <v>128000</v>
      </c>
      <c r="H36" s="200">
        <f>D36*$C$35</f>
        <v>320000</v>
      </c>
      <c r="I36" s="205">
        <f>E36-F36-G36-H36</f>
        <v>746651</v>
      </c>
      <c r="J36" s="205">
        <f>SUM(F36:I36)</f>
        <v>1226651</v>
      </c>
    </row>
    <row r="37" spans="1:10" x14ac:dyDescent="0.45">
      <c r="A37" s="1"/>
      <c r="B37" s="198"/>
      <c r="C37" s="1" t="s">
        <v>67</v>
      </c>
      <c r="D37" s="2">
        <f t="shared" ref="D37:J37" si="2">SUM(D33:D36)</f>
        <v>849</v>
      </c>
      <c r="E37" s="2">
        <f t="shared" si="2"/>
        <v>6551597</v>
      </c>
      <c r="F37" s="2">
        <f t="shared" si="2"/>
        <v>2955683</v>
      </c>
      <c r="G37" s="2">
        <f t="shared" si="2"/>
        <v>2273128</v>
      </c>
      <c r="H37" s="7">
        <f t="shared" si="2"/>
        <v>576135</v>
      </c>
      <c r="I37" s="2">
        <f t="shared" si="2"/>
        <v>746651</v>
      </c>
      <c r="J37" s="2">
        <f t="shared" si="2"/>
        <v>6551597</v>
      </c>
    </row>
    <row r="38" spans="1:10" x14ac:dyDescent="0.45">
      <c r="A38" s="1"/>
      <c r="B38" s="1"/>
      <c r="C38" s="1"/>
      <c r="D38" s="1"/>
      <c r="E38" s="1"/>
      <c r="F38" s="1"/>
      <c r="G38" s="1"/>
      <c r="H38" s="7"/>
      <c r="I38" s="1"/>
      <c r="J38" s="1"/>
    </row>
    <row r="39" spans="1:10" x14ac:dyDescent="0.45">
      <c r="A39" s="1"/>
      <c r="B39" s="1"/>
      <c r="C39" s="1" t="s">
        <v>203</v>
      </c>
      <c r="D39" s="1"/>
      <c r="E39" s="1"/>
      <c r="F39" s="1"/>
      <c r="G39" s="1"/>
      <c r="H39" s="7"/>
      <c r="I39" s="1"/>
      <c r="J39" s="1"/>
    </row>
    <row r="40" spans="1:10" x14ac:dyDescent="0.45">
      <c r="A40" s="1"/>
      <c r="B40" s="1"/>
      <c r="C40" s="1"/>
      <c r="D40" s="1"/>
      <c r="E40" s="1"/>
      <c r="F40" s="1"/>
      <c r="G40" s="1"/>
      <c r="H40" s="7"/>
      <c r="I40" s="1"/>
      <c r="J40" s="1"/>
    </row>
    <row r="41" spans="1:10" x14ac:dyDescent="0.45">
      <c r="A41" s="1"/>
      <c r="B41" s="1"/>
      <c r="C41" s="237" t="s">
        <v>201</v>
      </c>
      <c r="D41" s="237" t="s">
        <v>202</v>
      </c>
      <c r="E41" s="237" t="s">
        <v>13</v>
      </c>
      <c r="F41" s="237" t="s">
        <v>204</v>
      </c>
      <c r="G41" s="237" t="s">
        <v>196</v>
      </c>
      <c r="H41" s="7"/>
      <c r="I41" s="1"/>
      <c r="J41" s="1"/>
    </row>
    <row r="42" spans="1:10" x14ac:dyDescent="0.45">
      <c r="A42" s="1"/>
      <c r="B42" s="198" t="s">
        <v>198</v>
      </c>
      <c r="C42" s="75">
        <f>C33</f>
        <v>4000</v>
      </c>
      <c r="D42" s="2">
        <f>D37</f>
        <v>849</v>
      </c>
      <c r="E42" s="2">
        <f>F37</f>
        <v>2955683</v>
      </c>
      <c r="F42" s="274">
        <f>Rates!D10*2</f>
        <v>41.52</v>
      </c>
      <c r="G42" s="202">
        <f>F42*D42</f>
        <v>35250.480000000003</v>
      </c>
      <c r="H42" s="7"/>
      <c r="I42" s="1"/>
      <c r="J42" s="1"/>
    </row>
    <row r="43" spans="1:10" x14ac:dyDescent="0.45">
      <c r="A43" s="1"/>
      <c r="B43" s="198" t="s">
        <v>199</v>
      </c>
      <c r="C43" s="75">
        <f>C34</f>
        <v>16000</v>
      </c>
      <c r="D43" s="1"/>
      <c r="E43" s="2">
        <f>G37</f>
        <v>2273128</v>
      </c>
      <c r="F43" s="273">
        <f>Rates!D11</f>
        <v>7.6899999999999998E-3</v>
      </c>
      <c r="G43" s="202">
        <f>E43*F43</f>
        <v>17480.354319999999</v>
      </c>
      <c r="H43" s="7"/>
      <c r="I43" s="1"/>
      <c r="J43" s="1"/>
    </row>
    <row r="44" spans="1:10" x14ac:dyDescent="0.45">
      <c r="A44" s="1"/>
      <c r="B44" s="198" t="s">
        <v>199</v>
      </c>
      <c r="C44" s="75">
        <f>C35</f>
        <v>40000</v>
      </c>
      <c r="D44" s="1"/>
      <c r="E44" s="2">
        <f>H37</f>
        <v>576135</v>
      </c>
      <c r="F44" s="273">
        <f>Rates!D12</f>
        <v>7.1599999999999997E-3</v>
      </c>
      <c r="G44" s="202">
        <f>E44*F44</f>
        <v>4125.1265999999996</v>
      </c>
      <c r="H44" s="7"/>
      <c r="I44" s="1"/>
      <c r="J44" s="1"/>
    </row>
    <row r="45" spans="1:10" x14ac:dyDescent="0.45">
      <c r="A45" s="1"/>
      <c r="B45" s="198" t="s">
        <v>200</v>
      </c>
      <c r="C45" s="200">
        <f>C36</f>
        <v>60000</v>
      </c>
      <c r="D45" s="201"/>
      <c r="E45" s="28">
        <f>I37</f>
        <v>746651</v>
      </c>
      <c r="F45" s="273">
        <f>Rates!D13</f>
        <v>6.6299999999999996E-3</v>
      </c>
      <c r="G45" s="242">
        <f>E45*F45</f>
        <v>4950.2961299999997</v>
      </c>
      <c r="H45" s="7"/>
      <c r="I45" s="1"/>
      <c r="J45" s="1"/>
    </row>
    <row r="46" spans="1:10" x14ac:dyDescent="0.45">
      <c r="A46" s="1"/>
      <c r="B46" s="1"/>
      <c r="C46" s="1" t="s">
        <v>48</v>
      </c>
      <c r="D46" s="2">
        <f>SUM(D42:D45)</f>
        <v>849</v>
      </c>
      <c r="E46" s="2">
        <f>SUM(E42:E45)</f>
        <v>6551597</v>
      </c>
      <c r="F46" s="1"/>
      <c r="G46" s="202">
        <f>SUM(G42:G45)</f>
        <v>61806.25705</v>
      </c>
      <c r="H46" s="7"/>
      <c r="I46" s="1"/>
      <c r="J46" s="1"/>
    </row>
    <row r="48" spans="1:10" x14ac:dyDescent="0.45">
      <c r="A48" s="1" t="s">
        <v>266</v>
      </c>
      <c r="B48" s="1"/>
      <c r="C48" s="1" t="s">
        <v>265</v>
      </c>
      <c r="D48" s="1"/>
      <c r="E48" s="1"/>
      <c r="F48" s="1"/>
      <c r="G48" s="1"/>
      <c r="H48" s="7"/>
      <c r="I48" s="1"/>
      <c r="J48" s="1"/>
    </row>
    <row r="49" spans="1:10" x14ac:dyDescent="0.45">
      <c r="A49" s="1" t="s">
        <v>304</v>
      </c>
      <c r="B49" s="198"/>
      <c r="C49" s="198"/>
      <c r="D49" s="198"/>
      <c r="E49" s="198"/>
      <c r="F49" s="238" t="str">
        <f>B51</f>
        <v>First</v>
      </c>
      <c r="G49" s="238" t="str">
        <f>B52</f>
        <v>Next</v>
      </c>
      <c r="H49" s="241" t="str">
        <f>B53</f>
        <v>Next</v>
      </c>
      <c r="I49" s="238" t="str">
        <f>B54</f>
        <v>Over</v>
      </c>
      <c r="J49" s="238" t="s">
        <v>12</v>
      </c>
    </row>
    <row r="50" spans="1:10" x14ac:dyDescent="0.45">
      <c r="A50" s="1"/>
      <c r="B50" s="198"/>
      <c r="C50" s="197" t="s">
        <v>201</v>
      </c>
      <c r="D50" s="197" t="s">
        <v>202</v>
      </c>
      <c r="E50" s="197" t="s">
        <v>13</v>
      </c>
      <c r="F50" s="240">
        <f>C51</f>
        <v>6000</v>
      </c>
      <c r="G50" s="240">
        <f>C52</f>
        <v>24000</v>
      </c>
      <c r="H50" s="240">
        <f>C53</f>
        <v>60000</v>
      </c>
      <c r="I50" s="239">
        <f>C54</f>
        <v>90000</v>
      </c>
      <c r="J50" s="197"/>
    </row>
    <row r="51" spans="1:10" x14ac:dyDescent="0.45">
      <c r="A51" s="1"/>
      <c r="B51" s="198" t="s">
        <v>198</v>
      </c>
      <c r="C51" s="75">
        <v>6000</v>
      </c>
      <c r="D51" s="199">
        <v>24</v>
      </c>
      <c r="E51" s="199">
        <v>88449</v>
      </c>
      <c r="F51" s="199">
        <f>E51</f>
        <v>88449</v>
      </c>
      <c r="G51" s="199">
        <v>0</v>
      </c>
      <c r="H51" s="55">
        <v>0</v>
      </c>
      <c r="I51" s="199">
        <v>0</v>
      </c>
      <c r="J51" s="199">
        <f>SUM(F51:I51)</f>
        <v>88449</v>
      </c>
    </row>
    <row r="52" spans="1:10" x14ac:dyDescent="0.45">
      <c r="A52" s="1"/>
      <c r="B52" s="198" t="s">
        <v>199</v>
      </c>
      <c r="C52" s="75">
        <v>24000</v>
      </c>
      <c r="D52" s="199">
        <v>47</v>
      </c>
      <c r="E52" s="199">
        <v>541383</v>
      </c>
      <c r="F52" s="199">
        <f>D52*$C$51</f>
        <v>282000</v>
      </c>
      <c r="G52" s="199">
        <f>E52-F52</f>
        <v>259383</v>
      </c>
      <c r="H52" s="55">
        <v>0</v>
      </c>
      <c r="I52" s="199">
        <v>0</v>
      </c>
      <c r="J52" s="199">
        <f>SUM(F52:I52)</f>
        <v>541383</v>
      </c>
    </row>
    <row r="53" spans="1:10" x14ac:dyDescent="0.45">
      <c r="A53" s="1"/>
      <c r="B53" s="198" t="s">
        <v>199</v>
      </c>
      <c r="C53" s="75">
        <v>60000</v>
      </c>
      <c r="D53" s="199">
        <v>1</v>
      </c>
      <c r="E53" s="199">
        <v>49345</v>
      </c>
      <c r="F53" s="199">
        <f>D53*$C$51</f>
        <v>6000</v>
      </c>
      <c r="G53" s="199">
        <f>D53*$C$52</f>
        <v>24000</v>
      </c>
      <c r="H53" s="55">
        <f>E53-F53-G53</f>
        <v>19345</v>
      </c>
      <c r="I53" s="199">
        <v>0</v>
      </c>
      <c r="J53" s="199">
        <f>SUM(F53:I53)</f>
        <v>49345</v>
      </c>
    </row>
    <row r="54" spans="1:10" x14ac:dyDescent="0.45">
      <c r="A54" s="1"/>
      <c r="B54" s="198" t="s">
        <v>200</v>
      </c>
      <c r="C54" s="200">
        <v>90000</v>
      </c>
      <c r="D54" s="205">
        <v>0</v>
      </c>
      <c r="E54" s="205">
        <v>0</v>
      </c>
      <c r="F54" s="205">
        <f>D54*$C$51</f>
        <v>0</v>
      </c>
      <c r="G54" s="205">
        <f>D54*$C$52</f>
        <v>0</v>
      </c>
      <c r="H54" s="200">
        <f>D54*$C$53</f>
        <v>0</v>
      </c>
      <c r="I54" s="205">
        <f>E54-F54-G54-H54</f>
        <v>0</v>
      </c>
      <c r="J54" s="205">
        <f>SUM(F54:I54)</f>
        <v>0</v>
      </c>
    </row>
    <row r="55" spans="1:10" x14ac:dyDescent="0.45">
      <c r="A55" s="1"/>
      <c r="B55" s="198"/>
      <c r="C55" s="1" t="s">
        <v>67</v>
      </c>
      <c r="D55" s="2">
        <f t="shared" ref="D55:J55" si="3">SUM(D51:D54)</f>
        <v>72</v>
      </c>
      <c r="E55" s="2">
        <f t="shared" si="3"/>
        <v>679177</v>
      </c>
      <c r="F55" s="2">
        <f t="shared" si="3"/>
        <v>376449</v>
      </c>
      <c r="G55" s="2">
        <f t="shared" si="3"/>
        <v>283383</v>
      </c>
      <c r="H55" s="7">
        <f t="shared" si="3"/>
        <v>19345</v>
      </c>
      <c r="I55" s="2">
        <f t="shared" si="3"/>
        <v>0</v>
      </c>
      <c r="J55" s="2">
        <f t="shared" si="3"/>
        <v>679177</v>
      </c>
    </row>
    <row r="56" spans="1:10" x14ac:dyDescent="0.45">
      <c r="A56" s="1"/>
      <c r="B56" s="1"/>
      <c r="C56" s="1"/>
      <c r="D56" s="1"/>
      <c r="E56" s="1"/>
      <c r="F56" s="1"/>
      <c r="G56" s="1"/>
      <c r="H56" s="7"/>
      <c r="I56" s="1"/>
      <c r="J56" s="1"/>
    </row>
    <row r="57" spans="1:10" x14ac:dyDescent="0.45">
      <c r="A57" s="1"/>
      <c r="B57" s="1"/>
      <c r="C57" s="1" t="s">
        <v>203</v>
      </c>
      <c r="D57" s="1"/>
      <c r="E57" s="1"/>
      <c r="F57" s="1"/>
      <c r="G57" s="1"/>
      <c r="H57" s="7"/>
      <c r="I57" s="1"/>
      <c r="J57" s="1"/>
    </row>
    <row r="58" spans="1:10" x14ac:dyDescent="0.45">
      <c r="A58" s="1"/>
      <c r="B58" s="1"/>
      <c r="C58" s="1"/>
      <c r="D58" s="1"/>
      <c r="E58" s="1"/>
      <c r="F58" s="1"/>
      <c r="G58" s="1"/>
      <c r="H58" s="7"/>
      <c r="I58" s="1"/>
      <c r="J58" s="1"/>
    </row>
    <row r="59" spans="1:10" x14ac:dyDescent="0.45">
      <c r="A59" s="1"/>
      <c r="B59" s="1"/>
      <c r="C59" s="237" t="s">
        <v>201</v>
      </c>
      <c r="D59" s="237" t="s">
        <v>202</v>
      </c>
      <c r="E59" s="237" t="s">
        <v>13</v>
      </c>
      <c r="F59" s="237" t="s">
        <v>204</v>
      </c>
      <c r="G59" s="237" t="s">
        <v>196</v>
      </c>
      <c r="H59" s="7"/>
      <c r="I59" s="1"/>
      <c r="J59" s="1"/>
    </row>
    <row r="60" spans="1:10" x14ac:dyDescent="0.45">
      <c r="A60" s="1"/>
      <c r="B60" s="198" t="s">
        <v>198</v>
      </c>
      <c r="C60" s="75">
        <f>C51</f>
        <v>6000</v>
      </c>
      <c r="D60" s="2">
        <f>D55</f>
        <v>72</v>
      </c>
      <c r="E60" s="2">
        <f>F55</f>
        <v>376449</v>
      </c>
      <c r="F60" s="274">
        <f>Rates!D10*3</f>
        <v>62.28</v>
      </c>
      <c r="G60" s="202">
        <f>F60*D60</f>
        <v>4484.16</v>
      </c>
      <c r="H60" s="7"/>
      <c r="I60" s="1"/>
      <c r="J60" s="1"/>
    </row>
    <row r="61" spans="1:10" x14ac:dyDescent="0.45">
      <c r="A61" s="1"/>
      <c r="B61" s="198" t="s">
        <v>199</v>
      </c>
      <c r="C61" s="75">
        <f>C52</f>
        <v>24000</v>
      </c>
      <c r="D61" s="1"/>
      <c r="E61" s="2">
        <f>G55</f>
        <v>283383</v>
      </c>
      <c r="F61" s="273">
        <f>Rates!D11</f>
        <v>7.6899999999999998E-3</v>
      </c>
      <c r="G61" s="202">
        <f>E61*F61</f>
        <v>2179.2152700000001</v>
      </c>
      <c r="H61" s="7"/>
      <c r="I61" s="1"/>
      <c r="J61" s="1"/>
    </row>
    <row r="62" spans="1:10" x14ac:dyDescent="0.45">
      <c r="A62" s="1"/>
      <c r="B62" s="198" t="s">
        <v>199</v>
      </c>
      <c r="C62" s="75">
        <f>C53</f>
        <v>60000</v>
      </c>
      <c r="D62" s="1"/>
      <c r="E62" s="2">
        <f>H55</f>
        <v>19345</v>
      </c>
      <c r="F62" s="273">
        <f>Rates!D12</f>
        <v>7.1599999999999997E-3</v>
      </c>
      <c r="G62" s="202">
        <f>E62*F62</f>
        <v>138.5102</v>
      </c>
      <c r="H62" s="7"/>
      <c r="I62" s="1"/>
      <c r="J62" s="1"/>
    </row>
    <row r="63" spans="1:10" x14ac:dyDescent="0.45">
      <c r="A63" s="1"/>
      <c r="B63" s="198" t="s">
        <v>200</v>
      </c>
      <c r="C63" s="200">
        <f>C54</f>
        <v>90000</v>
      </c>
      <c r="D63" s="201"/>
      <c r="E63" s="28">
        <f>I55</f>
        <v>0</v>
      </c>
      <c r="F63" s="273">
        <f>Rates!D13</f>
        <v>6.6299999999999996E-3</v>
      </c>
      <c r="G63" s="242">
        <f>E63*F63</f>
        <v>0</v>
      </c>
      <c r="H63" s="7"/>
      <c r="I63" s="1"/>
      <c r="J63" s="1"/>
    </row>
    <row r="64" spans="1:10" x14ac:dyDescent="0.45">
      <c r="A64" s="1"/>
      <c r="B64" s="1"/>
      <c r="C64" s="1" t="s">
        <v>48</v>
      </c>
      <c r="D64" s="2">
        <f>SUM(D60:D63)</f>
        <v>72</v>
      </c>
      <c r="E64" s="2">
        <f>SUM(E60:E63)</f>
        <v>679177</v>
      </c>
      <c r="F64" s="1"/>
      <c r="G64" s="202">
        <f>SUM(G60:G63)</f>
        <v>6801.8854700000002</v>
      </c>
      <c r="H64" s="7"/>
      <c r="I64" s="1"/>
      <c r="J64" s="1"/>
    </row>
    <row r="66" spans="1:10" x14ac:dyDescent="0.45">
      <c r="A66" s="1" t="s">
        <v>266</v>
      </c>
      <c r="B66" s="1"/>
      <c r="C66" s="1" t="s">
        <v>265</v>
      </c>
      <c r="D66" s="1"/>
      <c r="E66" s="1"/>
      <c r="F66" s="1"/>
      <c r="G66" s="1"/>
      <c r="H66" s="7"/>
      <c r="I66" s="1"/>
      <c r="J66" s="1"/>
    </row>
    <row r="67" spans="1:10" x14ac:dyDescent="0.45">
      <c r="A67" s="1" t="s">
        <v>305</v>
      </c>
      <c r="B67" s="198"/>
      <c r="C67" s="198"/>
      <c r="D67" s="198"/>
      <c r="E67" s="198"/>
      <c r="F67" s="238" t="str">
        <f>B69</f>
        <v>First</v>
      </c>
      <c r="G67" s="238" t="str">
        <f>B70</f>
        <v>Next</v>
      </c>
      <c r="H67" s="241" t="str">
        <f>B71</f>
        <v>Next</v>
      </c>
      <c r="I67" s="238" t="str">
        <f>B72</f>
        <v>Over</v>
      </c>
      <c r="J67" s="238" t="s">
        <v>12</v>
      </c>
    </row>
    <row r="68" spans="1:10" x14ac:dyDescent="0.45">
      <c r="A68" s="1"/>
      <c r="B68" s="198"/>
      <c r="C68" s="197" t="s">
        <v>201</v>
      </c>
      <c r="D68" s="197" t="s">
        <v>202</v>
      </c>
      <c r="E68" s="197" t="s">
        <v>13</v>
      </c>
      <c r="F68" s="240">
        <f>C69</f>
        <v>8000</v>
      </c>
      <c r="G68" s="240">
        <f>C70</f>
        <v>32000</v>
      </c>
      <c r="H68" s="240">
        <f>C71</f>
        <v>80000</v>
      </c>
      <c r="I68" s="239">
        <f>C72</f>
        <v>120000</v>
      </c>
      <c r="J68" s="197"/>
    </row>
    <row r="69" spans="1:10" x14ac:dyDescent="0.45">
      <c r="A69" s="1"/>
      <c r="B69" s="198" t="s">
        <v>198</v>
      </c>
      <c r="C69" s="75">
        <v>8000</v>
      </c>
      <c r="D69" s="199">
        <v>13</v>
      </c>
      <c r="E69" s="199">
        <v>71596</v>
      </c>
      <c r="F69" s="199">
        <f>E69</f>
        <v>71596</v>
      </c>
      <c r="G69" s="199">
        <v>0</v>
      </c>
      <c r="H69" s="55">
        <v>0</v>
      </c>
      <c r="I69" s="199">
        <v>0</v>
      </c>
      <c r="J69" s="199">
        <f>SUM(F69:I69)</f>
        <v>71596</v>
      </c>
    </row>
    <row r="70" spans="1:10" x14ac:dyDescent="0.45">
      <c r="A70" s="1"/>
      <c r="B70" s="198" t="s">
        <v>199</v>
      </c>
      <c r="C70" s="75">
        <v>32000</v>
      </c>
      <c r="D70" s="199">
        <v>10</v>
      </c>
      <c r="E70" s="199">
        <v>114637</v>
      </c>
      <c r="F70" s="199">
        <f>D70*$C$69</f>
        <v>80000</v>
      </c>
      <c r="G70" s="199">
        <f>E70-F70</f>
        <v>34637</v>
      </c>
      <c r="H70" s="55">
        <v>0</v>
      </c>
      <c r="I70" s="199">
        <v>0</v>
      </c>
      <c r="J70" s="199">
        <f>SUM(F70:I70)</f>
        <v>114637</v>
      </c>
    </row>
    <row r="71" spans="1:10" x14ac:dyDescent="0.45">
      <c r="A71" s="1"/>
      <c r="B71" s="198" t="s">
        <v>199</v>
      </c>
      <c r="C71" s="75">
        <v>80000</v>
      </c>
      <c r="D71" s="199">
        <v>1</v>
      </c>
      <c r="E71" s="199">
        <v>48029</v>
      </c>
      <c r="F71" s="199">
        <f>D71*$C$69</f>
        <v>8000</v>
      </c>
      <c r="G71" s="199">
        <f>D71*$C$70</f>
        <v>32000</v>
      </c>
      <c r="H71" s="55">
        <f>E71-F71-G71</f>
        <v>8029</v>
      </c>
      <c r="I71" s="199">
        <v>0</v>
      </c>
      <c r="J71" s="199">
        <f>SUM(F71:I71)</f>
        <v>48029</v>
      </c>
    </row>
    <row r="72" spans="1:10" x14ac:dyDescent="0.45">
      <c r="A72" s="1"/>
      <c r="B72" s="198" t="s">
        <v>200</v>
      </c>
      <c r="C72" s="200">
        <v>120000</v>
      </c>
      <c r="D72" s="205">
        <v>0</v>
      </c>
      <c r="E72" s="205">
        <v>0</v>
      </c>
      <c r="F72" s="205">
        <f>D72*$C$69</f>
        <v>0</v>
      </c>
      <c r="G72" s="205">
        <f>D72*$C$70</f>
        <v>0</v>
      </c>
      <c r="H72" s="200">
        <f>D72*$C$71</f>
        <v>0</v>
      </c>
      <c r="I72" s="205">
        <f>E72-F72-G72-H72</f>
        <v>0</v>
      </c>
      <c r="J72" s="205">
        <f>SUM(F72:I72)</f>
        <v>0</v>
      </c>
    </row>
    <row r="73" spans="1:10" x14ac:dyDescent="0.45">
      <c r="A73" s="1"/>
      <c r="B73" s="198"/>
      <c r="C73" s="1" t="s">
        <v>67</v>
      </c>
      <c r="D73" s="2">
        <f t="shared" ref="D73:J73" si="4">SUM(D69:D72)</f>
        <v>24</v>
      </c>
      <c r="E73" s="2">
        <f t="shared" si="4"/>
        <v>234262</v>
      </c>
      <c r="F73" s="2">
        <f t="shared" si="4"/>
        <v>159596</v>
      </c>
      <c r="G73" s="2">
        <f t="shared" si="4"/>
        <v>66637</v>
      </c>
      <c r="H73" s="7">
        <f t="shared" si="4"/>
        <v>8029</v>
      </c>
      <c r="I73" s="2">
        <f t="shared" si="4"/>
        <v>0</v>
      </c>
      <c r="J73" s="2">
        <f t="shared" si="4"/>
        <v>234262</v>
      </c>
    </row>
    <row r="74" spans="1:10" x14ac:dyDescent="0.45">
      <c r="A74" s="1"/>
      <c r="B74" s="1"/>
      <c r="C74" s="1"/>
      <c r="D74" s="1"/>
      <c r="E74" s="1"/>
      <c r="F74" s="1"/>
      <c r="G74" s="1"/>
      <c r="H74" s="7"/>
      <c r="I74" s="1"/>
      <c r="J74" s="1"/>
    </row>
    <row r="75" spans="1:10" x14ac:dyDescent="0.45">
      <c r="A75" s="1"/>
      <c r="B75" s="1"/>
      <c r="C75" s="1" t="s">
        <v>203</v>
      </c>
      <c r="D75" s="1"/>
      <c r="E75" s="1"/>
      <c r="F75" s="1"/>
      <c r="G75" s="1"/>
      <c r="H75" s="7"/>
      <c r="I75" s="1"/>
      <c r="J75" s="1"/>
    </row>
    <row r="76" spans="1:10" x14ac:dyDescent="0.45">
      <c r="A76" s="1"/>
      <c r="B76" s="1"/>
      <c r="C76" s="1"/>
      <c r="D76" s="1"/>
      <c r="E76" s="1"/>
      <c r="F76" s="1"/>
      <c r="G76" s="1"/>
      <c r="H76" s="7"/>
      <c r="I76" s="1"/>
      <c r="J76" s="1"/>
    </row>
    <row r="77" spans="1:10" x14ac:dyDescent="0.45">
      <c r="A77" s="1"/>
      <c r="B77" s="1"/>
      <c r="C77" s="237" t="s">
        <v>201</v>
      </c>
      <c r="D77" s="237" t="s">
        <v>202</v>
      </c>
      <c r="E77" s="237" t="s">
        <v>13</v>
      </c>
      <c r="F77" s="237" t="s">
        <v>204</v>
      </c>
      <c r="G77" s="237" t="s">
        <v>196</v>
      </c>
      <c r="H77" s="7"/>
      <c r="I77" s="1"/>
      <c r="J77" s="1"/>
    </row>
    <row r="78" spans="1:10" x14ac:dyDescent="0.45">
      <c r="A78" s="1"/>
      <c r="B78" s="198" t="s">
        <v>198</v>
      </c>
      <c r="C78" s="75">
        <f>C69</f>
        <v>8000</v>
      </c>
      <c r="D78" s="2">
        <f>D73</f>
        <v>24</v>
      </c>
      <c r="E78" s="2">
        <f>F73</f>
        <v>159596</v>
      </c>
      <c r="F78" s="274">
        <f>Rates!D10*4</f>
        <v>83.04</v>
      </c>
      <c r="G78" s="202">
        <f>F78*D78</f>
        <v>1992.96</v>
      </c>
      <c r="H78" s="7"/>
      <c r="I78" s="1"/>
      <c r="J78" s="1"/>
    </row>
    <row r="79" spans="1:10" x14ac:dyDescent="0.45">
      <c r="A79" s="1"/>
      <c r="B79" s="198" t="s">
        <v>199</v>
      </c>
      <c r="C79" s="75">
        <f>C70</f>
        <v>32000</v>
      </c>
      <c r="D79" s="1"/>
      <c r="E79" s="2">
        <f>G73</f>
        <v>66637</v>
      </c>
      <c r="F79" s="273">
        <f>Rates!D11</f>
        <v>7.6899999999999998E-3</v>
      </c>
      <c r="G79" s="202">
        <f>E79*F79</f>
        <v>512.43853000000001</v>
      </c>
      <c r="H79" s="7"/>
      <c r="I79" s="1"/>
      <c r="J79" s="1"/>
    </row>
    <row r="80" spans="1:10" x14ac:dyDescent="0.45">
      <c r="A80" s="1"/>
      <c r="B80" s="198" t="s">
        <v>199</v>
      </c>
      <c r="C80" s="75">
        <f>C71</f>
        <v>80000</v>
      </c>
      <c r="D80" s="1"/>
      <c r="E80" s="2">
        <f>H73</f>
        <v>8029</v>
      </c>
      <c r="F80" s="273">
        <f>Rates!D12</f>
        <v>7.1599999999999997E-3</v>
      </c>
      <c r="G80" s="202">
        <f>E80*F80</f>
        <v>57.487639999999999</v>
      </c>
      <c r="H80" s="7"/>
      <c r="I80" s="1"/>
      <c r="J80" s="1"/>
    </row>
    <row r="81" spans="1:10" x14ac:dyDescent="0.45">
      <c r="A81" s="1"/>
      <c r="B81" s="198" t="s">
        <v>200</v>
      </c>
      <c r="C81" s="200">
        <f>C72</f>
        <v>120000</v>
      </c>
      <c r="D81" s="201"/>
      <c r="E81" s="28">
        <f>I73</f>
        <v>0</v>
      </c>
      <c r="F81" s="273">
        <f>Rates!D13</f>
        <v>6.6299999999999996E-3</v>
      </c>
      <c r="G81" s="242">
        <f>E81*F81</f>
        <v>0</v>
      </c>
      <c r="H81" s="7"/>
      <c r="I81" s="1"/>
      <c r="J81" s="1"/>
    </row>
    <row r="82" spans="1:10" x14ac:dyDescent="0.45">
      <c r="A82" s="1"/>
      <c r="B82" s="1"/>
      <c r="C82" s="1" t="s">
        <v>48</v>
      </c>
      <c r="D82" s="2">
        <f>SUM(D78:D81)</f>
        <v>24</v>
      </c>
      <c r="E82" s="2">
        <f>SUM(E78:E81)</f>
        <v>234262</v>
      </c>
      <c r="F82" s="1"/>
      <c r="G82" s="202">
        <f>SUM(G78:G81)</f>
        <v>2562.8861699999998</v>
      </c>
      <c r="H82" s="7"/>
      <c r="I82" s="1"/>
      <c r="J82" s="1"/>
    </row>
    <row r="84" spans="1:10" x14ac:dyDescent="0.45">
      <c r="A84" s="1" t="s">
        <v>267</v>
      </c>
      <c r="B84" s="1"/>
      <c r="C84" s="1" t="s">
        <v>265</v>
      </c>
      <c r="D84" s="1"/>
      <c r="E84" s="1"/>
      <c r="F84" s="1"/>
      <c r="G84" s="1"/>
      <c r="H84" s="7"/>
      <c r="I84" s="1"/>
      <c r="J84" s="1"/>
    </row>
    <row r="85" spans="1:10" x14ac:dyDescent="0.45">
      <c r="A85" s="1" t="s">
        <v>302</v>
      </c>
      <c r="B85" s="198"/>
      <c r="C85" s="198"/>
      <c r="D85" s="198"/>
      <c r="E85" s="198"/>
      <c r="F85" s="238" t="str">
        <f>B87</f>
        <v>First</v>
      </c>
      <c r="G85" s="238" t="str">
        <f>B88</f>
        <v>Next</v>
      </c>
      <c r="H85" s="241" t="str">
        <f>B89</f>
        <v>Next</v>
      </c>
      <c r="I85" s="238" t="str">
        <f>B90</f>
        <v>Over</v>
      </c>
      <c r="J85" s="238" t="s">
        <v>12</v>
      </c>
    </row>
    <row r="86" spans="1:10" x14ac:dyDescent="0.45">
      <c r="A86" s="1"/>
      <c r="B86" s="198"/>
      <c r="C86" s="197" t="s">
        <v>201</v>
      </c>
      <c r="D86" s="197" t="s">
        <v>202</v>
      </c>
      <c r="E86" s="197" t="s">
        <v>13</v>
      </c>
      <c r="F86" s="240">
        <f>C87</f>
        <v>5000</v>
      </c>
      <c r="G86" s="240">
        <f>C88</f>
        <v>5000</v>
      </c>
      <c r="H86" s="240">
        <f>C89</f>
        <v>20000</v>
      </c>
      <c r="I86" s="239">
        <f>C90</f>
        <v>30000</v>
      </c>
      <c r="J86" s="197"/>
    </row>
    <row r="87" spans="1:10" x14ac:dyDescent="0.45">
      <c r="A87" s="1"/>
      <c r="B87" s="198" t="s">
        <v>198</v>
      </c>
      <c r="C87" s="75">
        <v>5000</v>
      </c>
      <c r="D87" s="199">
        <f>1604+106+30+19</f>
        <v>1759</v>
      </c>
      <c r="E87" s="199">
        <f>4486272+134838+88724+12330</f>
        <v>4722164</v>
      </c>
      <c r="F87" s="199">
        <f>E87</f>
        <v>4722164</v>
      </c>
      <c r="G87" s="199">
        <v>0</v>
      </c>
      <c r="H87" s="55">
        <v>0</v>
      </c>
      <c r="I87" s="199">
        <v>0</v>
      </c>
      <c r="J87" s="199">
        <f>SUM(F87:I87)</f>
        <v>4722164</v>
      </c>
    </row>
    <row r="88" spans="1:10" x14ac:dyDescent="0.45">
      <c r="A88" s="1"/>
      <c r="B88" s="198" t="s">
        <v>199</v>
      </c>
      <c r="C88" s="75">
        <v>5000</v>
      </c>
      <c r="D88" s="199">
        <f>899+21+6+0</f>
        <v>926</v>
      </c>
      <c r="E88" s="199">
        <f>6140546+157153+44335+0</f>
        <v>6342034</v>
      </c>
      <c r="F88" s="199">
        <f>D88*$C$87</f>
        <v>4630000</v>
      </c>
      <c r="G88" s="199">
        <f>E88-F88</f>
        <v>1712034</v>
      </c>
      <c r="H88" s="55">
        <v>0</v>
      </c>
      <c r="I88" s="199">
        <v>0</v>
      </c>
      <c r="J88" s="199">
        <f>SUM(F88:I88)</f>
        <v>6342034</v>
      </c>
    </row>
    <row r="89" spans="1:10" x14ac:dyDescent="0.45">
      <c r="A89" s="1"/>
      <c r="B89" s="198" t="s">
        <v>199</v>
      </c>
      <c r="C89" s="75">
        <v>20000</v>
      </c>
      <c r="D89" s="199">
        <f>322+24+11+3</f>
        <v>360</v>
      </c>
      <c r="E89" s="199">
        <f>5101626+458984+234959+71833</f>
        <v>5867402</v>
      </c>
      <c r="F89" s="199">
        <f>D89*$C$87</f>
        <v>1800000</v>
      </c>
      <c r="G89" s="199">
        <f>D89*$C$88</f>
        <v>1800000</v>
      </c>
      <c r="H89" s="55">
        <f>E89-F89-G89</f>
        <v>2267402</v>
      </c>
      <c r="I89" s="199">
        <v>0</v>
      </c>
      <c r="J89" s="199">
        <f>SUM(F89:I89)</f>
        <v>5867402</v>
      </c>
    </row>
    <row r="90" spans="1:10" x14ac:dyDescent="0.45">
      <c r="A90" s="1"/>
      <c r="B90" s="198" t="s">
        <v>200</v>
      </c>
      <c r="C90" s="200">
        <v>30000</v>
      </c>
      <c r="D90" s="205">
        <f>65+17+1+2</f>
        <v>85</v>
      </c>
      <c r="E90" s="205">
        <f>3591961+796340+36056+75554</f>
        <v>4499911</v>
      </c>
      <c r="F90" s="205">
        <f>D90*$C$87</f>
        <v>425000</v>
      </c>
      <c r="G90" s="205">
        <f>D90*$C$88</f>
        <v>425000</v>
      </c>
      <c r="H90" s="200">
        <f>D90*$C$89</f>
        <v>1700000</v>
      </c>
      <c r="I90" s="205">
        <f>E90-F90-G90-H90</f>
        <v>1949911</v>
      </c>
      <c r="J90" s="205">
        <f>SUM(F90:I90)</f>
        <v>4499911</v>
      </c>
    </row>
    <row r="91" spans="1:10" x14ac:dyDescent="0.45">
      <c r="A91" s="1"/>
      <c r="B91" s="198"/>
      <c r="C91" s="1" t="s">
        <v>67</v>
      </c>
      <c r="D91" s="2">
        <f t="shared" ref="D91:J91" si="5">SUM(D87:D90)</f>
        <v>3130</v>
      </c>
      <c r="E91" s="2">
        <f t="shared" si="5"/>
        <v>21431511</v>
      </c>
      <c r="F91" s="2">
        <f t="shared" si="5"/>
        <v>11577164</v>
      </c>
      <c r="G91" s="2">
        <f t="shared" si="5"/>
        <v>3937034</v>
      </c>
      <c r="H91" s="7">
        <f t="shared" si="5"/>
        <v>3967402</v>
      </c>
      <c r="I91" s="2">
        <f t="shared" si="5"/>
        <v>1949911</v>
      </c>
      <c r="J91" s="2">
        <f t="shared" si="5"/>
        <v>21431511</v>
      </c>
    </row>
    <row r="92" spans="1:10" x14ac:dyDescent="0.45">
      <c r="A92" s="1"/>
      <c r="B92" s="1"/>
      <c r="C92" s="1"/>
      <c r="D92" s="1"/>
      <c r="E92" s="1"/>
      <c r="F92" s="1"/>
      <c r="G92" s="1"/>
      <c r="H92" s="7"/>
      <c r="I92" s="1"/>
      <c r="J92" s="1"/>
    </row>
    <row r="93" spans="1:10" x14ac:dyDescent="0.45">
      <c r="A93" s="1"/>
      <c r="B93" s="1"/>
      <c r="C93" s="1" t="s">
        <v>203</v>
      </c>
      <c r="D93" s="1"/>
      <c r="E93" s="1"/>
      <c r="F93" s="1"/>
      <c r="G93" s="1"/>
      <c r="H93" s="7"/>
      <c r="I93" s="1"/>
      <c r="J93" s="1"/>
    </row>
    <row r="94" spans="1:10" x14ac:dyDescent="0.45">
      <c r="A94" s="1"/>
      <c r="B94" s="1"/>
      <c r="C94" s="1"/>
      <c r="D94" s="1"/>
      <c r="E94" s="1"/>
      <c r="F94" s="1"/>
      <c r="G94" s="1"/>
      <c r="H94" s="7"/>
      <c r="I94" s="1"/>
      <c r="J94" s="1"/>
    </row>
    <row r="95" spans="1:10" x14ac:dyDescent="0.45">
      <c r="A95" s="1"/>
      <c r="B95" s="1"/>
      <c r="C95" s="237" t="s">
        <v>201</v>
      </c>
      <c r="D95" s="237" t="s">
        <v>202</v>
      </c>
      <c r="E95" s="237" t="s">
        <v>13</v>
      </c>
      <c r="F95" s="237" t="s">
        <v>204</v>
      </c>
      <c r="G95" s="237" t="s">
        <v>196</v>
      </c>
      <c r="H95" s="7"/>
      <c r="I95" s="1"/>
      <c r="J95" s="1"/>
    </row>
    <row r="96" spans="1:10" x14ac:dyDescent="0.45">
      <c r="A96" s="1"/>
      <c r="B96" s="198" t="s">
        <v>198</v>
      </c>
      <c r="C96" s="75">
        <f>C87</f>
        <v>5000</v>
      </c>
      <c r="D96" s="2">
        <f>D91</f>
        <v>3130</v>
      </c>
      <c r="E96" s="2">
        <f>F91</f>
        <v>11577164</v>
      </c>
      <c r="F96" s="274">
        <f>Rates!D16</f>
        <v>43.83</v>
      </c>
      <c r="G96" s="202">
        <f>F96*D96</f>
        <v>137187.9</v>
      </c>
      <c r="H96" s="7"/>
      <c r="I96" s="1"/>
      <c r="J96" s="1"/>
    </row>
    <row r="97" spans="1:10" x14ac:dyDescent="0.45">
      <c r="A97" s="1"/>
      <c r="B97" s="198" t="s">
        <v>199</v>
      </c>
      <c r="C97" s="75">
        <f>C88</f>
        <v>5000</v>
      </c>
      <c r="D97" s="1"/>
      <c r="E97" s="2">
        <f>G91</f>
        <v>3937034</v>
      </c>
      <c r="F97" s="273">
        <f>Rates!D17</f>
        <v>7.6899999999999998E-3</v>
      </c>
      <c r="G97" s="202">
        <f>E97*F97</f>
        <v>30275.79146</v>
      </c>
      <c r="H97" s="7"/>
      <c r="I97" s="1"/>
      <c r="J97" s="1"/>
    </row>
    <row r="98" spans="1:10" x14ac:dyDescent="0.45">
      <c r="A98" s="1"/>
      <c r="B98" s="198" t="s">
        <v>199</v>
      </c>
      <c r="C98" s="75">
        <f>C89</f>
        <v>20000</v>
      </c>
      <c r="D98" s="1"/>
      <c r="E98" s="2">
        <f>H91</f>
        <v>3967402</v>
      </c>
      <c r="F98" s="273">
        <f>Rates!D18</f>
        <v>7.1599999999999997E-3</v>
      </c>
      <c r="G98" s="202">
        <f>E98*F98</f>
        <v>28406.598319999997</v>
      </c>
      <c r="H98" s="7"/>
      <c r="I98" s="1"/>
      <c r="J98" s="1"/>
    </row>
    <row r="99" spans="1:10" x14ac:dyDescent="0.45">
      <c r="A99" s="1"/>
      <c r="B99" s="198" t="s">
        <v>200</v>
      </c>
      <c r="C99" s="200">
        <f>C90</f>
        <v>30000</v>
      </c>
      <c r="D99" s="201"/>
      <c r="E99" s="28">
        <f>I91</f>
        <v>1949911</v>
      </c>
      <c r="F99" s="273">
        <f>Rates!D19</f>
        <v>6.6299999999999996E-3</v>
      </c>
      <c r="G99" s="242">
        <f>E99*F99</f>
        <v>12927.90993</v>
      </c>
      <c r="H99" s="7"/>
      <c r="I99" s="1"/>
      <c r="J99" s="1"/>
    </row>
    <row r="100" spans="1:10" x14ac:dyDescent="0.45">
      <c r="A100" s="1"/>
      <c r="B100" s="1"/>
      <c r="C100" s="1" t="s">
        <v>48</v>
      </c>
      <c r="D100" s="2">
        <f>SUM(D96:D99)</f>
        <v>3130</v>
      </c>
      <c r="E100" s="2">
        <f>SUM(E96:E99)</f>
        <v>21431511</v>
      </c>
      <c r="F100" s="1"/>
      <c r="G100" s="202">
        <f>SUM(G96:G99)</f>
        <v>208798.19970999999</v>
      </c>
      <c r="H100" s="7"/>
      <c r="I100" s="1"/>
      <c r="J100" s="1"/>
    </row>
    <row r="102" spans="1:10" x14ac:dyDescent="0.45">
      <c r="A102" s="1" t="s">
        <v>267</v>
      </c>
      <c r="B102" s="1"/>
      <c r="C102" s="1" t="s">
        <v>265</v>
      </c>
      <c r="D102" s="1"/>
      <c r="E102" s="1"/>
      <c r="F102" s="1"/>
      <c r="G102" s="1"/>
      <c r="H102" s="7"/>
      <c r="I102" s="1"/>
      <c r="J102" s="1"/>
    </row>
    <row r="103" spans="1:10" x14ac:dyDescent="0.45">
      <c r="A103" s="1" t="s">
        <v>303</v>
      </c>
      <c r="B103" s="198"/>
      <c r="C103" s="198"/>
      <c r="D103" s="198"/>
      <c r="E103" s="198"/>
      <c r="F103" s="238" t="str">
        <f>B105</f>
        <v>First</v>
      </c>
      <c r="G103" s="238" t="str">
        <f>B106</f>
        <v>Next</v>
      </c>
      <c r="H103" s="241" t="str">
        <f>B107</f>
        <v>Next</v>
      </c>
      <c r="I103" s="238" t="str">
        <f>B108</f>
        <v>Over</v>
      </c>
      <c r="J103" s="238" t="s">
        <v>12</v>
      </c>
    </row>
    <row r="104" spans="1:10" x14ac:dyDescent="0.45">
      <c r="A104" s="1"/>
      <c r="B104" s="198"/>
      <c r="C104" s="197" t="s">
        <v>201</v>
      </c>
      <c r="D104" s="197" t="s">
        <v>202</v>
      </c>
      <c r="E104" s="197" t="s">
        <v>13</v>
      </c>
      <c r="F104" s="240">
        <f>C105</f>
        <v>10000</v>
      </c>
      <c r="G104" s="240">
        <f>C106</f>
        <v>10000</v>
      </c>
      <c r="H104" s="240">
        <f>C107</f>
        <v>40000</v>
      </c>
      <c r="I104" s="239">
        <f>C108</f>
        <v>60000</v>
      </c>
      <c r="J104" s="197"/>
    </row>
    <row r="105" spans="1:10" x14ac:dyDescent="0.45">
      <c r="A105" s="1"/>
      <c r="B105" s="198" t="s">
        <v>198</v>
      </c>
      <c r="C105" s="75">
        <v>10000</v>
      </c>
      <c r="D105" s="199">
        <v>16</v>
      </c>
      <c r="E105" s="199">
        <v>105063</v>
      </c>
      <c r="F105" s="199">
        <f>E105</f>
        <v>105063</v>
      </c>
      <c r="G105" s="199">
        <v>0</v>
      </c>
      <c r="H105" s="55">
        <v>0</v>
      </c>
      <c r="I105" s="199">
        <v>0</v>
      </c>
      <c r="J105" s="199">
        <f>SUM(F105:I105)</f>
        <v>105063</v>
      </c>
    </row>
    <row r="106" spans="1:10" x14ac:dyDescent="0.45">
      <c r="A106" s="1"/>
      <c r="B106" s="198" t="s">
        <v>199</v>
      </c>
      <c r="C106" s="75">
        <v>10000</v>
      </c>
      <c r="D106" s="199">
        <v>6</v>
      </c>
      <c r="E106" s="199">
        <v>79613</v>
      </c>
      <c r="F106" s="199">
        <f>D106*$C$105</f>
        <v>60000</v>
      </c>
      <c r="G106" s="199">
        <f>E106-F106</f>
        <v>19613</v>
      </c>
      <c r="H106" s="55">
        <v>0</v>
      </c>
      <c r="I106" s="199">
        <v>0</v>
      </c>
      <c r="J106" s="199">
        <f>SUM(F106:I106)</f>
        <v>79613</v>
      </c>
    </row>
    <row r="107" spans="1:10" x14ac:dyDescent="0.45">
      <c r="A107" s="1"/>
      <c r="B107" s="198" t="s">
        <v>199</v>
      </c>
      <c r="C107" s="75">
        <v>40000</v>
      </c>
      <c r="D107" s="199">
        <v>4</v>
      </c>
      <c r="E107" s="199">
        <v>166712</v>
      </c>
      <c r="F107" s="199">
        <f>D107*$C$105</f>
        <v>40000</v>
      </c>
      <c r="G107" s="199">
        <f>D107*$C$106</f>
        <v>40000</v>
      </c>
      <c r="H107" s="55">
        <f>E107-F107-G107</f>
        <v>86712</v>
      </c>
      <c r="I107" s="199">
        <v>0</v>
      </c>
      <c r="J107" s="199">
        <f>SUM(F107:I107)</f>
        <v>166712</v>
      </c>
    </row>
    <row r="108" spans="1:10" x14ac:dyDescent="0.45">
      <c r="A108" s="1"/>
      <c r="B108" s="198" t="s">
        <v>200</v>
      </c>
      <c r="C108" s="200">
        <v>60000</v>
      </c>
      <c r="D108" s="205">
        <v>10</v>
      </c>
      <c r="E108" s="205">
        <v>766441</v>
      </c>
      <c r="F108" s="205">
        <f>D108*$C$105</f>
        <v>100000</v>
      </c>
      <c r="G108" s="205">
        <f>D108*$C$106</f>
        <v>100000</v>
      </c>
      <c r="H108" s="200">
        <f>D108*$C$107</f>
        <v>400000</v>
      </c>
      <c r="I108" s="205">
        <f>E108-F108-G108-H108</f>
        <v>166441</v>
      </c>
      <c r="J108" s="205">
        <f>SUM(F108:I108)</f>
        <v>766441</v>
      </c>
    </row>
    <row r="109" spans="1:10" x14ac:dyDescent="0.45">
      <c r="A109" s="1"/>
      <c r="B109" s="198"/>
      <c r="C109" s="1" t="s">
        <v>67</v>
      </c>
      <c r="D109" s="2">
        <f t="shared" ref="D109:J109" si="6">SUM(D105:D108)</f>
        <v>36</v>
      </c>
      <c r="E109" s="2">
        <f t="shared" si="6"/>
        <v>1117829</v>
      </c>
      <c r="F109" s="2">
        <f t="shared" si="6"/>
        <v>305063</v>
      </c>
      <c r="G109" s="2">
        <f t="shared" si="6"/>
        <v>159613</v>
      </c>
      <c r="H109" s="7">
        <f t="shared" si="6"/>
        <v>486712</v>
      </c>
      <c r="I109" s="2">
        <f t="shared" si="6"/>
        <v>166441</v>
      </c>
      <c r="J109" s="2">
        <f t="shared" si="6"/>
        <v>1117829</v>
      </c>
    </row>
    <row r="110" spans="1:10" x14ac:dyDescent="0.45">
      <c r="A110" s="1"/>
      <c r="B110" s="1"/>
      <c r="C110" s="1"/>
      <c r="D110" s="1"/>
      <c r="E110" s="1"/>
      <c r="F110" s="1"/>
      <c r="G110" s="1"/>
      <c r="H110" s="7"/>
      <c r="I110" s="1"/>
      <c r="J110" s="1"/>
    </row>
    <row r="111" spans="1:10" x14ac:dyDescent="0.45">
      <c r="A111" s="1"/>
      <c r="B111" s="1"/>
      <c r="C111" s="1" t="s">
        <v>203</v>
      </c>
      <c r="D111" s="1"/>
      <c r="E111" s="1"/>
      <c r="F111" s="1"/>
      <c r="G111" s="1"/>
      <c r="H111" s="7"/>
      <c r="I111" s="1"/>
      <c r="J111" s="1"/>
    </row>
    <row r="112" spans="1:10" x14ac:dyDescent="0.45">
      <c r="A112" s="1"/>
      <c r="B112" s="1"/>
      <c r="C112" s="1"/>
      <c r="D112" s="1"/>
      <c r="E112" s="1"/>
      <c r="F112" s="1"/>
      <c r="G112" s="1"/>
      <c r="H112" s="7"/>
      <c r="I112" s="1"/>
      <c r="J112" s="1"/>
    </row>
    <row r="113" spans="1:10" x14ac:dyDescent="0.45">
      <c r="A113" s="1"/>
      <c r="B113" s="1"/>
      <c r="C113" s="237" t="s">
        <v>201</v>
      </c>
      <c r="D113" s="237" t="s">
        <v>202</v>
      </c>
      <c r="E113" s="237" t="s">
        <v>13</v>
      </c>
      <c r="F113" s="237" t="s">
        <v>204</v>
      </c>
      <c r="G113" s="237" t="s">
        <v>196</v>
      </c>
      <c r="H113" s="7"/>
      <c r="I113" s="1"/>
      <c r="J113" s="1"/>
    </row>
    <row r="114" spans="1:10" x14ac:dyDescent="0.45">
      <c r="A114" s="1"/>
      <c r="B114" s="198" t="s">
        <v>198</v>
      </c>
      <c r="C114" s="75">
        <v>10000</v>
      </c>
      <c r="D114" s="2">
        <f>D109</f>
        <v>36</v>
      </c>
      <c r="E114" s="2">
        <f>F109</f>
        <v>305063</v>
      </c>
      <c r="F114" s="274">
        <f>Rates!D16*2</f>
        <v>87.66</v>
      </c>
      <c r="G114" s="202">
        <f>F114*D114</f>
        <v>3155.7599999999998</v>
      </c>
      <c r="H114" s="7"/>
      <c r="I114" s="1"/>
      <c r="J114" s="1"/>
    </row>
    <row r="115" spans="1:10" x14ac:dyDescent="0.45">
      <c r="A115" s="1"/>
      <c r="B115" s="198" t="s">
        <v>199</v>
      </c>
      <c r="C115" s="75">
        <v>10000</v>
      </c>
      <c r="D115" s="1"/>
      <c r="E115" s="2">
        <f>G109</f>
        <v>159613</v>
      </c>
      <c r="F115" s="273">
        <f>Rates!D17</f>
        <v>7.6899999999999998E-3</v>
      </c>
      <c r="G115" s="202">
        <f>E115*F115</f>
        <v>1227.4239700000001</v>
      </c>
      <c r="H115" s="7"/>
      <c r="I115" s="1"/>
      <c r="J115" s="1"/>
    </row>
    <row r="116" spans="1:10" x14ac:dyDescent="0.45">
      <c r="A116" s="1"/>
      <c r="B116" s="198" t="s">
        <v>199</v>
      </c>
      <c r="C116" s="75">
        <v>40000</v>
      </c>
      <c r="D116" s="1"/>
      <c r="E116" s="2">
        <f>H109</f>
        <v>486712</v>
      </c>
      <c r="F116" s="273">
        <f>Rates!D18</f>
        <v>7.1599999999999997E-3</v>
      </c>
      <c r="G116" s="202">
        <f>E116*F116</f>
        <v>3484.8579199999999</v>
      </c>
      <c r="H116" s="7"/>
      <c r="I116" s="1"/>
      <c r="J116" s="1"/>
    </row>
    <row r="117" spans="1:10" x14ac:dyDescent="0.45">
      <c r="A117" s="1"/>
      <c r="B117" s="198" t="s">
        <v>200</v>
      </c>
      <c r="C117" s="200">
        <v>60000</v>
      </c>
      <c r="D117" s="201"/>
      <c r="E117" s="28">
        <f>I109</f>
        <v>166441</v>
      </c>
      <c r="F117" s="273">
        <f>Rates!D19</f>
        <v>6.6299999999999996E-3</v>
      </c>
      <c r="G117" s="242">
        <f>E117*F117</f>
        <v>1103.5038299999999</v>
      </c>
      <c r="H117" s="7"/>
      <c r="I117" s="1"/>
      <c r="J117" s="1"/>
    </row>
    <row r="118" spans="1:10" x14ac:dyDescent="0.45">
      <c r="A118" s="1"/>
      <c r="B118" s="1"/>
      <c r="C118" s="1" t="s">
        <v>48</v>
      </c>
      <c r="D118" s="2">
        <f>SUM(D114:D117)</f>
        <v>36</v>
      </c>
      <c r="E118" s="2">
        <f>SUM(E114:E117)</f>
        <v>1117829</v>
      </c>
      <c r="F118" s="1"/>
      <c r="G118" s="202">
        <f>SUM(G114:G117)</f>
        <v>8971.5457200000001</v>
      </c>
      <c r="H118" s="7"/>
      <c r="I118" s="1"/>
      <c r="J118" s="1"/>
    </row>
    <row r="119" spans="1:10" x14ac:dyDescent="0.45">
      <c r="A119" s="1"/>
      <c r="B119" s="1"/>
      <c r="C119" s="1"/>
      <c r="D119" s="2"/>
      <c r="E119" s="2"/>
      <c r="F119" s="1"/>
      <c r="G119" s="202"/>
      <c r="H119" s="7"/>
      <c r="I119" s="1"/>
      <c r="J119" s="1"/>
    </row>
    <row r="120" spans="1:10" x14ac:dyDescent="0.45">
      <c r="A120" s="1" t="s">
        <v>268</v>
      </c>
      <c r="B120" s="1"/>
      <c r="C120" s="1" t="s">
        <v>265</v>
      </c>
      <c r="D120" s="1"/>
      <c r="E120" s="1"/>
      <c r="F120" s="1"/>
      <c r="G120" s="1"/>
      <c r="H120" s="7"/>
      <c r="I120" s="1"/>
      <c r="J120" s="1"/>
    </row>
    <row r="121" spans="1:10" x14ac:dyDescent="0.45">
      <c r="A121" s="1" t="s">
        <v>302</v>
      </c>
      <c r="B121" s="198"/>
      <c r="C121" s="198"/>
      <c r="D121" s="198"/>
      <c r="E121" s="198"/>
      <c r="F121" s="238" t="str">
        <f>B123</f>
        <v>First</v>
      </c>
      <c r="G121" s="238" t="str">
        <f>B124</f>
        <v>Next</v>
      </c>
      <c r="H121" s="238" t="str">
        <f>B125</f>
        <v>Over</v>
      </c>
      <c r="I121" s="238" t="s">
        <v>12</v>
      </c>
    </row>
    <row r="122" spans="1:10" x14ac:dyDescent="0.45">
      <c r="A122" s="1"/>
      <c r="B122" s="198"/>
      <c r="C122" s="197" t="s">
        <v>201</v>
      </c>
      <c r="D122" s="197" t="s">
        <v>202</v>
      </c>
      <c r="E122" s="197" t="s">
        <v>13</v>
      </c>
      <c r="F122" s="240">
        <f>C123</f>
        <v>16000</v>
      </c>
      <c r="G122" s="240">
        <f>C124</f>
        <v>14000</v>
      </c>
      <c r="H122" s="239">
        <f>C125</f>
        <v>30000</v>
      </c>
      <c r="I122" s="197"/>
    </row>
    <row r="123" spans="1:10" x14ac:dyDescent="0.45">
      <c r="A123" s="1"/>
      <c r="B123" s="198" t="s">
        <v>198</v>
      </c>
      <c r="C123" s="75">
        <v>16000</v>
      </c>
      <c r="D123" s="199">
        <f>103+48+8+2</f>
        <v>161</v>
      </c>
      <c r="E123" s="199">
        <f>532600+331673+49598+0</f>
        <v>913871</v>
      </c>
      <c r="F123" s="199">
        <f>E123</f>
        <v>913871</v>
      </c>
      <c r="G123" s="199">
        <v>0</v>
      </c>
      <c r="H123" s="199">
        <v>0</v>
      </c>
      <c r="I123" s="199">
        <f>SUM(F123:H123)</f>
        <v>913871</v>
      </c>
    </row>
    <row r="124" spans="1:10" x14ac:dyDescent="0.45">
      <c r="A124" s="1"/>
      <c r="B124" s="198" t="s">
        <v>199</v>
      </c>
      <c r="C124" s="75">
        <v>14000</v>
      </c>
      <c r="D124" s="199">
        <f>36+9+3+1</f>
        <v>49</v>
      </c>
      <c r="E124" s="199">
        <f>803209+169248+64758+22600</f>
        <v>1059815</v>
      </c>
      <c r="F124" s="199">
        <f>D124*$C$123</f>
        <v>784000</v>
      </c>
      <c r="G124" s="199">
        <f>E124-F124</f>
        <v>275815</v>
      </c>
      <c r="H124" s="199">
        <v>0</v>
      </c>
      <c r="I124" s="199">
        <f>SUM(F124:H124)</f>
        <v>1059815</v>
      </c>
    </row>
    <row r="125" spans="1:10" x14ac:dyDescent="0.45">
      <c r="A125" s="1"/>
      <c r="B125" s="198" t="s">
        <v>200</v>
      </c>
      <c r="C125" s="200">
        <v>30000</v>
      </c>
      <c r="D125" s="205">
        <f>26+39+1</f>
        <v>66</v>
      </c>
      <c r="E125" s="205">
        <f>1525730+3967869+37013</f>
        <v>5530612</v>
      </c>
      <c r="F125" s="205">
        <f>D125*$C$123</f>
        <v>1056000</v>
      </c>
      <c r="G125" s="205">
        <f>D125*$C$124</f>
        <v>924000</v>
      </c>
      <c r="H125" s="205">
        <f>E125-F125-G125</f>
        <v>3550612</v>
      </c>
      <c r="I125" s="205">
        <f>SUM(F125:H125)</f>
        <v>5530612</v>
      </c>
    </row>
    <row r="126" spans="1:10" x14ac:dyDescent="0.45">
      <c r="A126" s="1"/>
      <c r="B126" s="198"/>
      <c r="C126" s="1" t="s">
        <v>67</v>
      </c>
      <c r="D126" s="2">
        <f t="shared" ref="D126:I126" si="7">SUM(D123:D125)</f>
        <v>276</v>
      </c>
      <c r="E126" s="2">
        <f t="shared" si="7"/>
        <v>7504298</v>
      </c>
      <c r="F126" s="2">
        <f t="shared" si="7"/>
        <v>2753871</v>
      </c>
      <c r="G126" s="2">
        <f t="shared" si="7"/>
        <v>1199815</v>
      </c>
      <c r="H126" s="2">
        <f t="shared" si="7"/>
        <v>3550612</v>
      </c>
      <c r="I126" s="2">
        <f t="shared" si="7"/>
        <v>7504298</v>
      </c>
    </row>
    <row r="127" spans="1:10" x14ac:dyDescent="0.45">
      <c r="A127" s="1"/>
      <c r="B127" s="1"/>
      <c r="C127" s="1"/>
      <c r="D127" s="1"/>
      <c r="E127" s="1"/>
      <c r="F127" s="1"/>
      <c r="G127" s="1"/>
      <c r="H127" s="7"/>
      <c r="I127" s="1"/>
      <c r="J127" s="1"/>
    </row>
    <row r="128" spans="1:10" x14ac:dyDescent="0.45">
      <c r="A128" s="1"/>
      <c r="B128" s="1"/>
      <c r="C128" s="1" t="s">
        <v>203</v>
      </c>
      <c r="D128" s="1"/>
      <c r="E128" s="1"/>
      <c r="F128" s="1"/>
      <c r="G128" s="1"/>
      <c r="H128" s="7"/>
      <c r="I128" s="1"/>
      <c r="J128" s="1"/>
    </row>
    <row r="129" spans="1:10" x14ac:dyDescent="0.45">
      <c r="A129" s="1"/>
      <c r="B129" s="1"/>
      <c r="C129" s="1"/>
      <c r="D129" s="1"/>
      <c r="E129" s="1"/>
      <c r="F129" s="1"/>
      <c r="G129" s="1"/>
      <c r="H129" s="7"/>
      <c r="I129" s="1"/>
      <c r="J129" s="1"/>
    </row>
    <row r="130" spans="1:10" x14ac:dyDescent="0.45">
      <c r="A130" s="1"/>
      <c r="B130" s="1"/>
      <c r="C130" s="237" t="s">
        <v>201</v>
      </c>
      <c r="D130" s="237" t="s">
        <v>202</v>
      </c>
      <c r="E130" s="237" t="s">
        <v>13</v>
      </c>
      <c r="F130" s="237" t="s">
        <v>204</v>
      </c>
      <c r="G130" s="237" t="s">
        <v>196</v>
      </c>
      <c r="H130" s="7"/>
      <c r="I130" s="1"/>
      <c r="J130" s="1"/>
    </row>
    <row r="131" spans="1:10" x14ac:dyDescent="0.45">
      <c r="A131" s="1"/>
      <c r="B131" s="198" t="s">
        <v>198</v>
      </c>
      <c r="C131" s="75">
        <f>C123</f>
        <v>16000</v>
      </c>
      <c r="D131" s="2">
        <f>D126</f>
        <v>276</v>
      </c>
      <c r="E131" s="2">
        <f>F126</f>
        <v>2753871</v>
      </c>
      <c r="F131" s="274">
        <f>Rates!D22</f>
        <v>125.24</v>
      </c>
      <c r="G131" s="202">
        <f>F131*D131</f>
        <v>34566.239999999998</v>
      </c>
      <c r="H131" s="7"/>
      <c r="I131" s="1"/>
      <c r="J131" s="1"/>
    </row>
    <row r="132" spans="1:10" x14ac:dyDescent="0.45">
      <c r="A132" s="1"/>
      <c r="B132" s="198" t="s">
        <v>199</v>
      </c>
      <c r="C132" s="75">
        <f>C124</f>
        <v>14000</v>
      </c>
      <c r="D132" s="1"/>
      <c r="E132" s="2">
        <f>G126</f>
        <v>1199815</v>
      </c>
      <c r="F132" s="273">
        <f>Rates!D23</f>
        <v>7.1599999999999997E-3</v>
      </c>
      <c r="G132" s="202">
        <f>E132*F132</f>
        <v>8590.6754000000001</v>
      </c>
      <c r="H132" s="7"/>
      <c r="I132" s="1"/>
      <c r="J132" s="1"/>
    </row>
    <row r="133" spans="1:10" x14ac:dyDescent="0.45">
      <c r="A133" s="1"/>
      <c r="B133" s="198" t="s">
        <v>200</v>
      </c>
      <c r="C133" s="200">
        <f>C125</f>
        <v>30000</v>
      </c>
      <c r="D133" s="201"/>
      <c r="E133" s="28">
        <f>H126</f>
        <v>3550612</v>
      </c>
      <c r="F133" s="273">
        <f>Rates!D24</f>
        <v>6.6299999999999996E-3</v>
      </c>
      <c r="G133" s="242">
        <f>E133*F133</f>
        <v>23540.557559999997</v>
      </c>
      <c r="H133" s="7"/>
      <c r="I133" s="1"/>
      <c r="J133" s="1"/>
    </row>
    <row r="134" spans="1:10" x14ac:dyDescent="0.45">
      <c r="A134" s="1"/>
      <c r="B134" s="1"/>
      <c r="C134" s="1" t="s">
        <v>48</v>
      </c>
      <c r="D134" s="2">
        <f>SUM(D131:D133)</f>
        <v>276</v>
      </c>
      <c r="E134" s="2">
        <f>SUM(E131:E133)</f>
        <v>7504298</v>
      </c>
      <c r="F134" s="1"/>
      <c r="G134" s="202">
        <f>SUM(G131:G133)</f>
        <v>66697.472959999999</v>
      </c>
      <c r="H134" s="7"/>
      <c r="I134" s="1"/>
      <c r="J134" s="1"/>
    </row>
    <row r="136" spans="1:10" x14ac:dyDescent="0.45">
      <c r="A136" s="1" t="s">
        <v>268</v>
      </c>
      <c r="B136" s="1"/>
      <c r="C136" s="1" t="s">
        <v>265</v>
      </c>
      <c r="D136" s="1"/>
      <c r="E136" s="1"/>
      <c r="F136" s="1"/>
      <c r="G136" s="1"/>
      <c r="H136" s="7"/>
      <c r="I136" s="1"/>
      <c r="J136" s="1"/>
    </row>
    <row r="137" spans="1:10" x14ac:dyDescent="0.45">
      <c r="A137" s="1" t="s">
        <v>303</v>
      </c>
      <c r="B137" s="198"/>
      <c r="C137" s="198"/>
      <c r="D137" s="198"/>
      <c r="E137" s="198"/>
      <c r="F137" s="238" t="str">
        <f>B139</f>
        <v>First</v>
      </c>
      <c r="G137" s="238" t="str">
        <f>B140</f>
        <v>Next</v>
      </c>
      <c r="H137" s="238" t="str">
        <f>B141</f>
        <v>Over</v>
      </c>
      <c r="I137" s="238" t="s">
        <v>12</v>
      </c>
    </row>
    <row r="138" spans="1:10" x14ac:dyDescent="0.45">
      <c r="A138" s="1"/>
      <c r="B138" s="198"/>
      <c r="C138" s="197" t="s">
        <v>201</v>
      </c>
      <c r="D138" s="197" t="s">
        <v>202</v>
      </c>
      <c r="E138" s="197" t="s">
        <v>13</v>
      </c>
      <c r="F138" s="240">
        <f>C139</f>
        <v>32000</v>
      </c>
      <c r="G138" s="240">
        <f>C140</f>
        <v>28000</v>
      </c>
      <c r="H138" s="239">
        <f>C141</f>
        <v>60000</v>
      </c>
      <c r="I138" s="197"/>
    </row>
    <row r="139" spans="1:10" x14ac:dyDescent="0.45">
      <c r="A139" s="1"/>
      <c r="B139" s="198" t="s">
        <v>198</v>
      </c>
      <c r="C139" s="75">
        <v>32000</v>
      </c>
      <c r="D139" s="199">
        <v>11</v>
      </c>
      <c r="E139" s="199">
        <v>194752</v>
      </c>
      <c r="F139" s="199">
        <f>E139</f>
        <v>194752</v>
      </c>
      <c r="G139" s="199">
        <v>0</v>
      </c>
      <c r="H139" s="199">
        <v>0</v>
      </c>
      <c r="I139" s="199">
        <f>SUM(F139:H139)</f>
        <v>194752</v>
      </c>
    </row>
    <row r="140" spans="1:10" x14ac:dyDescent="0.45">
      <c r="A140" s="1"/>
      <c r="B140" s="198" t="s">
        <v>199</v>
      </c>
      <c r="C140" s="75">
        <v>28000</v>
      </c>
      <c r="D140" s="199">
        <v>1</v>
      </c>
      <c r="E140" s="199">
        <v>35980</v>
      </c>
      <c r="F140" s="199">
        <f>D140*$C$139</f>
        <v>32000</v>
      </c>
      <c r="G140" s="199">
        <f>E140-F140</f>
        <v>3980</v>
      </c>
      <c r="H140" s="199">
        <v>0</v>
      </c>
      <c r="I140" s="199">
        <f>SUM(F140:H140)</f>
        <v>35980</v>
      </c>
    </row>
    <row r="141" spans="1:10" x14ac:dyDescent="0.45">
      <c r="A141" s="1"/>
      <c r="B141" s="198" t="s">
        <v>200</v>
      </c>
      <c r="C141" s="200">
        <v>60000</v>
      </c>
      <c r="D141" s="205">
        <v>0</v>
      </c>
      <c r="E141" s="205">
        <v>0</v>
      </c>
      <c r="F141" s="205">
        <f>D141*$C$139</f>
        <v>0</v>
      </c>
      <c r="G141" s="205">
        <f>D141*$C$140</f>
        <v>0</v>
      </c>
      <c r="H141" s="205">
        <f>E141-F141-G141</f>
        <v>0</v>
      </c>
      <c r="I141" s="205">
        <f>SUM(F141:H141)</f>
        <v>0</v>
      </c>
    </row>
    <row r="142" spans="1:10" x14ac:dyDescent="0.45">
      <c r="A142" s="1"/>
      <c r="B142" s="198"/>
      <c r="C142" s="1" t="s">
        <v>67</v>
      </c>
      <c r="D142" s="2">
        <f t="shared" ref="D142:I142" si="8">SUM(D139:D141)</f>
        <v>12</v>
      </c>
      <c r="E142" s="2">
        <f t="shared" si="8"/>
        <v>230732</v>
      </c>
      <c r="F142" s="2">
        <f t="shared" si="8"/>
        <v>226752</v>
      </c>
      <c r="G142" s="2">
        <f t="shared" si="8"/>
        <v>3980</v>
      </c>
      <c r="H142" s="2">
        <f t="shared" si="8"/>
        <v>0</v>
      </c>
      <c r="I142" s="2">
        <f t="shared" si="8"/>
        <v>230732</v>
      </c>
      <c r="J142" s="1"/>
    </row>
    <row r="143" spans="1:10" x14ac:dyDescent="0.45">
      <c r="A143" s="1"/>
      <c r="B143" s="1"/>
      <c r="C143" s="1"/>
      <c r="D143" s="1"/>
      <c r="E143" s="1"/>
      <c r="F143" s="1"/>
      <c r="G143" s="1"/>
      <c r="H143" s="7"/>
      <c r="I143" s="1"/>
      <c r="J143" s="1"/>
    </row>
    <row r="144" spans="1:10" x14ac:dyDescent="0.45">
      <c r="A144" s="1"/>
      <c r="B144" s="1"/>
      <c r="C144" s="1" t="s">
        <v>203</v>
      </c>
      <c r="D144" s="1"/>
      <c r="E144" s="1"/>
      <c r="F144" s="1"/>
      <c r="G144" s="1"/>
      <c r="H144" s="7"/>
      <c r="I144" s="1"/>
      <c r="J144" s="1"/>
    </row>
    <row r="145" spans="1:10" x14ac:dyDescent="0.45">
      <c r="A145" s="1"/>
      <c r="B145" s="1"/>
      <c r="C145" s="1"/>
      <c r="D145" s="1"/>
      <c r="E145" s="1"/>
      <c r="F145" s="1"/>
      <c r="G145" s="1"/>
      <c r="H145" s="7"/>
      <c r="I145" s="1"/>
      <c r="J145" s="1"/>
    </row>
    <row r="146" spans="1:10" x14ac:dyDescent="0.45">
      <c r="A146" s="1"/>
      <c r="B146" s="1"/>
      <c r="C146" s="237" t="s">
        <v>201</v>
      </c>
      <c r="D146" s="237" t="s">
        <v>202</v>
      </c>
      <c r="E146" s="237" t="s">
        <v>13</v>
      </c>
      <c r="F146" s="237" t="s">
        <v>204</v>
      </c>
      <c r="G146" s="237" t="s">
        <v>196</v>
      </c>
      <c r="H146" s="7"/>
      <c r="I146" s="1"/>
      <c r="J146" s="1"/>
    </row>
    <row r="147" spans="1:10" x14ac:dyDescent="0.45">
      <c r="A147" s="1"/>
      <c r="B147" s="198" t="s">
        <v>198</v>
      </c>
      <c r="C147" s="75">
        <f>C139</f>
        <v>32000</v>
      </c>
      <c r="D147" s="2">
        <f>D142</f>
        <v>12</v>
      </c>
      <c r="E147" s="2">
        <f>F142</f>
        <v>226752</v>
      </c>
      <c r="F147" s="274">
        <f>Rates!D22*2</f>
        <v>250.48</v>
      </c>
      <c r="G147" s="202">
        <f>F147*D147</f>
        <v>3005.7599999999998</v>
      </c>
      <c r="H147" s="7"/>
      <c r="I147" s="1"/>
      <c r="J147" s="1"/>
    </row>
    <row r="148" spans="1:10" x14ac:dyDescent="0.45">
      <c r="A148" s="1"/>
      <c r="B148" s="198" t="s">
        <v>199</v>
      </c>
      <c r="C148" s="75">
        <f>C140</f>
        <v>28000</v>
      </c>
      <c r="D148" s="1"/>
      <c r="E148" s="2">
        <f>G142</f>
        <v>3980</v>
      </c>
      <c r="F148" s="273">
        <f>Rates!D23</f>
        <v>7.1599999999999997E-3</v>
      </c>
      <c r="G148" s="202">
        <f>E148*F148</f>
        <v>28.4968</v>
      </c>
      <c r="H148" s="7"/>
      <c r="I148" s="1"/>
      <c r="J148" s="1"/>
    </row>
    <row r="149" spans="1:10" x14ac:dyDescent="0.45">
      <c r="A149" s="1"/>
      <c r="B149" s="198" t="s">
        <v>200</v>
      </c>
      <c r="C149" s="200">
        <f>C141</f>
        <v>60000</v>
      </c>
      <c r="D149" s="201"/>
      <c r="E149" s="28">
        <f>H142</f>
        <v>0</v>
      </c>
      <c r="F149" s="273">
        <f>Rates!D24</f>
        <v>6.6299999999999996E-3</v>
      </c>
      <c r="G149" s="242">
        <f>E149*F149</f>
        <v>0</v>
      </c>
      <c r="H149" s="7"/>
      <c r="I149" s="1"/>
    </row>
    <row r="150" spans="1:10" x14ac:dyDescent="0.45">
      <c r="A150" s="1"/>
      <c r="B150" s="1"/>
      <c r="C150" s="1" t="s">
        <v>48</v>
      </c>
      <c r="D150" s="2">
        <f>SUM(D147:D149)</f>
        <v>12</v>
      </c>
      <c r="E150" s="2">
        <f>SUM(E147:E149)</f>
        <v>230732</v>
      </c>
      <c r="F150" s="1"/>
      <c r="G150" s="202">
        <f>SUM(G147:G149)</f>
        <v>3034.2567999999997</v>
      </c>
      <c r="H150" s="7"/>
      <c r="I150" s="1"/>
      <c r="J150" s="1"/>
    </row>
    <row r="152" spans="1:10" x14ac:dyDescent="0.45">
      <c r="A152" s="1" t="s">
        <v>269</v>
      </c>
      <c r="B152" s="1"/>
      <c r="C152" s="1" t="s">
        <v>265</v>
      </c>
      <c r="D152" s="1"/>
      <c r="E152" s="1"/>
      <c r="F152" s="1"/>
      <c r="G152" s="1"/>
      <c r="H152" s="7"/>
      <c r="I152" s="1"/>
    </row>
    <row r="153" spans="1:10" x14ac:dyDescent="0.45">
      <c r="A153" s="1" t="s">
        <v>302</v>
      </c>
      <c r="B153" s="198"/>
      <c r="C153" s="198"/>
      <c r="D153" s="198"/>
      <c r="E153" s="198"/>
      <c r="F153" s="238" t="str">
        <f>B155</f>
        <v>First</v>
      </c>
      <c r="G153" s="238" t="str">
        <f>B156</f>
        <v>Over</v>
      </c>
      <c r="H153" s="238" t="s">
        <v>12</v>
      </c>
    </row>
    <row r="154" spans="1:10" x14ac:dyDescent="0.45">
      <c r="A154" s="1"/>
      <c r="B154" s="198"/>
      <c r="C154" s="197" t="s">
        <v>201</v>
      </c>
      <c r="D154" s="197" t="s">
        <v>202</v>
      </c>
      <c r="E154" s="197" t="s">
        <v>13</v>
      </c>
      <c r="F154" s="240">
        <f>C155</f>
        <v>30000</v>
      </c>
      <c r="G154" s="239">
        <f>C156</f>
        <v>30000</v>
      </c>
      <c r="H154" s="197"/>
    </row>
    <row r="155" spans="1:10" x14ac:dyDescent="0.45">
      <c r="A155" s="1"/>
      <c r="B155" s="198" t="s">
        <v>198</v>
      </c>
      <c r="C155" s="75">
        <v>30000</v>
      </c>
      <c r="D155" s="199">
        <v>1</v>
      </c>
      <c r="E155" s="199">
        <v>21700</v>
      </c>
      <c r="F155" s="199">
        <f>E155</f>
        <v>21700</v>
      </c>
      <c r="G155" s="199">
        <v>0</v>
      </c>
      <c r="H155" s="199">
        <f>SUM(F155:G155)</f>
        <v>21700</v>
      </c>
    </row>
    <row r="156" spans="1:10" x14ac:dyDescent="0.45">
      <c r="A156" s="1"/>
      <c r="B156" s="198" t="s">
        <v>200</v>
      </c>
      <c r="C156" s="200">
        <v>30000</v>
      </c>
      <c r="D156" s="205">
        <v>0</v>
      </c>
      <c r="E156" s="205">
        <v>0</v>
      </c>
      <c r="F156" s="205">
        <f>D156*$C$156</f>
        <v>0</v>
      </c>
      <c r="G156" s="205">
        <f>E156-F156</f>
        <v>0</v>
      </c>
      <c r="H156" s="205">
        <f>SUM(F156:G156)</f>
        <v>0</v>
      </c>
      <c r="J156" s="1"/>
    </row>
    <row r="157" spans="1:10" x14ac:dyDescent="0.45">
      <c r="A157" s="1"/>
      <c r="B157" s="198"/>
      <c r="C157" s="1" t="s">
        <v>67</v>
      </c>
      <c r="D157" s="2">
        <f>SUM(D155:D156)</f>
        <v>1</v>
      </c>
      <c r="E157" s="2">
        <f>SUM(E155:E156)</f>
        <v>21700</v>
      </c>
      <c r="F157" s="2">
        <f>SUM(F155:F156)</f>
        <v>21700</v>
      </c>
      <c r="G157" s="2">
        <f>SUM(G155:G156)</f>
        <v>0</v>
      </c>
      <c r="H157" s="2">
        <f>SUM(H155:H156)</f>
        <v>21700</v>
      </c>
      <c r="J157" s="1"/>
    </row>
    <row r="158" spans="1:10" x14ac:dyDescent="0.45">
      <c r="A158" s="1"/>
      <c r="B158" s="1"/>
      <c r="C158" s="1"/>
      <c r="D158" s="1"/>
      <c r="E158" s="1"/>
      <c r="F158" s="1"/>
      <c r="G158" s="1"/>
      <c r="H158" s="7"/>
      <c r="I158" s="1"/>
      <c r="J158" s="1"/>
    </row>
    <row r="159" spans="1:10" x14ac:dyDescent="0.45">
      <c r="A159" s="1"/>
      <c r="B159" s="1"/>
      <c r="C159" s="1" t="s">
        <v>203</v>
      </c>
      <c r="D159" s="1"/>
      <c r="E159" s="1"/>
      <c r="F159" s="1"/>
      <c r="G159" s="1"/>
      <c r="H159" s="7"/>
      <c r="I159" s="1"/>
      <c r="J159" s="1"/>
    </row>
    <row r="160" spans="1:10" x14ac:dyDescent="0.45">
      <c r="A160" s="1"/>
      <c r="B160" s="1"/>
      <c r="C160" s="1"/>
      <c r="D160" s="1"/>
      <c r="E160" s="1"/>
      <c r="F160" s="1"/>
      <c r="G160" s="1"/>
      <c r="H160" s="7"/>
      <c r="I160" s="1"/>
      <c r="J160" s="1"/>
    </row>
    <row r="161" spans="1:10" x14ac:dyDescent="0.45">
      <c r="A161" s="1"/>
      <c r="B161" s="1"/>
      <c r="C161" s="237" t="s">
        <v>201</v>
      </c>
      <c r="D161" s="237" t="s">
        <v>202</v>
      </c>
      <c r="E161" s="237" t="s">
        <v>13</v>
      </c>
      <c r="F161" s="237" t="s">
        <v>204</v>
      </c>
      <c r="G161" s="237" t="s">
        <v>196</v>
      </c>
      <c r="H161" s="7"/>
      <c r="I161" s="1"/>
      <c r="J161" s="1"/>
    </row>
    <row r="162" spans="1:10" x14ac:dyDescent="0.45">
      <c r="A162" s="1"/>
      <c r="B162" s="198" t="s">
        <v>198</v>
      </c>
      <c r="C162" s="75">
        <f>C155</f>
        <v>30000</v>
      </c>
      <c r="D162" s="2">
        <f>D157</f>
        <v>1</v>
      </c>
      <c r="E162" s="2">
        <f>F157</f>
        <v>21700</v>
      </c>
      <c r="F162" s="274">
        <f>Rates!D27</f>
        <v>225.48</v>
      </c>
      <c r="G162" s="202">
        <f>F162*D162</f>
        <v>225.48</v>
      </c>
      <c r="H162" s="7"/>
      <c r="I162" s="1"/>
      <c r="J162" s="1"/>
    </row>
    <row r="163" spans="1:10" x14ac:dyDescent="0.45">
      <c r="A163" s="1"/>
      <c r="B163" s="198" t="s">
        <v>200</v>
      </c>
      <c r="C163" s="200">
        <f>C156</f>
        <v>30000</v>
      </c>
      <c r="D163" s="201"/>
      <c r="E163" s="28">
        <f>G157</f>
        <v>0</v>
      </c>
      <c r="F163" s="273">
        <f>Rates!D28</f>
        <v>6.6299999999999996E-3</v>
      </c>
      <c r="G163" s="242">
        <f t="shared" ref="G163" si="9">(E163/1000)*F163</f>
        <v>0</v>
      </c>
      <c r="H163" s="7"/>
      <c r="I163" s="1"/>
    </row>
    <row r="164" spans="1:10" x14ac:dyDescent="0.45">
      <c r="A164" s="1"/>
      <c r="B164" s="1"/>
      <c r="C164" s="1" t="s">
        <v>48</v>
      </c>
      <c r="D164" s="2">
        <f>SUM(D162:D163)</f>
        <v>1</v>
      </c>
      <c r="E164" s="2">
        <f>SUM(E162:E163)</f>
        <v>21700</v>
      </c>
      <c r="F164" s="1"/>
      <c r="G164" s="202">
        <f>SUM(G162:G163)</f>
        <v>225.48</v>
      </c>
      <c r="H164" s="7"/>
      <c r="I164" s="1"/>
      <c r="J164" s="1"/>
    </row>
    <row r="166" spans="1:10" x14ac:dyDescent="0.45">
      <c r="A166" s="1" t="s">
        <v>270</v>
      </c>
      <c r="B166" s="1"/>
      <c r="C166" s="1" t="s">
        <v>265</v>
      </c>
      <c r="D166" s="1"/>
      <c r="E166" s="1"/>
      <c r="F166" s="1"/>
      <c r="G166" s="1"/>
      <c r="H166" s="7"/>
      <c r="I166" s="1"/>
    </row>
    <row r="167" spans="1:10" x14ac:dyDescent="0.45">
      <c r="A167" s="1" t="s">
        <v>302</v>
      </c>
      <c r="B167" s="198"/>
      <c r="C167" s="198"/>
      <c r="D167" s="198"/>
      <c r="E167" s="198"/>
      <c r="F167" s="238" t="str">
        <f>B169</f>
        <v>First</v>
      </c>
      <c r="G167" s="238" t="str">
        <f>B170</f>
        <v>Over</v>
      </c>
      <c r="H167" s="238" t="s">
        <v>12</v>
      </c>
    </row>
    <row r="168" spans="1:10" x14ac:dyDescent="0.45">
      <c r="A168" s="1"/>
      <c r="B168" s="198"/>
      <c r="C168" s="197" t="s">
        <v>201</v>
      </c>
      <c r="D168" s="197" t="s">
        <v>202</v>
      </c>
      <c r="E168" s="197" t="s">
        <v>13</v>
      </c>
      <c r="F168" s="240">
        <f>C169</f>
        <v>50000</v>
      </c>
      <c r="G168" s="239">
        <f>C170</f>
        <v>50000</v>
      </c>
      <c r="H168" s="197"/>
    </row>
    <row r="169" spans="1:10" x14ac:dyDescent="0.45">
      <c r="A169" s="1"/>
      <c r="B169" s="198" t="s">
        <v>198</v>
      </c>
      <c r="C169" s="75">
        <v>50000</v>
      </c>
      <c r="D169" s="199">
        <f>31+7</f>
        <v>38</v>
      </c>
      <c r="E169" s="199">
        <f>649800+72000</f>
        <v>721800</v>
      </c>
      <c r="F169" s="199">
        <f>E169</f>
        <v>721800</v>
      </c>
      <c r="G169" s="199">
        <v>0</v>
      </c>
      <c r="H169" s="199">
        <f>SUM(F169:G169)</f>
        <v>721800</v>
      </c>
    </row>
    <row r="170" spans="1:10" x14ac:dyDescent="0.45">
      <c r="A170" s="1"/>
      <c r="B170" s="198" t="s">
        <v>200</v>
      </c>
      <c r="C170" s="200">
        <v>50000</v>
      </c>
      <c r="D170" s="205">
        <f>5+5</f>
        <v>10</v>
      </c>
      <c r="E170" s="205">
        <f>339000+1453000</f>
        <v>1792000</v>
      </c>
      <c r="F170" s="205">
        <f>D170*$C$169</f>
        <v>500000</v>
      </c>
      <c r="G170" s="205">
        <f>E170-F170</f>
        <v>1292000</v>
      </c>
      <c r="H170" s="205">
        <f>SUM(F170:G170)</f>
        <v>1792000</v>
      </c>
      <c r="J170" s="1"/>
    </row>
    <row r="171" spans="1:10" x14ac:dyDescent="0.45">
      <c r="A171" s="1"/>
      <c r="B171" s="198"/>
      <c r="C171" s="1" t="s">
        <v>67</v>
      </c>
      <c r="D171" s="2">
        <f>SUM(D169:D170)</f>
        <v>48</v>
      </c>
      <c r="E171" s="2">
        <f>SUM(E169:E170)</f>
        <v>2513800</v>
      </c>
      <c r="F171" s="2">
        <f>SUM(F169:F170)</f>
        <v>1221800</v>
      </c>
      <c r="G171" s="2">
        <f>SUM(G169:G170)</f>
        <v>1292000</v>
      </c>
      <c r="H171" s="2">
        <f>SUM(H169:H170)</f>
        <v>2513800</v>
      </c>
      <c r="J171" s="1"/>
    </row>
    <row r="172" spans="1:10" x14ac:dyDescent="0.45">
      <c r="A172" s="1"/>
      <c r="B172" s="1"/>
      <c r="C172" s="1"/>
      <c r="D172" s="1"/>
      <c r="E172" s="1"/>
      <c r="F172" s="1"/>
      <c r="G172" s="1"/>
      <c r="H172" s="7"/>
      <c r="I172" s="1"/>
      <c r="J172" s="1"/>
    </row>
    <row r="173" spans="1:10" x14ac:dyDescent="0.45">
      <c r="A173" s="1"/>
      <c r="B173" s="1"/>
      <c r="C173" s="1" t="s">
        <v>203</v>
      </c>
      <c r="D173" s="1"/>
      <c r="E173" s="1"/>
      <c r="F173" s="1"/>
      <c r="G173" s="1"/>
      <c r="H173" s="7"/>
      <c r="I173" s="1"/>
      <c r="J173" s="1"/>
    </row>
    <row r="174" spans="1:10" x14ac:dyDescent="0.45">
      <c r="A174" s="1"/>
      <c r="B174" s="1"/>
      <c r="C174" s="1"/>
      <c r="D174" s="1"/>
      <c r="E174" s="1"/>
      <c r="F174" s="1"/>
      <c r="G174" s="1"/>
      <c r="H174" s="7"/>
      <c r="I174" s="1"/>
      <c r="J174" s="1"/>
    </row>
    <row r="175" spans="1:10" x14ac:dyDescent="0.45">
      <c r="A175" s="1"/>
      <c r="B175" s="1"/>
      <c r="C175" s="237" t="s">
        <v>201</v>
      </c>
      <c r="D175" s="237" t="s">
        <v>202</v>
      </c>
      <c r="E175" s="237" t="s">
        <v>13</v>
      </c>
      <c r="F175" s="237" t="s">
        <v>204</v>
      </c>
      <c r="G175" s="237" t="s">
        <v>196</v>
      </c>
      <c r="H175" s="7"/>
      <c r="I175" s="1"/>
      <c r="J175" s="1"/>
    </row>
    <row r="176" spans="1:10" x14ac:dyDescent="0.45">
      <c r="A176" s="1"/>
      <c r="B176" s="198" t="s">
        <v>198</v>
      </c>
      <c r="C176" s="75">
        <f>C169</f>
        <v>50000</v>
      </c>
      <c r="D176" s="2">
        <f>D171</f>
        <v>48</v>
      </c>
      <c r="E176" s="2">
        <f>F171</f>
        <v>1221800</v>
      </c>
      <c r="F176" s="274">
        <f>Rates!D31</f>
        <v>358.08</v>
      </c>
      <c r="G176" s="202">
        <f>F176*D176</f>
        <v>17187.84</v>
      </c>
      <c r="H176" s="7"/>
      <c r="I176" s="1"/>
      <c r="J176" s="1"/>
    </row>
    <row r="177" spans="1:9" x14ac:dyDescent="0.45">
      <c r="A177" s="1"/>
      <c r="B177" s="198" t="s">
        <v>200</v>
      </c>
      <c r="C177" s="200">
        <f>C170</f>
        <v>50000</v>
      </c>
      <c r="D177" s="201"/>
      <c r="E177" s="28">
        <f>G171</f>
        <v>1292000</v>
      </c>
      <c r="F177" s="273">
        <f>Rates!D32</f>
        <v>6.6299999999999996E-3</v>
      </c>
      <c r="G177" s="242">
        <f>E177*F177</f>
        <v>8565.9599999999991</v>
      </c>
      <c r="H177" s="7"/>
      <c r="I177" s="1"/>
    </row>
    <row r="178" spans="1:9" x14ac:dyDescent="0.45">
      <c r="A178" s="1"/>
      <c r="B178" s="1"/>
      <c r="C178" s="1" t="s">
        <v>48</v>
      </c>
      <c r="D178" s="2">
        <f>SUM(D176:D177)</f>
        <v>48</v>
      </c>
      <c r="E178" s="2">
        <f>SUM(E176:E177)</f>
        <v>2513800</v>
      </c>
      <c r="F178" s="1"/>
      <c r="G178" s="202">
        <f>SUM(G176:G177)</f>
        <v>25753.8</v>
      </c>
      <c r="H178" s="7"/>
      <c r="I178" s="1"/>
    </row>
    <row r="180" spans="1:9" x14ac:dyDescent="0.45">
      <c r="A180" s="1" t="s">
        <v>271</v>
      </c>
      <c r="B180" s="1"/>
      <c r="C180" s="1" t="s">
        <v>265</v>
      </c>
      <c r="D180" s="1"/>
      <c r="E180" s="1"/>
      <c r="F180" s="1"/>
      <c r="G180" s="1"/>
      <c r="H180" s="7"/>
      <c r="I180" s="1"/>
    </row>
    <row r="181" spans="1:9" x14ac:dyDescent="0.45">
      <c r="A181" s="1" t="s">
        <v>302</v>
      </c>
      <c r="B181" s="198"/>
      <c r="C181" s="198"/>
      <c r="D181" s="198"/>
      <c r="E181" s="198"/>
      <c r="F181" s="238" t="str">
        <f>B183</f>
        <v>First</v>
      </c>
      <c r="G181" s="238" t="str">
        <f>B184</f>
        <v>Over</v>
      </c>
      <c r="H181" s="238" t="s">
        <v>12</v>
      </c>
    </row>
    <row r="182" spans="1:9" x14ac:dyDescent="0.45">
      <c r="A182" s="1"/>
      <c r="B182" s="198"/>
      <c r="C182" s="197" t="s">
        <v>201</v>
      </c>
      <c r="D182" s="197" t="s">
        <v>202</v>
      </c>
      <c r="E182" s="197" t="s">
        <v>13</v>
      </c>
      <c r="F182" s="240">
        <f>C183</f>
        <v>100000</v>
      </c>
      <c r="G182" s="239">
        <f>C184</f>
        <v>100000</v>
      </c>
      <c r="H182" s="197"/>
    </row>
    <row r="183" spans="1:9" x14ac:dyDescent="0.45">
      <c r="A183" s="1"/>
      <c r="B183" s="198" t="s">
        <v>198</v>
      </c>
      <c r="C183" s="75">
        <v>100000</v>
      </c>
      <c r="D183" s="199">
        <v>0</v>
      </c>
      <c r="E183" s="199">
        <v>0</v>
      </c>
      <c r="F183" s="199">
        <f>E183</f>
        <v>0</v>
      </c>
      <c r="G183" s="199">
        <v>0</v>
      </c>
      <c r="H183" s="199">
        <f>SUM(F183:G183)</f>
        <v>0</v>
      </c>
    </row>
    <row r="184" spans="1:9" x14ac:dyDescent="0.45">
      <c r="A184" s="1"/>
      <c r="B184" s="198" t="s">
        <v>200</v>
      </c>
      <c r="C184" s="200">
        <v>100000</v>
      </c>
      <c r="D184" s="205">
        <v>0</v>
      </c>
      <c r="E184" s="205">
        <v>0</v>
      </c>
      <c r="F184" s="205">
        <f>D184*$C$183</f>
        <v>0</v>
      </c>
      <c r="G184" s="205">
        <f>E184-F184</f>
        <v>0</v>
      </c>
      <c r="H184" s="205">
        <f>SUM(F184:G184)</f>
        <v>0</v>
      </c>
    </row>
    <row r="185" spans="1:9" x14ac:dyDescent="0.45">
      <c r="A185" s="1"/>
      <c r="B185" s="198"/>
      <c r="C185" s="1" t="s">
        <v>67</v>
      </c>
      <c r="D185" s="2">
        <f>SUM(D183:D184)</f>
        <v>0</v>
      </c>
      <c r="E185" s="2">
        <f>SUM(E183:E184)</f>
        <v>0</v>
      </c>
      <c r="F185" s="2">
        <f>SUM(F183:F184)</f>
        <v>0</v>
      </c>
      <c r="G185" s="2">
        <f>SUM(G183:G184)</f>
        <v>0</v>
      </c>
      <c r="H185" s="2">
        <f>SUM(H183:H184)</f>
        <v>0</v>
      </c>
    </row>
    <row r="186" spans="1:9" x14ac:dyDescent="0.45">
      <c r="A186" s="1"/>
      <c r="B186" s="1"/>
      <c r="C186" s="1"/>
      <c r="D186" s="1"/>
      <c r="E186" s="1"/>
      <c r="F186" s="1"/>
      <c r="G186" s="1"/>
      <c r="H186" s="7"/>
      <c r="I186" s="1"/>
    </row>
    <row r="187" spans="1:9" x14ac:dyDescent="0.45">
      <c r="A187" s="1"/>
      <c r="B187" s="1"/>
      <c r="C187" s="1" t="s">
        <v>203</v>
      </c>
      <c r="D187" s="1"/>
      <c r="E187" s="1"/>
      <c r="F187" s="1"/>
      <c r="G187" s="1"/>
      <c r="H187" s="7"/>
      <c r="I187" s="1"/>
    </row>
    <row r="188" spans="1:9" x14ac:dyDescent="0.45">
      <c r="A188" s="1"/>
      <c r="B188" s="1"/>
      <c r="C188" s="1"/>
      <c r="D188" s="1"/>
      <c r="E188" s="1"/>
      <c r="F188" s="1"/>
      <c r="G188" s="1"/>
      <c r="H188" s="7"/>
      <c r="I188" s="1"/>
    </row>
    <row r="189" spans="1:9" x14ac:dyDescent="0.45">
      <c r="A189" s="1"/>
      <c r="B189" s="1"/>
      <c r="C189" s="237" t="s">
        <v>201</v>
      </c>
      <c r="D189" s="237" t="s">
        <v>202</v>
      </c>
      <c r="E189" s="237" t="s">
        <v>13</v>
      </c>
      <c r="F189" s="237" t="s">
        <v>204</v>
      </c>
      <c r="G189" s="237" t="s">
        <v>196</v>
      </c>
      <c r="H189" s="7"/>
      <c r="I189" s="1"/>
    </row>
    <row r="190" spans="1:9" x14ac:dyDescent="0.45">
      <c r="A190" s="1"/>
      <c r="B190" s="198" t="s">
        <v>198</v>
      </c>
      <c r="C190" s="75">
        <f>C183</f>
        <v>100000</v>
      </c>
      <c r="D190" s="2">
        <f>D185</f>
        <v>0</v>
      </c>
      <c r="E190" s="2">
        <f>F185</f>
        <v>0</v>
      </c>
      <c r="F190" s="274">
        <f>Rates!D35</f>
        <v>689.58</v>
      </c>
      <c r="G190" s="202">
        <f>F190*D190</f>
        <v>0</v>
      </c>
      <c r="H190" s="7"/>
      <c r="I190" s="1"/>
    </row>
    <row r="191" spans="1:9" x14ac:dyDescent="0.45">
      <c r="A191" s="1"/>
      <c r="B191" s="198" t="s">
        <v>200</v>
      </c>
      <c r="C191" s="200">
        <f>C184</f>
        <v>100000</v>
      </c>
      <c r="D191" s="201"/>
      <c r="E191" s="28">
        <f>G185</f>
        <v>0</v>
      </c>
      <c r="F191" s="273">
        <f>Rates!D36</f>
        <v>6.6299999999999996E-3</v>
      </c>
      <c r="G191" s="242">
        <f>E191*F191</f>
        <v>0</v>
      </c>
      <c r="H191" s="7"/>
      <c r="I191" s="1"/>
    </row>
    <row r="192" spans="1:9" x14ac:dyDescent="0.45">
      <c r="A192" s="1"/>
      <c r="B192" s="1"/>
      <c r="C192" s="1" t="s">
        <v>48</v>
      </c>
      <c r="D192" s="2">
        <f>SUM(D190:D191)</f>
        <v>0</v>
      </c>
      <c r="E192" s="2">
        <f>SUM(E190:E191)</f>
        <v>0</v>
      </c>
      <c r="F192" s="1"/>
      <c r="G192" s="202">
        <f>SUM(G190:G191)</f>
        <v>0</v>
      </c>
      <c r="H192" s="7"/>
      <c r="I192" s="1"/>
    </row>
  </sheetData>
  <mergeCells count="9">
    <mergeCell ref="D8:E8"/>
    <mergeCell ref="D9:E9"/>
    <mergeCell ref="D10:E10"/>
    <mergeCell ref="F1:H1"/>
    <mergeCell ref="D3:E3"/>
    <mergeCell ref="D4:E4"/>
    <mergeCell ref="D5:E5"/>
    <mergeCell ref="D6:E6"/>
    <mergeCell ref="D7:E7"/>
  </mergeCells>
  <pageMargins left="0.7" right="0.7" top="0.75" bottom="0.75" header="0.3" footer="0.3"/>
  <pageSetup scale="76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1388-AB01-4CAE-A21B-D2708C228A39}">
  <sheetPr>
    <tabColor rgb="FF92D050"/>
    <pageSetUpPr fitToPage="1"/>
  </sheetPr>
  <dimension ref="A1:N192"/>
  <sheetViews>
    <sheetView showGridLines="0" workbookViewId="0">
      <selection sqref="A1:L192"/>
    </sheetView>
  </sheetViews>
  <sheetFormatPr defaultRowHeight="14.25" x14ac:dyDescent="0.4"/>
  <cols>
    <col min="1" max="2" width="8.88671875" style="143"/>
    <col min="3" max="3" width="9.27734375" style="143" bestFit="1" customWidth="1"/>
    <col min="4" max="4" width="7.609375" style="143" bestFit="1" customWidth="1"/>
    <col min="5" max="5" width="20.44140625" style="143" bestFit="1" customWidth="1"/>
    <col min="6" max="9" width="11.38671875" style="143" bestFit="1" customWidth="1"/>
    <col min="10" max="11" width="11.38671875" style="143" customWidth="1"/>
    <col min="12" max="12" width="10.44140625" style="143" bestFit="1" customWidth="1"/>
    <col min="13" max="13" width="11.38671875" style="143" bestFit="1" customWidth="1"/>
    <col min="14" max="16384" width="8.88671875" style="143"/>
  </cols>
  <sheetData>
    <row r="1" spans="1:14" x14ac:dyDescent="0.45">
      <c r="A1" s="1"/>
      <c r="B1" s="1"/>
      <c r="C1" s="1"/>
      <c r="D1" s="244">
        <v>2021</v>
      </c>
      <c r="E1" s="244" t="s">
        <v>221</v>
      </c>
      <c r="F1" s="311" t="s">
        <v>234</v>
      </c>
      <c r="G1" s="311"/>
      <c r="H1" s="311"/>
      <c r="I1" s="1"/>
      <c r="J1" s="1"/>
      <c r="K1" s="1"/>
      <c r="L1" s="1"/>
      <c r="M1" s="1"/>
    </row>
    <row r="2" spans="1:14" x14ac:dyDescent="0.45">
      <c r="A2" s="1"/>
      <c r="B2" s="1"/>
      <c r="C2" s="1"/>
      <c r="F2" s="198"/>
      <c r="G2" s="198"/>
      <c r="H2" s="55"/>
      <c r="I2" s="1"/>
      <c r="J2" s="1"/>
      <c r="K2" s="1"/>
      <c r="L2" s="1"/>
      <c r="M2" s="1"/>
    </row>
    <row r="3" spans="1:14" x14ac:dyDescent="0.45">
      <c r="A3" s="1"/>
      <c r="B3" s="1"/>
      <c r="C3" s="1"/>
      <c r="D3" s="309" t="s">
        <v>193</v>
      </c>
      <c r="E3" s="309"/>
      <c r="F3" s="197" t="s">
        <v>194</v>
      </c>
      <c r="G3" s="197" t="s">
        <v>195</v>
      </c>
      <c r="H3" s="200" t="s">
        <v>196</v>
      </c>
      <c r="I3" s="1"/>
      <c r="J3" s="1"/>
      <c r="K3" s="1"/>
      <c r="L3" s="1"/>
      <c r="M3" s="1"/>
    </row>
    <row r="4" spans="1:14" x14ac:dyDescent="0.45">
      <c r="A4" s="1"/>
      <c r="B4" s="1"/>
      <c r="C4" s="1"/>
      <c r="D4" s="312" t="s">
        <v>197</v>
      </c>
      <c r="E4" s="312"/>
      <c r="F4" s="199">
        <f>D19+D37+D55+D73+D91+D109+D126+D142+D157+D171+D185</f>
        <v>76009</v>
      </c>
      <c r="G4" s="199">
        <f>E19+E37+E55+E73+E91+E109+E126+E142+E157+E171+E185</f>
        <v>334729760</v>
      </c>
      <c r="H4" s="203">
        <f>G28+G46+G64+G82+G100+G118+G134+G150+G164+G178+G192</f>
        <v>3479886.610022</v>
      </c>
      <c r="I4" s="1"/>
      <c r="J4" s="1"/>
      <c r="K4" s="1"/>
      <c r="L4" s="1"/>
      <c r="M4" s="1"/>
    </row>
    <row r="5" spans="1:14" x14ac:dyDescent="0.45">
      <c r="A5" s="1"/>
      <c r="B5" s="1"/>
      <c r="C5" s="1"/>
      <c r="D5" s="309" t="s">
        <v>220</v>
      </c>
      <c r="E5" s="309"/>
      <c r="F5" s="198"/>
      <c r="G5" s="198"/>
      <c r="H5" s="210">
        <v>-6164.55</v>
      </c>
      <c r="I5" s="1"/>
      <c r="J5" s="1"/>
      <c r="K5" s="1"/>
      <c r="L5" s="1"/>
      <c r="M5" s="1"/>
    </row>
    <row r="6" spans="1:14" x14ac:dyDescent="0.45">
      <c r="A6" s="1"/>
      <c r="B6" s="1"/>
      <c r="C6" s="1"/>
      <c r="D6" s="309" t="s">
        <v>208</v>
      </c>
      <c r="E6" s="309"/>
      <c r="F6" s="198"/>
      <c r="G6" s="198"/>
      <c r="H6" s="204">
        <f>H4+H5</f>
        <v>3473722.0600220002</v>
      </c>
      <c r="I6" s="1"/>
      <c r="J6" s="1"/>
      <c r="K6" s="1"/>
      <c r="L6" s="1"/>
      <c r="M6" s="1"/>
    </row>
    <row r="7" spans="1:14" x14ac:dyDescent="0.45">
      <c r="A7" s="1"/>
      <c r="B7" s="1"/>
      <c r="C7" s="1"/>
      <c r="D7" s="309" t="s">
        <v>309</v>
      </c>
      <c r="E7" s="309"/>
      <c r="F7" s="198"/>
      <c r="G7" s="198"/>
      <c r="H7" s="210">
        <f>'Revenue Requirements'!D12</f>
        <v>3472677.9658268341</v>
      </c>
      <c r="I7" s="1"/>
      <c r="J7" s="1"/>
      <c r="K7" s="1"/>
      <c r="L7" s="1"/>
      <c r="M7" s="1"/>
    </row>
    <row r="8" spans="1:14" x14ac:dyDescent="0.45">
      <c r="A8" s="1"/>
      <c r="B8" s="1"/>
      <c r="C8" s="1"/>
      <c r="D8" s="309" t="s">
        <v>62</v>
      </c>
      <c r="E8" s="309"/>
      <c r="F8" s="198"/>
      <c r="G8" s="198"/>
      <c r="H8" s="204">
        <f>H6-H7</f>
        <v>1044.0941951661371</v>
      </c>
      <c r="I8" s="1" t="s">
        <v>210</v>
      </c>
      <c r="J8" s="1"/>
      <c r="K8" s="1"/>
      <c r="L8" s="243">
        <f>H8/H7</f>
        <v>3.0065966537658537E-4</v>
      </c>
      <c r="M8" s="1"/>
      <c r="N8" s="209">
        <f>H8/H7</f>
        <v>3.0065966537658537E-4</v>
      </c>
    </row>
    <row r="9" spans="1:14" x14ac:dyDescent="0.45">
      <c r="A9" s="1"/>
      <c r="B9" s="1"/>
      <c r="C9" s="1"/>
      <c r="D9" s="309"/>
      <c r="E9" s="309"/>
      <c r="F9" s="198"/>
      <c r="G9" s="198"/>
      <c r="H9" s="75"/>
      <c r="I9" s="1"/>
      <c r="J9" s="1"/>
      <c r="K9" s="1"/>
      <c r="L9" s="1"/>
      <c r="M9" s="1"/>
      <c r="N9" s="208"/>
    </row>
    <row r="10" spans="1:14" x14ac:dyDescent="0.45">
      <c r="A10" s="1"/>
      <c r="B10" s="1"/>
      <c r="C10" s="1"/>
      <c r="D10" s="310"/>
      <c r="E10" s="310"/>
      <c r="F10" s="1"/>
      <c r="G10" s="1"/>
      <c r="H10" s="7"/>
      <c r="I10" s="1"/>
      <c r="J10" s="1"/>
      <c r="K10" s="1"/>
      <c r="L10" s="1"/>
      <c r="M10" s="1"/>
    </row>
    <row r="11" spans="1:14" x14ac:dyDescent="0.45">
      <c r="A11" s="1"/>
      <c r="B11" s="1"/>
      <c r="C11" s="1"/>
      <c r="D11" s="1"/>
      <c r="E11" s="1"/>
      <c r="F11" s="1"/>
      <c r="G11" s="1"/>
      <c r="H11" s="7"/>
      <c r="I11" s="1"/>
      <c r="J11" s="1"/>
      <c r="K11" s="1"/>
      <c r="L11" s="1"/>
      <c r="M11" s="1"/>
    </row>
    <row r="12" spans="1:14" x14ac:dyDescent="0.45">
      <c r="A12" s="1" t="s">
        <v>266</v>
      </c>
      <c r="B12" s="1"/>
      <c r="C12" s="1" t="s">
        <v>265</v>
      </c>
      <c r="D12" s="1"/>
      <c r="E12" s="1"/>
      <c r="F12" s="1"/>
      <c r="G12" s="1"/>
      <c r="H12" s="7"/>
      <c r="I12" s="1"/>
      <c r="J12" s="1"/>
      <c r="K12" s="1"/>
      <c r="L12" s="1"/>
      <c r="M12" s="1"/>
    </row>
    <row r="13" spans="1:14" x14ac:dyDescent="0.45">
      <c r="A13" s="1" t="s">
        <v>302</v>
      </c>
      <c r="B13" s="198"/>
      <c r="C13" s="198"/>
      <c r="D13" s="198"/>
      <c r="E13" s="198"/>
      <c r="F13" s="238" t="str">
        <f>B15</f>
        <v>First</v>
      </c>
      <c r="G13" s="238" t="str">
        <f>B16</f>
        <v>Next</v>
      </c>
      <c r="H13" s="241" t="str">
        <f>B17</f>
        <v>Next</v>
      </c>
      <c r="I13" s="238" t="str">
        <f>B18</f>
        <v>Over</v>
      </c>
      <c r="J13" s="238" t="s">
        <v>12</v>
      </c>
    </row>
    <row r="14" spans="1:14" x14ac:dyDescent="0.45">
      <c r="A14" s="1"/>
      <c r="B14" s="198"/>
      <c r="C14" s="197" t="s">
        <v>201</v>
      </c>
      <c r="D14" s="197" t="s">
        <v>202</v>
      </c>
      <c r="E14" s="197" t="s">
        <v>13</v>
      </c>
      <c r="F14" s="240">
        <f>C15</f>
        <v>2000</v>
      </c>
      <c r="G14" s="240">
        <f>C16</f>
        <v>8000</v>
      </c>
      <c r="H14" s="240">
        <f>C17</f>
        <v>20000</v>
      </c>
      <c r="I14" s="239">
        <f>C18</f>
        <v>30000</v>
      </c>
      <c r="J14" s="197"/>
    </row>
    <row r="15" spans="1:14" x14ac:dyDescent="0.45">
      <c r="A15" s="1"/>
      <c r="B15" s="198" t="s">
        <v>198</v>
      </c>
      <c r="C15" s="75">
        <v>2000</v>
      </c>
      <c r="D15" s="199">
        <f>17161+659+666+71+162</f>
        <v>18719</v>
      </c>
      <c r="E15" s="199">
        <f>18200941+292091+637562+27388+90345</f>
        <v>19248327</v>
      </c>
      <c r="F15" s="199">
        <f>E15</f>
        <v>19248327</v>
      </c>
      <c r="G15" s="199">
        <v>0</v>
      </c>
      <c r="H15" s="55">
        <v>0</v>
      </c>
      <c r="I15" s="199">
        <v>0</v>
      </c>
      <c r="J15" s="199">
        <f>SUM(F15:I15)</f>
        <v>19248327</v>
      </c>
    </row>
    <row r="16" spans="1:14" x14ac:dyDescent="0.45">
      <c r="A16" s="1"/>
      <c r="B16" s="198" t="s">
        <v>199</v>
      </c>
      <c r="C16" s="75">
        <v>8000</v>
      </c>
      <c r="D16" s="199">
        <f>47326+483+1551+18+61</f>
        <v>49439</v>
      </c>
      <c r="E16" s="199">
        <f>206641720+2170494+6920077+120602+291641</f>
        <v>216144534</v>
      </c>
      <c r="F16" s="199">
        <f t="shared" ref="F16:F18" si="0">D16*$C$15</f>
        <v>98878000</v>
      </c>
      <c r="G16" s="199">
        <f>E16-F16</f>
        <v>117266534</v>
      </c>
      <c r="H16" s="55">
        <v>0</v>
      </c>
      <c r="I16" s="199">
        <v>0</v>
      </c>
      <c r="J16" s="199">
        <f>SUM(F16:I16)</f>
        <v>216144534</v>
      </c>
    </row>
    <row r="17" spans="1:13" x14ac:dyDescent="0.45">
      <c r="A17" s="1"/>
      <c r="B17" s="198" t="s">
        <v>199</v>
      </c>
      <c r="C17" s="75">
        <v>20000</v>
      </c>
      <c r="D17" s="199">
        <f>2910+90+125+7+5</f>
        <v>3137</v>
      </c>
      <c r="E17" s="199">
        <f>42140178+1426971+1964330+81306+72352</f>
        <v>45685137</v>
      </c>
      <c r="F17" s="199">
        <f t="shared" si="0"/>
        <v>6274000</v>
      </c>
      <c r="G17" s="199">
        <f>D17*$C$16</f>
        <v>25096000</v>
      </c>
      <c r="H17" s="55">
        <f>E17-F17-G17</f>
        <v>14315137</v>
      </c>
      <c r="I17" s="199">
        <v>0</v>
      </c>
      <c r="J17" s="199">
        <f>SUM(F17:I17)</f>
        <v>45685137</v>
      </c>
    </row>
    <row r="18" spans="1:13" x14ac:dyDescent="0.45">
      <c r="A18" s="1"/>
      <c r="B18" s="198" t="s">
        <v>200</v>
      </c>
      <c r="C18" s="200">
        <v>30000</v>
      </c>
      <c r="D18" s="205">
        <f>222+26+15+0+3</f>
        <v>266</v>
      </c>
      <c r="E18" s="205">
        <f>10886755+1521674+785929+0+172498</f>
        <v>13366856</v>
      </c>
      <c r="F18" s="205">
        <f t="shared" si="0"/>
        <v>532000</v>
      </c>
      <c r="G18" s="205">
        <f>D18*$C$16</f>
        <v>2128000</v>
      </c>
      <c r="H18" s="200">
        <f>D18*$C$17</f>
        <v>5320000</v>
      </c>
      <c r="I18" s="205">
        <f>E18-F18-G18-H18</f>
        <v>5386856</v>
      </c>
      <c r="J18" s="205">
        <f>SUM(F18:I18)</f>
        <v>13366856</v>
      </c>
    </row>
    <row r="19" spans="1:13" x14ac:dyDescent="0.45">
      <c r="A19" s="1"/>
      <c r="B19" s="198"/>
      <c r="C19" s="1" t="s">
        <v>67</v>
      </c>
      <c r="D19" s="2">
        <f t="shared" ref="D19:J19" si="1">SUM(D15:D18)</f>
        <v>71561</v>
      </c>
      <c r="E19" s="2">
        <f t="shared" si="1"/>
        <v>294444854</v>
      </c>
      <c r="F19" s="2">
        <f t="shared" si="1"/>
        <v>124932327</v>
      </c>
      <c r="G19" s="2">
        <f t="shared" si="1"/>
        <v>144490534</v>
      </c>
      <c r="H19" s="7">
        <f t="shared" si="1"/>
        <v>19635137</v>
      </c>
      <c r="I19" s="2">
        <f t="shared" si="1"/>
        <v>5386856</v>
      </c>
      <c r="J19" s="2">
        <f t="shared" si="1"/>
        <v>294444854</v>
      </c>
    </row>
    <row r="20" spans="1:13" x14ac:dyDescent="0.45">
      <c r="A20" s="1"/>
      <c r="B20" s="1"/>
      <c r="C20" s="1"/>
      <c r="D20" s="1"/>
      <c r="E20" s="1"/>
      <c r="F20" s="1"/>
      <c r="G20" s="1"/>
      <c r="H20" s="7"/>
      <c r="I20" s="1"/>
      <c r="J20" s="1"/>
      <c r="K20" s="1"/>
      <c r="L20" s="1"/>
      <c r="M20" s="1"/>
    </row>
    <row r="21" spans="1:13" x14ac:dyDescent="0.45">
      <c r="A21" s="1"/>
      <c r="B21" s="1"/>
      <c r="C21" s="1" t="s">
        <v>203</v>
      </c>
      <c r="D21" s="1"/>
      <c r="E21" s="1"/>
      <c r="F21" s="1"/>
      <c r="G21" s="1"/>
      <c r="H21" s="7"/>
      <c r="I21" s="1"/>
      <c r="J21" s="1"/>
      <c r="K21" s="1"/>
      <c r="L21" s="1"/>
      <c r="M21" s="1"/>
    </row>
    <row r="22" spans="1:13" x14ac:dyDescent="0.45">
      <c r="A22" s="1"/>
      <c r="B22" s="1"/>
      <c r="C22" s="1"/>
      <c r="D22" s="1"/>
      <c r="E22" s="1"/>
      <c r="F22" s="1"/>
      <c r="G22" s="1"/>
      <c r="H22" s="7"/>
      <c r="I22" s="1"/>
      <c r="J22" s="1"/>
      <c r="K22" s="1"/>
      <c r="L22" s="1"/>
      <c r="M22" s="1"/>
    </row>
    <row r="23" spans="1:13" x14ac:dyDescent="0.45">
      <c r="A23" s="1"/>
      <c r="B23" s="1"/>
      <c r="C23" s="237" t="s">
        <v>201</v>
      </c>
      <c r="D23" s="237" t="s">
        <v>202</v>
      </c>
      <c r="E23" s="237" t="s">
        <v>13</v>
      </c>
      <c r="F23" s="237" t="s">
        <v>204</v>
      </c>
      <c r="G23" s="237" t="s">
        <v>196</v>
      </c>
      <c r="H23" s="7"/>
      <c r="I23" s="1"/>
      <c r="J23" s="1"/>
      <c r="K23" s="1"/>
      <c r="L23" s="1"/>
      <c r="M23" s="1"/>
    </row>
    <row r="24" spans="1:13" x14ac:dyDescent="0.45">
      <c r="A24" s="1"/>
      <c r="B24" s="198" t="s">
        <v>198</v>
      </c>
      <c r="C24" s="75">
        <f>C15</f>
        <v>2000</v>
      </c>
      <c r="D24" s="2">
        <f>D19</f>
        <v>71561</v>
      </c>
      <c r="E24" s="2">
        <f>F19</f>
        <v>124932327</v>
      </c>
      <c r="F24" s="274">
        <f>Rates!F10</f>
        <v>22.88</v>
      </c>
      <c r="G24" s="202">
        <f>F24*D24</f>
        <v>1637315.68</v>
      </c>
      <c r="H24" s="7"/>
      <c r="I24" s="1"/>
      <c r="J24" s="1"/>
      <c r="K24" s="1"/>
      <c r="L24" s="1"/>
      <c r="M24" s="1"/>
    </row>
    <row r="25" spans="1:13" x14ac:dyDescent="0.45">
      <c r="A25" s="1"/>
      <c r="B25" s="198" t="s">
        <v>199</v>
      </c>
      <c r="C25" s="75">
        <f>C16</f>
        <v>8000</v>
      </c>
      <c r="D25" s="1"/>
      <c r="E25" s="2">
        <f>G19</f>
        <v>144490534</v>
      </c>
      <c r="F25" s="273">
        <f>Rates!F11</f>
        <v>8.4740000000000006E-3</v>
      </c>
      <c r="G25" s="202">
        <f>E25*F25</f>
        <v>1224412.7851160001</v>
      </c>
      <c r="H25" s="7"/>
      <c r="I25" s="1"/>
      <c r="J25" s="1"/>
      <c r="K25" s="1"/>
      <c r="L25" s="1"/>
      <c r="M25" s="1"/>
    </row>
    <row r="26" spans="1:13" x14ac:dyDescent="0.45">
      <c r="A26" s="1"/>
      <c r="B26" s="198" t="s">
        <v>199</v>
      </c>
      <c r="C26" s="75">
        <f>C17</f>
        <v>20000</v>
      </c>
      <c r="D26" s="1"/>
      <c r="E26" s="2">
        <f>H19</f>
        <v>19635137</v>
      </c>
      <c r="F26" s="273">
        <f>Rates!F12</f>
        <v>7.8899999999999994E-3</v>
      </c>
      <c r="G26" s="202">
        <f>E26*F26</f>
        <v>154921.23092999999</v>
      </c>
      <c r="H26" s="7"/>
      <c r="I26" s="1"/>
      <c r="J26" s="1"/>
      <c r="K26" s="1"/>
      <c r="L26" s="1"/>
      <c r="M26" s="1"/>
    </row>
    <row r="27" spans="1:13" x14ac:dyDescent="0.45">
      <c r="A27" s="1"/>
      <c r="B27" s="198" t="s">
        <v>200</v>
      </c>
      <c r="C27" s="200">
        <f>C18</f>
        <v>30000</v>
      </c>
      <c r="D27" s="201"/>
      <c r="E27" s="28">
        <f>I19</f>
        <v>5386856</v>
      </c>
      <c r="F27" s="273">
        <f>Rates!F13</f>
        <v>7.306E-3</v>
      </c>
      <c r="G27" s="242">
        <f>E27*F27</f>
        <v>39356.369936000003</v>
      </c>
      <c r="H27" s="7"/>
      <c r="I27" s="1"/>
      <c r="J27" s="1"/>
      <c r="K27" s="1"/>
      <c r="L27" s="1"/>
      <c r="M27" s="1"/>
    </row>
    <row r="28" spans="1:13" x14ac:dyDescent="0.45">
      <c r="A28" s="1"/>
      <c r="B28" s="1"/>
      <c r="C28" s="1" t="s">
        <v>48</v>
      </c>
      <c r="D28" s="2">
        <f>SUM(D24:D27)</f>
        <v>71561</v>
      </c>
      <c r="E28" s="2">
        <f>SUM(E24:E27)</f>
        <v>294444854</v>
      </c>
      <c r="F28" s="1"/>
      <c r="G28" s="202">
        <f>SUM(G24:G27)</f>
        <v>3056006.065982</v>
      </c>
      <c r="H28" s="7"/>
      <c r="I28" s="1"/>
      <c r="J28" s="1"/>
      <c r="K28" s="1"/>
      <c r="L28" s="1"/>
      <c r="M28" s="1" t="s">
        <v>205</v>
      </c>
    </row>
    <row r="30" spans="1:13" x14ac:dyDescent="0.45">
      <c r="A30" s="1" t="s">
        <v>266</v>
      </c>
      <c r="B30" s="1"/>
      <c r="C30" s="1" t="s">
        <v>265</v>
      </c>
      <c r="D30" s="1"/>
      <c r="E30" s="1"/>
      <c r="F30" s="1"/>
      <c r="G30" s="1"/>
      <c r="H30" s="7"/>
      <c r="I30" s="1"/>
      <c r="J30" s="1"/>
    </row>
    <row r="31" spans="1:13" x14ac:dyDescent="0.45">
      <c r="A31" s="1" t="s">
        <v>303</v>
      </c>
      <c r="B31" s="198"/>
      <c r="C31" s="198"/>
      <c r="D31" s="198"/>
      <c r="E31" s="198"/>
      <c r="F31" s="238" t="str">
        <f>B33</f>
        <v>First</v>
      </c>
      <c r="G31" s="238" t="str">
        <f>B34</f>
        <v>Next</v>
      </c>
      <c r="H31" s="241" t="str">
        <f>B35</f>
        <v>Next</v>
      </c>
      <c r="I31" s="238" t="str">
        <f>B36</f>
        <v>Over</v>
      </c>
      <c r="J31" s="238" t="s">
        <v>12</v>
      </c>
    </row>
    <row r="32" spans="1:13" x14ac:dyDescent="0.45">
      <c r="A32" s="1"/>
      <c r="B32" s="198"/>
      <c r="C32" s="197" t="s">
        <v>201</v>
      </c>
      <c r="D32" s="197" t="s">
        <v>202</v>
      </c>
      <c r="E32" s="197" t="s">
        <v>13</v>
      </c>
      <c r="F32" s="240">
        <f>C33</f>
        <v>4000</v>
      </c>
      <c r="G32" s="240">
        <f>C34</f>
        <v>16000</v>
      </c>
      <c r="H32" s="240">
        <f>C35</f>
        <v>40000</v>
      </c>
      <c r="I32" s="239">
        <f>C36</f>
        <v>60000</v>
      </c>
      <c r="J32" s="197"/>
    </row>
    <row r="33" spans="1:10" x14ac:dyDescent="0.45">
      <c r="A33" s="1"/>
      <c r="B33" s="198" t="s">
        <v>198</v>
      </c>
      <c r="C33" s="75">
        <v>4000</v>
      </c>
      <c r="D33" s="199">
        <f>298+14</f>
        <v>312</v>
      </c>
      <c r="E33" s="199">
        <f>764071+43612</f>
        <v>807683</v>
      </c>
      <c r="F33" s="199">
        <f>E33</f>
        <v>807683</v>
      </c>
      <c r="G33" s="199">
        <v>0</v>
      </c>
      <c r="H33" s="55">
        <v>0</v>
      </c>
      <c r="I33" s="199">
        <v>0</v>
      </c>
      <c r="J33" s="199">
        <f>SUM(F33:I33)</f>
        <v>807683</v>
      </c>
    </row>
    <row r="34" spans="1:10" x14ac:dyDescent="0.45">
      <c r="A34" s="1"/>
      <c r="B34" s="198" t="s">
        <v>199</v>
      </c>
      <c r="C34" s="75">
        <v>16000</v>
      </c>
      <c r="D34" s="199">
        <f>494+10</f>
        <v>504</v>
      </c>
      <c r="E34" s="199">
        <f>3715801+45327</f>
        <v>3761128</v>
      </c>
      <c r="F34" s="199">
        <f>D34*$C$33</f>
        <v>2016000</v>
      </c>
      <c r="G34" s="199">
        <f>E34-F34</f>
        <v>1745128</v>
      </c>
      <c r="H34" s="55">
        <v>0</v>
      </c>
      <c r="I34" s="199">
        <v>0</v>
      </c>
      <c r="J34" s="199">
        <f>SUM(F34:I34)</f>
        <v>3761128</v>
      </c>
    </row>
    <row r="35" spans="1:10" x14ac:dyDescent="0.45">
      <c r="A35" s="1"/>
      <c r="B35" s="198" t="s">
        <v>199</v>
      </c>
      <c r="C35" s="75">
        <v>40000</v>
      </c>
      <c r="D35" s="199">
        <v>25</v>
      </c>
      <c r="E35" s="199">
        <v>756135</v>
      </c>
      <c r="F35" s="199">
        <f>D35*$C$33</f>
        <v>100000</v>
      </c>
      <c r="G35" s="199">
        <f>D35*$C$34</f>
        <v>400000</v>
      </c>
      <c r="H35" s="55">
        <f>E35-F35-G35</f>
        <v>256135</v>
      </c>
      <c r="I35" s="199">
        <v>0</v>
      </c>
      <c r="J35" s="199">
        <f>SUM(F35:I35)</f>
        <v>756135</v>
      </c>
    </row>
    <row r="36" spans="1:10" x14ac:dyDescent="0.45">
      <c r="A36" s="1"/>
      <c r="B36" s="198" t="s">
        <v>200</v>
      </c>
      <c r="C36" s="200">
        <v>60000</v>
      </c>
      <c r="D36" s="205">
        <v>8</v>
      </c>
      <c r="E36" s="205">
        <v>1226651</v>
      </c>
      <c r="F36" s="205">
        <f>D36*$C$33</f>
        <v>32000</v>
      </c>
      <c r="G36" s="205">
        <f>D36*$C$34</f>
        <v>128000</v>
      </c>
      <c r="H36" s="200">
        <f>D36*$C$35</f>
        <v>320000</v>
      </c>
      <c r="I36" s="205">
        <f>E36-F36-G36-H36</f>
        <v>746651</v>
      </c>
      <c r="J36" s="205">
        <f>SUM(F36:I36)</f>
        <v>1226651</v>
      </c>
    </row>
    <row r="37" spans="1:10" x14ac:dyDescent="0.45">
      <c r="A37" s="1"/>
      <c r="B37" s="198"/>
      <c r="C37" s="1" t="s">
        <v>67</v>
      </c>
      <c r="D37" s="2">
        <f t="shared" ref="D37:J37" si="2">SUM(D33:D36)</f>
        <v>849</v>
      </c>
      <c r="E37" s="2">
        <f t="shared" si="2"/>
        <v>6551597</v>
      </c>
      <c r="F37" s="2">
        <f t="shared" si="2"/>
        <v>2955683</v>
      </c>
      <c r="G37" s="2">
        <f t="shared" si="2"/>
        <v>2273128</v>
      </c>
      <c r="H37" s="7">
        <f t="shared" si="2"/>
        <v>576135</v>
      </c>
      <c r="I37" s="2">
        <f t="shared" si="2"/>
        <v>746651</v>
      </c>
      <c r="J37" s="2">
        <f t="shared" si="2"/>
        <v>6551597</v>
      </c>
    </row>
    <row r="38" spans="1:10" x14ac:dyDescent="0.45">
      <c r="A38" s="1"/>
      <c r="B38" s="1"/>
      <c r="C38" s="1"/>
      <c r="D38" s="1"/>
      <c r="E38" s="1"/>
      <c r="F38" s="1"/>
      <c r="G38" s="1"/>
      <c r="H38" s="7"/>
      <c r="I38" s="1"/>
      <c r="J38" s="1"/>
    </row>
    <row r="39" spans="1:10" x14ac:dyDescent="0.45">
      <c r="A39" s="1"/>
      <c r="B39" s="1"/>
      <c r="C39" s="1" t="s">
        <v>203</v>
      </c>
      <c r="D39" s="1"/>
      <c r="E39" s="1"/>
      <c r="F39" s="1"/>
      <c r="G39" s="1"/>
      <c r="H39" s="7"/>
      <c r="I39" s="1"/>
      <c r="J39" s="1"/>
    </row>
    <row r="40" spans="1:10" x14ac:dyDescent="0.45">
      <c r="A40" s="1"/>
      <c r="B40" s="1"/>
      <c r="C40" s="1"/>
      <c r="D40" s="1"/>
      <c r="E40" s="1"/>
      <c r="F40" s="1"/>
      <c r="G40" s="1"/>
      <c r="H40" s="7"/>
      <c r="I40" s="1"/>
      <c r="J40" s="1"/>
    </row>
    <row r="41" spans="1:10" x14ac:dyDescent="0.45">
      <c r="A41" s="1"/>
      <c r="B41" s="1"/>
      <c r="C41" s="237" t="s">
        <v>201</v>
      </c>
      <c r="D41" s="237" t="s">
        <v>202</v>
      </c>
      <c r="E41" s="237" t="s">
        <v>13</v>
      </c>
      <c r="F41" s="237" t="s">
        <v>204</v>
      </c>
      <c r="G41" s="237" t="s">
        <v>196</v>
      </c>
      <c r="H41" s="7"/>
      <c r="I41" s="1"/>
      <c r="J41" s="1"/>
    </row>
    <row r="42" spans="1:10" x14ac:dyDescent="0.45">
      <c r="A42" s="1"/>
      <c r="B42" s="198" t="s">
        <v>198</v>
      </c>
      <c r="C42" s="75">
        <f>C33</f>
        <v>4000</v>
      </c>
      <c r="D42" s="2">
        <f>D37</f>
        <v>849</v>
      </c>
      <c r="E42" s="2">
        <f>F37</f>
        <v>2955683</v>
      </c>
      <c r="F42" s="274">
        <f>Rates!F10*2</f>
        <v>45.76</v>
      </c>
      <c r="G42" s="202">
        <f>F42*D42</f>
        <v>38850.239999999998</v>
      </c>
      <c r="H42" s="7"/>
      <c r="I42" s="1"/>
      <c r="J42" s="1"/>
    </row>
    <row r="43" spans="1:10" x14ac:dyDescent="0.45">
      <c r="A43" s="1"/>
      <c r="B43" s="198" t="s">
        <v>199</v>
      </c>
      <c r="C43" s="75">
        <f>C34</f>
        <v>16000</v>
      </c>
      <c r="D43" s="1"/>
      <c r="E43" s="2">
        <f>G37</f>
        <v>2273128</v>
      </c>
      <c r="F43" s="273">
        <f>Rates!F11</f>
        <v>8.4740000000000006E-3</v>
      </c>
      <c r="G43" s="202">
        <f>E43*F43</f>
        <v>19262.486672000003</v>
      </c>
      <c r="H43" s="7"/>
      <c r="I43" s="1"/>
      <c r="J43" s="1"/>
    </row>
    <row r="44" spans="1:10" x14ac:dyDescent="0.45">
      <c r="A44" s="1"/>
      <c r="B44" s="198" t="s">
        <v>199</v>
      </c>
      <c r="C44" s="75">
        <f>C35</f>
        <v>40000</v>
      </c>
      <c r="D44" s="1"/>
      <c r="E44" s="2">
        <f>H37</f>
        <v>576135</v>
      </c>
      <c r="F44" s="273">
        <f>Rates!F12</f>
        <v>7.8899999999999994E-3</v>
      </c>
      <c r="G44" s="202">
        <f>E44*F44</f>
        <v>4545.7051499999998</v>
      </c>
      <c r="H44" s="7"/>
      <c r="I44" s="1"/>
      <c r="J44" s="1"/>
    </row>
    <row r="45" spans="1:10" x14ac:dyDescent="0.45">
      <c r="A45" s="1"/>
      <c r="B45" s="198" t="s">
        <v>200</v>
      </c>
      <c r="C45" s="200">
        <f>C36</f>
        <v>60000</v>
      </c>
      <c r="D45" s="201"/>
      <c r="E45" s="28">
        <f>I37</f>
        <v>746651</v>
      </c>
      <c r="F45" s="273">
        <f>Rates!F13</f>
        <v>7.306E-3</v>
      </c>
      <c r="G45" s="242">
        <f>E45*F45</f>
        <v>5455.0322059999999</v>
      </c>
      <c r="H45" s="7"/>
      <c r="I45" s="1"/>
      <c r="J45" s="1"/>
    </row>
    <row r="46" spans="1:10" x14ac:dyDescent="0.45">
      <c r="A46" s="1"/>
      <c r="B46" s="1"/>
      <c r="C46" s="1" t="s">
        <v>48</v>
      </c>
      <c r="D46" s="2">
        <f>SUM(D42:D45)</f>
        <v>849</v>
      </c>
      <c r="E46" s="2">
        <f>SUM(E42:E45)</f>
        <v>6551597</v>
      </c>
      <c r="F46" s="1"/>
      <c r="G46" s="202">
        <f>SUM(G42:G45)</f>
        <v>68113.464028000002</v>
      </c>
      <c r="H46" s="7"/>
      <c r="I46" s="1"/>
      <c r="J46" s="1"/>
    </row>
    <row r="48" spans="1:10" x14ac:dyDescent="0.45">
      <c r="A48" s="1" t="s">
        <v>266</v>
      </c>
      <c r="B48" s="1"/>
      <c r="C48" s="1" t="s">
        <v>265</v>
      </c>
      <c r="D48" s="1"/>
      <c r="E48" s="1"/>
      <c r="F48" s="1"/>
      <c r="G48" s="1"/>
      <c r="H48" s="7"/>
      <c r="I48" s="1"/>
      <c r="J48" s="1"/>
    </row>
    <row r="49" spans="1:10" x14ac:dyDescent="0.45">
      <c r="A49" s="1" t="s">
        <v>304</v>
      </c>
      <c r="B49" s="198"/>
      <c r="C49" s="198"/>
      <c r="D49" s="198"/>
      <c r="E49" s="198"/>
      <c r="F49" s="238" t="str">
        <f>B51</f>
        <v>First</v>
      </c>
      <c r="G49" s="238" t="str">
        <f>B52</f>
        <v>Next</v>
      </c>
      <c r="H49" s="241" t="str">
        <f>B53</f>
        <v>Next</v>
      </c>
      <c r="I49" s="238" t="str">
        <f>B54</f>
        <v>Over</v>
      </c>
      <c r="J49" s="238" t="s">
        <v>12</v>
      </c>
    </row>
    <row r="50" spans="1:10" x14ac:dyDescent="0.45">
      <c r="A50" s="1"/>
      <c r="B50" s="198"/>
      <c r="C50" s="197" t="s">
        <v>201</v>
      </c>
      <c r="D50" s="197" t="s">
        <v>202</v>
      </c>
      <c r="E50" s="197" t="s">
        <v>13</v>
      </c>
      <c r="F50" s="240">
        <f>C51</f>
        <v>6000</v>
      </c>
      <c r="G50" s="240">
        <f>C52</f>
        <v>24000</v>
      </c>
      <c r="H50" s="240">
        <f>C53</f>
        <v>60000</v>
      </c>
      <c r="I50" s="239">
        <f>C54</f>
        <v>90000</v>
      </c>
      <c r="J50" s="197"/>
    </row>
    <row r="51" spans="1:10" x14ac:dyDescent="0.45">
      <c r="A51" s="1"/>
      <c r="B51" s="198" t="s">
        <v>198</v>
      </c>
      <c r="C51" s="75">
        <v>6000</v>
      </c>
      <c r="D51" s="199">
        <v>24</v>
      </c>
      <c r="E51" s="199">
        <v>88449</v>
      </c>
      <c r="F51" s="199">
        <f>E51</f>
        <v>88449</v>
      </c>
      <c r="G51" s="199">
        <v>0</v>
      </c>
      <c r="H51" s="55">
        <v>0</v>
      </c>
      <c r="I51" s="199">
        <v>0</v>
      </c>
      <c r="J51" s="199">
        <f>SUM(F51:I51)</f>
        <v>88449</v>
      </c>
    </row>
    <row r="52" spans="1:10" x14ac:dyDescent="0.45">
      <c r="A52" s="1"/>
      <c r="B52" s="198" t="s">
        <v>199</v>
      </c>
      <c r="C52" s="75">
        <v>24000</v>
      </c>
      <c r="D52" s="199">
        <v>47</v>
      </c>
      <c r="E52" s="199">
        <v>541383</v>
      </c>
      <c r="F52" s="199">
        <f>D52*$C$51</f>
        <v>282000</v>
      </c>
      <c r="G52" s="199">
        <f>E52-F52</f>
        <v>259383</v>
      </c>
      <c r="H52" s="55">
        <v>0</v>
      </c>
      <c r="I52" s="199">
        <v>0</v>
      </c>
      <c r="J52" s="199">
        <f>SUM(F52:I52)</f>
        <v>541383</v>
      </c>
    </row>
    <row r="53" spans="1:10" x14ac:dyDescent="0.45">
      <c r="A53" s="1"/>
      <c r="B53" s="198" t="s">
        <v>199</v>
      </c>
      <c r="C53" s="75">
        <v>60000</v>
      </c>
      <c r="D53" s="199">
        <v>1</v>
      </c>
      <c r="E53" s="199">
        <v>49345</v>
      </c>
      <c r="F53" s="199">
        <f>D53*$C$51</f>
        <v>6000</v>
      </c>
      <c r="G53" s="199">
        <f>D53*$C$52</f>
        <v>24000</v>
      </c>
      <c r="H53" s="55">
        <f>E53-F53-G53</f>
        <v>19345</v>
      </c>
      <c r="I53" s="199">
        <v>0</v>
      </c>
      <c r="J53" s="199">
        <f>SUM(F53:I53)</f>
        <v>49345</v>
      </c>
    </row>
    <row r="54" spans="1:10" x14ac:dyDescent="0.45">
      <c r="A54" s="1"/>
      <c r="B54" s="198" t="s">
        <v>200</v>
      </c>
      <c r="C54" s="200">
        <v>90000</v>
      </c>
      <c r="D54" s="205">
        <v>0</v>
      </c>
      <c r="E54" s="205">
        <v>0</v>
      </c>
      <c r="F54" s="205">
        <f>D54*$C$51</f>
        <v>0</v>
      </c>
      <c r="G54" s="205">
        <f>D54*$C$52</f>
        <v>0</v>
      </c>
      <c r="H54" s="200">
        <f>D54*$C$53</f>
        <v>0</v>
      </c>
      <c r="I54" s="205">
        <f>E54-F54-G54-H54</f>
        <v>0</v>
      </c>
      <c r="J54" s="205">
        <f>SUM(F54:I54)</f>
        <v>0</v>
      </c>
    </row>
    <row r="55" spans="1:10" x14ac:dyDescent="0.45">
      <c r="A55" s="1"/>
      <c r="B55" s="198"/>
      <c r="C55" s="1" t="s">
        <v>67</v>
      </c>
      <c r="D55" s="2">
        <f t="shared" ref="D55:J55" si="3">SUM(D51:D54)</f>
        <v>72</v>
      </c>
      <c r="E55" s="2">
        <f t="shared" si="3"/>
        <v>679177</v>
      </c>
      <c r="F55" s="2">
        <f t="shared" si="3"/>
        <v>376449</v>
      </c>
      <c r="G55" s="2">
        <f t="shared" si="3"/>
        <v>283383</v>
      </c>
      <c r="H55" s="7">
        <f t="shared" si="3"/>
        <v>19345</v>
      </c>
      <c r="I55" s="2">
        <f t="shared" si="3"/>
        <v>0</v>
      </c>
      <c r="J55" s="2">
        <f t="shared" si="3"/>
        <v>679177</v>
      </c>
    </row>
    <row r="56" spans="1:10" x14ac:dyDescent="0.45">
      <c r="A56" s="1"/>
      <c r="B56" s="1"/>
      <c r="C56" s="1"/>
      <c r="D56" s="1"/>
      <c r="E56" s="1"/>
      <c r="F56" s="1"/>
      <c r="G56" s="1"/>
      <c r="H56" s="7"/>
      <c r="I56" s="1"/>
      <c r="J56" s="1"/>
    </row>
    <row r="57" spans="1:10" x14ac:dyDescent="0.45">
      <c r="A57" s="1"/>
      <c r="B57" s="1"/>
      <c r="C57" s="1" t="s">
        <v>203</v>
      </c>
      <c r="D57" s="1"/>
      <c r="E57" s="1"/>
      <c r="F57" s="1"/>
      <c r="G57" s="1"/>
      <c r="H57" s="7"/>
      <c r="I57" s="1"/>
      <c r="J57" s="1"/>
    </row>
    <row r="58" spans="1:10" x14ac:dyDescent="0.45">
      <c r="A58" s="1"/>
      <c r="B58" s="1"/>
      <c r="C58" s="1"/>
      <c r="D58" s="1"/>
      <c r="E58" s="1"/>
      <c r="F58" s="1"/>
      <c r="G58" s="1"/>
      <c r="H58" s="7"/>
      <c r="I58" s="1"/>
      <c r="J58" s="1"/>
    </row>
    <row r="59" spans="1:10" x14ac:dyDescent="0.45">
      <c r="A59" s="1"/>
      <c r="B59" s="1"/>
      <c r="C59" s="237" t="s">
        <v>201</v>
      </c>
      <c r="D59" s="237" t="s">
        <v>202</v>
      </c>
      <c r="E59" s="237" t="s">
        <v>13</v>
      </c>
      <c r="F59" s="237" t="s">
        <v>204</v>
      </c>
      <c r="G59" s="237" t="s">
        <v>196</v>
      </c>
      <c r="H59" s="7"/>
      <c r="I59" s="1"/>
      <c r="J59" s="1"/>
    </row>
    <row r="60" spans="1:10" x14ac:dyDescent="0.45">
      <c r="A60" s="1"/>
      <c r="B60" s="198" t="s">
        <v>198</v>
      </c>
      <c r="C60" s="75">
        <f>C51</f>
        <v>6000</v>
      </c>
      <c r="D60" s="2">
        <f>D55</f>
        <v>72</v>
      </c>
      <c r="E60" s="2">
        <f>F55</f>
        <v>376449</v>
      </c>
      <c r="F60" s="274">
        <f>Rates!F10*3</f>
        <v>68.64</v>
      </c>
      <c r="G60" s="202">
        <f>F60*D60</f>
        <v>4942.08</v>
      </c>
      <c r="H60" s="7"/>
      <c r="I60" s="1"/>
      <c r="J60" s="1"/>
    </row>
    <row r="61" spans="1:10" x14ac:dyDescent="0.45">
      <c r="A61" s="1"/>
      <c r="B61" s="198" t="s">
        <v>199</v>
      </c>
      <c r="C61" s="75">
        <f>C52</f>
        <v>24000</v>
      </c>
      <c r="D61" s="1"/>
      <c r="E61" s="2">
        <f>G55</f>
        <v>283383</v>
      </c>
      <c r="F61" s="273">
        <f>Rates!F11</f>
        <v>8.4740000000000006E-3</v>
      </c>
      <c r="G61" s="202">
        <f>E61*F61</f>
        <v>2401.3875420000004</v>
      </c>
      <c r="H61" s="7"/>
      <c r="I61" s="1"/>
      <c r="J61" s="1"/>
    </row>
    <row r="62" spans="1:10" x14ac:dyDescent="0.45">
      <c r="A62" s="1"/>
      <c r="B62" s="198" t="s">
        <v>199</v>
      </c>
      <c r="C62" s="75">
        <f>C53</f>
        <v>60000</v>
      </c>
      <c r="D62" s="1"/>
      <c r="E62" s="2">
        <f>H55</f>
        <v>19345</v>
      </c>
      <c r="F62" s="273">
        <f>Rates!F12</f>
        <v>7.8899999999999994E-3</v>
      </c>
      <c r="G62" s="202">
        <f>E62*F62</f>
        <v>152.63204999999999</v>
      </c>
      <c r="H62" s="7"/>
      <c r="I62" s="1"/>
      <c r="J62" s="1"/>
    </row>
    <row r="63" spans="1:10" x14ac:dyDescent="0.45">
      <c r="A63" s="1"/>
      <c r="B63" s="198" t="s">
        <v>200</v>
      </c>
      <c r="C63" s="200">
        <f>C54</f>
        <v>90000</v>
      </c>
      <c r="D63" s="201"/>
      <c r="E63" s="28">
        <f>I55</f>
        <v>0</v>
      </c>
      <c r="F63" s="273">
        <f>Rates!F13</f>
        <v>7.306E-3</v>
      </c>
      <c r="G63" s="242">
        <f>E63*F63</f>
        <v>0</v>
      </c>
      <c r="H63" s="7"/>
      <c r="I63" s="1"/>
      <c r="J63" s="1"/>
    </row>
    <row r="64" spans="1:10" x14ac:dyDescent="0.45">
      <c r="A64" s="1"/>
      <c r="B64" s="1"/>
      <c r="C64" s="1" t="s">
        <v>48</v>
      </c>
      <c r="D64" s="2">
        <f>SUM(D60:D63)</f>
        <v>72</v>
      </c>
      <c r="E64" s="2">
        <f>SUM(E60:E63)</f>
        <v>679177</v>
      </c>
      <c r="F64" s="1"/>
      <c r="G64" s="202">
        <f>SUM(G60:G63)</f>
        <v>7496.0995920000005</v>
      </c>
      <c r="H64" s="7"/>
      <c r="I64" s="1"/>
      <c r="J64" s="1"/>
    </row>
    <row r="66" spans="1:10" x14ac:dyDescent="0.45">
      <c r="A66" s="1" t="s">
        <v>266</v>
      </c>
      <c r="B66" s="1"/>
      <c r="C66" s="1" t="s">
        <v>265</v>
      </c>
      <c r="D66" s="1"/>
      <c r="E66" s="1"/>
      <c r="F66" s="1"/>
      <c r="G66" s="1"/>
      <c r="H66" s="7"/>
      <c r="I66" s="1"/>
      <c r="J66" s="1"/>
    </row>
    <row r="67" spans="1:10" x14ac:dyDescent="0.45">
      <c r="A67" s="1" t="s">
        <v>305</v>
      </c>
      <c r="B67" s="198"/>
      <c r="C67" s="198"/>
      <c r="D67" s="198"/>
      <c r="E67" s="198"/>
      <c r="F67" s="238" t="str">
        <f>B69</f>
        <v>First</v>
      </c>
      <c r="G67" s="238" t="str">
        <f>B70</f>
        <v>Next</v>
      </c>
      <c r="H67" s="241" t="str">
        <f>B71</f>
        <v>Next</v>
      </c>
      <c r="I67" s="238" t="str">
        <f>B72</f>
        <v>Over</v>
      </c>
      <c r="J67" s="238" t="s">
        <v>12</v>
      </c>
    </row>
    <row r="68" spans="1:10" x14ac:dyDescent="0.45">
      <c r="A68" s="1"/>
      <c r="B68" s="198"/>
      <c r="C68" s="197" t="s">
        <v>201</v>
      </c>
      <c r="D68" s="197" t="s">
        <v>202</v>
      </c>
      <c r="E68" s="197" t="s">
        <v>13</v>
      </c>
      <c r="F68" s="240">
        <f>C69</f>
        <v>8000</v>
      </c>
      <c r="G68" s="240">
        <f>C70</f>
        <v>32000</v>
      </c>
      <c r="H68" s="240">
        <f>C71</f>
        <v>80000</v>
      </c>
      <c r="I68" s="239">
        <f>C72</f>
        <v>120000</v>
      </c>
      <c r="J68" s="197"/>
    </row>
    <row r="69" spans="1:10" x14ac:dyDescent="0.45">
      <c r="A69" s="1"/>
      <c r="B69" s="198" t="s">
        <v>198</v>
      </c>
      <c r="C69" s="75">
        <v>8000</v>
      </c>
      <c r="D69" s="199">
        <v>13</v>
      </c>
      <c r="E69" s="199">
        <v>71596</v>
      </c>
      <c r="F69" s="199">
        <f>E69</f>
        <v>71596</v>
      </c>
      <c r="G69" s="199">
        <v>0</v>
      </c>
      <c r="H69" s="55">
        <v>0</v>
      </c>
      <c r="I69" s="199">
        <v>0</v>
      </c>
      <c r="J69" s="199">
        <f>SUM(F69:I69)</f>
        <v>71596</v>
      </c>
    </row>
    <row r="70" spans="1:10" x14ac:dyDescent="0.45">
      <c r="A70" s="1"/>
      <c r="B70" s="198" t="s">
        <v>199</v>
      </c>
      <c r="C70" s="75">
        <v>32000</v>
      </c>
      <c r="D70" s="199">
        <v>10</v>
      </c>
      <c r="E70" s="199">
        <v>114637</v>
      </c>
      <c r="F70" s="199">
        <f>D70*$C$69</f>
        <v>80000</v>
      </c>
      <c r="G70" s="199">
        <f>E70-F70</f>
        <v>34637</v>
      </c>
      <c r="H70" s="55">
        <v>0</v>
      </c>
      <c r="I70" s="199">
        <v>0</v>
      </c>
      <c r="J70" s="199">
        <f>SUM(F70:I70)</f>
        <v>114637</v>
      </c>
    </row>
    <row r="71" spans="1:10" x14ac:dyDescent="0.45">
      <c r="A71" s="1"/>
      <c r="B71" s="198" t="s">
        <v>199</v>
      </c>
      <c r="C71" s="75">
        <v>80000</v>
      </c>
      <c r="D71" s="199">
        <v>1</v>
      </c>
      <c r="E71" s="199">
        <v>48029</v>
      </c>
      <c r="F71" s="199">
        <f>D71*$C$69</f>
        <v>8000</v>
      </c>
      <c r="G71" s="199">
        <f>D71*$C$70</f>
        <v>32000</v>
      </c>
      <c r="H71" s="55">
        <f>E71-F71-G71</f>
        <v>8029</v>
      </c>
      <c r="I71" s="199">
        <v>0</v>
      </c>
      <c r="J71" s="199">
        <f>SUM(F71:I71)</f>
        <v>48029</v>
      </c>
    </row>
    <row r="72" spans="1:10" x14ac:dyDescent="0.45">
      <c r="A72" s="1"/>
      <c r="B72" s="198" t="s">
        <v>200</v>
      </c>
      <c r="C72" s="200">
        <v>120000</v>
      </c>
      <c r="D72" s="205">
        <v>0</v>
      </c>
      <c r="E72" s="205">
        <v>0</v>
      </c>
      <c r="F72" s="205">
        <f>D72*$C$69</f>
        <v>0</v>
      </c>
      <c r="G72" s="205">
        <f>D72*$C$70</f>
        <v>0</v>
      </c>
      <c r="H72" s="200">
        <f>D72*$C$71</f>
        <v>0</v>
      </c>
      <c r="I72" s="205">
        <f>E72-F72-G72-H72</f>
        <v>0</v>
      </c>
      <c r="J72" s="205">
        <f>SUM(F72:I72)</f>
        <v>0</v>
      </c>
    </row>
    <row r="73" spans="1:10" x14ac:dyDescent="0.45">
      <c r="A73" s="1"/>
      <c r="B73" s="198"/>
      <c r="C73" s="1" t="s">
        <v>67</v>
      </c>
      <c r="D73" s="2">
        <f t="shared" ref="D73:J73" si="4">SUM(D69:D72)</f>
        <v>24</v>
      </c>
      <c r="E73" s="2">
        <f t="shared" si="4"/>
        <v>234262</v>
      </c>
      <c r="F73" s="2">
        <f t="shared" si="4"/>
        <v>159596</v>
      </c>
      <c r="G73" s="2">
        <f t="shared" si="4"/>
        <v>66637</v>
      </c>
      <c r="H73" s="7">
        <f t="shared" si="4"/>
        <v>8029</v>
      </c>
      <c r="I73" s="2">
        <f t="shared" si="4"/>
        <v>0</v>
      </c>
      <c r="J73" s="2">
        <f t="shared" si="4"/>
        <v>234262</v>
      </c>
    </row>
    <row r="74" spans="1:10" x14ac:dyDescent="0.45">
      <c r="A74" s="1"/>
      <c r="B74" s="1"/>
      <c r="C74" s="1"/>
      <c r="D74" s="1"/>
      <c r="E74" s="1"/>
      <c r="F74" s="1"/>
      <c r="G74" s="1"/>
      <c r="H74" s="7"/>
      <c r="I74" s="1"/>
      <c r="J74" s="1"/>
    </row>
    <row r="75" spans="1:10" x14ac:dyDescent="0.45">
      <c r="A75" s="1"/>
      <c r="B75" s="1"/>
      <c r="C75" s="1" t="s">
        <v>203</v>
      </c>
      <c r="D75" s="1"/>
      <c r="E75" s="1"/>
      <c r="F75" s="1"/>
      <c r="G75" s="1"/>
      <c r="H75" s="7"/>
      <c r="I75" s="1"/>
      <c r="J75" s="1"/>
    </row>
    <row r="76" spans="1:10" x14ac:dyDescent="0.45">
      <c r="A76" s="1"/>
      <c r="B76" s="1"/>
      <c r="C76" s="1"/>
      <c r="D76" s="1"/>
      <c r="E76" s="1"/>
      <c r="F76" s="1"/>
      <c r="G76" s="1"/>
      <c r="H76" s="7"/>
      <c r="I76" s="1"/>
      <c r="J76" s="1"/>
    </row>
    <row r="77" spans="1:10" x14ac:dyDescent="0.45">
      <c r="A77" s="1"/>
      <c r="B77" s="1"/>
      <c r="C77" s="237" t="s">
        <v>201</v>
      </c>
      <c r="D77" s="237" t="s">
        <v>202</v>
      </c>
      <c r="E77" s="237" t="s">
        <v>13</v>
      </c>
      <c r="F77" s="237" t="s">
        <v>204</v>
      </c>
      <c r="G77" s="237" t="s">
        <v>196</v>
      </c>
      <c r="H77" s="7"/>
      <c r="I77" s="1"/>
      <c r="J77" s="1"/>
    </row>
    <row r="78" spans="1:10" x14ac:dyDescent="0.45">
      <c r="A78" s="1"/>
      <c r="B78" s="198" t="s">
        <v>198</v>
      </c>
      <c r="C78" s="75">
        <f>C69</f>
        <v>8000</v>
      </c>
      <c r="D78" s="2">
        <f>D73</f>
        <v>24</v>
      </c>
      <c r="E78" s="2">
        <f>F73</f>
        <v>159596</v>
      </c>
      <c r="F78" s="274">
        <f>Rates!F10*4</f>
        <v>91.52</v>
      </c>
      <c r="G78" s="202">
        <f>F78*D78</f>
        <v>2196.48</v>
      </c>
      <c r="H78" s="7"/>
      <c r="I78" s="1"/>
      <c r="J78" s="1"/>
    </row>
    <row r="79" spans="1:10" x14ac:dyDescent="0.45">
      <c r="A79" s="1"/>
      <c r="B79" s="198" t="s">
        <v>199</v>
      </c>
      <c r="C79" s="75">
        <f>C70</f>
        <v>32000</v>
      </c>
      <c r="D79" s="1"/>
      <c r="E79" s="2">
        <f>G73</f>
        <v>66637</v>
      </c>
      <c r="F79" s="273">
        <f>Rates!F11</f>
        <v>8.4740000000000006E-3</v>
      </c>
      <c r="G79" s="202">
        <f>E79*F79</f>
        <v>564.68193800000006</v>
      </c>
      <c r="H79" s="7"/>
      <c r="I79" s="1"/>
      <c r="J79" s="1"/>
    </row>
    <row r="80" spans="1:10" x14ac:dyDescent="0.45">
      <c r="A80" s="1"/>
      <c r="B80" s="198" t="s">
        <v>199</v>
      </c>
      <c r="C80" s="75">
        <f>C71</f>
        <v>80000</v>
      </c>
      <c r="D80" s="1"/>
      <c r="E80" s="2">
        <f>H73</f>
        <v>8029</v>
      </c>
      <c r="F80" s="273">
        <f>Rates!F12</f>
        <v>7.8899999999999994E-3</v>
      </c>
      <c r="G80" s="202">
        <f>E80*F80</f>
        <v>63.348809999999993</v>
      </c>
      <c r="H80" s="7"/>
      <c r="I80" s="1"/>
      <c r="J80" s="1"/>
    </row>
    <row r="81" spans="1:10" x14ac:dyDescent="0.45">
      <c r="A81" s="1"/>
      <c r="B81" s="198" t="s">
        <v>200</v>
      </c>
      <c r="C81" s="200">
        <f>C72</f>
        <v>120000</v>
      </c>
      <c r="D81" s="201"/>
      <c r="E81" s="28">
        <f>I73</f>
        <v>0</v>
      </c>
      <c r="F81" s="273">
        <f>Rates!F13</f>
        <v>7.306E-3</v>
      </c>
      <c r="G81" s="242">
        <f>E81*F81</f>
        <v>0</v>
      </c>
      <c r="H81" s="7"/>
      <c r="I81" s="1"/>
      <c r="J81" s="1"/>
    </row>
    <row r="82" spans="1:10" x14ac:dyDescent="0.45">
      <c r="A82" s="1"/>
      <c r="B82" s="1"/>
      <c r="C82" s="1" t="s">
        <v>48</v>
      </c>
      <c r="D82" s="2">
        <f>SUM(D78:D81)</f>
        <v>24</v>
      </c>
      <c r="E82" s="2">
        <f>SUM(E78:E81)</f>
        <v>234262</v>
      </c>
      <c r="F82" s="1"/>
      <c r="G82" s="202">
        <f>SUM(G78:G81)</f>
        <v>2824.5107480000001</v>
      </c>
      <c r="H82" s="7"/>
      <c r="I82" s="1"/>
      <c r="J82" s="1"/>
    </row>
    <row r="84" spans="1:10" x14ac:dyDescent="0.45">
      <c r="A84" s="1" t="s">
        <v>267</v>
      </c>
      <c r="B84" s="1"/>
      <c r="C84" s="1" t="s">
        <v>265</v>
      </c>
      <c r="D84" s="1"/>
      <c r="E84" s="1"/>
      <c r="F84" s="1"/>
      <c r="G84" s="1"/>
      <c r="H84" s="7"/>
      <c r="I84" s="1"/>
      <c r="J84" s="1"/>
    </row>
    <row r="85" spans="1:10" x14ac:dyDescent="0.45">
      <c r="A85" s="1" t="s">
        <v>302</v>
      </c>
      <c r="B85" s="198"/>
      <c r="C85" s="198"/>
      <c r="D85" s="198"/>
      <c r="E85" s="198"/>
      <c r="F85" s="238" t="str">
        <f>B87</f>
        <v>First</v>
      </c>
      <c r="G85" s="238" t="str">
        <f>B88</f>
        <v>Next</v>
      </c>
      <c r="H85" s="241" t="str">
        <f>B89</f>
        <v>Next</v>
      </c>
      <c r="I85" s="238" t="str">
        <f>B90</f>
        <v>Over</v>
      </c>
      <c r="J85" s="238" t="s">
        <v>12</v>
      </c>
    </row>
    <row r="86" spans="1:10" x14ac:dyDescent="0.45">
      <c r="A86" s="1"/>
      <c r="B86" s="198"/>
      <c r="C86" s="197" t="s">
        <v>201</v>
      </c>
      <c r="D86" s="197" t="s">
        <v>202</v>
      </c>
      <c r="E86" s="197" t="s">
        <v>13</v>
      </c>
      <c r="F86" s="240">
        <f>C87</f>
        <v>5000</v>
      </c>
      <c r="G86" s="240">
        <f>C88</f>
        <v>5000</v>
      </c>
      <c r="H86" s="240">
        <f>C89</f>
        <v>20000</v>
      </c>
      <c r="I86" s="239">
        <f>C90</f>
        <v>30000</v>
      </c>
      <c r="J86" s="197"/>
    </row>
    <row r="87" spans="1:10" x14ac:dyDescent="0.45">
      <c r="A87" s="1"/>
      <c r="B87" s="198" t="s">
        <v>198</v>
      </c>
      <c r="C87" s="75">
        <v>5000</v>
      </c>
      <c r="D87" s="199">
        <f>1604+106+30+19</f>
        <v>1759</v>
      </c>
      <c r="E87" s="199">
        <f>4486272+134838+88724+12330</f>
        <v>4722164</v>
      </c>
      <c r="F87" s="199">
        <f>E87</f>
        <v>4722164</v>
      </c>
      <c r="G87" s="199">
        <v>0</v>
      </c>
      <c r="H87" s="55">
        <v>0</v>
      </c>
      <c r="I87" s="199">
        <v>0</v>
      </c>
      <c r="J87" s="199">
        <f>SUM(F87:I87)</f>
        <v>4722164</v>
      </c>
    </row>
    <row r="88" spans="1:10" x14ac:dyDescent="0.45">
      <c r="A88" s="1"/>
      <c r="B88" s="198" t="s">
        <v>199</v>
      </c>
      <c r="C88" s="75">
        <v>5000</v>
      </c>
      <c r="D88" s="199">
        <f>899+21+6+0</f>
        <v>926</v>
      </c>
      <c r="E88" s="199">
        <f>6140546+157153+44335+0</f>
        <v>6342034</v>
      </c>
      <c r="F88" s="199">
        <f>D88*$C$87</f>
        <v>4630000</v>
      </c>
      <c r="G88" s="199">
        <f>E88-F88</f>
        <v>1712034</v>
      </c>
      <c r="H88" s="55">
        <v>0</v>
      </c>
      <c r="I88" s="199">
        <v>0</v>
      </c>
      <c r="J88" s="199">
        <f>SUM(F88:I88)</f>
        <v>6342034</v>
      </c>
    </row>
    <row r="89" spans="1:10" x14ac:dyDescent="0.45">
      <c r="A89" s="1"/>
      <c r="B89" s="198" t="s">
        <v>199</v>
      </c>
      <c r="C89" s="75">
        <v>20000</v>
      </c>
      <c r="D89" s="199">
        <f>322+24+11+3</f>
        <v>360</v>
      </c>
      <c r="E89" s="199">
        <f>5101626+458984+234959+71833</f>
        <v>5867402</v>
      </c>
      <c r="F89" s="199">
        <f>D89*$C$87</f>
        <v>1800000</v>
      </c>
      <c r="G89" s="199">
        <f>D89*$C$88</f>
        <v>1800000</v>
      </c>
      <c r="H89" s="55">
        <f>E89-F89-G89</f>
        <v>2267402</v>
      </c>
      <c r="I89" s="199">
        <v>0</v>
      </c>
      <c r="J89" s="199">
        <f>SUM(F89:I89)</f>
        <v>5867402</v>
      </c>
    </row>
    <row r="90" spans="1:10" x14ac:dyDescent="0.45">
      <c r="A90" s="1"/>
      <c r="B90" s="198" t="s">
        <v>200</v>
      </c>
      <c r="C90" s="200">
        <v>30000</v>
      </c>
      <c r="D90" s="205">
        <f>65+17+1+2</f>
        <v>85</v>
      </c>
      <c r="E90" s="205">
        <f>3591961+796340+36056+75554</f>
        <v>4499911</v>
      </c>
      <c r="F90" s="205">
        <f>D90*$C$87</f>
        <v>425000</v>
      </c>
      <c r="G90" s="205">
        <f>D90*$C$88</f>
        <v>425000</v>
      </c>
      <c r="H90" s="200">
        <f>D90*$C$89</f>
        <v>1700000</v>
      </c>
      <c r="I90" s="205">
        <f>E90-F90-G90-H90</f>
        <v>1949911</v>
      </c>
      <c r="J90" s="205">
        <f>SUM(F90:I90)</f>
        <v>4499911</v>
      </c>
    </row>
    <row r="91" spans="1:10" x14ac:dyDescent="0.45">
      <c r="A91" s="1"/>
      <c r="B91" s="198"/>
      <c r="C91" s="1" t="s">
        <v>67</v>
      </c>
      <c r="D91" s="2">
        <f t="shared" ref="D91:J91" si="5">SUM(D87:D90)</f>
        <v>3130</v>
      </c>
      <c r="E91" s="2">
        <f t="shared" si="5"/>
        <v>21431511</v>
      </c>
      <c r="F91" s="2">
        <f t="shared" si="5"/>
        <v>11577164</v>
      </c>
      <c r="G91" s="2">
        <f t="shared" si="5"/>
        <v>3937034</v>
      </c>
      <c r="H91" s="7">
        <f t="shared" si="5"/>
        <v>3967402</v>
      </c>
      <c r="I91" s="2">
        <f t="shared" si="5"/>
        <v>1949911</v>
      </c>
      <c r="J91" s="2">
        <f t="shared" si="5"/>
        <v>21431511</v>
      </c>
    </row>
    <row r="92" spans="1:10" x14ac:dyDescent="0.45">
      <c r="A92" s="1"/>
      <c r="B92" s="1"/>
      <c r="C92" s="1"/>
      <c r="D92" s="1"/>
      <c r="E92" s="1"/>
      <c r="F92" s="1"/>
      <c r="G92" s="1"/>
      <c r="H92" s="7"/>
      <c r="I92" s="1"/>
      <c r="J92" s="1"/>
    </row>
    <row r="93" spans="1:10" x14ac:dyDescent="0.45">
      <c r="A93" s="1"/>
      <c r="B93" s="1"/>
      <c r="C93" s="1" t="s">
        <v>203</v>
      </c>
      <c r="D93" s="1"/>
      <c r="E93" s="1"/>
      <c r="F93" s="1"/>
      <c r="G93" s="1"/>
      <c r="H93" s="7"/>
      <c r="I93" s="1"/>
      <c r="J93" s="1"/>
    </row>
    <row r="94" spans="1:10" x14ac:dyDescent="0.45">
      <c r="A94" s="1"/>
      <c r="B94" s="1"/>
      <c r="C94" s="1"/>
      <c r="D94" s="1"/>
      <c r="E94" s="1"/>
      <c r="F94" s="1"/>
      <c r="G94" s="1"/>
      <c r="H94" s="7"/>
      <c r="I94" s="1"/>
      <c r="J94" s="1"/>
    </row>
    <row r="95" spans="1:10" x14ac:dyDescent="0.45">
      <c r="A95" s="1"/>
      <c r="B95" s="1"/>
      <c r="C95" s="237" t="s">
        <v>201</v>
      </c>
      <c r="D95" s="237" t="s">
        <v>202</v>
      </c>
      <c r="E95" s="237" t="s">
        <v>13</v>
      </c>
      <c r="F95" s="237" t="s">
        <v>204</v>
      </c>
      <c r="G95" s="237" t="s">
        <v>196</v>
      </c>
      <c r="H95" s="7"/>
      <c r="I95" s="1"/>
      <c r="J95" s="1"/>
    </row>
    <row r="96" spans="1:10" x14ac:dyDescent="0.45">
      <c r="A96" s="1"/>
      <c r="B96" s="198" t="s">
        <v>198</v>
      </c>
      <c r="C96" s="75">
        <f>C87</f>
        <v>5000</v>
      </c>
      <c r="D96" s="2">
        <f>D91</f>
        <v>3130</v>
      </c>
      <c r="E96" s="2">
        <f>F91</f>
        <v>11577164</v>
      </c>
      <c r="F96" s="274">
        <f>Rates!F16</f>
        <v>48.3</v>
      </c>
      <c r="G96" s="202">
        <f>F96*D96</f>
        <v>151179</v>
      </c>
      <c r="H96" s="7"/>
      <c r="I96" s="1"/>
      <c r="J96" s="1"/>
    </row>
    <row r="97" spans="1:10" x14ac:dyDescent="0.45">
      <c r="A97" s="1"/>
      <c r="B97" s="198" t="s">
        <v>199</v>
      </c>
      <c r="C97" s="75">
        <f>C88</f>
        <v>5000</v>
      </c>
      <c r="D97" s="1"/>
      <c r="E97" s="2">
        <f>G91</f>
        <v>3937034</v>
      </c>
      <c r="F97" s="273">
        <f>Rates!F17</f>
        <v>8.4740000000000006E-3</v>
      </c>
      <c r="G97" s="202">
        <f>E97*F97</f>
        <v>33362.426116000002</v>
      </c>
      <c r="H97" s="7"/>
      <c r="I97" s="1"/>
      <c r="J97" s="1"/>
    </row>
    <row r="98" spans="1:10" x14ac:dyDescent="0.45">
      <c r="A98" s="1"/>
      <c r="B98" s="198" t="s">
        <v>199</v>
      </c>
      <c r="C98" s="75">
        <f>C89</f>
        <v>20000</v>
      </c>
      <c r="D98" s="1"/>
      <c r="E98" s="2">
        <f>H91</f>
        <v>3967402</v>
      </c>
      <c r="F98" s="273">
        <f>Rates!F18</f>
        <v>7.8899999999999994E-3</v>
      </c>
      <c r="G98" s="202">
        <f>E98*F98</f>
        <v>31302.801779999998</v>
      </c>
      <c r="H98" s="7"/>
      <c r="I98" s="1"/>
      <c r="J98" s="1"/>
    </row>
    <row r="99" spans="1:10" x14ac:dyDescent="0.45">
      <c r="A99" s="1"/>
      <c r="B99" s="198" t="s">
        <v>200</v>
      </c>
      <c r="C99" s="200">
        <f>C90</f>
        <v>30000</v>
      </c>
      <c r="D99" s="201"/>
      <c r="E99" s="28">
        <f>I91</f>
        <v>1949911</v>
      </c>
      <c r="F99" s="273">
        <f>Rates!F19</f>
        <v>7.306E-3</v>
      </c>
      <c r="G99" s="242">
        <f>E99*F99</f>
        <v>14246.049766</v>
      </c>
      <c r="H99" s="7"/>
      <c r="I99" s="1"/>
      <c r="J99" s="1"/>
    </row>
    <row r="100" spans="1:10" x14ac:dyDescent="0.45">
      <c r="A100" s="1"/>
      <c r="B100" s="1"/>
      <c r="C100" s="1" t="s">
        <v>48</v>
      </c>
      <c r="D100" s="2">
        <f>SUM(D96:D99)</f>
        <v>3130</v>
      </c>
      <c r="E100" s="2">
        <f>SUM(E96:E99)</f>
        <v>21431511</v>
      </c>
      <c r="F100" s="1"/>
      <c r="G100" s="202">
        <f>SUM(G96:G99)</f>
        <v>230090.27766200001</v>
      </c>
      <c r="H100" s="7"/>
      <c r="I100" s="1"/>
      <c r="J100" s="1"/>
    </row>
    <row r="102" spans="1:10" x14ac:dyDescent="0.45">
      <c r="A102" s="1" t="s">
        <v>267</v>
      </c>
      <c r="B102" s="1"/>
      <c r="C102" s="1" t="s">
        <v>265</v>
      </c>
      <c r="D102" s="1"/>
      <c r="E102" s="1"/>
      <c r="F102" s="1"/>
      <c r="G102" s="1"/>
      <c r="H102" s="7"/>
      <c r="I102" s="1"/>
      <c r="J102" s="1"/>
    </row>
    <row r="103" spans="1:10" x14ac:dyDescent="0.45">
      <c r="A103" s="1" t="s">
        <v>303</v>
      </c>
      <c r="B103" s="198"/>
      <c r="C103" s="198"/>
      <c r="D103" s="198"/>
      <c r="E103" s="198"/>
      <c r="F103" s="238" t="str">
        <f>B105</f>
        <v>First</v>
      </c>
      <c r="G103" s="238" t="str">
        <f>B106</f>
        <v>Next</v>
      </c>
      <c r="H103" s="241" t="str">
        <f>B107</f>
        <v>Next</v>
      </c>
      <c r="I103" s="238" t="str">
        <f>B108</f>
        <v>Over</v>
      </c>
      <c r="J103" s="238" t="s">
        <v>12</v>
      </c>
    </row>
    <row r="104" spans="1:10" x14ac:dyDescent="0.45">
      <c r="A104" s="1"/>
      <c r="B104" s="198"/>
      <c r="C104" s="197" t="s">
        <v>201</v>
      </c>
      <c r="D104" s="197" t="s">
        <v>202</v>
      </c>
      <c r="E104" s="197" t="s">
        <v>13</v>
      </c>
      <c r="F104" s="240">
        <f>C105</f>
        <v>10000</v>
      </c>
      <c r="G104" s="240">
        <f>C106</f>
        <v>10000</v>
      </c>
      <c r="H104" s="240">
        <f>C107</f>
        <v>40000</v>
      </c>
      <c r="I104" s="239">
        <f>C108</f>
        <v>60000</v>
      </c>
      <c r="J104" s="197"/>
    </row>
    <row r="105" spans="1:10" x14ac:dyDescent="0.45">
      <c r="A105" s="1"/>
      <c r="B105" s="198" t="s">
        <v>198</v>
      </c>
      <c r="C105" s="75">
        <v>10000</v>
      </c>
      <c r="D105" s="199">
        <v>16</v>
      </c>
      <c r="E105" s="199">
        <v>105063</v>
      </c>
      <c r="F105" s="199">
        <f>E105</f>
        <v>105063</v>
      </c>
      <c r="G105" s="199">
        <v>0</v>
      </c>
      <c r="H105" s="55">
        <v>0</v>
      </c>
      <c r="I105" s="199">
        <v>0</v>
      </c>
      <c r="J105" s="199">
        <f>SUM(F105:I105)</f>
        <v>105063</v>
      </c>
    </row>
    <row r="106" spans="1:10" x14ac:dyDescent="0.45">
      <c r="A106" s="1"/>
      <c r="B106" s="198" t="s">
        <v>199</v>
      </c>
      <c r="C106" s="75">
        <v>10000</v>
      </c>
      <c r="D106" s="199">
        <v>6</v>
      </c>
      <c r="E106" s="199">
        <v>79613</v>
      </c>
      <c r="F106" s="199">
        <f>D106*$C$105</f>
        <v>60000</v>
      </c>
      <c r="G106" s="199">
        <f>E106-F106</f>
        <v>19613</v>
      </c>
      <c r="H106" s="55">
        <v>0</v>
      </c>
      <c r="I106" s="199">
        <v>0</v>
      </c>
      <c r="J106" s="199">
        <f>SUM(F106:I106)</f>
        <v>79613</v>
      </c>
    </row>
    <row r="107" spans="1:10" x14ac:dyDescent="0.45">
      <c r="A107" s="1"/>
      <c r="B107" s="198" t="s">
        <v>199</v>
      </c>
      <c r="C107" s="75">
        <v>40000</v>
      </c>
      <c r="D107" s="199">
        <v>4</v>
      </c>
      <c r="E107" s="199">
        <v>166712</v>
      </c>
      <c r="F107" s="199">
        <f>D107*$C$105</f>
        <v>40000</v>
      </c>
      <c r="G107" s="199">
        <f>D107*$C$106</f>
        <v>40000</v>
      </c>
      <c r="H107" s="55">
        <f>E107-F107-G107</f>
        <v>86712</v>
      </c>
      <c r="I107" s="199">
        <v>0</v>
      </c>
      <c r="J107" s="199">
        <f>SUM(F107:I107)</f>
        <v>166712</v>
      </c>
    </row>
    <row r="108" spans="1:10" x14ac:dyDescent="0.45">
      <c r="A108" s="1"/>
      <c r="B108" s="198" t="s">
        <v>200</v>
      </c>
      <c r="C108" s="200">
        <v>60000</v>
      </c>
      <c r="D108" s="205">
        <v>10</v>
      </c>
      <c r="E108" s="205">
        <v>766441</v>
      </c>
      <c r="F108" s="205">
        <f>D108*$C$105</f>
        <v>100000</v>
      </c>
      <c r="G108" s="205">
        <f>D108*$C$106</f>
        <v>100000</v>
      </c>
      <c r="H108" s="200">
        <f>D108*$C$107</f>
        <v>400000</v>
      </c>
      <c r="I108" s="205">
        <f>E108-F108-G108-H108</f>
        <v>166441</v>
      </c>
      <c r="J108" s="205">
        <f>SUM(F108:I108)</f>
        <v>766441</v>
      </c>
    </row>
    <row r="109" spans="1:10" x14ac:dyDescent="0.45">
      <c r="A109" s="1"/>
      <c r="B109" s="198"/>
      <c r="C109" s="1" t="s">
        <v>67</v>
      </c>
      <c r="D109" s="2">
        <f t="shared" ref="D109:J109" si="6">SUM(D105:D108)</f>
        <v>36</v>
      </c>
      <c r="E109" s="2">
        <f t="shared" si="6"/>
        <v>1117829</v>
      </c>
      <c r="F109" s="2">
        <f t="shared" si="6"/>
        <v>305063</v>
      </c>
      <c r="G109" s="2">
        <f t="shared" si="6"/>
        <v>159613</v>
      </c>
      <c r="H109" s="7">
        <f t="shared" si="6"/>
        <v>486712</v>
      </c>
      <c r="I109" s="2">
        <f t="shared" si="6"/>
        <v>166441</v>
      </c>
      <c r="J109" s="2">
        <f t="shared" si="6"/>
        <v>1117829</v>
      </c>
    </row>
    <row r="110" spans="1:10" x14ac:dyDescent="0.45">
      <c r="A110" s="1"/>
      <c r="B110" s="1"/>
      <c r="C110" s="1"/>
      <c r="D110" s="1"/>
      <c r="E110" s="1"/>
      <c r="F110" s="1"/>
      <c r="G110" s="1"/>
      <c r="H110" s="7"/>
      <c r="I110" s="1"/>
      <c r="J110" s="1"/>
    </row>
    <row r="111" spans="1:10" x14ac:dyDescent="0.45">
      <c r="A111" s="1"/>
      <c r="B111" s="1"/>
      <c r="C111" s="1" t="s">
        <v>203</v>
      </c>
      <c r="D111" s="1"/>
      <c r="E111" s="1"/>
      <c r="F111" s="1"/>
      <c r="G111" s="1"/>
      <c r="H111" s="7"/>
      <c r="I111" s="1"/>
      <c r="J111" s="1"/>
    </row>
    <row r="112" spans="1:10" x14ac:dyDescent="0.45">
      <c r="A112" s="1"/>
      <c r="B112" s="1"/>
      <c r="C112" s="1"/>
      <c r="D112" s="1"/>
      <c r="E112" s="1"/>
      <c r="F112" s="1"/>
      <c r="G112" s="1"/>
      <c r="H112" s="7"/>
      <c r="I112" s="1"/>
      <c r="J112" s="1"/>
    </row>
    <row r="113" spans="1:10" x14ac:dyDescent="0.45">
      <c r="A113" s="1"/>
      <c r="B113" s="1"/>
      <c r="C113" s="237" t="s">
        <v>201</v>
      </c>
      <c r="D113" s="237" t="s">
        <v>202</v>
      </c>
      <c r="E113" s="237" t="s">
        <v>13</v>
      </c>
      <c r="F113" s="237" t="s">
        <v>204</v>
      </c>
      <c r="G113" s="237" t="s">
        <v>196</v>
      </c>
      <c r="H113" s="7"/>
      <c r="I113" s="1"/>
      <c r="J113" s="1"/>
    </row>
    <row r="114" spans="1:10" x14ac:dyDescent="0.45">
      <c r="A114" s="1"/>
      <c r="B114" s="198" t="s">
        <v>198</v>
      </c>
      <c r="C114" s="75">
        <v>10000</v>
      </c>
      <c r="D114" s="2">
        <f>D109</f>
        <v>36</v>
      </c>
      <c r="E114" s="2">
        <f>F109</f>
        <v>305063</v>
      </c>
      <c r="F114" s="274">
        <f>Rates!F16*2</f>
        <v>96.6</v>
      </c>
      <c r="G114" s="202">
        <f>F114*D114</f>
        <v>3477.6</v>
      </c>
      <c r="H114" s="7"/>
      <c r="I114" s="1"/>
      <c r="J114" s="1"/>
    </row>
    <row r="115" spans="1:10" x14ac:dyDescent="0.45">
      <c r="A115" s="1"/>
      <c r="B115" s="198" t="s">
        <v>199</v>
      </c>
      <c r="C115" s="75">
        <v>10000</v>
      </c>
      <c r="D115" s="1"/>
      <c r="E115" s="2">
        <f>G109</f>
        <v>159613</v>
      </c>
      <c r="F115" s="273">
        <f>Rates!F17</f>
        <v>8.4740000000000006E-3</v>
      </c>
      <c r="G115" s="202">
        <f>E115*F115</f>
        <v>1352.5605620000001</v>
      </c>
      <c r="H115" s="7"/>
      <c r="I115" s="1"/>
      <c r="J115" s="1"/>
    </row>
    <row r="116" spans="1:10" x14ac:dyDescent="0.45">
      <c r="A116" s="1"/>
      <c r="B116" s="198" t="s">
        <v>199</v>
      </c>
      <c r="C116" s="75">
        <v>40000</v>
      </c>
      <c r="D116" s="1"/>
      <c r="E116" s="2">
        <f>H109</f>
        <v>486712</v>
      </c>
      <c r="F116" s="273">
        <f>Rates!F18</f>
        <v>7.8899999999999994E-3</v>
      </c>
      <c r="G116" s="202">
        <f>E116*F116</f>
        <v>3840.1576799999998</v>
      </c>
      <c r="H116" s="7"/>
      <c r="I116" s="1"/>
      <c r="J116" s="1"/>
    </row>
    <row r="117" spans="1:10" x14ac:dyDescent="0.45">
      <c r="A117" s="1"/>
      <c r="B117" s="198" t="s">
        <v>200</v>
      </c>
      <c r="C117" s="200">
        <v>60000</v>
      </c>
      <c r="D117" s="201"/>
      <c r="E117" s="28">
        <f>I109</f>
        <v>166441</v>
      </c>
      <c r="F117" s="273">
        <f>Rates!F19</f>
        <v>7.306E-3</v>
      </c>
      <c r="G117" s="242">
        <f>E117*F117</f>
        <v>1216.0179459999999</v>
      </c>
      <c r="H117" s="7"/>
      <c r="I117" s="1"/>
      <c r="J117" s="1"/>
    </row>
    <row r="118" spans="1:10" x14ac:dyDescent="0.45">
      <c r="A118" s="1"/>
      <c r="B118" s="1"/>
      <c r="C118" s="1" t="s">
        <v>48</v>
      </c>
      <c r="D118" s="2">
        <f>SUM(D114:D117)</f>
        <v>36</v>
      </c>
      <c r="E118" s="2">
        <f>SUM(E114:E117)</f>
        <v>1117829</v>
      </c>
      <c r="F118" s="1"/>
      <c r="G118" s="202">
        <f>SUM(G114:G117)</f>
        <v>9886.3361879999993</v>
      </c>
      <c r="H118" s="7"/>
      <c r="I118" s="1"/>
      <c r="J118" s="1"/>
    </row>
    <row r="119" spans="1:10" x14ac:dyDescent="0.45">
      <c r="A119" s="1"/>
      <c r="B119" s="1"/>
      <c r="C119" s="1"/>
      <c r="D119" s="2"/>
      <c r="E119" s="2"/>
      <c r="F119" s="1"/>
      <c r="G119" s="202"/>
      <c r="H119" s="7"/>
      <c r="I119" s="1"/>
      <c r="J119" s="1"/>
    </row>
    <row r="120" spans="1:10" x14ac:dyDescent="0.45">
      <c r="A120" s="1" t="s">
        <v>268</v>
      </c>
      <c r="B120" s="1"/>
      <c r="C120" s="1" t="s">
        <v>265</v>
      </c>
      <c r="D120" s="1"/>
      <c r="E120" s="1"/>
      <c r="F120" s="1"/>
      <c r="G120" s="1"/>
      <c r="H120" s="7"/>
      <c r="I120" s="1"/>
      <c r="J120" s="1"/>
    </row>
    <row r="121" spans="1:10" x14ac:dyDescent="0.45">
      <c r="A121" s="1" t="s">
        <v>302</v>
      </c>
      <c r="B121" s="198"/>
      <c r="C121" s="198"/>
      <c r="D121" s="198"/>
      <c r="E121" s="198"/>
      <c r="F121" s="238" t="str">
        <f>B123</f>
        <v>First</v>
      </c>
      <c r="G121" s="238" t="str">
        <f>B124</f>
        <v>Next</v>
      </c>
      <c r="H121" s="238" t="str">
        <f>B125</f>
        <v>Over</v>
      </c>
      <c r="I121" s="238" t="s">
        <v>12</v>
      </c>
    </row>
    <row r="122" spans="1:10" x14ac:dyDescent="0.45">
      <c r="A122" s="1"/>
      <c r="B122" s="198"/>
      <c r="C122" s="197" t="s">
        <v>201</v>
      </c>
      <c r="D122" s="197" t="s">
        <v>202</v>
      </c>
      <c r="E122" s="197" t="s">
        <v>13</v>
      </c>
      <c r="F122" s="240">
        <f>C123</f>
        <v>16000</v>
      </c>
      <c r="G122" s="240">
        <f>C124</f>
        <v>14000</v>
      </c>
      <c r="H122" s="239">
        <f>C125</f>
        <v>30000</v>
      </c>
      <c r="I122" s="197"/>
    </row>
    <row r="123" spans="1:10" x14ac:dyDescent="0.45">
      <c r="A123" s="1"/>
      <c r="B123" s="198" t="s">
        <v>198</v>
      </c>
      <c r="C123" s="75">
        <v>16000</v>
      </c>
      <c r="D123" s="199">
        <f>103+48+8+2</f>
        <v>161</v>
      </c>
      <c r="E123" s="199">
        <f>532600+331673+49598+0</f>
        <v>913871</v>
      </c>
      <c r="F123" s="199">
        <f>E123</f>
        <v>913871</v>
      </c>
      <c r="G123" s="199">
        <v>0</v>
      </c>
      <c r="H123" s="199">
        <v>0</v>
      </c>
      <c r="I123" s="199">
        <f>SUM(F123:H123)</f>
        <v>913871</v>
      </c>
    </row>
    <row r="124" spans="1:10" x14ac:dyDescent="0.45">
      <c r="A124" s="1"/>
      <c r="B124" s="198" t="s">
        <v>199</v>
      </c>
      <c r="C124" s="75">
        <v>14000</v>
      </c>
      <c r="D124" s="199">
        <f>36+9+3+1</f>
        <v>49</v>
      </c>
      <c r="E124" s="199">
        <f>803209+169248+64758+22600</f>
        <v>1059815</v>
      </c>
      <c r="F124" s="199">
        <f>D124*$C$123</f>
        <v>784000</v>
      </c>
      <c r="G124" s="199">
        <f>E124-F124</f>
        <v>275815</v>
      </c>
      <c r="H124" s="199">
        <v>0</v>
      </c>
      <c r="I124" s="199">
        <f>SUM(F124:H124)</f>
        <v>1059815</v>
      </c>
    </row>
    <row r="125" spans="1:10" x14ac:dyDescent="0.45">
      <c r="A125" s="1"/>
      <c r="B125" s="198" t="s">
        <v>200</v>
      </c>
      <c r="C125" s="200">
        <v>30000</v>
      </c>
      <c r="D125" s="205">
        <f>26+39+1</f>
        <v>66</v>
      </c>
      <c r="E125" s="205">
        <f>1525730+3967869+37013</f>
        <v>5530612</v>
      </c>
      <c r="F125" s="205">
        <f>D125*$C$123</f>
        <v>1056000</v>
      </c>
      <c r="G125" s="205">
        <f>D125*$C$124</f>
        <v>924000</v>
      </c>
      <c r="H125" s="205">
        <f>E125-F125-G125</f>
        <v>3550612</v>
      </c>
      <c r="I125" s="205">
        <f>SUM(F125:H125)</f>
        <v>5530612</v>
      </c>
    </row>
    <row r="126" spans="1:10" x14ac:dyDescent="0.45">
      <c r="A126" s="1"/>
      <c r="B126" s="198"/>
      <c r="C126" s="1" t="s">
        <v>67</v>
      </c>
      <c r="D126" s="2">
        <f t="shared" ref="D126:I126" si="7">SUM(D123:D125)</f>
        <v>276</v>
      </c>
      <c r="E126" s="2">
        <f t="shared" si="7"/>
        <v>7504298</v>
      </c>
      <c r="F126" s="2">
        <f t="shared" si="7"/>
        <v>2753871</v>
      </c>
      <c r="G126" s="2">
        <f t="shared" si="7"/>
        <v>1199815</v>
      </c>
      <c r="H126" s="2">
        <f t="shared" si="7"/>
        <v>3550612</v>
      </c>
      <c r="I126" s="2">
        <f t="shared" si="7"/>
        <v>7504298</v>
      </c>
    </row>
    <row r="127" spans="1:10" x14ac:dyDescent="0.45">
      <c r="A127" s="1"/>
      <c r="B127" s="1"/>
      <c r="C127" s="1"/>
      <c r="D127" s="1"/>
      <c r="E127" s="1"/>
      <c r="F127" s="1"/>
      <c r="G127" s="1"/>
      <c r="H127" s="7"/>
      <c r="I127" s="1"/>
      <c r="J127" s="1"/>
    </row>
    <row r="128" spans="1:10" x14ac:dyDescent="0.45">
      <c r="A128" s="1"/>
      <c r="B128" s="1"/>
      <c r="C128" s="1" t="s">
        <v>203</v>
      </c>
      <c r="D128" s="1"/>
      <c r="E128" s="1"/>
      <c r="F128" s="1"/>
      <c r="G128" s="1"/>
      <c r="H128" s="7"/>
      <c r="I128" s="1"/>
      <c r="J128" s="1"/>
    </row>
    <row r="129" spans="1:10" x14ac:dyDescent="0.45">
      <c r="A129" s="1"/>
      <c r="B129" s="1"/>
      <c r="C129" s="1"/>
      <c r="D129" s="1"/>
      <c r="E129" s="1"/>
      <c r="F129" s="1"/>
      <c r="G129" s="1"/>
      <c r="H129" s="7"/>
      <c r="I129" s="1"/>
      <c r="J129" s="1"/>
    </row>
    <row r="130" spans="1:10" x14ac:dyDescent="0.45">
      <c r="A130" s="1"/>
      <c r="B130" s="1"/>
      <c r="C130" s="237" t="s">
        <v>201</v>
      </c>
      <c r="D130" s="237" t="s">
        <v>202</v>
      </c>
      <c r="E130" s="237" t="s">
        <v>13</v>
      </c>
      <c r="F130" s="237" t="s">
        <v>204</v>
      </c>
      <c r="G130" s="237" t="s">
        <v>196</v>
      </c>
      <c r="H130" s="7"/>
      <c r="I130" s="1"/>
      <c r="J130" s="1"/>
    </row>
    <row r="131" spans="1:10" x14ac:dyDescent="0.45">
      <c r="A131" s="1"/>
      <c r="B131" s="198" t="s">
        <v>198</v>
      </c>
      <c r="C131" s="75">
        <f>C123</f>
        <v>16000</v>
      </c>
      <c r="D131" s="2">
        <f>D126</f>
        <v>276</v>
      </c>
      <c r="E131" s="2">
        <f>F126</f>
        <v>2753871</v>
      </c>
      <c r="F131" s="274">
        <f>Rates!F22</f>
        <v>138.01</v>
      </c>
      <c r="G131" s="202">
        <f>F131*D131</f>
        <v>38090.759999999995</v>
      </c>
      <c r="H131" s="7"/>
      <c r="I131" s="1"/>
      <c r="J131" s="1"/>
    </row>
    <row r="132" spans="1:10" x14ac:dyDescent="0.45">
      <c r="A132" s="1"/>
      <c r="B132" s="198" t="s">
        <v>199</v>
      </c>
      <c r="C132" s="75">
        <f>C124</f>
        <v>14000</v>
      </c>
      <c r="D132" s="1"/>
      <c r="E132" s="2">
        <f>G126</f>
        <v>1199815</v>
      </c>
      <c r="F132" s="273">
        <f>Rates!F23</f>
        <v>7.8899999999999994E-3</v>
      </c>
      <c r="G132" s="202">
        <f>E132*F132</f>
        <v>9466.5403499999993</v>
      </c>
      <c r="H132" s="7"/>
      <c r="I132" s="1"/>
      <c r="J132" s="1"/>
    </row>
    <row r="133" spans="1:10" x14ac:dyDescent="0.45">
      <c r="A133" s="1"/>
      <c r="B133" s="198" t="s">
        <v>200</v>
      </c>
      <c r="C133" s="200">
        <f>C125</f>
        <v>30000</v>
      </c>
      <c r="D133" s="201"/>
      <c r="E133" s="28">
        <f>H126</f>
        <v>3550612</v>
      </c>
      <c r="F133" s="273">
        <f>Rates!F24</f>
        <v>7.306E-3</v>
      </c>
      <c r="G133" s="242">
        <f>E133*F133</f>
        <v>25940.771272000002</v>
      </c>
      <c r="H133" s="7"/>
      <c r="I133" s="1"/>
      <c r="J133" s="1"/>
    </row>
    <row r="134" spans="1:10" x14ac:dyDescent="0.45">
      <c r="A134" s="1"/>
      <c r="B134" s="1"/>
      <c r="C134" s="1" t="s">
        <v>48</v>
      </c>
      <c r="D134" s="2">
        <f>SUM(D131:D133)</f>
        <v>276</v>
      </c>
      <c r="E134" s="2">
        <f>SUM(E131:E133)</f>
        <v>7504298</v>
      </c>
      <c r="F134" s="1"/>
      <c r="G134" s="202">
        <f>SUM(G131:G133)</f>
        <v>73498.071621999989</v>
      </c>
      <c r="H134" s="7"/>
      <c r="I134" s="1"/>
      <c r="J134" s="1"/>
    </row>
    <row r="136" spans="1:10" x14ac:dyDescent="0.45">
      <c r="A136" s="1" t="s">
        <v>268</v>
      </c>
      <c r="B136" s="1"/>
      <c r="C136" s="1" t="s">
        <v>265</v>
      </c>
      <c r="D136" s="1"/>
      <c r="E136" s="1"/>
      <c r="F136" s="1"/>
      <c r="G136" s="1"/>
      <c r="H136" s="7"/>
      <c r="I136" s="1"/>
      <c r="J136" s="1"/>
    </row>
    <row r="137" spans="1:10" x14ac:dyDescent="0.45">
      <c r="A137" s="1" t="s">
        <v>303</v>
      </c>
      <c r="B137" s="198"/>
      <c r="C137" s="198"/>
      <c r="D137" s="198"/>
      <c r="E137" s="198"/>
      <c r="F137" s="238" t="str">
        <f>B139</f>
        <v>First</v>
      </c>
      <c r="G137" s="238" t="str">
        <f>B140</f>
        <v>Next</v>
      </c>
      <c r="H137" s="238" t="str">
        <f>B141</f>
        <v>Over</v>
      </c>
      <c r="I137" s="238" t="s">
        <v>12</v>
      </c>
    </row>
    <row r="138" spans="1:10" x14ac:dyDescent="0.45">
      <c r="A138" s="1"/>
      <c r="B138" s="198"/>
      <c r="C138" s="197" t="s">
        <v>201</v>
      </c>
      <c r="D138" s="197" t="s">
        <v>202</v>
      </c>
      <c r="E138" s="197" t="s">
        <v>13</v>
      </c>
      <c r="F138" s="240">
        <f>C139</f>
        <v>32000</v>
      </c>
      <c r="G138" s="240">
        <f>C140</f>
        <v>28000</v>
      </c>
      <c r="H138" s="239">
        <f>C141</f>
        <v>60000</v>
      </c>
      <c r="I138" s="197"/>
    </row>
    <row r="139" spans="1:10" x14ac:dyDescent="0.45">
      <c r="A139" s="1"/>
      <c r="B139" s="198" t="s">
        <v>198</v>
      </c>
      <c r="C139" s="75">
        <v>32000</v>
      </c>
      <c r="D139" s="199">
        <v>11</v>
      </c>
      <c r="E139" s="199">
        <v>194752</v>
      </c>
      <c r="F139" s="199">
        <f>E139</f>
        <v>194752</v>
      </c>
      <c r="G139" s="199">
        <v>0</v>
      </c>
      <c r="H139" s="199">
        <v>0</v>
      </c>
      <c r="I139" s="199">
        <f>SUM(F139:H139)</f>
        <v>194752</v>
      </c>
    </row>
    <row r="140" spans="1:10" x14ac:dyDescent="0.45">
      <c r="A140" s="1"/>
      <c r="B140" s="198" t="s">
        <v>199</v>
      </c>
      <c r="C140" s="75">
        <v>28000</v>
      </c>
      <c r="D140" s="199">
        <v>1</v>
      </c>
      <c r="E140" s="199">
        <v>35980</v>
      </c>
      <c r="F140" s="199">
        <f>D140*$C$139</f>
        <v>32000</v>
      </c>
      <c r="G140" s="199">
        <f>E140-F140</f>
        <v>3980</v>
      </c>
      <c r="H140" s="199">
        <v>0</v>
      </c>
      <c r="I140" s="199">
        <f>SUM(F140:H140)</f>
        <v>35980</v>
      </c>
    </row>
    <row r="141" spans="1:10" x14ac:dyDescent="0.45">
      <c r="A141" s="1"/>
      <c r="B141" s="198" t="s">
        <v>200</v>
      </c>
      <c r="C141" s="200">
        <v>60000</v>
      </c>
      <c r="D141" s="205">
        <v>0</v>
      </c>
      <c r="E141" s="205">
        <v>0</v>
      </c>
      <c r="F141" s="205">
        <f>D141*$C$139</f>
        <v>0</v>
      </c>
      <c r="G141" s="205">
        <f>D141*$C$140</f>
        <v>0</v>
      </c>
      <c r="H141" s="205">
        <f>E141-F141-G141</f>
        <v>0</v>
      </c>
      <c r="I141" s="205">
        <f>SUM(F141:H141)</f>
        <v>0</v>
      </c>
    </row>
    <row r="142" spans="1:10" x14ac:dyDescent="0.45">
      <c r="A142" s="1"/>
      <c r="B142" s="198"/>
      <c r="C142" s="1" t="s">
        <v>67</v>
      </c>
      <c r="D142" s="2">
        <f t="shared" ref="D142:I142" si="8">SUM(D139:D141)</f>
        <v>12</v>
      </c>
      <c r="E142" s="2">
        <f t="shared" si="8"/>
        <v>230732</v>
      </c>
      <c r="F142" s="2">
        <f t="shared" si="8"/>
        <v>226752</v>
      </c>
      <c r="G142" s="2">
        <f t="shared" si="8"/>
        <v>3980</v>
      </c>
      <c r="H142" s="2">
        <f t="shared" si="8"/>
        <v>0</v>
      </c>
      <c r="I142" s="2">
        <f t="shared" si="8"/>
        <v>230732</v>
      </c>
      <c r="J142" s="1"/>
    </row>
    <row r="143" spans="1:10" x14ac:dyDescent="0.45">
      <c r="A143" s="1"/>
      <c r="B143" s="1"/>
      <c r="C143" s="1"/>
      <c r="D143" s="1"/>
      <c r="E143" s="1"/>
      <c r="F143" s="1"/>
      <c r="G143" s="1"/>
      <c r="H143" s="7"/>
      <c r="I143" s="1"/>
      <c r="J143" s="1"/>
    </row>
    <row r="144" spans="1:10" x14ac:dyDescent="0.45">
      <c r="A144" s="1"/>
      <c r="B144" s="1"/>
      <c r="C144" s="1" t="s">
        <v>203</v>
      </c>
      <c r="D144" s="1"/>
      <c r="E144" s="1"/>
      <c r="F144" s="1"/>
      <c r="G144" s="1"/>
      <c r="H144" s="7"/>
      <c r="I144" s="1"/>
      <c r="J144" s="1"/>
    </row>
    <row r="145" spans="1:10" x14ac:dyDescent="0.45">
      <c r="A145" s="1"/>
      <c r="B145" s="1"/>
      <c r="C145" s="1"/>
      <c r="D145" s="1"/>
      <c r="E145" s="1"/>
      <c r="F145" s="1"/>
      <c r="G145" s="1"/>
      <c r="H145" s="7"/>
      <c r="I145" s="1"/>
      <c r="J145" s="1"/>
    </row>
    <row r="146" spans="1:10" x14ac:dyDescent="0.45">
      <c r="A146" s="1"/>
      <c r="B146" s="1"/>
      <c r="C146" s="237" t="s">
        <v>201</v>
      </c>
      <c r="D146" s="237" t="s">
        <v>202</v>
      </c>
      <c r="E146" s="237" t="s">
        <v>13</v>
      </c>
      <c r="F146" s="237" t="s">
        <v>204</v>
      </c>
      <c r="G146" s="237" t="s">
        <v>196</v>
      </c>
      <c r="H146" s="7"/>
      <c r="I146" s="1"/>
      <c r="J146" s="1"/>
    </row>
    <row r="147" spans="1:10" x14ac:dyDescent="0.45">
      <c r="A147" s="1"/>
      <c r="B147" s="198" t="s">
        <v>198</v>
      </c>
      <c r="C147" s="75">
        <f>C139</f>
        <v>32000</v>
      </c>
      <c r="D147" s="2">
        <f>D142</f>
        <v>12</v>
      </c>
      <c r="E147" s="2">
        <f>F142</f>
        <v>226752</v>
      </c>
      <c r="F147" s="274">
        <f>Rates!F22*2</f>
        <v>276.02</v>
      </c>
      <c r="G147" s="202">
        <f>F147*D147</f>
        <v>3312.24</v>
      </c>
      <c r="H147" s="7"/>
      <c r="I147" s="1"/>
      <c r="J147" s="1"/>
    </row>
    <row r="148" spans="1:10" x14ac:dyDescent="0.45">
      <c r="A148" s="1"/>
      <c r="B148" s="198" t="s">
        <v>199</v>
      </c>
      <c r="C148" s="75">
        <f>C140</f>
        <v>28000</v>
      </c>
      <c r="D148" s="1"/>
      <c r="E148" s="2">
        <f>G142</f>
        <v>3980</v>
      </c>
      <c r="F148" s="273">
        <f>Rates!F23</f>
        <v>7.8899999999999994E-3</v>
      </c>
      <c r="G148" s="202">
        <f>E148*F148</f>
        <v>31.402199999999997</v>
      </c>
      <c r="H148" s="7"/>
      <c r="I148" s="1"/>
      <c r="J148" s="1"/>
    </row>
    <row r="149" spans="1:10" x14ac:dyDescent="0.45">
      <c r="A149" s="1"/>
      <c r="B149" s="198" t="s">
        <v>200</v>
      </c>
      <c r="C149" s="200">
        <f>C141</f>
        <v>60000</v>
      </c>
      <c r="D149" s="201"/>
      <c r="E149" s="28">
        <f>H142</f>
        <v>0</v>
      </c>
      <c r="F149" s="273">
        <f>Rates!F24</f>
        <v>7.306E-3</v>
      </c>
      <c r="G149" s="242">
        <f>E149*F149</f>
        <v>0</v>
      </c>
      <c r="H149" s="7"/>
      <c r="I149" s="1"/>
    </row>
    <row r="150" spans="1:10" x14ac:dyDescent="0.45">
      <c r="A150" s="1"/>
      <c r="B150" s="1"/>
      <c r="C150" s="1" t="s">
        <v>48</v>
      </c>
      <c r="D150" s="2">
        <f>SUM(D147:D149)</f>
        <v>12</v>
      </c>
      <c r="E150" s="2">
        <f>SUM(E147:E149)</f>
        <v>230732</v>
      </c>
      <c r="F150" s="1"/>
      <c r="G150" s="202">
        <f>SUM(G147:G149)</f>
        <v>3343.6421999999998</v>
      </c>
      <c r="H150" s="7"/>
      <c r="I150" s="1"/>
      <c r="J150" s="1"/>
    </row>
    <row r="152" spans="1:10" x14ac:dyDescent="0.45">
      <c r="A152" s="1" t="s">
        <v>269</v>
      </c>
      <c r="B152" s="1"/>
      <c r="C152" s="1" t="s">
        <v>265</v>
      </c>
      <c r="D152" s="1"/>
      <c r="E152" s="1"/>
      <c r="F152" s="1"/>
      <c r="G152" s="1"/>
      <c r="H152" s="7"/>
      <c r="I152" s="1"/>
    </row>
    <row r="153" spans="1:10" x14ac:dyDescent="0.45">
      <c r="A153" s="1" t="s">
        <v>302</v>
      </c>
      <c r="B153" s="198"/>
      <c r="C153" s="198"/>
      <c r="D153" s="198"/>
      <c r="E153" s="198"/>
      <c r="F153" s="238" t="str">
        <f>B155</f>
        <v>First</v>
      </c>
      <c r="G153" s="238" t="str">
        <f>B156</f>
        <v>Over</v>
      </c>
      <c r="H153" s="238" t="s">
        <v>12</v>
      </c>
    </row>
    <row r="154" spans="1:10" x14ac:dyDescent="0.45">
      <c r="A154" s="1"/>
      <c r="B154" s="198"/>
      <c r="C154" s="197" t="s">
        <v>201</v>
      </c>
      <c r="D154" s="197" t="s">
        <v>202</v>
      </c>
      <c r="E154" s="197" t="s">
        <v>13</v>
      </c>
      <c r="F154" s="240">
        <f>C155</f>
        <v>30000</v>
      </c>
      <c r="G154" s="239">
        <f>C156</f>
        <v>30000</v>
      </c>
      <c r="H154" s="197"/>
    </row>
    <row r="155" spans="1:10" x14ac:dyDescent="0.45">
      <c r="A155" s="1"/>
      <c r="B155" s="198" t="s">
        <v>198</v>
      </c>
      <c r="C155" s="75">
        <v>30000</v>
      </c>
      <c r="D155" s="199">
        <v>1</v>
      </c>
      <c r="E155" s="199">
        <v>21700</v>
      </c>
      <c r="F155" s="199">
        <f>E155</f>
        <v>21700</v>
      </c>
      <c r="G155" s="199">
        <v>0</v>
      </c>
      <c r="H155" s="199">
        <f>SUM(F155:G155)</f>
        <v>21700</v>
      </c>
    </row>
    <row r="156" spans="1:10" x14ac:dyDescent="0.45">
      <c r="A156" s="1"/>
      <c r="B156" s="198" t="s">
        <v>200</v>
      </c>
      <c r="C156" s="200">
        <v>30000</v>
      </c>
      <c r="D156" s="205">
        <v>0</v>
      </c>
      <c r="E156" s="205">
        <v>0</v>
      </c>
      <c r="F156" s="205">
        <f>D156*$C$156</f>
        <v>0</v>
      </c>
      <c r="G156" s="205">
        <f>E156-F156</f>
        <v>0</v>
      </c>
      <c r="H156" s="205">
        <f>SUM(F156:G156)</f>
        <v>0</v>
      </c>
      <c r="J156" s="1"/>
    </row>
    <row r="157" spans="1:10" x14ac:dyDescent="0.45">
      <c r="A157" s="1"/>
      <c r="B157" s="198"/>
      <c r="C157" s="1" t="s">
        <v>67</v>
      </c>
      <c r="D157" s="2">
        <f>SUM(D155:D156)</f>
        <v>1</v>
      </c>
      <c r="E157" s="2">
        <f>SUM(E155:E156)</f>
        <v>21700</v>
      </c>
      <c r="F157" s="2">
        <f>SUM(F155:F156)</f>
        <v>21700</v>
      </c>
      <c r="G157" s="2">
        <f>SUM(G155:G156)</f>
        <v>0</v>
      </c>
      <c r="H157" s="2">
        <f>SUM(H155:H156)</f>
        <v>21700</v>
      </c>
      <c r="J157" s="1"/>
    </row>
    <row r="158" spans="1:10" x14ac:dyDescent="0.45">
      <c r="A158" s="1"/>
      <c r="B158" s="1"/>
      <c r="C158" s="1"/>
      <c r="D158" s="1"/>
      <c r="E158" s="1"/>
      <c r="F158" s="1"/>
      <c r="G158" s="1"/>
      <c r="H158" s="7"/>
      <c r="I158" s="1"/>
      <c r="J158" s="1"/>
    </row>
    <row r="159" spans="1:10" x14ac:dyDescent="0.45">
      <c r="A159" s="1"/>
      <c r="B159" s="1"/>
      <c r="C159" s="1" t="s">
        <v>203</v>
      </c>
      <c r="D159" s="1"/>
      <c r="E159" s="1"/>
      <c r="F159" s="1"/>
      <c r="G159" s="1"/>
      <c r="H159" s="7"/>
      <c r="I159" s="1"/>
      <c r="J159" s="1"/>
    </row>
    <row r="160" spans="1:10" x14ac:dyDescent="0.45">
      <c r="A160" s="1"/>
      <c r="B160" s="1"/>
      <c r="C160" s="1"/>
      <c r="D160" s="1"/>
      <c r="E160" s="1"/>
      <c r="F160" s="1"/>
      <c r="G160" s="1"/>
      <c r="H160" s="7"/>
      <c r="I160" s="1"/>
      <c r="J160" s="1"/>
    </row>
    <row r="161" spans="1:10" x14ac:dyDescent="0.45">
      <c r="A161" s="1"/>
      <c r="B161" s="1"/>
      <c r="C161" s="237" t="s">
        <v>201</v>
      </c>
      <c r="D161" s="237" t="s">
        <v>202</v>
      </c>
      <c r="E161" s="237" t="s">
        <v>13</v>
      </c>
      <c r="F161" s="237" t="s">
        <v>204</v>
      </c>
      <c r="G161" s="237" t="s">
        <v>196</v>
      </c>
      <c r="H161" s="7"/>
      <c r="I161" s="1"/>
      <c r="J161" s="1"/>
    </row>
    <row r="162" spans="1:10" x14ac:dyDescent="0.45">
      <c r="A162" s="1"/>
      <c r="B162" s="198" t="s">
        <v>198</v>
      </c>
      <c r="C162" s="75">
        <f>C155</f>
        <v>30000</v>
      </c>
      <c r="D162" s="2">
        <f>D157</f>
        <v>1</v>
      </c>
      <c r="E162" s="2">
        <f>F157</f>
        <v>21700</v>
      </c>
      <c r="F162" s="274">
        <f>Rates!F27</f>
        <v>248.47</v>
      </c>
      <c r="G162" s="202">
        <f>F162*D162</f>
        <v>248.47</v>
      </c>
      <c r="H162" s="7"/>
      <c r="I162" s="1"/>
      <c r="J162" s="1"/>
    </row>
    <row r="163" spans="1:10" x14ac:dyDescent="0.45">
      <c r="A163" s="1"/>
      <c r="B163" s="198" t="s">
        <v>200</v>
      </c>
      <c r="C163" s="200">
        <f>C156</f>
        <v>30000</v>
      </c>
      <c r="D163" s="201"/>
      <c r="E163" s="28">
        <f>G157</f>
        <v>0</v>
      </c>
      <c r="F163" s="273">
        <f>Rates!F28</f>
        <v>7.306E-3</v>
      </c>
      <c r="G163" s="242">
        <f t="shared" ref="G163" si="9">(E163/1000)*F163</f>
        <v>0</v>
      </c>
      <c r="H163" s="7"/>
      <c r="I163" s="1"/>
    </row>
    <row r="164" spans="1:10" x14ac:dyDescent="0.45">
      <c r="A164" s="1"/>
      <c r="B164" s="1"/>
      <c r="C164" s="1" t="s">
        <v>48</v>
      </c>
      <c r="D164" s="2">
        <f>SUM(D162:D163)</f>
        <v>1</v>
      </c>
      <c r="E164" s="2">
        <f>SUM(E162:E163)</f>
        <v>21700</v>
      </c>
      <c r="F164" s="1"/>
      <c r="G164" s="202">
        <f>SUM(G162:G163)</f>
        <v>248.47</v>
      </c>
      <c r="H164" s="7"/>
      <c r="I164" s="1"/>
      <c r="J164" s="1"/>
    </row>
    <row r="166" spans="1:10" x14ac:dyDescent="0.45">
      <c r="A166" s="1" t="s">
        <v>270</v>
      </c>
      <c r="B166" s="1"/>
      <c r="C166" s="1" t="s">
        <v>265</v>
      </c>
      <c r="D166" s="1"/>
      <c r="E166" s="1"/>
      <c r="F166" s="1"/>
      <c r="G166" s="1"/>
      <c r="H166" s="7"/>
      <c r="I166" s="1"/>
    </row>
    <row r="167" spans="1:10" x14ac:dyDescent="0.45">
      <c r="A167" s="1" t="s">
        <v>302</v>
      </c>
      <c r="B167" s="198"/>
      <c r="C167" s="198"/>
      <c r="D167" s="198"/>
      <c r="E167" s="198"/>
      <c r="F167" s="238" t="str">
        <f>B169</f>
        <v>First</v>
      </c>
      <c r="G167" s="238" t="str">
        <f>B170</f>
        <v>Over</v>
      </c>
      <c r="H167" s="238" t="s">
        <v>12</v>
      </c>
    </row>
    <row r="168" spans="1:10" x14ac:dyDescent="0.45">
      <c r="A168" s="1"/>
      <c r="B168" s="198"/>
      <c r="C168" s="197" t="s">
        <v>201</v>
      </c>
      <c r="D168" s="197" t="s">
        <v>202</v>
      </c>
      <c r="E168" s="197" t="s">
        <v>13</v>
      </c>
      <c r="F168" s="240">
        <f>C169</f>
        <v>50000</v>
      </c>
      <c r="G168" s="239">
        <f>C170</f>
        <v>50000</v>
      </c>
      <c r="H168" s="197"/>
    </row>
    <row r="169" spans="1:10" x14ac:dyDescent="0.45">
      <c r="A169" s="1"/>
      <c r="B169" s="198" t="s">
        <v>198</v>
      </c>
      <c r="C169" s="75">
        <v>50000</v>
      </c>
      <c r="D169" s="199">
        <f>31+7</f>
        <v>38</v>
      </c>
      <c r="E169" s="199">
        <f>649800+72000</f>
        <v>721800</v>
      </c>
      <c r="F169" s="199">
        <f>E169</f>
        <v>721800</v>
      </c>
      <c r="G169" s="199">
        <v>0</v>
      </c>
      <c r="H169" s="199">
        <f>SUM(F169:G169)</f>
        <v>721800</v>
      </c>
    </row>
    <row r="170" spans="1:10" x14ac:dyDescent="0.45">
      <c r="A170" s="1"/>
      <c r="B170" s="198" t="s">
        <v>200</v>
      </c>
      <c r="C170" s="200">
        <v>50000</v>
      </c>
      <c r="D170" s="205">
        <f>5+5</f>
        <v>10</v>
      </c>
      <c r="E170" s="205">
        <f>339000+1453000</f>
        <v>1792000</v>
      </c>
      <c r="F170" s="205">
        <f>D170*$C$169</f>
        <v>500000</v>
      </c>
      <c r="G170" s="205">
        <f>E170-F170</f>
        <v>1292000</v>
      </c>
      <c r="H170" s="205">
        <f>SUM(F170:G170)</f>
        <v>1792000</v>
      </c>
      <c r="J170" s="1"/>
    </row>
    <row r="171" spans="1:10" x14ac:dyDescent="0.45">
      <c r="A171" s="1"/>
      <c r="B171" s="198"/>
      <c r="C171" s="1" t="s">
        <v>67</v>
      </c>
      <c r="D171" s="2">
        <f>SUM(D169:D170)</f>
        <v>48</v>
      </c>
      <c r="E171" s="2">
        <f>SUM(E169:E170)</f>
        <v>2513800</v>
      </c>
      <c r="F171" s="2">
        <f>SUM(F169:F170)</f>
        <v>1221800</v>
      </c>
      <c r="G171" s="2">
        <f>SUM(G169:G170)</f>
        <v>1292000</v>
      </c>
      <c r="H171" s="2">
        <f>SUM(H169:H170)</f>
        <v>2513800</v>
      </c>
      <c r="J171" s="1"/>
    </row>
    <row r="172" spans="1:10" x14ac:dyDescent="0.45">
      <c r="A172" s="1"/>
      <c r="B172" s="1"/>
      <c r="C172" s="1"/>
      <c r="D172" s="1"/>
      <c r="E172" s="1"/>
      <c r="F172" s="1"/>
      <c r="G172" s="1"/>
      <c r="H172" s="7"/>
      <c r="I172" s="1"/>
      <c r="J172" s="1"/>
    </row>
    <row r="173" spans="1:10" x14ac:dyDescent="0.45">
      <c r="A173" s="1"/>
      <c r="B173" s="1"/>
      <c r="C173" s="1" t="s">
        <v>203</v>
      </c>
      <c r="D173" s="1"/>
      <c r="E173" s="1"/>
      <c r="F173" s="1"/>
      <c r="G173" s="1"/>
      <c r="H173" s="7"/>
      <c r="I173" s="1"/>
      <c r="J173" s="1"/>
    </row>
    <row r="174" spans="1:10" x14ac:dyDescent="0.45">
      <c r="A174" s="1"/>
      <c r="B174" s="1"/>
      <c r="C174" s="1"/>
      <c r="D174" s="1"/>
      <c r="E174" s="1"/>
      <c r="F174" s="1"/>
      <c r="G174" s="1"/>
      <c r="H174" s="7"/>
      <c r="I174" s="1"/>
      <c r="J174" s="1"/>
    </row>
    <row r="175" spans="1:10" x14ac:dyDescent="0.45">
      <c r="A175" s="1"/>
      <c r="B175" s="1"/>
      <c r="C175" s="237" t="s">
        <v>201</v>
      </c>
      <c r="D175" s="237" t="s">
        <v>202</v>
      </c>
      <c r="E175" s="237" t="s">
        <v>13</v>
      </c>
      <c r="F175" s="237" t="s">
        <v>204</v>
      </c>
      <c r="G175" s="237" t="s">
        <v>196</v>
      </c>
      <c r="H175" s="7"/>
      <c r="I175" s="1"/>
      <c r="J175" s="1"/>
    </row>
    <row r="176" spans="1:10" x14ac:dyDescent="0.45">
      <c r="A176" s="1"/>
      <c r="B176" s="198" t="s">
        <v>198</v>
      </c>
      <c r="C176" s="75">
        <f>C169</f>
        <v>50000</v>
      </c>
      <c r="D176" s="2">
        <f>D171</f>
        <v>48</v>
      </c>
      <c r="E176" s="2">
        <f>F171</f>
        <v>1221800</v>
      </c>
      <c r="F176" s="274">
        <f>Rates!F31</f>
        <v>394.59</v>
      </c>
      <c r="G176" s="202">
        <f>F176*D176</f>
        <v>18940.32</v>
      </c>
      <c r="H176" s="7"/>
      <c r="I176" s="1"/>
      <c r="J176" s="1"/>
    </row>
    <row r="177" spans="1:9" x14ac:dyDescent="0.45">
      <c r="A177" s="1"/>
      <c r="B177" s="198" t="s">
        <v>200</v>
      </c>
      <c r="C177" s="200">
        <f>C170</f>
        <v>50000</v>
      </c>
      <c r="D177" s="201"/>
      <c r="E177" s="28">
        <f>G171</f>
        <v>1292000</v>
      </c>
      <c r="F177" s="273">
        <f>Rates!F32</f>
        <v>7.306E-3</v>
      </c>
      <c r="G177" s="242">
        <f>E177*F177</f>
        <v>9439.3520000000008</v>
      </c>
      <c r="H177" s="7"/>
      <c r="I177" s="1"/>
    </row>
    <row r="178" spans="1:9" x14ac:dyDescent="0.45">
      <c r="A178" s="1"/>
      <c r="B178" s="1"/>
      <c r="C178" s="1" t="s">
        <v>48</v>
      </c>
      <c r="D178" s="2">
        <f>SUM(D176:D177)</f>
        <v>48</v>
      </c>
      <c r="E178" s="2">
        <f>SUM(E176:E177)</f>
        <v>2513800</v>
      </c>
      <c r="F178" s="1"/>
      <c r="G178" s="202">
        <f>SUM(G176:G177)</f>
        <v>28379.671999999999</v>
      </c>
      <c r="H178" s="7"/>
      <c r="I178" s="1"/>
    </row>
    <row r="180" spans="1:9" x14ac:dyDescent="0.45">
      <c r="A180" s="1" t="s">
        <v>271</v>
      </c>
      <c r="B180" s="1"/>
      <c r="C180" s="1" t="s">
        <v>265</v>
      </c>
      <c r="D180" s="1"/>
      <c r="E180" s="1"/>
      <c r="F180" s="1"/>
      <c r="G180" s="1"/>
      <c r="H180" s="7"/>
      <c r="I180" s="1"/>
    </row>
    <row r="181" spans="1:9" x14ac:dyDescent="0.45">
      <c r="A181" s="1" t="s">
        <v>302</v>
      </c>
      <c r="B181" s="198"/>
      <c r="C181" s="198"/>
      <c r="D181" s="198"/>
      <c r="E181" s="198"/>
      <c r="F181" s="238" t="str">
        <f>B183</f>
        <v>First</v>
      </c>
      <c r="G181" s="238" t="str">
        <f>B184</f>
        <v>Over</v>
      </c>
      <c r="H181" s="238" t="s">
        <v>12</v>
      </c>
    </row>
    <row r="182" spans="1:9" x14ac:dyDescent="0.45">
      <c r="A182" s="1"/>
      <c r="B182" s="198"/>
      <c r="C182" s="197" t="s">
        <v>201</v>
      </c>
      <c r="D182" s="197" t="s">
        <v>202</v>
      </c>
      <c r="E182" s="197" t="s">
        <v>13</v>
      </c>
      <c r="F182" s="240">
        <f>C183</f>
        <v>100000</v>
      </c>
      <c r="G182" s="239">
        <f>C184</f>
        <v>100000</v>
      </c>
      <c r="H182" s="197"/>
    </row>
    <row r="183" spans="1:9" x14ac:dyDescent="0.45">
      <c r="A183" s="1"/>
      <c r="B183" s="198" t="s">
        <v>198</v>
      </c>
      <c r="C183" s="75">
        <v>100000</v>
      </c>
      <c r="D183" s="199">
        <v>0</v>
      </c>
      <c r="E183" s="199">
        <v>0</v>
      </c>
      <c r="F183" s="199">
        <f>E183</f>
        <v>0</v>
      </c>
      <c r="G183" s="199">
        <v>0</v>
      </c>
      <c r="H183" s="199">
        <f>SUM(F183:G183)</f>
        <v>0</v>
      </c>
    </row>
    <row r="184" spans="1:9" x14ac:dyDescent="0.45">
      <c r="A184" s="1"/>
      <c r="B184" s="198" t="s">
        <v>200</v>
      </c>
      <c r="C184" s="200">
        <v>100000</v>
      </c>
      <c r="D184" s="205">
        <v>0</v>
      </c>
      <c r="E184" s="205">
        <v>0</v>
      </c>
      <c r="F184" s="205">
        <f>D184*$C$183</f>
        <v>0</v>
      </c>
      <c r="G184" s="205">
        <f>E184-F184</f>
        <v>0</v>
      </c>
      <c r="H184" s="205">
        <f>SUM(F184:G184)</f>
        <v>0</v>
      </c>
    </row>
    <row r="185" spans="1:9" x14ac:dyDescent="0.45">
      <c r="A185" s="1"/>
      <c r="B185" s="198"/>
      <c r="C185" s="1" t="s">
        <v>67</v>
      </c>
      <c r="D185" s="2">
        <f>SUM(D183:D184)</f>
        <v>0</v>
      </c>
      <c r="E185" s="2">
        <f>SUM(E183:E184)</f>
        <v>0</v>
      </c>
      <c r="F185" s="2">
        <f>SUM(F183:F184)</f>
        <v>0</v>
      </c>
      <c r="G185" s="2">
        <f>SUM(G183:G184)</f>
        <v>0</v>
      </c>
      <c r="H185" s="2">
        <f>SUM(H183:H184)</f>
        <v>0</v>
      </c>
    </row>
    <row r="186" spans="1:9" x14ac:dyDescent="0.45">
      <c r="A186" s="1"/>
      <c r="B186" s="1"/>
      <c r="C186" s="1"/>
      <c r="D186" s="1"/>
      <c r="E186" s="1"/>
      <c r="F186" s="1"/>
      <c r="G186" s="1"/>
      <c r="H186" s="7"/>
      <c r="I186" s="1"/>
    </row>
    <row r="187" spans="1:9" x14ac:dyDescent="0.45">
      <c r="A187" s="1"/>
      <c r="B187" s="1"/>
      <c r="C187" s="1" t="s">
        <v>203</v>
      </c>
      <c r="D187" s="1"/>
      <c r="E187" s="1"/>
      <c r="F187" s="1"/>
      <c r="G187" s="1"/>
      <c r="H187" s="7"/>
      <c r="I187" s="1"/>
    </row>
    <row r="188" spans="1:9" x14ac:dyDescent="0.45">
      <c r="A188" s="1"/>
      <c r="B188" s="1"/>
      <c r="C188" s="1"/>
      <c r="D188" s="1"/>
      <c r="E188" s="1"/>
      <c r="F188" s="1"/>
      <c r="G188" s="1"/>
      <c r="H188" s="7"/>
      <c r="I188" s="1"/>
    </row>
    <row r="189" spans="1:9" x14ac:dyDescent="0.45">
      <c r="A189" s="1"/>
      <c r="B189" s="1"/>
      <c r="C189" s="237" t="s">
        <v>201</v>
      </c>
      <c r="D189" s="237" t="s">
        <v>202</v>
      </c>
      <c r="E189" s="237" t="s">
        <v>13</v>
      </c>
      <c r="F189" s="237" t="s">
        <v>204</v>
      </c>
      <c r="G189" s="237" t="s">
        <v>196</v>
      </c>
      <c r="H189" s="7"/>
      <c r="I189" s="1"/>
    </row>
    <row r="190" spans="1:9" x14ac:dyDescent="0.45">
      <c r="A190" s="1"/>
      <c r="B190" s="198" t="s">
        <v>198</v>
      </c>
      <c r="C190" s="75">
        <f>C183</f>
        <v>100000</v>
      </c>
      <c r="D190" s="2">
        <f>D185</f>
        <v>0</v>
      </c>
      <c r="E190" s="2">
        <f>F185</f>
        <v>0</v>
      </c>
      <c r="F190" s="274">
        <f>Rates!F35</f>
        <v>759.89</v>
      </c>
      <c r="G190" s="202">
        <f>F190*D190</f>
        <v>0</v>
      </c>
      <c r="H190" s="7"/>
      <c r="I190" s="1"/>
    </row>
    <row r="191" spans="1:9" x14ac:dyDescent="0.45">
      <c r="A191" s="1"/>
      <c r="B191" s="198" t="s">
        <v>200</v>
      </c>
      <c r="C191" s="200">
        <f>C184</f>
        <v>100000</v>
      </c>
      <c r="D191" s="201"/>
      <c r="E191" s="28">
        <f>G185</f>
        <v>0</v>
      </c>
      <c r="F191" s="273">
        <f>Rates!F36</f>
        <v>7.306E-3</v>
      </c>
      <c r="G191" s="242">
        <f>E191*F191</f>
        <v>0</v>
      </c>
      <c r="H191" s="7"/>
      <c r="I191" s="1"/>
    </row>
    <row r="192" spans="1:9" x14ac:dyDescent="0.45">
      <c r="A192" s="1"/>
      <c r="B192" s="1"/>
      <c r="C192" s="1" t="s">
        <v>48</v>
      </c>
      <c r="D192" s="2">
        <f>SUM(D190:D191)</f>
        <v>0</v>
      </c>
      <c r="E192" s="2">
        <f>SUM(E190:E191)</f>
        <v>0</v>
      </c>
      <c r="F192" s="1"/>
      <c r="G192" s="202">
        <f>SUM(G190:G191)</f>
        <v>0</v>
      </c>
      <c r="H192" s="7"/>
      <c r="I192" s="1"/>
    </row>
  </sheetData>
  <mergeCells count="9">
    <mergeCell ref="F1:H1"/>
    <mergeCell ref="D3:E3"/>
    <mergeCell ref="D9:E9"/>
    <mergeCell ref="D10:E10"/>
    <mergeCell ref="D4:E4"/>
    <mergeCell ref="D5:E5"/>
    <mergeCell ref="D6:E6"/>
    <mergeCell ref="D7:E7"/>
    <mergeCell ref="D8:E8"/>
  </mergeCells>
  <pageMargins left="0.7" right="0.7" top="0.75" bottom="0.75" header="0.3" footer="0.3"/>
  <pageSetup scale="76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2AD5-BE19-4C90-906D-1202203767F6}">
  <sheetPr>
    <tabColor rgb="FF92D050"/>
    <pageSetUpPr fitToPage="1"/>
  </sheetPr>
  <dimension ref="A1:J30"/>
  <sheetViews>
    <sheetView showGridLines="0" workbookViewId="0">
      <selection activeCell="F36" sqref="F36"/>
    </sheetView>
  </sheetViews>
  <sheetFormatPr defaultRowHeight="15.4" x14ac:dyDescent="0.45"/>
  <cols>
    <col min="2" max="2" width="47.33203125" customWidth="1"/>
    <col min="6" max="10" width="8.88671875" style="1"/>
  </cols>
  <sheetData>
    <row r="1" spans="1:10" ht="18" x14ac:dyDescent="0.45">
      <c r="A1" s="270" t="s">
        <v>235</v>
      </c>
      <c r="B1" s="269"/>
      <c r="C1" s="269"/>
      <c r="D1" s="269"/>
      <c r="E1" s="51"/>
      <c r="F1" s="51"/>
    </row>
    <row r="2" spans="1:10" ht="18" x14ac:dyDescent="0.45">
      <c r="A2" s="270"/>
      <c r="B2" s="269"/>
      <c r="C2" s="269"/>
      <c r="D2" s="269"/>
      <c r="E2" s="51"/>
      <c r="F2" s="51"/>
    </row>
    <row r="3" spans="1:10" ht="18" x14ac:dyDescent="0.45">
      <c r="A3" s="280" t="s">
        <v>262</v>
      </c>
      <c r="B3" s="280"/>
      <c r="C3" s="280"/>
      <c r="D3" s="280"/>
      <c r="E3" s="51"/>
      <c r="F3" s="51"/>
    </row>
    <row r="4" spans="1:10" ht="18" x14ac:dyDescent="0.75">
      <c r="A4" s="257"/>
      <c r="B4" s="257"/>
      <c r="C4" s="53" t="s">
        <v>31</v>
      </c>
      <c r="D4" s="53" t="s">
        <v>32</v>
      </c>
      <c r="E4" s="51"/>
      <c r="F4" s="66" t="s">
        <v>37</v>
      </c>
      <c r="G4" s="51"/>
      <c r="H4" s="51"/>
      <c r="I4" s="7"/>
      <c r="J4" s="248" t="s">
        <v>230</v>
      </c>
    </row>
    <row r="5" spans="1:10" x14ac:dyDescent="0.45">
      <c r="A5" s="59" t="s">
        <v>36</v>
      </c>
      <c r="B5" s="51"/>
      <c r="C5" s="60"/>
      <c r="D5" s="7">
        <f>SAO!G41</f>
        <v>3132856.3050268339</v>
      </c>
    </row>
    <row r="6" spans="1:10" x14ac:dyDescent="0.45">
      <c r="A6" s="51" t="s">
        <v>21</v>
      </c>
      <c r="B6" s="51" t="s">
        <v>95</v>
      </c>
      <c r="C6" s="60" t="s">
        <v>327</v>
      </c>
      <c r="D6" s="219">
        <f>'Debt Service'!M20</f>
        <v>372768.88399999996</v>
      </c>
      <c r="F6" s="1" t="s">
        <v>331</v>
      </c>
      <c r="J6" s="1" t="s">
        <v>332</v>
      </c>
    </row>
    <row r="7" spans="1:10" x14ac:dyDescent="0.45">
      <c r="A7" s="51"/>
      <c r="B7" s="51" t="s">
        <v>96</v>
      </c>
      <c r="C7" s="60" t="s">
        <v>328</v>
      </c>
      <c r="D7" s="5">
        <f>'Debt Service'!M22</f>
        <v>74553.776799999992</v>
      </c>
      <c r="F7" s="1" t="s">
        <v>333</v>
      </c>
      <c r="J7" s="1" t="s">
        <v>334</v>
      </c>
    </row>
    <row r="8" spans="1:10" x14ac:dyDescent="0.45">
      <c r="A8" s="59" t="s">
        <v>58</v>
      </c>
      <c r="B8" s="51"/>
      <c r="C8" s="60"/>
      <c r="D8" s="7">
        <f>D5+D6+D7</f>
        <v>3580178.9658268341</v>
      </c>
    </row>
    <row r="9" spans="1:10" x14ac:dyDescent="0.45">
      <c r="A9" s="51" t="s">
        <v>22</v>
      </c>
      <c r="B9" s="265" t="s">
        <v>264</v>
      </c>
      <c r="C9" s="100"/>
      <c r="D9" s="18">
        <f>SAO!G12</f>
        <v>21103</v>
      </c>
    </row>
    <row r="10" spans="1:10" x14ac:dyDescent="0.45">
      <c r="A10" s="51"/>
      <c r="B10" s="266" t="s">
        <v>52</v>
      </c>
      <c r="C10" s="100"/>
      <c r="D10" s="23">
        <f>SAO!G13</f>
        <v>76590</v>
      </c>
    </row>
    <row r="11" spans="1:10" x14ac:dyDescent="0.45">
      <c r="A11" s="51"/>
      <c r="B11" s="51" t="s">
        <v>11</v>
      </c>
      <c r="C11" s="60"/>
      <c r="D11" s="5">
        <v>9808</v>
      </c>
    </row>
    <row r="12" spans="1:10" x14ac:dyDescent="0.45">
      <c r="A12" s="59" t="s">
        <v>56</v>
      </c>
      <c r="B12" s="51"/>
      <c r="C12" s="60"/>
      <c r="D12" s="7">
        <f>D8-D9-D10-D11</f>
        <v>3472677.9658268341</v>
      </c>
    </row>
    <row r="13" spans="1:10" x14ac:dyDescent="0.45">
      <c r="A13" s="51" t="s">
        <v>22</v>
      </c>
      <c r="B13" s="51" t="s">
        <v>57</v>
      </c>
      <c r="C13" s="60"/>
      <c r="D13" s="5">
        <f>SAO!G6</f>
        <v>3151528.24</v>
      </c>
    </row>
    <row r="14" spans="1:10" x14ac:dyDescent="0.45">
      <c r="A14" s="59" t="s">
        <v>59</v>
      </c>
      <c r="B14" s="51"/>
      <c r="C14" s="60"/>
      <c r="D14" s="51">
        <f>D12-D13</f>
        <v>321149.72582683386</v>
      </c>
    </row>
    <row r="15" spans="1:10" x14ac:dyDescent="0.45">
      <c r="A15" s="59" t="s">
        <v>60</v>
      </c>
      <c r="B15" s="51"/>
      <c r="C15" s="60"/>
      <c r="D15" s="67">
        <f>D14/D13</f>
        <v>0.10190285517696451</v>
      </c>
    </row>
    <row r="18" spans="1:10" ht="18" x14ac:dyDescent="0.45">
      <c r="A18" s="280" t="s">
        <v>261</v>
      </c>
      <c r="B18" s="280"/>
      <c r="C18" s="280"/>
      <c r="D18" s="280"/>
    </row>
    <row r="19" spans="1:10" x14ac:dyDescent="0.45">
      <c r="A19" s="263" t="s">
        <v>36</v>
      </c>
      <c r="B19" s="264"/>
      <c r="C19" s="100"/>
      <c r="D19" s="18">
        <f>SAO!G41</f>
        <v>3132856.3050268339</v>
      </c>
    </row>
    <row r="20" spans="1:10" x14ac:dyDescent="0.45">
      <c r="A20" s="264" t="s">
        <v>324</v>
      </c>
      <c r="B20" s="264" t="s">
        <v>325</v>
      </c>
      <c r="C20" s="100" t="s">
        <v>329</v>
      </c>
      <c r="D20" s="271">
        <v>0.88</v>
      </c>
      <c r="F20" s="1" t="s">
        <v>335</v>
      </c>
    </row>
    <row r="21" spans="1:10" x14ac:dyDescent="0.45">
      <c r="A21" s="264" t="s">
        <v>326</v>
      </c>
      <c r="B21" s="3"/>
      <c r="C21" s="100"/>
      <c r="D21" s="18">
        <f>D19/D20</f>
        <v>3560063.9829850383</v>
      </c>
    </row>
    <row r="22" spans="1:10" x14ac:dyDescent="0.45">
      <c r="A22" s="264" t="s">
        <v>21</v>
      </c>
      <c r="B22" s="264" t="s">
        <v>263</v>
      </c>
      <c r="C22" s="100" t="s">
        <v>330</v>
      </c>
      <c r="D22" s="272">
        <f>'Debt Service'!M27</f>
        <v>78899.62</v>
      </c>
      <c r="F22" s="1" t="s">
        <v>336</v>
      </c>
      <c r="J22" s="1" t="s">
        <v>337</v>
      </c>
    </row>
    <row r="23" spans="1:10" x14ac:dyDescent="0.45">
      <c r="A23" s="263" t="s">
        <v>58</v>
      </c>
      <c r="B23" s="264"/>
      <c r="C23" s="100"/>
      <c r="D23" s="18">
        <f>D21+D22</f>
        <v>3638963.6029850384</v>
      </c>
    </row>
    <row r="24" spans="1:10" x14ac:dyDescent="0.45">
      <c r="A24" s="264" t="s">
        <v>22</v>
      </c>
      <c r="B24" s="265" t="s">
        <v>264</v>
      </c>
      <c r="C24" s="100"/>
      <c r="D24" s="18">
        <f>SAO!G12</f>
        <v>21103</v>
      </c>
    </row>
    <row r="25" spans="1:10" x14ac:dyDescent="0.45">
      <c r="A25" s="264"/>
      <c r="B25" s="266" t="s">
        <v>52</v>
      </c>
      <c r="C25" s="100"/>
      <c r="D25" s="23">
        <f>SAO!G13</f>
        <v>76590</v>
      </c>
    </row>
    <row r="26" spans="1:10" x14ac:dyDescent="0.45">
      <c r="A26" s="264"/>
      <c r="B26" s="266" t="s">
        <v>11</v>
      </c>
      <c r="C26" s="100"/>
      <c r="D26" s="272">
        <v>9808</v>
      </c>
    </row>
    <row r="27" spans="1:10" x14ac:dyDescent="0.45">
      <c r="A27" s="263" t="s">
        <v>56</v>
      </c>
      <c r="B27" s="264"/>
      <c r="C27" s="100"/>
      <c r="D27" s="18">
        <f>D23-D24-D25-D26</f>
        <v>3531462.6029850384</v>
      </c>
    </row>
    <row r="28" spans="1:10" x14ac:dyDescent="0.45">
      <c r="A28" s="264" t="s">
        <v>22</v>
      </c>
      <c r="B28" s="267" t="s">
        <v>57</v>
      </c>
      <c r="C28" s="100"/>
      <c r="D28" s="272">
        <f>SAO!G6</f>
        <v>3151528.24</v>
      </c>
    </row>
    <row r="29" spans="1:10" x14ac:dyDescent="0.45">
      <c r="A29" s="263" t="s">
        <v>59</v>
      </c>
      <c r="B29" s="264"/>
      <c r="C29" s="100"/>
      <c r="D29" s="23">
        <f>D27-D28</f>
        <v>379934.3629850382</v>
      </c>
    </row>
    <row r="30" spans="1:10" x14ac:dyDescent="0.45">
      <c r="A30" s="263" t="s">
        <v>60</v>
      </c>
      <c r="B30" s="264"/>
      <c r="C30" s="18"/>
      <c r="D30" s="268">
        <f>D29/D28</f>
        <v>0.1205555952705149</v>
      </c>
    </row>
  </sheetData>
  <mergeCells count="2">
    <mergeCell ref="A18:D18"/>
    <mergeCell ref="A3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sheetPr>
    <tabColor rgb="FF92D050"/>
    <pageSetUpPr fitToPage="1"/>
  </sheetPr>
  <dimension ref="A1:O35"/>
  <sheetViews>
    <sheetView tabSelected="1" topLeftCell="C1" workbookViewId="0">
      <selection activeCell="M5" sqref="M5"/>
    </sheetView>
  </sheetViews>
  <sheetFormatPr defaultRowHeight="14.25" x14ac:dyDescent="0.45"/>
  <cols>
    <col min="1" max="1" width="5.609375" style="1" customWidth="1"/>
    <col min="2" max="2" width="18.83203125" style="1" bestFit="1" customWidth="1"/>
    <col min="3" max="10" width="12.609375" style="15" customWidth="1"/>
    <col min="11" max="11" width="8.88671875" style="22"/>
    <col min="12" max="12" width="3.609375" style="1" customWidth="1"/>
    <col min="13" max="13" width="9.0546875" style="146" bestFit="1" customWidth="1"/>
    <col min="14" max="14" width="9.0546875" style="146" customWidth="1"/>
    <col min="15" max="15" width="9.0546875" style="146" bestFit="1" customWidth="1"/>
    <col min="16" max="16384" width="8.88671875" style="1"/>
  </cols>
  <sheetData>
    <row r="1" spans="1:15" x14ac:dyDescent="0.45">
      <c r="A1" s="1" t="s">
        <v>72</v>
      </c>
    </row>
    <row r="2" spans="1:15" x14ac:dyDescent="0.45">
      <c r="C2" s="146"/>
      <c r="D2" s="146"/>
      <c r="E2" s="146"/>
      <c r="F2" s="146"/>
      <c r="G2" s="146"/>
      <c r="H2" s="146"/>
      <c r="I2" s="146"/>
      <c r="J2" s="146" t="s">
        <v>12</v>
      </c>
      <c r="K2" s="22" t="s">
        <v>219</v>
      </c>
    </row>
    <row r="3" spans="1:15" x14ac:dyDescent="0.45">
      <c r="C3" s="146" t="s">
        <v>73</v>
      </c>
      <c r="D3" s="146" t="s">
        <v>73</v>
      </c>
      <c r="E3" s="146" t="s">
        <v>74</v>
      </c>
      <c r="F3" s="146" t="s">
        <v>73</v>
      </c>
      <c r="G3" s="146" t="s">
        <v>73</v>
      </c>
      <c r="H3" s="146"/>
      <c r="I3" s="146"/>
      <c r="J3" s="146" t="s">
        <v>73</v>
      </c>
      <c r="K3" s="22" t="s">
        <v>179</v>
      </c>
      <c r="M3" s="146" t="s">
        <v>339</v>
      </c>
    </row>
    <row r="4" spans="1:15" x14ac:dyDescent="0.45">
      <c r="B4" s="1" t="s">
        <v>272</v>
      </c>
      <c r="C4" s="146" t="s">
        <v>75</v>
      </c>
      <c r="D4" s="146" t="s">
        <v>76</v>
      </c>
      <c r="E4" s="146" t="s">
        <v>77</v>
      </c>
      <c r="F4" s="146" t="s">
        <v>78</v>
      </c>
      <c r="G4" s="146" t="s">
        <v>79</v>
      </c>
      <c r="H4" s="146" t="s">
        <v>281</v>
      </c>
      <c r="I4" s="146" t="s">
        <v>282</v>
      </c>
      <c r="J4" s="146" t="s">
        <v>80</v>
      </c>
      <c r="K4" s="22" t="s">
        <v>180</v>
      </c>
      <c r="M4" s="146" t="s">
        <v>340</v>
      </c>
      <c r="O4" s="146" t="s">
        <v>62</v>
      </c>
    </row>
    <row r="5" spans="1:15" x14ac:dyDescent="0.45">
      <c r="A5" s="21">
        <v>1</v>
      </c>
      <c r="B5" s="1" t="s">
        <v>273</v>
      </c>
      <c r="C5" s="15">
        <f>2108.5-68.5</f>
        <v>2040</v>
      </c>
      <c r="D5" s="15">
        <v>68.5</v>
      </c>
      <c r="E5" s="246">
        <v>19.78</v>
      </c>
      <c r="F5" s="15">
        <f t="shared" ref="F5:F11" si="0">C5*E5</f>
        <v>40351.200000000004</v>
      </c>
      <c r="G5" s="15">
        <f t="shared" ref="G5:G11" si="1">D5*E5*1.5</f>
        <v>2032.395</v>
      </c>
      <c r="H5" s="15">
        <v>0</v>
      </c>
      <c r="I5" s="15">
        <v>432.59</v>
      </c>
      <c r="J5" s="15">
        <f>F5+G5+H5+I5</f>
        <v>42816.184999999998</v>
      </c>
      <c r="K5" s="22" t="s">
        <v>283</v>
      </c>
      <c r="M5" s="146">
        <f>'[1]Employees 2021'!$I$26</f>
        <v>35467.519999999997</v>
      </c>
      <c r="O5" s="146">
        <f>J5-M5</f>
        <v>7348.6650000000009</v>
      </c>
    </row>
    <row r="6" spans="1:15" x14ac:dyDescent="0.45">
      <c r="A6" s="21">
        <f>A5+1</f>
        <v>2</v>
      </c>
      <c r="B6" s="1" t="s">
        <v>274</v>
      </c>
      <c r="C6" s="15">
        <v>2080</v>
      </c>
      <c r="D6" s="15">
        <v>0</v>
      </c>
      <c r="E6" s="246">
        <f>80908.36/2080</f>
        <v>38.898249999999997</v>
      </c>
      <c r="F6" s="15">
        <f t="shared" si="0"/>
        <v>80908.36</v>
      </c>
      <c r="G6" s="15">
        <f t="shared" si="1"/>
        <v>0</v>
      </c>
      <c r="H6" s="15">
        <v>780</v>
      </c>
      <c r="I6" s="15">
        <v>432.59</v>
      </c>
      <c r="J6" s="15">
        <f t="shared" ref="J6:J15" si="2">F6+G6+H6+I6</f>
        <v>82120.95</v>
      </c>
      <c r="K6" s="22" t="s">
        <v>283</v>
      </c>
      <c r="M6" s="146">
        <f>'[1]Employees 2021'!$O$26</f>
        <v>73640.95</v>
      </c>
      <c r="O6" s="146">
        <f t="shared" ref="O6:O15" si="3">J6-M6</f>
        <v>8480</v>
      </c>
    </row>
    <row r="7" spans="1:15" x14ac:dyDescent="0.45">
      <c r="A7" s="21">
        <f t="shared" ref="A7:A15" si="4">A6+1</f>
        <v>3</v>
      </c>
      <c r="B7" s="1" t="s">
        <v>275</v>
      </c>
      <c r="C7" s="15">
        <f>2125.75-44.75</f>
        <v>2081</v>
      </c>
      <c r="D7" s="15">
        <v>44.75</v>
      </c>
      <c r="E7" s="246">
        <v>28.35</v>
      </c>
      <c r="F7" s="15">
        <f t="shared" si="0"/>
        <v>58996.350000000006</v>
      </c>
      <c r="G7" s="15">
        <f t="shared" si="1"/>
        <v>1902.9937500000001</v>
      </c>
      <c r="H7" s="15">
        <v>0</v>
      </c>
      <c r="I7" s="15">
        <v>585.22</v>
      </c>
      <c r="J7" s="15">
        <f t="shared" si="2"/>
        <v>61484.563750000008</v>
      </c>
      <c r="K7" s="22" t="s">
        <v>283</v>
      </c>
      <c r="M7" s="146">
        <f>'[1]Employees 2021'!$U$26</f>
        <v>54073.82</v>
      </c>
      <c r="O7" s="146">
        <f t="shared" si="3"/>
        <v>7410.7437500000087</v>
      </c>
    </row>
    <row r="8" spans="1:15" x14ac:dyDescent="0.45">
      <c r="A8" s="21">
        <f t="shared" si="4"/>
        <v>4</v>
      </c>
      <c r="B8" s="1" t="s">
        <v>276</v>
      </c>
      <c r="C8" s="15">
        <f>2696.3-194.3-29.5-5-169</f>
        <v>2298.5</v>
      </c>
      <c r="D8" s="15">
        <f>194.3+29.5+5+169</f>
        <v>397.8</v>
      </c>
      <c r="E8" s="246">
        <v>28.17</v>
      </c>
      <c r="F8" s="15">
        <f t="shared" si="0"/>
        <v>64748.745000000003</v>
      </c>
      <c r="G8" s="15">
        <f t="shared" si="1"/>
        <v>16809.039000000004</v>
      </c>
      <c r="H8" s="15">
        <v>765</v>
      </c>
      <c r="I8" s="15">
        <v>658.38</v>
      </c>
      <c r="J8" s="15">
        <f t="shared" si="2"/>
        <v>82981.164000000019</v>
      </c>
      <c r="K8" s="22" t="s">
        <v>283</v>
      </c>
      <c r="M8" s="146">
        <f>'[1]Employees 2021'!$AG$26</f>
        <v>73041.039999999994</v>
      </c>
      <c r="O8" s="146">
        <f t="shared" si="3"/>
        <v>9940.1240000000253</v>
      </c>
    </row>
    <row r="9" spans="1:15" x14ac:dyDescent="0.45">
      <c r="A9" s="21">
        <f t="shared" si="4"/>
        <v>5</v>
      </c>
      <c r="B9" s="1" t="s">
        <v>277</v>
      </c>
      <c r="C9" s="15">
        <f>2314-67-4.5-6</f>
        <v>2236.5</v>
      </c>
      <c r="D9" s="15">
        <f>67+4.5+6</f>
        <v>77.5</v>
      </c>
      <c r="E9" s="246">
        <v>20</v>
      </c>
      <c r="F9" s="15">
        <f t="shared" si="0"/>
        <v>44730</v>
      </c>
      <c r="G9" s="15">
        <f t="shared" si="1"/>
        <v>2325</v>
      </c>
      <c r="H9" s="15">
        <v>150</v>
      </c>
      <c r="I9" s="15">
        <v>432.59</v>
      </c>
      <c r="J9" s="15">
        <f t="shared" si="2"/>
        <v>47637.59</v>
      </c>
      <c r="K9" s="22" t="s">
        <v>283</v>
      </c>
      <c r="M9" s="146">
        <f>'[1]Employees 2021'!$AM$26</f>
        <v>38117.53</v>
      </c>
      <c r="O9" s="146">
        <f t="shared" si="3"/>
        <v>9520.0599999999977</v>
      </c>
    </row>
    <row r="10" spans="1:15" x14ac:dyDescent="0.45">
      <c r="A10" s="21">
        <f t="shared" si="4"/>
        <v>6</v>
      </c>
      <c r="B10" s="1" t="s">
        <v>278</v>
      </c>
      <c r="C10" s="15">
        <f>2269-79-4-6</f>
        <v>2180</v>
      </c>
      <c r="D10" s="15">
        <f>79+4+6</f>
        <v>89</v>
      </c>
      <c r="E10" s="246">
        <v>25.87</v>
      </c>
      <c r="F10" s="15">
        <f t="shared" si="0"/>
        <v>56396.6</v>
      </c>
      <c r="G10" s="15">
        <f t="shared" si="1"/>
        <v>3453.6450000000004</v>
      </c>
      <c r="H10" s="15">
        <v>120</v>
      </c>
      <c r="I10" s="15">
        <v>585.22</v>
      </c>
      <c r="J10" s="15">
        <f t="shared" si="2"/>
        <v>60555.464999999997</v>
      </c>
      <c r="K10" s="22" t="s">
        <v>283</v>
      </c>
      <c r="M10" s="146">
        <f>'[1]Employees 2021'!$AY$34</f>
        <v>49590.77</v>
      </c>
      <c r="O10" s="146">
        <f t="shared" si="3"/>
        <v>10964.695</v>
      </c>
    </row>
    <row r="11" spans="1:15" x14ac:dyDescent="0.45">
      <c r="A11" s="21">
        <f t="shared" si="4"/>
        <v>7</v>
      </c>
      <c r="B11" s="1" t="s">
        <v>279</v>
      </c>
      <c r="C11" s="15">
        <f>2321.25-77.5-3.5-12.25-2</f>
        <v>2226</v>
      </c>
      <c r="D11" s="15">
        <f>77.5+3.5+12.25+2</f>
        <v>95.25</v>
      </c>
      <c r="E11" s="246">
        <v>16.75</v>
      </c>
      <c r="F11" s="15">
        <f t="shared" si="0"/>
        <v>37285.5</v>
      </c>
      <c r="G11" s="15">
        <f t="shared" si="1"/>
        <v>2393.15625</v>
      </c>
      <c r="H11" s="15">
        <v>165</v>
      </c>
      <c r="I11" s="15">
        <v>432.59</v>
      </c>
      <c r="J11" s="15">
        <f t="shared" si="2"/>
        <v>40276.246249999997</v>
      </c>
      <c r="K11" s="22" t="s">
        <v>283</v>
      </c>
      <c r="M11" s="146">
        <f>'[1]Employees 2021'!$BE$34</f>
        <v>28313.21</v>
      </c>
      <c r="O11" s="146">
        <f t="shared" si="3"/>
        <v>11963.036249999997</v>
      </c>
    </row>
    <row r="12" spans="1:15" x14ac:dyDescent="0.45">
      <c r="A12" s="21">
        <f t="shared" si="4"/>
        <v>8</v>
      </c>
      <c r="B12" s="1" t="s">
        <v>280</v>
      </c>
      <c r="C12" s="15">
        <f>2200.25-84.25-9.5-12.25</f>
        <v>2094.25</v>
      </c>
      <c r="D12" s="15">
        <f>84.25+9.5+12.25</f>
        <v>106</v>
      </c>
      <c r="E12" s="246">
        <v>18.59</v>
      </c>
      <c r="F12" s="15">
        <f t="shared" ref="F12" si="5">C12*E12</f>
        <v>38932.107499999998</v>
      </c>
      <c r="G12" s="15">
        <f t="shared" ref="G12" si="6">D12*E12*1.5</f>
        <v>2955.81</v>
      </c>
      <c r="H12" s="15">
        <v>0</v>
      </c>
      <c r="I12" s="15">
        <v>432.59</v>
      </c>
      <c r="J12" s="15">
        <f t="shared" si="2"/>
        <v>42320.507499999992</v>
      </c>
      <c r="K12" s="22" t="s">
        <v>283</v>
      </c>
      <c r="M12" s="146">
        <f>'[1]Employees 2021'!$BK$34</f>
        <v>30581.52</v>
      </c>
      <c r="O12" s="146">
        <f t="shared" si="3"/>
        <v>11738.987499999992</v>
      </c>
    </row>
    <row r="13" spans="1:15" x14ac:dyDescent="0.45">
      <c r="A13" s="21">
        <f t="shared" si="4"/>
        <v>9</v>
      </c>
      <c r="B13" s="1" t="s">
        <v>289</v>
      </c>
      <c r="C13" s="15">
        <v>2080</v>
      </c>
      <c r="D13" s="15">
        <v>0</v>
      </c>
      <c r="E13" s="246">
        <v>14</v>
      </c>
      <c r="F13" s="15">
        <f t="shared" ref="F13:F15" si="7">C13*E13</f>
        <v>29120</v>
      </c>
      <c r="G13" s="15">
        <f t="shared" ref="G13:G15" si="8">D13*E13*1.5</f>
        <v>0</v>
      </c>
      <c r="H13" s="15">
        <v>0</v>
      </c>
      <c r="I13" s="15">
        <v>0</v>
      </c>
      <c r="J13" s="15">
        <f t="shared" si="2"/>
        <v>29120</v>
      </c>
      <c r="K13" s="22" t="s">
        <v>283</v>
      </c>
      <c r="M13" s="146">
        <f>'[1]Employees 2021'!$AS$48</f>
        <v>17322.89</v>
      </c>
      <c r="O13" s="146">
        <f t="shared" si="3"/>
        <v>11797.11</v>
      </c>
    </row>
    <row r="14" spans="1:15" x14ac:dyDescent="0.45">
      <c r="A14" s="21">
        <f t="shared" si="4"/>
        <v>10</v>
      </c>
      <c r="B14" s="1" t="s">
        <v>288</v>
      </c>
      <c r="C14" s="15">
        <v>2080</v>
      </c>
      <c r="D14" s="15">
        <v>0</v>
      </c>
      <c r="E14" s="246">
        <v>14</v>
      </c>
      <c r="F14" s="15">
        <f t="shared" si="7"/>
        <v>29120</v>
      </c>
      <c r="G14" s="15">
        <f t="shared" si="8"/>
        <v>0</v>
      </c>
      <c r="H14" s="15">
        <v>0</v>
      </c>
      <c r="I14" s="15">
        <v>0</v>
      </c>
      <c r="J14" s="15">
        <f t="shared" si="2"/>
        <v>29120</v>
      </c>
      <c r="K14" s="22" t="s">
        <v>283</v>
      </c>
      <c r="M14" s="146">
        <v>29120</v>
      </c>
      <c r="O14" s="146">
        <f t="shared" si="3"/>
        <v>0</v>
      </c>
    </row>
    <row r="15" spans="1:15" x14ac:dyDescent="0.45">
      <c r="A15" s="21">
        <f t="shared" si="4"/>
        <v>11</v>
      </c>
      <c r="B15" s="1" t="s">
        <v>290</v>
      </c>
      <c r="C15" s="15">
        <v>1040</v>
      </c>
      <c r="D15" s="15">
        <v>0</v>
      </c>
      <c r="E15" s="15">
        <v>14</v>
      </c>
      <c r="F15" s="15">
        <f t="shared" si="7"/>
        <v>14560</v>
      </c>
      <c r="G15" s="15">
        <f t="shared" si="8"/>
        <v>0</v>
      </c>
      <c r="H15" s="15">
        <v>0</v>
      </c>
      <c r="I15" s="15">
        <v>0</v>
      </c>
      <c r="J15" s="15">
        <f t="shared" si="2"/>
        <v>14560</v>
      </c>
      <c r="K15" s="22" t="s">
        <v>291</v>
      </c>
      <c r="M15" s="146">
        <v>7037.75</v>
      </c>
      <c r="O15" s="146">
        <f t="shared" si="3"/>
        <v>7522.25</v>
      </c>
    </row>
    <row r="16" spans="1:15" x14ac:dyDescent="0.45">
      <c r="A16" s="1" t="s">
        <v>156</v>
      </c>
      <c r="C16" s="15">
        <f>SUM(C5:C15)</f>
        <v>22436.25</v>
      </c>
      <c r="D16" s="15">
        <f t="shared" ref="D16:J16" si="9">SUM(D5:D15)</f>
        <v>878.8</v>
      </c>
      <c r="F16" s="15">
        <f t="shared" si="9"/>
        <v>495148.86249999999</v>
      </c>
      <c r="G16" s="15">
        <f t="shared" si="9"/>
        <v>31872.039000000004</v>
      </c>
      <c r="H16" s="15">
        <f t="shared" si="9"/>
        <v>1980</v>
      </c>
      <c r="I16" s="15">
        <f t="shared" si="9"/>
        <v>3991.7700000000004</v>
      </c>
      <c r="J16" s="15">
        <f t="shared" si="9"/>
        <v>532992.67149999994</v>
      </c>
      <c r="L16" s="236"/>
      <c r="M16" s="146">
        <f>SUM(M5:M15)</f>
        <v>436307.00000000006</v>
      </c>
      <c r="O16" s="146">
        <f>SUM(O5:O15)</f>
        <v>96685.671500000011</v>
      </c>
    </row>
    <row r="18" spans="1:15" x14ac:dyDescent="0.45">
      <c r="A18" s="1" t="s">
        <v>157</v>
      </c>
      <c r="J18" s="15">
        <f>J5+J6+J7+J8+J9+J10+J11+J12+J13+J14</f>
        <v>518432.6715</v>
      </c>
      <c r="O18" s="146">
        <f>O16-O15</f>
        <v>89163.421500000011</v>
      </c>
    </row>
    <row r="20" spans="1:15" x14ac:dyDescent="0.45">
      <c r="J20" s="146" t="s">
        <v>30</v>
      </c>
    </row>
    <row r="21" spans="1:15" x14ac:dyDescent="0.45">
      <c r="E21" s="15" t="s">
        <v>81</v>
      </c>
      <c r="J21" s="15">
        <f>J16</f>
        <v>532992.67149999994</v>
      </c>
    </row>
    <row r="22" spans="1:15" x14ac:dyDescent="0.45">
      <c r="E22" s="15" t="s">
        <v>82</v>
      </c>
      <c r="J22" s="37">
        <f>-SAO!D18</f>
        <v>-436307</v>
      </c>
      <c r="L22" s="1" t="s">
        <v>286</v>
      </c>
    </row>
    <row r="23" spans="1:15" x14ac:dyDescent="0.45">
      <c r="E23" s="247" t="s">
        <v>83</v>
      </c>
      <c r="J23" s="247">
        <f>J21+J22</f>
        <v>96685.671499999939</v>
      </c>
    </row>
    <row r="24" spans="1:15" x14ac:dyDescent="0.45">
      <c r="J24" s="15" t="s">
        <v>84</v>
      </c>
    </row>
    <row r="25" spans="1:15" x14ac:dyDescent="0.45">
      <c r="E25" s="15" t="s">
        <v>85</v>
      </c>
      <c r="J25" s="15">
        <f>J16</f>
        <v>532992.67149999994</v>
      </c>
    </row>
    <row r="26" spans="1:15" x14ac:dyDescent="0.45">
      <c r="E26" s="15" t="s">
        <v>86</v>
      </c>
      <c r="J26" s="147">
        <v>7.6499999999999999E-2</v>
      </c>
    </row>
    <row r="27" spans="1:15" x14ac:dyDescent="0.45">
      <c r="E27" s="15" t="s">
        <v>87</v>
      </c>
      <c r="J27" s="15">
        <f>J25*J26</f>
        <v>40773.939369749998</v>
      </c>
    </row>
    <row r="28" spans="1:15" x14ac:dyDescent="0.45">
      <c r="E28" s="15" t="s">
        <v>88</v>
      </c>
      <c r="J28" s="218">
        <f>-6061.26-25917.06</f>
        <v>-31978.32</v>
      </c>
      <c r="L28" s="1" t="s">
        <v>287</v>
      </c>
    </row>
    <row r="29" spans="1:15" x14ac:dyDescent="0.45">
      <c r="E29" s="247" t="s">
        <v>89</v>
      </c>
      <c r="J29" s="247">
        <f>J27+J28</f>
        <v>8795.6193697499984</v>
      </c>
    </row>
    <row r="31" spans="1:15" x14ac:dyDescent="0.45">
      <c r="E31" s="15" t="s">
        <v>90</v>
      </c>
      <c r="J31" s="15">
        <f>J18</f>
        <v>518432.6715</v>
      </c>
    </row>
    <row r="32" spans="1:15" x14ac:dyDescent="0.45">
      <c r="E32" s="15" t="s">
        <v>91</v>
      </c>
      <c r="J32" s="147">
        <v>0.26950000000000002</v>
      </c>
    </row>
    <row r="33" spans="5:12" x14ac:dyDescent="0.45">
      <c r="E33" s="15" t="s">
        <v>92</v>
      </c>
      <c r="J33" s="15">
        <f>J31*J32</f>
        <v>139717.60496925001</v>
      </c>
    </row>
    <row r="34" spans="5:12" x14ac:dyDescent="0.45">
      <c r="E34" s="15" t="s">
        <v>93</v>
      </c>
      <c r="J34" s="37">
        <v>-107521.26</v>
      </c>
      <c r="K34" s="277"/>
      <c r="L34" s="1" t="s">
        <v>287</v>
      </c>
    </row>
    <row r="35" spans="5:12" x14ac:dyDescent="0.45">
      <c r="E35" s="247" t="s">
        <v>94</v>
      </c>
      <c r="J35" s="247">
        <f>J33+J34</f>
        <v>32196.344969250014</v>
      </c>
    </row>
  </sheetData>
  <pageMargins left="0.7" right="0.7" top="0.75" bottom="0.75" header="0.3" footer="0.3"/>
  <pageSetup scale="82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36"/>
  <sheetViews>
    <sheetView workbookViewId="0">
      <selection activeCell="K29" sqref="A1:K29"/>
    </sheetView>
  </sheetViews>
  <sheetFormatPr defaultColWidth="8.88671875" defaultRowHeight="14.25" x14ac:dyDescent="0.45"/>
  <cols>
    <col min="1" max="1" width="7.6640625" style="1" customWidth="1"/>
    <col min="2" max="2" width="19.83203125" style="1" customWidth="1"/>
    <col min="3" max="3" width="12.6640625" style="1" customWidth="1"/>
    <col min="4" max="4" width="11.5546875" style="157" bestFit="1" customWidth="1"/>
    <col min="5" max="5" width="9.88671875" style="157" customWidth="1"/>
    <col min="6" max="6" width="9.77734375" style="165" customWidth="1"/>
    <col min="7" max="7" width="9.77734375" style="158" customWidth="1"/>
    <col min="8" max="8" width="11.44140625" style="157" customWidth="1"/>
    <col min="9" max="9" width="10.6640625" style="159" customWidth="1"/>
    <col min="10" max="10" width="10.109375" style="157" customWidth="1"/>
    <col min="11" max="11" width="10.5546875" style="1" customWidth="1"/>
    <col min="12" max="13" width="8.88671875" style="1"/>
    <col min="14" max="14" width="10.109375" style="1" customWidth="1"/>
    <col min="15" max="15" width="9" style="1" bestFit="1" customWidth="1"/>
    <col min="16" max="16" width="9.77734375" style="1" bestFit="1" customWidth="1"/>
    <col min="17" max="16384" width="8.88671875" style="1"/>
  </cols>
  <sheetData>
    <row r="1" spans="1:11" x14ac:dyDescent="0.45">
      <c r="A1" s="1" t="s">
        <v>213</v>
      </c>
    </row>
    <row r="2" spans="1:11" x14ac:dyDescent="0.45">
      <c r="D2" s="160"/>
    </row>
    <row r="3" spans="1:11" x14ac:dyDescent="0.45">
      <c r="E3" s="157" t="s">
        <v>162</v>
      </c>
      <c r="H3" s="157" t="s">
        <v>163</v>
      </c>
      <c r="I3" s="159" t="s">
        <v>164</v>
      </c>
      <c r="J3" s="157" t="s">
        <v>164</v>
      </c>
    </row>
    <row r="4" spans="1:11" x14ac:dyDescent="0.45">
      <c r="C4" s="1" t="s">
        <v>223</v>
      </c>
      <c r="D4" s="161" t="s">
        <v>162</v>
      </c>
      <c r="E4" s="157" t="s">
        <v>165</v>
      </c>
      <c r="F4" s="165" t="s">
        <v>165</v>
      </c>
      <c r="G4" s="158" t="s">
        <v>166</v>
      </c>
      <c r="H4" s="157" t="s">
        <v>167</v>
      </c>
      <c r="I4" s="159" t="s">
        <v>168</v>
      </c>
      <c r="J4" s="157" t="s">
        <v>168</v>
      </c>
      <c r="K4" s="22" t="s">
        <v>226</v>
      </c>
    </row>
    <row r="5" spans="1:11" x14ac:dyDescent="0.45">
      <c r="A5" s="1" t="s">
        <v>222</v>
      </c>
      <c r="C5" s="1" t="s">
        <v>224</v>
      </c>
      <c r="D5" s="157" t="s">
        <v>169</v>
      </c>
      <c r="E5" s="157" t="s">
        <v>170</v>
      </c>
      <c r="F5" s="165" t="s">
        <v>171</v>
      </c>
      <c r="G5" s="158" t="s">
        <v>171</v>
      </c>
      <c r="H5" s="157" t="s">
        <v>169</v>
      </c>
      <c r="I5" s="159" t="s">
        <v>172</v>
      </c>
      <c r="J5" s="157" t="s">
        <v>173</v>
      </c>
      <c r="K5" s="22" t="s">
        <v>173</v>
      </c>
    </row>
    <row r="6" spans="1:11" x14ac:dyDescent="0.45">
      <c r="A6" s="21">
        <v>1</v>
      </c>
      <c r="B6" s="1" t="s">
        <v>273</v>
      </c>
      <c r="C6" s="1" t="s">
        <v>300</v>
      </c>
      <c r="D6" s="157">
        <v>1393.96</v>
      </c>
      <c r="E6" s="157">
        <f>D6*0.14</f>
        <v>195.15440000000001</v>
      </c>
      <c r="F6" s="165">
        <f>E6/D6</f>
        <v>0.14000000000000001</v>
      </c>
      <c r="G6" s="245">
        <f>1-F6</f>
        <v>0.86</v>
      </c>
      <c r="H6" s="157">
        <f>D6*G6*12</f>
        <v>14385.6672</v>
      </c>
      <c r="I6" s="159">
        <v>0.66</v>
      </c>
      <c r="J6" s="157">
        <f>D6*12*I6</f>
        <v>11040.163200000001</v>
      </c>
      <c r="K6" s="157">
        <f>H6-J6</f>
        <v>3345.503999999999</v>
      </c>
    </row>
    <row r="7" spans="1:11" x14ac:dyDescent="0.45">
      <c r="A7" s="21">
        <v>2</v>
      </c>
      <c r="B7" s="1" t="s">
        <v>274</v>
      </c>
      <c r="C7" s="1" t="s">
        <v>300</v>
      </c>
      <c r="D7" s="157">
        <v>1393.96</v>
      </c>
      <c r="E7" s="157">
        <f t="shared" ref="E7:E8" si="0">D7*0.14</f>
        <v>195.15440000000001</v>
      </c>
      <c r="F7" s="165">
        <f t="shared" ref="F7:F13" si="1">E7/D7</f>
        <v>0.14000000000000001</v>
      </c>
      <c r="G7" s="245">
        <f t="shared" ref="G7:G13" si="2">1-F7</f>
        <v>0.86</v>
      </c>
      <c r="H7" s="157">
        <f t="shared" ref="H7:H13" si="3">D7*G7*12</f>
        <v>14385.6672</v>
      </c>
      <c r="I7" s="159">
        <v>0.66</v>
      </c>
      <c r="J7" s="157">
        <f t="shared" ref="J7:J13" si="4">D7*12*I7</f>
        <v>11040.163200000001</v>
      </c>
      <c r="K7" s="157">
        <f t="shared" ref="K7:K22" si="5">H7-J7</f>
        <v>3345.503999999999</v>
      </c>
    </row>
    <row r="8" spans="1:11" x14ac:dyDescent="0.45">
      <c r="A8" s="21">
        <v>3</v>
      </c>
      <c r="B8" s="1" t="s">
        <v>275</v>
      </c>
      <c r="C8" s="1" t="s">
        <v>300</v>
      </c>
      <c r="D8" s="157">
        <v>1393.96</v>
      </c>
      <c r="E8" s="157">
        <f t="shared" si="0"/>
        <v>195.15440000000001</v>
      </c>
      <c r="F8" s="165">
        <f t="shared" si="1"/>
        <v>0.14000000000000001</v>
      </c>
      <c r="G8" s="245">
        <f t="shared" si="2"/>
        <v>0.86</v>
      </c>
      <c r="H8" s="157">
        <f t="shared" si="3"/>
        <v>14385.6672</v>
      </c>
      <c r="I8" s="159">
        <v>0.66</v>
      </c>
      <c r="J8" s="157">
        <f t="shared" si="4"/>
        <v>11040.163200000001</v>
      </c>
      <c r="K8" s="157">
        <f t="shared" si="5"/>
        <v>3345.503999999999</v>
      </c>
    </row>
    <row r="9" spans="1:11" x14ac:dyDescent="0.45">
      <c r="A9" s="21">
        <v>4</v>
      </c>
      <c r="B9" s="1" t="s">
        <v>276</v>
      </c>
      <c r="C9" s="1" t="s">
        <v>298</v>
      </c>
      <c r="D9" s="157">
        <v>670.59</v>
      </c>
      <c r="E9" s="157">
        <f>D9*0.06</f>
        <v>40.235399999999998</v>
      </c>
      <c r="F9" s="165">
        <f t="shared" si="1"/>
        <v>0.06</v>
      </c>
      <c r="G9" s="245">
        <f t="shared" si="2"/>
        <v>0.94</v>
      </c>
      <c r="H9" s="157">
        <f t="shared" si="3"/>
        <v>7564.2551999999996</v>
      </c>
      <c r="I9" s="159">
        <v>0.79</v>
      </c>
      <c r="J9" s="157">
        <f t="shared" si="4"/>
        <v>6357.1932000000006</v>
      </c>
      <c r="K9" s="157">
        <f t="shared" si="5"/>
        <v>1207.061999999999</v>
      </c>
    </row>
    <row r="10" spans="1:11" x14ac:dyDescent="0.45">
      <c r="A10" s="21">
        <v>5</v>
      </c>
      <c r="B10" s="1" t="s">
        <v>277</v>
      </c>
      <c r="C10" s="1" t="s">
        <v>299</v>
      </c>
      <c r="D10" s="157">
        <v>1196.68</v>
      </c>
      <c r="E10" s="157">
        <f>D10*0.12</f>
        <v>143.60159999999999</v>
      </c>
      <c r="F10" s="165">
        <f t="shared" ref="F10" si="6">E10/D10</f>
        <v>0.11999999999999998</v>
      </c>
      <c r="G10" s="245">
        <f t="shared" ref="G10" si="7">1-F10</f>
        <v>0.88</v>
      </c>
      <c r="H10" s="157">
        <f t="shared" ref="H10" si="8">D10*G10*12</f>
        <v>12636.9408</v>
      </c>
      <c r="I10" s="159">
        <v>0.66</v>
      </c>
      <c r="J10" s="157">
        <f t="shared" ref="J10" si="9">D10*12*I10</f>
        <v>9477.7056000000011</v>
      </c>
      <c r="K10" s="157">
        <f t="shared" ref="K10" si="10">H10-J10</f>
        <v>3159.2351999999992</v>
      </c>
    </row>
    <row r="11" spans="1:11" x14ac:dyDescent="0.45">
      <c r="A11" s="21">
        <v>6</v>
      </c>
      <c r="B11" s="1" t="s">
        <v>278</v>
      </c>
      <c r="C11" s="1" t="s">
        <v>298</v>
      </c>
      <c r="D11" s="157">
        <v>670.59</v>
      </c>
      <c r="E11" s="157">
        <f t="shared" ref="E11" si="11">D11*0.06</f>
        <v>40.235399999999998</v>
      </c>
      <c r="F11" s="165">
        <f t="shared" si="1"/>
        <v>0.06</v>
      </c>
      <c r="G11" s="245">
        <f t="shared" si="2"/>
        <v>0.94</v>
      </c>
      <c r="H11" s="157">
        <f t="shared" si="3"/>
        <v>7564.2551999999996</v>
      </c>
      <c r="I11" s="159">
        <v>0.79</v>
      </c>
      <c r="J11" s="157">
        <f t="shared" si="4"/>
        <v>6357.1932000000006</v>
      </c>
      <c r="K11" s="157">
        <f t="shared" si="5"/>
        <v>1207.061999999999</v>
      </c>
    </row>
    <row r="12" spans="1:11" x14ac:dyDescent="0.45">
      <c r="A12" s="21">
        <v>7</v>
      </c>
      <c r="B12" s="1" t="s">
        <v>279</v>
      </c>
      <c r="C12" s="1" t="s">
        <v>299</v>
      </c>
      <c r="D12" s="157">
        <v>1196.68</v>
      </c>
      <c r="E12" s="157">
        <f t="shared" ref="E12:E13" si="12">D12*0.12</f>
        <v>143.60159999999999</v>
      </c>
      <c r="F12" s="165">
        <f t="shared" si="1"/>
        <v>0.11999999999999998</v>
      </c>
      <c r="G12" s="245">
        <f t="shared" si="2"/>
        <v>0.88</v>
      </c>
      <c r="H12" s="157">
        <f t="shared" si="3"/>
        <v>12636.9408</v>
      </c>
      <c r="I12" s="159">
        <v>0.66</v>
      </c>
      <c r="J12" s="157">
        <f t="shared" si="4"/>
        <v>9477.7056000000011</v>
      </c>
      <c r="K12" s="157">
        <f t="shared" si="5"/>
        <v>3159.2351999999992</v>
      </c>
    </row>
    <row r="13" spans="1:11" ht="16.5" x14ac:dyDescent="0.75">
      <c r="A13" s="21">
        <v>8</v>
      </c>
      <c r="B13" s="1" t="s">
        <v>280</v>
      </c>
      <c r="C13" s="1" t="s">
        <v>299</v>
      </c>
      <c r="D13" s="163">
        <v>1196.68</v>
      </c>
      <c r="E13" s="163">
        <f t="shared" si="12"/>
        <v>143.60159999999999</v>
      </c>
      <c r="F13" s="165">
        <f t="shared" si="1"/>
        <v>0.11999999999999998</v>
      </c>
      <c r="G13" s="245">
        <f t="shared" si="2"/>
        <v>0.88</v>
      </c>
      <c r="H13" s="250">
        <f t="shared" si="3"/>
        <v>12636.9408</v>
      </c>
      <c r="I13" s="159">
        <v>0.66</v>
      </c>
      <c r="J13" s="163">
        <f t="shared" si="4"/>
        <v>9477.7056000000011</v>
      </c>
      <c r="K13" s="163">
        <f t="shared" si="5"/>
        <v>3159.2351999999992</v>
      </c>
    </row>
    <row r="14" spans="1:11" x14ac:dyDescent="0.45">
      <c r="A14" s="154" t="s">
        <v>48</v>
      </c>
      <c r="B14" s="154"/>
      <c r="C14" s="154"/>
      <c r="D14" s="157">
        <f>SUM(D6:D13)</f>
        <v>9113.1</v>
      </c>
      <c r="E14" s="157">
        <f>SUM(E6:E13)</f>
        <v>1096.7388000000001</v>
      </c>
      <c r="H14" s="157">
        <f>SUM(H6:H13)</f>
        <v>96196.334399999992</v>
      </c>
      <c r="I14" s="170"/>
      <c r="J14" s="171">
        <f>SUM(J6:J13)</f>
        <v>74267.992800000007</v>
      </c>
      <c r="K14" s="157">
        <f t="shared" si="5"/>
        <v>21928.341599999985</v>
      </c>
    </row>
    <row r="15" spans="1:11" x14ac:dyDescent="0.45">
      <c r="E15" s="162"/>
      <c r="G15" s="159"/>
      <c r="J15" s="172"/>
      <c r="K15" s="157"/>
    </row>
    <row r="16" spans="1:11" x14ac:dyDescent="0.45">
      <c r="E16" s="157" t="s">
        <v>162</v>
      </c>
      <c r="H16" s="157" t="s">
        <v>163</v>
      </c>
      <c r="I16" s="159" t="s">
        <v>164</v>
      </c>
      <c r="J16" s="157" t="s">
        <v>164</v>
      </c>
      <c r="K16" s="157"/>
    </row>
    <row r="17" spans="1:14" x14ac:dyDescent="0.45">
      <c r="C17" s="1" t="s">
        <v>223</v>
      </c>
      <c r="D17" s="161" t="s">
        <v>162</v>
      </c>
      <c r="E17" s="157" t="s">
        <v>165</v>
      </c>
      <c r="F17" s="165" t="s">
        <v>165</v>
      </c>
      <c r="G17" s="158" t="s">
        <v>166</v>
      </c>
      <c r="H17" s="157" t="s">
        <v>167</v>
      </c>
      <c r="I17" s="159" t="s">
        <v>168</v>
      </c>
      <c r="J17" s="157" t="s">
        <v>168</v>
      </c>
      <c r="K17" s="22" t="s">
        <v>226</v>
      </c>
    </row>
    <row r="18" spans="1:14" x14ac:dyDescent="0.45">
      <c r="A18" s="1" t="s">
        <v>225</v>
      </c>
      <c r="C18" s="1" t="s">
        <v>224</v>
      </c>
      <c r="D18" s="157" t="s">
        <v>169</v>
      </c>
      <c r="E18" s="157" t="s">
        <v>170</v>
      </c>
      <c r="F18" s="165" t="s">
        <v>171</v>
      </c>
      <c r="G18" s="158" t="s">
        <v>171</v>
      </c>
      <c r="H18" s="157" t="s">
        <v>169</v>
      </c>
      <c r="I18" s="159" t="s">
        <v>172</v>
      </c>
      <c r="J18" s="157" t="s">
        <v>173</v>
      </c>
      <c r="K18" s="22" t="s">
        <v>173</v>
      </c>
    </row>
    <row r="19" spans="1:14" x14ac:dyDescent="0.45">
      <c r="A19" s="21"/>
      <c r="B19" s="1" t="s">
        <v>296</v>
      </c>
      <c r="C19" s="1" t="s">
        <v>294</v>
      </c>
      <c r="D19" s="157">
        <v>0</v>
      </c>
      <c r="E19" s="157">
        <v>0</v>
      </c>
      <c r="F19" s="165">
        <v>0</v>
      </c>
      <c r="G19" s="245">
        <f t="shared" ref="G19:G21" si="13">1-F19</f>
        <v>1</v>
      </c>
      <c r="H19" s="157">
        <f t="shared" ref="H19:H21" si="14">D19*G19*12</f>
        <v>0</v>
      </c>
      <c r="I19" s="159">
        <v>0.6</v>
      </c>
      <c r="J19" s="157">
        <f t="shared" ref="J19:J21" si="15">H19*I19</f>
        <v>0</v>
      </c>
      <c r="K19" s="157">
        <f t="shared" ref="K19:K21" si="16">H19-J19</f>
        <v>0</v>
      </c>
    </row>
    <row r="20" spans="1:14" x14ac:dyDescent="0.45">
      <c r="A20" s="21"/>
      <c r="B20" s="1" t="s">
        <v>297</v>
      </c>
      <c r="C20" s="1" t="s">
        <v>294</v>
      </c>
      <c r="D20" s="157">
        <v>0</v>
      </c>
      <c r="E20" s="157">
        <v>0</v>
      </c>
      <c r="F20" s="165">
        <v>0</v>
      </c>
      <c r="G20" s="245">
        <f t="shared" si="13"/>
        <v>1</v>
      </c>
      <c r="H20" s="157">
        <f t="shared" si="14"/>
        <v>0</v>
      </c>
      <c r="I20" s="159">
        <v>0.6</v>
      </c>
      <c r="J20" s="157">
        <f t="shared" si="15"/>
        <v>0</v>
      </c>
      <c r="K20" s="157">
        <f t="shared" si="16"/>
        <v>0</v>
      </c>
    </row>
    <row r="21" spans="1:14" x14ac:dyDescent="0.45">
      <c r="A21" s="21"/>
      <c r="B21" s="278">
        <v>44974</v>
      </c>
      <c r="C21" s="1" t="s">
        <v>294</v>
      </c>
      <c r="D21" s="157">
        <v>0</v>
      </c>
      <c r="E21" s="157">
        <v>0</v>
      </c>
      <c r="F21" s="165">
        <v>0</v>
      </c>
      <c r="G21" s="245">
        <f t="shared" si="13"/>
        <v>1</v>
      </c>
      <c r="H21" s="157">
        <f t="shared" si="14"/>
        <v>0</v>
      </c>
      <c r="I21" s="159">
        <v>0.6</v>
      </c>
      <c r="J21" s="157">
        <f t="shared" si="15"/>
        <v>0</v>
      </c>
      <c r="K21" s="157">
        <f t="shared" si="16"/>
        <v>0</v>
      </c>
    </row>
    <row r="22" spans="1:14" x14ac:dyDescent="0.45">
      <c r="A22" s="21"/>
      <c r="C22" s="1" t="s">
        <v>294</v>
      </c>
      <c r="D22" s="163">
        <v>0</v>
      </c>
      <c r="E22" s="164">
        <v>0</v>
      </c>
      <c r="F22" s="165">
        <v>0</v>
      </c>
      <c r="G22" s="245">
        <f t="shared" ref="G22" si="17">1-F22</f>
        <v>1</v>
      </c>
      <c r="H22" s="163">
        <f t="shared" ref="H22" si="18">D22*G22*12</f>
        <v>0</v>
      </c>
      <c r="I22" s="159">
        <v>0.6</v>
      </c>
      <c r="J22" s="163">
        <f t="shared" ref="J22" si="19">H22*I22</f>
        <v>0</v>
      </c>
      <c r="K22" s="163">
        <f t="shared" si="5"/>
        <v>0</v>
      </c>
    </row>
    <row r="23" spans="1:14" x14ac:dyDescent="0.45">
      <c r="A23" s="154" t="s">
        <v>48</v>
      </c>
      <c r="B23" s="154"/>
      <c r="C23" s="154"/>
      <c r="D23" s="157">
        <f>SUM(D19:D22)</f>
        <v>0</v>
      </c>
      <c r="E23" s="157">
        <f>SUM(E19:E22)</f>
        <v>0</v>
      </c>
      <c r="H23" s="157">
        <f>SUM(H19:H22)</f>
        <v>0</v>
      </c>
      <c r="I23" s="170"/>
      <c r="J23" s="171">
        <f>SUM(J19:J22)</f>
        <v>0</v>
      </c>
      <c r="K23" s="157">
        <f>SUM(K19:K22)</f>
        <v>0</v>
      </c>
    </row>
    <row r="24" spans="1:14" x14ac:dyDescent="0.45">
      <c r="A24" s="154"/>
      <c r="B24" s="154"/>
      <c r="C24" s="154"/>
      <c r="I24" s="170"/>
      <c r="J24" s="171"/>
      <c r="K24" s="156"/>
    </row>
    <row r="25" spans="1:14" x14ac:dyDescent="0.45">
      <c r="A25" s="154"/>
      <c r="B25" s="154"/>
      <c r="C25" s="154"/>
      <c r="I25" s="170"/>
      <c r="J25" s="171"/>
      <c r="K25" s="156"/>
    </row>
    <row r="26" spans="1:14" x14ac:dyDescent="0.45">
      <c r="A26" s="1" t="s">
        <v>212</v>
      </c>
      <c r="D26" s="1"/>
      <c r="K26" s="156"/>
    </row>
    <row r="27" spans="1:14" s="212" customFormat="1" ht="14.35" customHeight="1" x14ac:dyDescent="0.45">
      <c r="A27" s="1" t="s">
        <v>227</v>
      </c>
      <c r="C27" s="217">
        <f>K14</f>
        <v>21928.341599999985</v>
      </c>
      <c r="D27" s="213"/>
      <c r="E27" s="213"/>
      <c r="F27" s="214"/>
      <c r="G27" s="215"/>
      <c r="H27" s="213"/>
      <c r="I27" s="216"/>
      <c r="J27" s="213"/>
      <c r="K27" s="217"/>
    </row>
    <row r="28" spans="1:14" x14ac:dyDescent="0.45">
      <c r="A28" s="1" t="s">
        <v>228</v>
      </c>
      <c r="C28" s="195">
        <f>K23</f>
        <v>0</v>
      </c>
      <c r="G28" s="167"/>
      <c r="J28" s="173"/>
      <c r="K28" s="44"/>
      <c r="M28" s="155"/>
      <c r="N28" s="155"/>
    </row>
    <row r="29" spans="1:14" x14ac:dyDescent="0.45">
      <c r="A29" s="1" t="s">
        <v>229</v>
      </c>
      <c r="B29" s="212"/>
      <c r="C29" s="217">
        <f>SUM(C27:C28)</f>
        <v>21928.341599999985</v>
      </c>
      <c r="F29" s="166"/>
      <c r="G29" s="168"/>
      <c r="J29" s="174"/>
      <c r="K29" s="152"/>
      <c r="M29" s="2"/>
    </row>
    <row r="30" spans="1:14" ht="16.5" x14ac:dyDescent="0.75">
      <c r="G30" s="169"/>
      <c r="J30" s="175"/>
      <c r="K30" s="153"/>
    </row>
    <row r="31" spans="1:14" x14ac:dyDescent="0.45">
      <c r="G31" s="168"/>
      <c r="J31" s="174"/>
      <c r="K31" s="152"/>
    </row>
    <row r="36" spans="1:3" x14ac:dyDescent="0.45">
      <c r="A36" s="165"/>
      <c r="B36" s="165"/>
      <c r="C36" s="165"/>
    </row>
  </sheetData>
  <pageMargins left="0.7" right="0.7" top="0.75" bottom="0.75" header="0.3" footer="0.3"/>
  <pageSetup scale="82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tabColor rgb="FF92D050"/>
    <pageSetUpPr fitToPage="1"/>
  </sheetPr>
  <dimension ref="A1:R56"/>
  <sheetViews>
    <sheetView showGridLines="0" workbookViewId="0">
      <selection sqref="A1:M47"/>
    </sheetView>
  </sheetViews>
  <sheetFormatPr defaultRowHeight="15.4" x14ac:dyDescent="0.4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83" customWidth="1"/>
    <col min="7" max="7" width="6.109375" style="1" customWidth="1"/>
    <col min="8" max="8" width="9.33203125" style="179" customWidth="1"/>
    <col min="9" max="9" width="6.109375" customWidth="1"/>
    <col min="10" max="10" width="9.33203125" style="179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30"/>
      <c r="H1" s="19"/>
      <c r="I1" s="130"/>
      <c r="J1" s="19"/>
      <c r="K1" s="3"/>
      <c r="L1" s="3"/>
      <c r="M1" s="3"/>
    </row>
    <row r="2" spans="1:13" x14ac:dyDescent="0.45">
      <c r="A2" s="1"/>
      <c r="B2" s="120"/>
      <c r="C2" s="122"/>
      <c r="D2" s="122"/>
      <c r="E2" s="122"/>
      <c r="F2" s="184"/>
      <c r="G2" s="131"/>
      <c r="H2" s="176"/>
      <c r="I2" s="131"/>
      <c r="J2" s="176"/>
      <c r="K2" s="122"/>
      <c r="L2" s="138"/>
      <c r="M2" s="141"/>
    </row>
    <row r="3" spans="1:13" ht="18" x14ac:dyDescent="0.55000000000000004">
      <c r="A3" s="1"/>
      <c r="B3" s="48"/>
      <c r="C3" s="281" t="s">
        <v>27</v>
      </c>
      <c r="D3" s="281"/>
      <c r="E3" s="281"/>
      <c r="F3" s="281"/>
      <c r="G3" s="281"/>
      <c r="H3" s="281"/>
      <c r="I3" s="281"/>
      <c r="J3" s="281"/>
      <c r="K3" s="281"/>
      <c r="L3" s="139"/>
      <c r="M3" s="141"/>
    </row>
    <row r="4" spans="1:13" ht="18" x14ac:dyDescent="0.55000000000000004">
      <c r="A4" s="1"/>
      <c r="B4" s="48"/>
      <c r="C4" s="282" t="s">
        <v>40</v>
      </c>
      <c r="D4" s="282"/>
      <c r="E4" s="282"/>
      <c r="F4" s="282"/>
      <c r="G4" s="282"/>
      <c r="H4" s="282"/>
      <c r="I4" s="282"/>
      <c r="J4" s="282"/>
      <c r="K4" s="282"/>
      <c r="L4" s="139"/>
      <c r="M4" s="141"/>
    </row>
    <row r="5" spans="1:13" ht="15.75" x14ac:dyDescent="0.45">
      <c r="A5" s="1"/>
      <c r="B5" s="48"/>
      <c r="C5" s="283" t="s">
        <v>234</v>
      </c>
      <c r="D5" s="283"/>
      <c r="E5" s="283"/>
      <c r="F5" s="283"/>
      <c r="G5" s="283"/>
      <c r="H5" s="283"/>
      <c r="I5" s="283"/>
      <c r="J5" s="283"/>
      <c r="K5" s="283"/>
      <c r="L5" s="139"/>
      <c r="M5" s="141"/>
    </row>
    <row r="6" spans="1:13" x14ac:dyDescent="0.45">
      <c r="A6" s="1"/>
      <c r="B6" s="48"/>
      <c r="C6" s="3"/>
      <c r="D6" s="3"/>
      <c r="E6" s="3"/>
      <c r="G6" s="132"/>
      <c r="H6" s="19"/>
      <c r="I6" s="132"/>
      <c r="J6" s="19"/>
      <c r="K6" s="124" t="s">
        <v>41</v>
      </c>
      <c r="L6" s="139"/>
      <c r="M6" s="141"/>
    </row>
    <row r="7" spans="1:13" x14ac:dyDescent="0.45">
      <c r="A7" s="1"/>
      <c r="B7" s="48"/>
      <c r="C7" s="123"/>
      <c r="D7" s="123"/>
      <c r="E7" s="123" t="s">
        <v>42</v>
      </c>
      <c r="F7" s="185" t="s">
        <v>43</v>
      </c>
      <c r="G7" s="284" t="s">
        <v>135</v>
      </c>
      <c r="H7" s="284"/>
      <c r="I7" s="284" t="s">
        <v>32</v>
      </c>
      <c r="J7" s="284"/>
      <c r="K7" s="124" t="s">
        <v>44</v>
      </c>
      <c r="L7" s="139"/>
      <c r="M7" s="141"/>
    </row>
    <row r="8" spans="1:13" ht="17.649999999999999" x14ac:dyDescent="0.75">
      <c r="A8" s="1"/>
      <c r="B8" s="48"/>
      <c r="C8" s="124"/>
      <c r="D8" s="128" t="s">
        <v>114</v>
      </c>
      <c r="E8" s="124" t="s">
        <v>45</v>
      </c>
      <c r="F8" s="186" t="s">
        <v>134</v>
      </c>
      <c r="G8" s="24" t="s">
        <v>46</v>
      </c>
      <c r="H8" s="124" t="s">
        <v>47</v>
      </c>
      <c r="I8" s="24" t="s">
        <v>46</v>
      </c>
      <c r="J8" s="124" t="s">
        <v>47</v>
      </c>
      <c r="K8" s="124" t="s">
        <v>37</v>
      </c>
      <c r="L8" s="139"/>
      <c r="M8" s="141"/>
    </row>
    <row r="9" spans="1:13" x14ac:dyDescent="0.45">
      <c r="A9" s="1"/>
      <c r="B9" s="48"/>
      <c r="C9" s="125" t="s">
        <v>109</v>
      </c>
      <c r="D9" s="3"/>
      <c r="E9" s="129"/>
      <c r="G9" s="132"/>
      <c r="H9" s="178"/>
      <c r="I9" s="132"/>
      <c r="J9" s="178"/>
      <c r="K9" s="2"/>
      <c r="L9" s="139"/>
      <c r="M9" s="141"/>
    </row>
    <row r="10" spans="1:13" x14ac:dyDescent="0.45">
      <c r="A10" s="1"/>
      <c r="B10" s="48"/>
      <c r="C10" s="125"/>
      <c r="D10" s="3" t="s">
        <v>115</v>
      </c>
      <c r="E10" s="129" t="s">
        <v>136</v>
      </c>
      <c r="F10" s="188">
        <v>353894.96</v>
      </c>
      <c r="G10" s="69" t="s">
        <v>211</v>
      </c>
      <c r="H10" s="148">
        <v>9846.73</v>
      </c>
      <c r="I10" s="132">
        <v>37.5</v>
      </c>
      <c r="J10" s="148">
        <f>F10/I10</f>
        <v>9437.1989333333331</v>
      </c>
      <c r="K10" s="23">
        <f>J10-H10</f>
        <v>-409.53106666666645</v>
      </c>
      <c r="L10" s="139"/>
      <c r="M10" s="141"/>
    </row>
    <row r="11" spans="1:13" x14ac:dyDescent="0.45">
      <c r="A11" s="1"/>
      <c r="B11" s="48"/>
      <c r="C11" s="125"/>
      <c r="D11" s="3" t="s">
        <v>116</v>
      </c>
      <c r="E11" s="129" t="s">
        <v>136</v>
      </c>
      <c r="F11" s="188">
        <v>4852.1499999999996</v>
      </c>
      <c r="G11" s="69" t="s">
        <v>211</v>
      </c>
      <c r="H11" s="148">
        <v>1678.76</v>
      </c>
      <c r="I11" s="132">
        <v>10</v>
      </c>
      <c r="J11" s="148">
        <f>F11/I11</f>
        <v>485.21499999999997</v>
      </c>
      <c r="K11" s="23">
        <f>J11-H11</f>
        <v>-1193.5450000000001</v>
      </c>
      <c r="L11" s="139"/>
      <c r="M11" s="141"/>
    </row>
    <row r="12" spans="1:13" x14ac:dyDescent="0.45">
      <c r="A12" s="1"/>
      <c r="B12" s="48"/>
      <c r="C12" s="3"/>
      <c r="D12" s="3" t="s">
        <v>117</v>
      </c>
      <c r="E12" s="129" t="s">
        <v>136</v>
      </c>
      <c r="F12" s="188">
        <v>6215.54</v>
      </c>
      <c r="G12" s="69" t="s">
        <v>211</v>
      </c>
      <c r="H12" s="148">
        <v>909.35</v>
      </c>
      <c r="I12" s="132">
        <v>22.5</v>
      </c>
      <c r="J12" s="148">
        <f>F12/I12</f>
        <v>276.24622222222223</v>
      </c>
      <c r="K12" s="23">
        <f>J12-H12</f>
        <v>-633.10377777777785</v>
      </c>
      <c r="L12" s="139"/>
      <c r="M12" s="141"/>
    </row>
    <row r="13" spans="1:13" x14ac:dyDescent="0.45">
      <c r="A13" s="1"/>
      <c r="B13" s="48"/>
      <c r="C13" s="3"/>
      <c r="D13" s="3" t="s">
        <v>118</v>
      </c>
      <c r="E13" s="129"/>
      <c r="F13" s="188"/>
      <c r="G13" s="69"/>
      <c r="H13" s="148"/>
      <c r="I13" s="132">
        <v>12.5</v>
      </c>
      <c r="J13" s="148">
        <f t="shared" ref="J13:J15" si="0">F13/I13</f>
        <v>0</v>
      </c>
      <c r="K13" s="23">
        <f t="shared" ref="K13:K15" si="1">J13-H13</f>
        <v>0</v>
      </c>
      <c r="L13" s="139"/>
      <c r="M13" s="141"/>
    </row>
    <row r="14" spans="1:13" x14ac:dyDescent="0.45">
      <c r="A14" s="1"/>
      <c r="B14" s="48"/>
      <c r="C14" s="3"/>
      <c r="D14" s="3" t="s">
        <v>119</v>
      </c>
      <c r="E14" s="129" t="s">
        <v>136</v>
      </c>
      <c r="F14" s="188">
        <v>1359.2</v>
      </c>
      <c r="G14" s="69" t="s">
        <v>211</v>
      </c>
      <c r="H14" s="148">
        <v>271.83999999999997</v>
      </c>
      <c r="I14" s="132">
        <v>17.5</v>
      </c>
      <c r="J14" s="148">
        <f t="shared" si="0"/>
        <v>77.668571428571425</v>
      </c>
      <c r="K14" s="23">
        <f t="shared" si="1"/>
        <v>-194.17142857142855</v>
      </c>
      <c r="L14" s="139"/>
      <c r="M14" s="141"/>
    </row>
    <row r="15" spans="1:13" x14ac:dyDescent="0.45">
      <c r="A15" s="1"/>
      <c r="B15" s="48"/>
      <c r="C15" s="3"/>
      <c r="D15" s="3" t="s">
        <v>120</v>
      </c>
      <c r="E15" s="129"/>
      <c r="F15" s="188"/>
      <c r="G15" s="69"/>
      <c r="H15" s="148"/>
      <c r="I15" s="132">
        <v>15</v>
      </c>
      <c r="J15" s="148">
        <f t="shared" si="0"/>
        <v>0</v>
      </c>
      <c r="K15" s="23">
        <f t="shared" si="1"/>
        <v>0</v>
      </c>
      <c r="L15" s="139"/>
      <c r="M15" s="141"/>
    </row>
    <row r="16" spans="1:13" x14ac:dyDescent="0.45">
      <c r="A16" s="1"/>
      <c r="B16" s="48"/>
      <c r="C16" s="3"/>
      <c r="D16" s="3"/>
      <c r="E16" s="129"/>
      <c r="F16" s="188"/>
      <c r="G16" s="69"/>
      <c r="H16" s="148"/>
      <c r="I16" s="132"/>
      <c r="J16" s="148"/>
      <c r="K16" s="23"/>
      <c r="L16" s="139"/>
      <c r="M16" s="141"/>
    </row>
    <row r="17" spans="1:13" x14ac:dyDescent="0.45">
      <c r="A17" s="1"/>
      <c r="B17" s="48"/>
      <c r="C17" s="125" t="s">
        <v>176</v>
      </c>
      <c r="D17" s="3"/>
      <c r="E17" s="129"/>
      <c r="F17" s="188"/>
      <c r="G17" s="69"/>
      <c r="H17" s="148"/>
      <c r="I17" s="132"/>
      <c r="J17" s="148"/>
      <c r="K17" s="23"/>
      <c r="L17" s="139"/>
      <c r="M17" s="141"/>
    </row>
    <row r="18" spans="1:13" x14ac:dyDescent="0.45">
      <c r="A18" s="1"/>
      <c r="B18" s="48"/>
      <c r="C18" s="3"/>
      <c r="D18" s="3" t="s">
        <v>177</v>
      </c>
      <c r="E18" s="129"/>
      <c r="F18" s="188"/>
      <c r="G18" s="69"/>
      <c r="H18" s="148"/>
      <c r="I18" s="132">
        <v>62.5</v>
      </c>
      <c r="J18" s="148">
        <f t="shared" ref="J18:J19" si="2">F18/I18</f>
        <v>0</v>
      </c>
      <c r="K18" s="23">
        <f t="shared" ref="K18:K19" si="3">J18-H18</f>
        <v>0</v>
      </c>
      <c r="L18" s="139"/>
      <c r="M18" s="141"/>
    </row>
    <row r="19" spans="1:13" x14ac:dyDescent="0.45">
      <c r="A19" s="1"/>
      <c r="B19" s="48"/>
      <c r="C19" s="3"/>
      <c r="D19" s="3" t="s">
        <v>178</v>
      </c>
      <c r="E19" s="129"/>
      <c r="F19" s="188"/>
      <c r="G19" s="69"/>
      <c r="H19" s="148"/>
      <c r="I19" s="132">
        <v>62.5</v>
      </c>
      <c r="J19" s="148">
        <f t="shared" si="2"/>
        <v>0</v>
      </c>
      <c r="K19" s="23">
        <f t="shared" si="3"/>
        <v>0</v>
      </c>
      <c r="L19" s="139"/>
      <c r="M19" s="141"/>
    </row>
    <row r="20" spans="1:13" x14ac:dyDescent="0.45">
      <c r="A20" s="1"/>
      <c r="B20" s="48"/>
      <c r="C20" s="124"/>
      <c r="D20" s="124"/>
      <c r="E20" s="124"/>
      <c r="F20" s="187"/>
      <c r="G20" s="24"/>
      <c r="H20" s="177"/>
      <c r="I20" s="24"/>
      <c r="J20" s="177"/>
      <c r="K20" s="124"/>
      <c r="L20" s="139"/>
      <c r="M20" s="141"/>
    </row>
    <row r="21" spans="1:13" x14ac:dyDescent="0.45">
      <c r="A21" s="1"/>
      <c r="B21" s="48"/>
      <c r="C21" s="125" t="s">
        <v>110</v>
      </c>
      <c r="D21" s="3"/>
      <c r="E21" s="129"/>
      <c r="G21" s="133"/>
      <c r="H21" s="178"/>
      <c r="I21" s="133"/>
      <c r="J21" s="178"/>
      <c r="K21" s="2"/>
      <c r="L21" s="139"/>
      <c r="M21" s="141"/>
    </row>
    <row r="22" spans="1:13" x14ac:dyDescent="0.45">
      <c r="A22" s="1"/>
      <c r="B22" s="48"/>
      <c r="C22" s="125"/>
      <c r="D22" s="3" t="s">
        <v>115</v>
      </c>
      <c r="E22" s="129" t="s">
        <v>136</v>
      </c>
      <c r="F22" s="188">
        <v>596926.34</v>
      </c>
      <c r="G22" s="69" t="s">
        <v>136</v>
      </c>
      <c r="H22" s="148">
        <v>29846.32</v>
      </c>
      <c r="I22" s="132">
        <v>37.5</v>
      </c>
      <c r="J22" s="148">
        <f>F22/I22</f>
        <v>15918.035733333332</v>
      </c>
      <c r="K22" s="23">
        <f>J22-H22</f>
        <v>-13928.284266666667</v>
      </c>
      <c r="L22" s="139"/>
      <c r="M22" s="141"/>
    </row>
    <row r="23" spans="1:13" x14ac:dyDescent="0.45">
      <c r="A23" s="1"/>
      <c r="B23" s="48"/>
      <c r="C23" s="3"/>
      <c r="D23" s="3" t="s">
        <v>121</v>
      </c>
      <c r="E23" s="129"/>
      <c r="G23" s="133"/>
      <c r="H23" s="148"/>
      <c r="I23" s="132">
        <v>10</v>
      </c>
      <c r="J23" s="178">
        <f>F23/I23</f>
        <v>0</v>
      </c>
      <c r="K23" s="23">
        <f>J23-H23</f>
        <v>0</v>
      </c>
      <c r="L23" s="139"/>
      <c r="M23" s="141"/>
    </row>
    <row r="24" spans="1:13" x14ac:dyDescent="0.45">
      <c r="A24" s="1"/>
      <c r="B24" s="48"/>
      <c r="C24" s="3"/>
      <c r="D24" s="3" t="s">
        <v>122</v>
      </c>
      <c r="E24" s="129" t="s">
        <v>136</v>
      </c>
      <c r="F24" s="183">
        <v>35214.65</v>
      </c>
      <c r="G24" s="133" t="s">
        <v>136</v>
      </c>
      <c r="H24" s="148">
        <v>1760.74</v>
      </c>
      <c r="I24" s="132">
        <v>20</v>
      </c>
      <c r="J24" s="178">
        <f>F24/I24</f>
        <v>1760.7325000000001</v>
      </c>
      <c r="K24" s="23">
        <f>J24-H24</f>
        <v>-7.4999999999363354E-3</v>
      </c>
      <c r="L24" s="139"/>
      <c r="M24" s="141"/>
    </row>
    <row r="25" spans="1:13" x14ac:dyDescent="0.45">
      <c r="A25" s="1"/>
      <c r="B25" s="48"/>
      <c r="C25" s="124"/>
      <c r="D25" s="124"/>
      <c r="E25" s="124"/>
      <c r="G25" s="133"/>
      <c r="H25" s="178"/>
      <c r="I25" s="133"/>
      <c r="J25" s="178"/>
      <c r="K25" s="2"/>
      <c r="L25" s="139"/>
      <c r="M25" s="141"/>
    </row>
    <row r="26" spans="1:13" x14ac:dyDescent="0.45">
      <c r="A26" s="1"/>
      <c r="B26" s="48"/>
      <c r="C26" s="125" t="s">
        <v>111</v>
      </c>
      <c r="D26" s="3"/>
      <c r="E26" s="129"/>
      <c r="G26" s="132"/>
      <c r="H26" s="178"/>
      <c r="I26" s="132"/>
      <c r="J26" s="178"/>
      <c r="K26" s="2"/>
      <c r="L26" s="139"/>
      <c r="M26" s="141"/>
    </row>
    <row r="27" spans="1:13" x14ac:dyDescent="0.45">
      <c r="A27" s="1"/>
      <c r="B27" s="48"/>
      <c r="C27" s="125"/>
      <c r="D27" s="3" t="s">
        <v>123</v>
      </c>
      <c r="E27" s="129" t="s">
        <v>136</v>
      </c>
      <c r="F27" s="188">
        <v>396248.63</v>
      </c>
      <c r="G27" s="69" t="s">
        <v>136</v>
      </c>
      <c r="H27" s="148">
        <v>6339.96</v>
      </c>
      <c r="I27" s="132">
        <v>50</v>
      </c>
      <c r="J27" s="148">
        <f t="shared" ref="J27:J35" si="4">F27/I27</f>
        <v>7924.9726000000001</v>
      </c>
      <c r="K27" s="23">
        <f>J27-H27</f>
        <v>1585.0126</v>
      </c>
      <c r="L27" s="139"/>
      <c r="M27" s="141"/>
    </row>
    <row r="28" spans="1:13" x14ac:dyDescent="0.45">
      <c r="A28" s="1"/>
      <c r="B28" s="48"/>
      <c r="C28" s="125"/>
      <c r="D28" s="3" t="s">
        <v>124</v>
      </c>
      <c r="E28" s="129" t="s">
        <v>136</v>
      </c>
      <c r="F28" s="188">
        <v>13042699.42</v>
      </c>
      <c r="G28" s="69" t="s">
        <v>136</v>
      </c>
      <c r="H28" s="148">
        <v>207819.02</v>
      </c>
      <c r="I28" s="132">
        <v>62.5</v>
      </c>
      <c r="J28" s="148">
        <f t="shared" si="4"/>
        <v>208683.19072000001</v>
      </c>
      <c r="K28" s="23">
        <f t="shared" ref="K28:K35" si="5">J28-H28</f>
        <v>864.17072000002372</v>
      </c>
      <c r="L28" s="139"/>
      <c r="M28" s="141"/>
    </row>
    <row r="29" spans="1:13" x14ac:dyDescent="0.45">
      <c r="A29" s="1"/>
      <c r="B29" s="48"/>
      <c r="C29" s="125"/>
      <c r="D29" s="3" t="s">
        <v>125</v>
      </c>
      <c r="E29" s="129" t="s">
        <v>136</v>
      </c>
      <c r="F29" s="188">
        <v>149364.29</v>
      </c>
      <c r="G29" s="69" t="s">
        <v>136</v>
      </c>
      <c r="H29" s="148">
        <v>3319.18</v>
      </c>
      <c r="I29" s="132">
        <v>45</v>
      </c>
      <c r="J29" s="148">
        <f t="shared" si="4"/>
        <v>3319.2064444444445</v>
      </c>
      <c r="K29" s="23">
        <f t="shared" si="5"/>
        <v>2.6444444444678084E-2</v>
      </c>
      <c r="L29" s="139"/>
      <c r="M29" s="141"/>
    </row>
    <row r="30" spans="1:13" x14ac:dyDescent="0.45">
      <c r="A30" s="1"/>
      <c r="B30" s="48"/>
      <c r="C30" s="125"/>
      <c r="D30" s="3" t="s">
        <v>126</v>
      </c>
      <c r="E30" s="129" t="s">
        <v>136</v>
      </c>
      <c r="F30" s="188">
        <v>2206452.16</v>
      </c>
      <c r="G30" s="69" t="s">
        <v>136</v>
      </c>
      <c r="H30" s="148">
        <v>55752.81</v>
      </c>
      <c r="I30" s="132">
        <v>15</v>
      </c>
      <c r="J30" s="148">
        <f>F30/I30</f>
        <v>147096.81066666669</v>
      </c>
      <c r="K30" s="23">
        <f>J30-H30</f>
        <v>91344.000666666689</v>
      </c>
      <c r="L30" s="139"/>
      <c r="M30" s="141"/>
    </row>
    <row r="31" spans="1:13" x14ac:dyDescent="0.45">
      <c r="A31" s="1"/>
      <c r="B31" s="48"/>
      <c r="C31" s="125"/>
      <c r="D31" s="3" t="s">
        <v>127</v>
      </c>
      <c r="E31" s="129"/>
      <c r="F31" s="188"/>
      <c r="G31" s="69"/>
      <c r="H31" s="148"/>
      <c r="I31" s="132">
        <v>20</v>
      </c>
      <c r="J31" s="148">
        <f t="shared" si="4"/>
        <v>0</v>
      </c>
      <c r="K31" s="23">
        <f t="shared" si="5"/>
        <v>0</v>
      </c>
      <c r="L31" s="139"/>
      <c r="M31" s="141"/>
    </row>
    <row r="32" spans="1:13" x14ac:dyDescent="0.45">
      <c r="A32" s="1"/>
      <c r="B32" s="48"/>
      <c r="C32" s="125"/>
      <c r="D32" s="3" t="s">
        <v>128</v>
      </c>
      <c r="E32" s="129"/>
      <c r="F32" s="188"/>
      <c r="G32" s="69"/>
      <c r="H32" s="148"/>
      <c r="I32" s="132">
        <v>37.5</v>
      </c>
      <c r="J32" s="148">
        <f t="shared" si="4"/>
        <v>0</v>
      </c>
      <c r="K32" s="23">
        <f t="shared" si="5"/>
        <v>0</v>
      </c>
      <c r="L32" s="139"/>
      <c r="M32" s="141"/>
    </row>
    <row r="33" spans="1:14" x14ac:dyDescent="0.45">
      <c r="A33" s="1"/>
      <c r="B33" s="48"/>
      <c r="C33" s="125"/>
      <c r="D33" s="3" t="s">
        <v>129</v>
      </c>
      <c r="E33" s="129" t="s">
        <v>136</v>
      </c>
      <c r="F33" s="188">
        <v>774275.75</v>
      </c>
      <c r="G33" s="69" t="s">
        <v>136</v>
      </c>
      <c r="H33" s="148">
        <v>12388.38</v>
      </c>
      <c r="I33" s="132">
        <v>40</v>
      </c>
      <c r="J33" s="148">
        <f t="shared" si="4"/>
        <v>19356.893749999999</v>
      </c>
      <c r="K33" s="23">
        <f t="shared" si="5"/>
        <v>6968.5137500000001</v>
      </c>
      <c r="L33" s="139"/>
      <c r="M33" s="141"/>
    </row>
    <row r="34" spans="1:14" x14ac:dyDescent="0.45">
      <c r="A34" s="1"/>
      <c r="B34" s="48"/>
      <c r="C34" s="125"/>
      <c r="D34" s="3" t="s">
        <v>130</v>
      </c>
      <c r="E34" s="129" t="s">
        <v>136</v>
      </c>
      <c r="F34" s="188">
        <v>2113512.5299999998</v>
      </c>
      <c r="G34" s="69" t="s">
        <v>136</v>
      </c>
      <c r="H34" s="148">
        <v>33816.19</v>
      </c>
      <c r="I34" s="132">
        <v>45</v>
      </c>
      <c r="J34" s="148">
        <f t="shared" si="4"/>
        <v>46966.945111111105</v>
      </c>
      <c r="K34" s="23">
        <f t="shared" si="5"/>
        <v>13150.755111111102</v>
      </c>
      <c r="L34" s="139"/>
      <c r="M34" s="141"/>
    </row>
    <row r="35" spans="1:14" x14ac:dyDescent="0.45">
      <c r="A35" s="1"/>
      <c r="B35" s="48"/>
      <c r="C35" s="125"/>
      <c r="D35" s="3" t="s">
        <v>131</v>
      </c>
      <c r="E35" s="129"/>
      <c r="F35" s="188"/>
      <c r="G35" s="69"/>
      <c r="H35" s="148"/>
      <c r="I35" s="132">
        <v>15</v>
      </c>
      <c r="J35" s="148">
        <f t="shared" si="4"/>
        <v>0</v>
      </c>
      <c r="K35" s="23">
        <f t="shared" si="5"/>
        <v>0</v>
      </c>
      <c r="L35" s="139"/>
      <c r="M35" s="141"/>
    </row>
    <row r="36" spans="1:14" x14ac:dyDescent="0.45">
      <c r="A36" s="1"/>
      <c r="B36" s="48"/>
      <c r="C36" s="125"/>
      <c r="E36" s="129"/>
      <c r="G36" s="133"/>
      <c r="H36" s="178"/>
      <c r="I36" s="133"/>
      <c r="J36" s="178"/>
      <c r="K36" s="23"/>
      <c r="L36" s="139"/>
      <c r="M36" s="141"/>
    </row>
    <row r="37" spans="1:14" x14ac:dyDescent="0.45">
      <c r="A37" s="1"/>
      <c r="B37" s="48"/>
      <c r="C37" s="125" t="s">
        <v>112</v>
      </c>
      <c r="E37" s="129"/>
      <c r="G37" s="132"/>
      <c r="H37" s="178"/>
      <c r="I37" s="137"/>
      <c r="J37" s="178"/>
      <c r="K37" s="2"/>
      <c r="L37" s="139"/>
      <c r="M37" s="141"/>
    </row>
    <row r="38" spans="1:14" x14ac:dyDescent="0.45">
      <c r="A38" s="1"/>
      <c r="B38" s="48"/>
      <c r="C38" s="3"/>
      <c r="D38" s="1" t="s">
        <v>132</v>
      </c>
      <c r="E38" s="129" t="s">
        <v>136</v>
      </c>
      <c r="F38" s="183">
        <v>229616.32</v>
      </c>
      <c r="G38" s="132" t="s">
        <v>136</v>
      </c>
      <c r="H38" s="178">
        <v>31747.040000000001</v>
      </c>
      <c r="I38" s="137">
        <v>7</v>
      </c>
      <c r="J38" s="178">
        <f>F38/I38</f>
        <v>32802.33142857143</v>
      </c>
      <c r="K38" s="2">
        <f>J38-H38</f>
        <v>1055.2914285714287</v>
      </c>
      <c r="L38" s="139"/>
      <c r="M38" s="141"/>
    </row>
    <row r="39" spans="1:14" x14ac:dyDescent="0.45">
      <c r="A39" s="1"/>
      <c r="B39" s="48"/>
      <c r="C39" s="124"/>
      <c r="D39" s="124"/>
      <c r="E39" s="124"/>
      <c r="G39" s="133"/>
      <c r="H39" s="178"/>
      <c r="I39" s="133"/>
      <c r="J39" s="178"/>
      <c r="K39" s="2"/>
      <c r="L39" s="139"/>
      <c r="M39" s="141"/>
    </row>
    <row r="40" spans="1:14" x14ac:dyDescent="0.45">
      <c r="A40" s="1"/>
      <c r="B40" s="48"/>
      <c r="C40" s="125" t="s">
        <v>113</v>
      </c>
      <c r="D40" s="3"/>
      <c r="E40" s="129"/>
      <c r="G40" s="134"/>
      <c r="H40" s="178"/>
      <c r="I40" s="132"/>
      <c r="J40" s="178"/>
      <c r="K40" s="2"/>
      <c r="L40" s="139"/>
      <c r="M40" s="141"/>
    </row>
    <row r="41" spans="1:14" x14ac:dyDescent="0.45">
      <c r="A41" s="1"/>
      <c r="B41" s="48"/>
      <c r="C41" s="125"/>
      <c r="D41" s="1" t="s">
        <v>174</v>
      </c>
      <c r="E41" s="129"/>
      <c r="G41" s="132"/>
      <c r="H41" s="178"/>
      <c r="I41" s="137">
        <v>62.5</v>
      </c>
      <c r="J41" s="178">
        <f>F41/I41</f>
        <v>0</v>
      </c>
      <c r="K41" s="2">
        <f>J41-H41</f>
        <v>0</v>
      </c>
      <c r="L41" s="139"/>
      <c r="M41" s="141"/>
    </row>
    <row r="42" spans="1:14" x14ac:dyDescent="0.45">
      <c r="A42" s="1"/>
      <c r="B42" s="48"/>
      <c r="C42" s="125"/>
      <c r="D42" s="1" t="s">
        <v>175</v>
      </c>
      <c r="E42" s="129"/>
      <c r="G42" s="132"/>
      <c r="H42" s="178"/>
      <c r="I42" s="137">
        <v>27.5</v>
      </c>
      <c r="J42" s="178">
        <f>F42/I42</f>
        <v>0</v>
      </c>
      <c r="K42" s="2">
        <f>J42-H42</f>
        <v>0</v>
      </c>
      <c r="L42" s="139"/>
      <c r="M42" s="141"/>
    </row>
    <row r="43" spans="1:14" x14ac:dyDescent="0.45">
      <c r="A43" s="1"/>
      <c r="B43" s="48"/>
      <c r="C43" s="3"/>
      <c r="D43" s="3"/>
      <c r="E43" s="3"/>
      <c r="G43" s="2"/>
      <c r="H43" s="148"/>
      <c r="I43" s="2"/>
      <c r="J43" s="182"/>
      <c r="K43" s="2"/>
      <c r="L43" s="139"/>
      <c r="M43" s="141"/>
    </row>
    <row r="44" spans="1:14" x14ac:dyDescent="0.45">
      <c r="A44" s="1"/>
      <c r="B44" s="48"/>
      <c r="C44" s="126" t="s">
        <v>67</v>
      </c>
      <c r="F44" s="180">
        <f>SUM(F10:F43)</f>
        <v>19910631.940000001</v>
      </c>
      <c r="G44" s="135"/>
      <c r="H44" s="180">
        <f>SUM(H10:H43)</f>
        <v>395496.31999999995</v>
      </c>
      <c r="I44" s="136"/>
      <c r="J44" s="180">
        <f>SUM(J10:J43)</f>
        <v>494105.44768111111</v>
      </c>
      <c r="K44" s="136">
        <f>SUM(K10:K43)</f>
        <v>98609.127681111131</v>
      </c>
      <c r="L44" s="139"/>
      <c r="M44" s="141"/>
      <c r="N44" s="21"/>
    </row>
    <row r="45" spans="1:14" x14ac:dyDescent="0.45">
      <c r="A45" s="1"/>
      <c r="B45" s="121"/>
      <c r="C45" s="127"/>
      <c r="D45" s="127"/>
      <c r="E45" s="127"/>
      <c r="F45" s="189"/>
      <c r="G45" s="127"/>
      <c r="H45" s="181"/>
      <c r="I45" s="127"/>
      <c r="J45" s="181"/>
      <c r="K45" s="127"/>
      <c r="L45" s="140"/>
      <c r="M45" s="142"/>
    </row>
    <row r="46" spans="1:14" x14ac:dyDescent="0.45">
      <c r="A46" s="1"/>
      <c r="B46" s="1"/>
      <c r="C46" s="3"/>
      <c r="D46" s="3"/>
      <c r="E46" s="3"/>
      <c r="G46" s="3"/>
      <c r="H46" s="182"/>
      <c r="I46" s="3"/>
      <c r="J46" s="182"/>
      <c r="K46" s="3"/>
      <c r="L46" s="3"/>
      <c r="M46" s="3"/>
    </row>
    <row r="47" spans="1:14" x14ac:dyDescent="0.45">
      <c r="D47" s="3" t="s">
        <v>133</v>
      </c>
    </row>
    <row r="51" spans="6:7" ht="17.649999999999999" x14ac:dyDescent="0.75">
      <c r="F51" s="190"/>
    </row>
    <row r="52" spans="6:7" x14ac:dyDescent="0.45">
      <c r="G52" s="21"/>
    </row>
    <row r="55" spans="6:7" ht="17.649999999999999" x14ac:dyDescent="0.75">
      <c r="F55" s="190"/>
    </row>
    <row r="56" spans="6:7" x14ac:dyDescent="0.45">
      <c r="G56" s="21"/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tabColor rgb="FF92D050"/>
    <pageSetUpPr fitToPage="1"/>
  </sheetPr>
  <dimension ref="B1:P27"/>
  <sheetViews>
    <sheetView showGridLines="0" workbookViewId="0">
      <selection sqref="A1:O27"/>
    </sheetView>
  </sheetViews>
  <sheetFormatPr defaultRowHeight="15" x14ac:dyDescent="0.4"/>
  <cols>
    <col min="1" max="1" width="1.77734375" customWidth="1"/>
    <col min="2" max="2" width="20.44140625" bestFit="1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ht="15.4" x14ac:dyDescent="0.45"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8"/>
      <c r="P2" s="18"/>
    </row>
    <row r="3" spans="2:16" ht="18" x14ac:dyDescent="0.55000000000000004">
      <c r="B3" s="80" t="s">
        <v>97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2"/>
      <c r="O3" s="18"/>
      <c r="P3" s="18"/>
    </row>
    <row r="4" spans="2:16" ht="18" x14ac:dyDescent="0.55000000000000004">
      <c r="B4" s="82" t="s">
        <v>98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72"/>
      <c r="O4" s="18"/>
      <c r="P4" s="18"/>
    </row>
    <row r="5" spans="2:16" ht="15.75" x14ac:dyDescent="0.45">
      <c r="B5" s="84" t="s">
        <v>234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72"/>
      <c r="O5" s="18"/>
      <c r="P5" s="18"/>
    </row>
    <row r="6" spans="2:16" ht="15.75" x14ac:dyDescent="0.5">
      <c r="B6" s="85" t="s">
        <v>99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72"/>
      <c r="O6" s="18"/>
      <c r="P6" s="18"/>
    </row>
    <row r="7" spans="2:16" ht="15.4" x14ac:dyDescent="0.45">
      <c r="B7" s="87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72"/>
      <c r="O7" s="18"/>
      <c r="P7" s="18"/>
    </row>
    <row r="8" spans="2:16" ht="15.4" x14ac:dyDescent="0.45">
      <c r="B8" s="88"/>
      <c r="C8" s="89"/>
      <c r="D8" s="90"/>
      <c r="E8" s="89"/>
      <c r="F8" s="91"/>
      <c r="G8" s="89"/>
      <c r="H8" s="91"/>
      <c r="I8" s="89"/>
      <c r="J8" s="91"/>
      <c r="K8" s="89"/>
      <c r="L8" s="91"/>
      <c r="M8" s="90"/>
      <c r="N8" s="79"/>
      <c r="O8" s="18"/>
      <c r="P8" s="18"/>
    </row>
    <row r="9" spans="2:16" ht="16.5" x14ac:dyDescent="0.45">
      <c r="B9" s="92"/>
      <c r="C9" s="285" t="s">
        <v>100</v>
      </c>
      <c r="D9" s="286"/>
      <c r="E9" s="285" t="s">
        <v>101</v>
      </c>
      <c r="F9" s="286"/>
      <c r="G9" s="285" t="s">
        <v>102</v>
      </c>
      <c r="H9" s="286"/>
      <c r="I9" s="285" t="s">
        <v>103</v>
      </c>
      <c r="J9" s="286"/>
      <c r="K9" s="285" t="s">
        <v>258</v>
      </c>
      <c r="L9" s="286"/>
      <c r="M9" s="18"/>
      <c r="N9" s="72"/>
      <c r="O9" s="18"/>
      <c r="P9" s="18"/>
    </row>
    <row r="10" spans="2:16" ht="16.5" x14ac:dyDescent="0.45">
      <c r="B10" s="92"/>
      <c r="C10" s="93"/>
      <c r="D10" s="94" t="s">
        <v>104</v>
      </c>
      <c r="E10" s="95"/>
      <c r="F10" s="94" t="s">
        <v>104</v>
      </c>
      <c r="G10" s="95"/>
      <c r="H10" s="94" t="s">
        <v>104</v>
      </c>
      <c r="I10" s="95"/>
      <c r="J10" s="94" t="s">
        <v>104</v>
      </c>
      <c r="K10" s="95"/>
      <c r="L10" s="94" t="s">
        <v>104</v>
      </c>
      <c r="M10" s="18"/>
      <c r="N10" s="72"/>
      <c r="O10" s="18"/>
      <c r="P10" s="18"/>
    </row>
    <row r="11" spans="2:16" ht="16.5" x14ac:dyDescent="0.45">
      <c r="B11" s="92"/>
      <c r="C11" s="93" t="s">
        <v>105</v>
      </c>
      <c r="D11" s="96" t="s">
        <v>106</v>
      </c>
      <c r="E11" s="93" t="s">
        <v>105</v>
      </c>
      <c r="F11" s="96" t="s">
        <v>106</v>
      </c>
      <c r="G11" s="93" t="s">
        <v>105</v>
      </c>
      <c r="H11" s="96" t="s">
        <v>106</v>
      </c>
      <c r="I11" s="93" t="s">
        <v>105</v>
      </c>
      <c r="J11" s="96" t="s">
        <v>106</v>
      </c>
      <c r="K11" s="93" t="s">
        <v>105</v>
      </c>
      <c r="L11" s="96" t="s">
        <v>106</v>
      </c>
      <c r="M11" s="97" t="s">
        <v>67</v>
      </c>
      <c r="N11" s="72"/>
      <c r="O11" s="18"/>
      <c r="P11" s="18"/>
    </row>
    <row r="12" spans="2:16" ht="15.4" x14ac:dyDescent="0.45">
      <c r="B12" s="92" t="s">
        <v>254</v>
      </c>
      <c r="C12" s="99">
        <v>27000</v>
      </c>
      <c r="D12" s="101">
        <f>28716+28209</f>
        <v>56925</v>
      </c>
      <c r="E12" s="99">
        <v>28000</v>
      </c>
      <c r="F12" s="101">
        <f>28209+27684</f>
        <v>55893</v>
      </c>
      <c r="G12" s="99">
        <v>29000</v>
      </c>
      <c r="H12" s="101">
        <f>27684+27141</f>
        <v>54825</v>
      </c>
      <c r="I12" s="99">
        <v>30000</v>
      </c>
      <c r="J12" s="101">
        <f>27141+26578</f>
        <v>53719</v>
      </c>
      <c r="K12" s="99">
        <v>31500</v>
      </c>
      <c r="L12" s="101">
        <f>26578+25988</f>
        <v>52566</v>
      </c>
      <c r="M12" s="102">
        <f t="shared" ref="M12:M15" si="0">SUM(C12:L12)</f>
        <v>419428</v>
      </c>
      <c r="N12" s="72"/>
      <c r="O12" s="18"/>
      <c r="P12" s="18"/>
    </row>
    <row r="13" spans="2:16" ht="15.4" x14ac:dyDescent="0.45">
      <c r="B13" s="92" t="s">
        <v>255</v>
      </c>
      <c r="C13" s="99">
        <v>5000</v>
      </c>
      <c r="D13" s="100">
        <f>4716+4629</f>
        <v>9345</v>
      </c>
      <c r="E13" s="99">
        <v>5000</v>
      </c>
      <c r="F13" s="101">
        <f>4629+4541</f>
        <v>9170</v>
      </c>
      <c r="G13" s="99">
        <v>5500</v>
      </c>
      <c r="H13" s="101">
        <f>4541+4445</f>
        <v>8986</v>
      </c>
      <c r="I13" s="99">
        <v>5500</v>
      </c>
      <c r="J13" s="101">
        <f>4445+4349</f>
        <v>8794</v>
      </c>
      <c r="K13" s="99">
        <v>5500</v>
      </c>
      <c r="L13" s="101">
        <f>4349+4253</f>
        <v>8602</v>
      </c>
      <c r="M13" s="102">
        <f t="shared" si="0"/>
        <v>71397</v>
      </c>
      <c r="N13" s="72"/>
      <c r="O13" s="18"/>
      <c r="P13" s="18"/>
    </row>
    <row r="14" spans="2:16" ht="15.4" x14ac:dyDescent="0.45">
      <c r="B14" s="92" t="s">
        <v>256</v>
      </c>
      <c r="C14" s="99">
        <v>350000</v>
      </c>
      <c r="D14" s="100">
        <f>16075+12137.5+450</f>
        <v>28662.5</v>
      </c>
      <c r="E14" s="99">
        <v>270000</v>
      </c>
      <c r="F14" s="101">
        <f>12137.5+9100+450</f>
        <v>21687.5</v>
      </c>
      <c r="G14" s="99">
        <v>275000</v>
      </c>
      <c r="H14" s="101">
        <f>9100+4631.25+450</f>
        <v>14181.25</v>
      </c>
      <c r="I14" s="99">
        <v>285000</v>
      </c>
      <c r="J14" s="101">
        <f>4631.25+450</f>
        <v>5081.25</v>
      </c>
      <c r="K14" s="99">
        <v>0</v>
      </c>
      <c r="L14" s="101">
        <v>0</v>
      </c>
      <c r="M14" s="102">
        <f t="shared" si="0"/>
        <v>1249612.5</v>
      </c>
      <c r="N14" s="72"/>
      <c r="O14" s="18"/>
      <c r="P14" s="18"/>
    </row>
    <row r="15" spans="2:16" ht="15.4" x14ac:dyDescent="0.45">
      <c r="B15" s="92" t="s">
        <v>257</v>
      </c>
      <c r="C15" s="99">
        <v>37837.75</v>
      </c>
      <c r="D15" s="100">
        <v>3297.89</v>
      </c>
      <c r="E15" s="99">
        <v>39096.81</v>
      </c>
      <c r="F15" s="101">
        <v>2038.83</v>
      </c>
      <c r="G15" s="99">
        <v>40411.760000000002</v>
      </c>
      <c r="H15" s="101">
        <v>723.88</v>
      </c>
      <c r="I15" s="99">
        <v>0</v>
      </c>
      <c r="J15" s="101">
        <v>0</v>
      </c>
      <c r="K15" s="99">
        <v>0</v>
      </c>
      <c r="L15" s="101">
        <v>0</v>
      </c>
      <c r="M15" s="102">
        <f t="shared" si="0"/>
        <v>123406.92000000001</v>
      </c>
      <c r="N15" s="72"/>
      <c r="O15" s="18"/>
      <c r="P15" s="18"/>
    </row>
    <row r="16" spans="2:16" ht="15.4" x14ac:dyDescent="0.45">
      <c r="B16" s="98"/>
      <c r="C16" s="99"/>
      <c r="D16" s="100"/>
      <c r="E16" s="99"/>
      <c r="F16" s="101"/>
      <c r="G16" s="99"/>
      <c r="H16" s="101"/>
      <c r="I16" s="99"/>
      <c r="J16" s="101"/>
      <c r="K16" s="99"/>
      <c r="L16" s="101"/>
      <c r="M16" s="102"/>
      <c r="N16" s="72"/>
      <c r="O16" s="18"/>
      <c r="P16" s="18"/>
    </row>
    <row r="17" spans="2:16" ht="15.4" x14ac:dyDescent="0.45">
      <c r="B17" s="73" t="s">
        <v>67</v>
      </c>
      <c r="C17" s="103">
        <f>SUM(C12:C15)</f>
        <v>419837.75</v>
      </c>
      <c r="D17" s="103">
        <f t="shared" ref="D17:L17" si="1">SUM(D12:D15)</f>
        <v>98230.39</v>
      </c>
      <c r="E17" s="103">
        <f t="shared" si="1"/>
        <v>342096.81</v>
      </c>
      <c r="F17" s="103">
        <f t="shared" si="1"/>
        <v>88789.33</v>
      </c>
      <c r="G17" s="103">
        <f t="shared" si="1"/>
        <v>349911.76</v>
      </c>
      <c r="H17" s="103">
        <f t="shared" si="1"/>
        <v>78716.13</v>
      </c>
      <c r="I17" s="103">
        <f t="shared" si="1"/>
        <v>320500</v>
      </c>
      <c r="J17" s="103">
        <f t="shared" si="1"/>
        <v>67594.25</v>
      </c>
      <c r="K17" s="103">
        <f t="shared" si="1"/>
        <v>37000</v>
      </c>
      <c r="L17" s="260">
        <f t="shared" si="1"/>
        <v>61168</v>
      </c>
      <c r="M17" s="104">
        <f>SUM(M12:M15)</f>
        <v>1863844.42</v>
      </c>
      <c r="N17" s="72"/>
      <c r="O17" s="18"/>
      <c r="P17" s="18"/>
    </row>
    <row r="18" spans="2:16" ht="15.4" x14ac:dyDescent="0.45">
      <c r="B18" s="105"/>
      <c r="C18" s="106"/>
      <c r="D18" s="107"/>
      <c r="E18" s="106"/>
      <c r="F18" s="108"/>
      <c r="G18" s="106"/>
      <c r="H18" s="108"/>
      <c r="I18" s="106"/>
      <c r="J18" s="109"/>
      <c r="K18" s="106"/>
      <c r="L18" s="108"/>
      <c r="M18" s="107"/>
      <c r="N18" s="68"/>
      <c r="O18" s="18"/>
      <c r="P18" s="18"/>
    </row>
    <row r="19" spans="2:16" ht="15.4" x14ac:dyDescent="0.45">
      <c r="B19" s="110"/>
      <c r="C19" s="111"/>
      <c r="D19" s="111"/>
      <c r="E19" s="111"/>
      <c r="F19" s="111"/>
      <c r="G19" s="111"/>
      <c r="H19" s="111"/>
      <c r="I19" s="111"/>
      <c r="J19" s="112"/>
      <c r="K19" s="112"/>
      <c r="L19" s="112"/>
      <c r="M19" s="111"/>
      <c r="N19" s="72"/>
      <c r="O19" s="18"/>
      <c r="P19" s="18"/>
    </row>
    <row r="20" spans="2:16" ht="15.4" x14ac:dyDescent="0.45">
      <c r="B20" s="113"/>
      <c r="C20" s="114"/>
      <c r="D20" s="115"/>
      <c r="E20" s="114"/>
      <c r="F20" s="114"/>
      <c r="G20" s="114"/>
      <c r="H20" s="114"/>
      <c r="I20" s="115" t="s">
        <v>107</v>
      </c>
      <c r="J20" s="18"/>
      <c r="K20" s="116"/>
      <c r="L20" s="117"/>
      <c r="M20" s="114">
        <f>M17/5</f>
        <v>372768.88399999996</v>
      </c>
      <c r="N20" s="72"/>
      <c r="O20" s="18"/>
      <c r="P20" s="18"/>
    </row>
    <row r="21" spans="2:16" ht="15.4" x14ac:dyDescent="0.45">
      <c r="B21" s="20"/>
      <c r="C21" s="115"/>
      <c r="D21" s="18"/>
      <c r="E21" s="115"/>
      <c r="F21" s="115"/>
      <c r="G21" s="115"/>
      <c r="H21" s="115"/>
      <c r="I21" s="115"/>
      <c r="J21" s="18"/>
      <c r="K21" s="23"/>
      <c r="L21" s="116"/>
      <c r="M21" s="29"/>
      <c r="N21" s="72"/>
      <c r="O21" s="18"/>
      <c r="P21" s="18"/>
    </row>
    <row r="22" spans="2:16" ht="15.4" x14ac:dyDescent="0.45">
      <c r="B22" s="113"/>
      <c r="C22" s="115"/>
      <c r="D22" s="115"/>
      <c r="E22" s="115"/>
      <c r="F22" s="115"/>
      <c r="G22" s="115"/>
      <c r="H22" s="115"/>
      <c r="I22" s="115" t="s">
        <v>108</v>
      </c>
      <c r="J22" s="18"/>
      <c r="K22" s="116"/>
      <c r="L22" s="115"/>
      <c r="M22" s="114">
        <f>M20*0.2</f>
        <v>74553.776799999992</v>
      </c>
      <c r="N22" s="72"/>
      <c r="O22" s="18"/>
      <c r="P22" s="18"/>
    </row>
    <row r="23" spans="2:16" ht="15.4" x14ac:dyDescent="0.4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68"/>
      <c r="O23" s="18"/>
      <c r="P23" s="18"/>
    </row>
    <row r="25" spans="2:16" ht="15.4" x14ac:dyDescent="0.45">
      <c r="B25" s="251" t="s">
        <v>259</v>
      </c>
      <c r="C25" s="258"/>
      <c r="D25" s="259">
        <f>D17</f>
        <v>98230.39</v>
      </c>
      <c r="E25" s="258"/>
      <c r="F25" s="259">
        <f>F17</f>
        <v>88789.33</v>
      </c>
      <c r="G25" s="258"/>
      <c r="H25" s="259">
        <f>H17</f>
        <v>78716.13</v>
      </c>
      <c r="I25" s="258"/>
      <c r="J25" s="259">
        <f>J17</f>
        <v>67594.25</v>
      </c>
      <c r="K25" s="258"/>
      <c r="L25" s="259">
        <f>L17</f>
        <v>61168</v>
      </c>
      <c r="M25" s="261">
        <f>SUM(D25:L25)</f>
        <v>394498.1</v>
      </c>
    </row>
    <row r="26" spans="2:16" ht="15.4" x14ac:dyDescent="0.45">
      <c r="B26" s="251"/>
    </row>
    <row r="27" spans="2:16" ht="15.4" x14ac:dyDescent="0.45">
      <c r="B27" s="251" t="s">
        <v>260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62">
        <f>M25/5</f>
        <v>78899.62</v>
      </c>
    </row>
  </sheetData>
  <mergeCells count="5">
    <mergeCell ref="C9:D9"/>
    <mergeCell ref="E9:F9"/>
    <mergeCell ref="G9:H9"/>
    <mergeCell ref="I9:J9"/>
    <mergeCell ref="K9:L9"/>
  </mergeCells>
  <printOptions horizontalCentered="1" verticalCentered="1"/>
  <pageMargins left="1.2" right="0.7" top="0.75" bottom="0.75" header="0.3" footer="0.3"/>
  <pageSetup scale="87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sheetPr>
    <tabColor rgb="FF92D050"/>
  </sheetPr>
  <dimension ref="A1:D8"/>
  <sheetViews>
    <sheetView workbookViewId="0">
      <selection activeCell="A9" sqref="A9"/>
    </sheetView>
  </sheetViews>
  <sheetFormatPr defaultRowHeight="15" x14ac:dyDescent="0.4"/>
  <sheetData>
    <row r="1" spans="1:4" ht="15.4" x14ac:dyDescent="0.45">
      <c r="A1" s="1" t="s">
        <v>158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161</v>
      </c>
      <c r="B3" s="1"/>
      <c r="C3" s="150">
        <f>12350+7650+2361.81</f>
        <v>22361.81</v>
      </c>
      <c r="D3" s="1"/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159</v>
      </c>
      <c r="B5" s="151">
        <v>0.3</v>
      </c>
      <c r="C5" s="150">
        <f>B5*C3</f>
        <v>6708.5430000000006</v>
      </c>
      <c r="D5" s="1"/>
    </row>
    <row r="6" spans="1:4" ht="15.4" x14ac:dyDescent="0.45">
      <c r="A6" s="1" t="s">
        <v>160</v>
      </c>
      <c r="B6" s="151">
        <v>0.7</v>
      </c>
      <c r="C6" s="150">
        <f>B6*C3</f>
        <v>15653.267</v>
      </c>
      <c r="D6" s="1"/>
    </row>
    <row r="8" spans="1:4" ht="15.4" x14ac:dyDescent="0.45">
      <c r="A8" s="1" t="s">
        <v>292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sheetPr>
    <tabColor rgb="FF92D050"/>
  </sheetPr>
  <dimension ref="A1:G38"/>
  <sheetViews>
    <sheetView showGridLines="0" topLeftCell="A10" workbookViewId="0">
      <selection activeCell="D39" sqref="D39"/>
    </sheetView>
  </sheetViews>
  <sheetFormatPr defaultRowHeight="13.5" x14ac:dyDescent="0.35"/>
  <cols>
    <col min="1" max="1" width="22.0546875" style="144" customWidth="1"/>
    <col min="2" max="2" width="9.88671875" style="145" bestFit="1" customWidth="1"/>
    <col min="3" max="3" width="9.71875" style="145" bestFit="1" customWidth="1"/>
    <col min="4" max="4" width="10.38671875" style="144" bestFit="1" customWidth="1"/>
    <col min="5" max="16384" width="8.88671875" style="144"/>
  </cols>
  <sheetData>
    <row r="1" spans="1:7" ht="14.25" x14ac:dyDescent="0.45">
      <c r="A1" s="251" t="s">
        <v>234</v>
      </c>
    </row>
    <row r="2" spans="1:7" ht="14.25" x14ac:dyDescent="0.45">
      <c r="A2" s="244" t="s">
        <v>137</v>
      </c>
      <c r="B2" s="7"/>
      <c r="C2" s="7"/>
      <c r="D2" s="1"/>
      <c r="E2" s="1"/>
      <c r="F2" s="1"/>
      <c r="G2" s="1"/>
    </row>
    <row r="3" spans="1:7" ht="14.25" x14ac:dyDescent="0.45">
      <c r="A3" s="1" t="s">
        <v>143</v>
      </c>
      <c r="B3" s="7"/>
      <c r="C3" s="7"/>
      <c r="D3" s="1"/>
      <c r="E3" s="1"/>
      <c r="F3" s="1"/>
      <c r="G3" s="1"/>
    </row>
    <row r="4" spans="1:7" ht="14.25" x14ac:dyDescent="0.45">
      <c r="A4" s="1" t="s">
        <v>144</v>
      </c>
      <c r="B4" s="7"/>
      <c r="C4" s="5">
        <v>462027</v>
      </c>
      <c r="D4" s="1"/>
      <c r="E4" s="1"/>
      <c r="F4" s="1"/>
      <c r="G4" s="1"/>
    </row>
    <row r="5" spans="1:7" ht="14.25" x14ac:dyDescent="0.45">
      <c r="A5" s="1" t="s">
        <v>145</v>
      </c>
      <c r="B5" s="7"/>
      <c r="C5" s="7">
        <f>C3+C4</f>
        <v>462027</v>
      </c>
      <c r="D5" s="1"/>
      <c r="E5" s="1"/>
      <c r="F5" s="1"/>
      <c r="G5" s="1"/>
    </row>
    <row r="6" spans="1:7" ht="14.25" x14ac:dyDescent="0.45">
      <c r="A6" s="1"/>
      <c r="B6" s="7"/>
      <c r="C6" s="7"/>
      <c r="D6" s="1"/>
      <c r="E6" s="1"/>
      <c r="F6" s="1"/>
      <c r="G6" s="1"/>
    </row>
    <row r="7" spans="1:7" ht="14.25" x14ac:dyDescent="0.45">
      <c r="A7" s="1" t="s">
        <v>138</v>
      </c>
      <c r="B7" s="7"/>
      <c r="C7" s="7">
        <v>352245</v>
      </c>
      <c r="D7" s="1"/>
      <c r="E7" s="1"/>
      <c r="F7" s="1"/>
      <c r="G7" s="1"/>
    </row>
    <row r="8" spans="1:7" ht="14.25" x14ac:dyDescent="0.45">
      <c r="A8" s="1"/>
      <c r="B8" s="7"/>
      <c r="C8" s="7"/>
      <c r="D8" s="1"/>
      <c r="E8" s="1"/>
      <c r="F8" s="1"/>
      <c r="G8" s="1"/>
    </row>
    <row r="9" spans="1:7" ht="14.25" x14ac:dyDescent="0.45">
      <c r="A9" s="1" t="s">
        <v>139</v>
      </c>
      <c r="B9" s="7"/>
      <c r="C9" s="7"/>
      <c r="D9" s="1"/>
      <c r="E9" s="1"/>
      <c r="F9" s="1"/>
      <c r="G9" s="1"/>
    </row>
    <row r="10" spans="1:7" ht="14.25" x14ac:dyDescent="0.45">
      <c r="A10" s="1" t="s">
        <v>148</v>
      </c>
      <c r="B10" s="7">
        <v>0</v>
      </c>
      <c r="C10" s="7"/>
      <c r="D10" s="1"/>
      <c r="E10" s="1"/>
      <c r="F10" s="1"/>
      <c r="G10" s="1"/>
    </row>
    <row r="11" spans="1:7" ht="14.25" x14ac:dyDescent="0.45">
      <c r="A11" s="1" t="s">
        <v>149</v>
      </c>
      <c r="B11" s="7">
        <v>7784</v>
      </c>
      <c r="C11" s="7"/>
      <c r="D11" s="1"/>
      <c r="E11" s="1"/>
      <c r="F11" s="1"/>
      <c r="G11" s="1"/>
    </row>
    <row r="12" spans="1:7" ht="14.25" x14ac:dyDescent="0.45">
      <c r="A12" s="1" t="s">
        <v>150</v>
      </c>
      <c r="B12" s="7">
        <v>1280</v>
      </c>
      <c r="C12" s="7"/>
      <c r="D12" s="1"/>
      <c r="E12" s="1"/>
      <c r="F12" s="1"/>
      <c r="G12" s="1"/>
    </row>
    <row r="13" spans="1:7" ht="14.25" x14ac:dyDescent="0.45">
      <c r="A13" s="1" t="s">
        <v>151</v>
      </c>
      <c r="B13" s="7">
        <v>0</v>
      </c>
      <c r="C13" s="7"/>
      <c r="D13" s="1"/>
      <c r="E13" s="1"/>
      <c r="F13" s="1"/>
      <c r="G13" s="1"/>
    </row>
    <row r="14" spans="1:7" ht="14.25" x14ac:dyDescent="0.45">
      <c r="A14" s="1" t="s">
        <v>146</v>
      </c>
      <c r="B14" s="7"/>
      <c r="C14" s="7">
        <f>SUM(B10:B13)</f>
        <v>9064</v>
      </c>
      <c r="D14" s="1"/>
      <c r="E14" s="1"/>
      <c r="F14" s="1"/>
      <c r="G14" s="1"/>
    </row>
    <row r="15" spans="1:7" ht="14.25" x14ac:dyDescent="0.45">
      <c r="A15" s="1"/>
      <c r="B15" s="7"/>
      <c r="C15" s="7"/>
      <c r="D15" s="1"/>
      <c r="E15" s="1"/>
      <c r="F15" s="1"/>
      <c r="G15" s="1"/>
    </row>
    <row r="16" spans="1:7" ht="14.25" x14ac:dyDescent="0.45">
      <c r="A16" s="1" t="s">
        <v>147</v>
      </c>
      <c r="B16" s="7"/>
      <c r="C16" s="7"/>
      <c r="D16" s="1"/>
      <c r="E16" s="1"/>
      <c r="F16" s="1"/>
      <c r="G16" s="1"/>
    </row>
    <row r="17" spans="1:7" ht="14.25" x14ac:dyDescent="0.45">
      <c r="A17" s="1" t="s">
        <v>190</v>
      </c>
      <c r="B17" s="7">
        <v>0</v>
      </c>
      <c r="C17" s="7"/>
      <c r="D17" s="1"/>
      <c r="E17" s="1"/>
      <c r="F17" s="1"/>
      <c r="G17" s="1"/>
    </row>
    <row r="18" spans="1:7" ht="14.25" x14ac:dyDescent="0.45">
      <c r="A18" s="1" t="s">
        <v>191</v>
      </c>
      <c r="B18" s="7">
        <v>20074</v>
      </c>
      <c r="C18" s="7"/>
      <c r="D18" s="1"/>
      <c r="E18" s="1"/>
      <c r="F18" s="1"/>
      <c r="G18" s="1"/>
    </row>
    <row r="19" spans="1:7" ht="14.25" x14ac:dyDescent="0.45">
      <c r="A19" s="1" t="s">
        <v>152</v>
      </c>
      <c r="B19" s="7">
        <v>80644</v>
      </c>
      <c r="C19" s="7"/>
      <c r="D19" s="1"/>
      <c r="E19" s="1"/>
      <c r="F19" s="1"/>
      <c r="G19" s="1"/>
    </row>
    <row r="20" spans="1:7" ht="14.25" x14ac:dyDescent="0.45">
      <c r="A20" s="1" t="s">
        <v>153</v>
      </c>
      <c r="B20" s="7">
        <v>0</v>
      </c>
      <c r="C20" s="7"/>
    </row>
    <row r="21" spans="1:7" ht="14.25" x14ac:dyDescent="0.45">
      <c r="A21" s="1" t="s">
        <v>154</v>
      </c>
      <c r="B21" s="7"/>
      <c r="C21" s="5">
        <f>SUM(B17:B20)</f>
        <v>100718</v>
      </c>
    </row>
    <row r="22" spans="1:7" ht="14.25" x14ac:dyDescent="0.45">
      <c r="A22" s="1" t="s">
        <v>155</v>
      </c>
      <c r="B22" s="7"/>
      <c r="C22" s="7">
        <f>C7+C14+C21</f>
        <v>462027</v>
      </c>
    </row>
    <row r="23" spans="1:7" ht="14.25" x14ac:dyDescent="0.45">
      <c r="A23" s="1"/>
    </row>
    <row r="25" spans="1:7" ht="14.25" x14ac:dyDescent="0.45">
      <c r="D25" s="45">
        <f>C21/C5</f>
        <v>0.21799158923612688</v>
      </c>
      <c r="E25" s="1" t="s">
        <v>140</v>
      </c>
      <c r="F25" s="1"/>
      <c r="G25" s="1"/>
    </row>
    <row r="26" spans="1:7" ht="14.25" x14ac:dyDescent="0.45">
      <c r="D26" s="45">
        <v>0.15</v>
      </c>
      <c r="E26" s="1" t="s">
        <v>141</v>
      </c>
      <c r="F26" s="1"/>
      <c r="G26" s="1"/>
    </row>
    <row r="27" spans="1:7" ht="14.25" x14ac:dyDescent="0.45">
      <c r="D27" s="45">
        <f>IF(D25&gt;D26,D25-D26,0)</f>
        <v>6.7991589236126887E-2</v>
      </c>
      <c r="E27" s="1" t="s">
        <v>142</v>
      </c>
      <c r="F27" s="1"/>
      <c r="G27" s="21"/>
    </row>
    <row r="29" spans="1:7" ht="14.25" x14ac:dyDescent="0.45">
      <c r="A29" s="1" t="s">
        <v>206</v>
      </c>
      <c r="B29" s="7"/>
      <c r="C29" s="7"/>
      <c r="D29" s="22" t="s">
        <v>37</v>
      </c>
    </row>
    <row r="30" spans="1:7" ht="14.25" x14ac:dyDescent="0.45">
      <c r="A30" s="1" t="str">
        <f>SAO!C24</f>
        <v>Purchased Water</v>
      </c>
      <c r="B30" s="206">
        <f>SAO!D24</f>
        <v>1387417</v>
      </c>
      <c r="C30" s="193"/>
      <c r="D30" s="156">
        <f>-SAO!D24*$D$27</f>
        <v>-94332.686763219463</v>
      </c>
      <c r="F30" s="21"/>
    </row>
    <row r="31" spans="1:7" ht="14.25" x14ac:dyDescent="0.45">
      <c r="A31" s="1" t="str">
        <f>SAO!C25</f>
        <v>Purchased Power</v>
      </c>
      <c r="B31" s="206">
        <f>SAO!D25</f>
        <v>68706</v>
      </c>
      <c r="C31" s="193"/>
      <c r="D31" s="156">
        <f>-SAO!D25*$D$27</f>
        <v>-4671.4301300573343</v>
      </c>
      <c r="F31" s="21"/>
    </row>
    <row r="32" spans="1:7" ht="14.25" x14ac:dyDescent="0.45">
      <c r="A32" s="1" t="str">
        <f>SAO!C26</f>
        <v>Chemicals</v>
      </c>
      <c r="B32" s="207">
        <f>SAO!D26</f>
        <v>0</v>
      </c>
      <c r="C32" s="194"/>
      <c r="D32" s="195">
        <f>-SAO!D26*$D$27</f>
        <v>0</v>
      </c>
    </row>
    <row r="33" spans="1:4" ht="14.25" x14ac:dyDescent="0.45">
      <c r="A33" s="1" t="s">
        <v>12</v>
      </c>
      <c r="B33" s="206">
        <f>SUM(B30:B32)</f>
        <v>1456123</v>
      </c>
      <c r="C33" s="194"/>
      <c r="D33" s="193">
        <f>SUM(D30:D32)</f>
        <v>-99004.116893276791</v>
      </c>
    </row>
    <row r="34" spans="1:4" ht="14.25" x14ac:dyDescent="0.45">
      <c r="A34" s="1"/>
      <c r="B34" s="206"/>
      <c r="C34" s="194"/>
      <c r="D34" s="206"/>
    </row>
    <row r="35" spans="1:4" ht="14.25" x14ac:dyDescent="0.45">
      <c r="A35" s="1" t="s">
        <v>207</v>
      </c>
      <c r="B35" s="7"/>
      <c r="C35" s="194"/>
      <c r="D35" s="156"/>
    </row>
    <row r="36" spans="1:4" ht="14.25" x14ac:dyDescent="0.45">
      <c r="A36" s="1" t="s">
        <v>182</v>
      </c>
      <c r="B36" s="7"/>
      <c r="C36" s="194"/>
      <c r="D36" s="156">
        <f>-D33</f>
        <v>99004.116893276791</v>
      </c>
    </row>
    <row r="37" spans="1:4" ht="14.25" x14ac:dyDescent="0.45">
      <c r="A37" s="1" t="s">
        <v>185</v>
      </c>
      <c r="B37" s="7"/>
      <c r="C37" s="6"/>
      <c r="D37" s="28">
        <f>ExBA!F4</f>
        <v>76009</v>
      </c>
    </row>
    <row r="38" spans="1:4" ht="14.25" x14ac:dyDescent="0.45">
      <c r="A38" s="1" t="s">
        <v>183</v>
      </c>
      <c r="B38" s="7"/>
      <c r="C38" s="194"/>
      <c r="D38" s="156">
        <f>ROUND(D36/D37,2)</f>
        <v>1.3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GI42"/>
  <sheetViews>
    <sheetView showGridLines="0" topLeftCell="A27" workbookViewId="0">
      <selection activeCell="K42" sqref="A1:K42"/>
    </sheetView>
  </sheetViews>
  <sheetFormatPr defaultColWidth="8.88671875" defaultRowHeight="14.25" x14ac:dyDescent="0.45"/>
  <cols>
    <col min="1" max="1" width="3.0546875" style="25" customWidth="1"/>
    <col min="2" max="2" width="19.33203125" style="25" bestFit="1" customWidth="1"/>
    <col min="3" max="3" width="12.21875" style="25" bestFit="1" customWidth="1"/>
    <col min="4" max="4" width="8.44140625" style="27" customWidth="1"/>
    <col min="5" max="5" width="15.77734375" style="25" bestFit="1" customWidth="1"/>
    <col min="6" max="6" width="9.6640625" style="253" customWidth="1"/>
    <col min="7" max="7" width="15.77734375" style="25" bestFit="1" customWidth="1"/>
    <col min="8" max="8" width="9.6640625" style="27" customWidth="1"/>
    <col min="9" max="9" width="9.6640625" style="211" customWidth="1"/>
    <col min="10" max="10" width="2.77734375" style="25" customWidth="1"/>
    <col min="11" max="11" width="2.5546875" style="25" customWidth="1"/>
    <col min="12" max="12" width="9.6640625" style="191" customWidth="1"/>
    <col min="13" max="191" width="9.6640625" style="25" customWidth="1"/>
    <col min="192" max="16384" width="8.88671875" style="17"/>
  </cols>
  <sheetData>
    <row r="1" spans="2:14" ht="14.65" thickBot="1" x14ac:dyDescent="0.5"/>
    <row r="2" spans="2:14" ht="18" customHeight="1" x14ac:dyDescent="0.55000000000000004">
      <c r="B2" s="294"/>
      <c r="C2" s="295"/>
      <c r="D2" s="295"/>
      <c r="E2" s="295"/>
      <c r="F2" s="295"/>
      <c r="G2" s="295"/>
      <c r="H2" s="295"/>
      <c r="I2" s="295"/>
      <c r="J2" s="296"/>
    </row>
    <row r="3" spans="2:14" ht="18" customHeight="1" x14ac:dyDescent="0.55000000000000004">
      <c r="B3" s="289" t="s">
        <v>68</v>
      </c>
      <c r="C3" s="290"/>
      <c r="D3" s="290"/>
      <c r="E3" s="290"/>
      <c r="F3" s="290"/>
      <c r="G3" s="290"/>
      <c r="H3" s="290"/>
      <c r="I3" s="290"/>
      <c r="J3" s="291"/>
    </row>
    <row r="4" spans="2:14" ht="18" customHeight="1" x14ac:dyDescent="0.45">
      <c r="B4" s="227"/>
      <c r="J4" s="228"/>
    </row>
    <row r="5" spans="2:14" ht="21" x14ac:dyDescent="0.65">
      <c r="B5" s="297" t="s">
        <v>49</v>
      </c>
      <c r="C5" s="298"/>
      <c r="D5" s="298"/>
      <c r="E5" s="298"/>
      <c r="F5" s="298"/>
      <c r="G5" s="298"/>
      <c r="H5" s="298"/>
      <c r="I5" s="298"/>
      <c r="J5" s="299"/>
    </row>
    <row r="6" spans="2:14" ht="18" customHeight="1" x14ac:dyDescent="0.45">
      <c r="B6" s="300" t="s">
        <v>235</v>
      </c>
      <c r="C6" s="301"/>
      <c r="D6" s="301"/>
      <c r="E6" s="301"/>
      <c r="F6" s="301"/>
      <c r="G6" s="301"/>
      <c r="H6" s="301"/>
      <c r="I6" s="301"/>
      <c r="J6" s="302"/>
    </row>
    <row r="7" spans="2:14" ht="30.4" customHeight="1" x14ac:dyDescent="0.75">
      <c r="B7" s="303" t="s">
        <v>218</v>
      </c>
      <c r="C7" s="293"/>
      <c r="D7" s="292" t="s">
        <v>50</v>
      </c>
      <c r="E7" s="293"/>
      <c r="F7" s="292" t="s">
        <v>10</v>
      </c>
      <c r="G7" s="293"/>
      <c r="H7" s="292" t="s">
        <v>62</v>
      </c>
      <c r="I7" s="292"/>
      <c r="J7" s="229"/>
      <c r="M7" s="27"/>
    </row>
    <row r="8" spans="2:14" x14ac:dyDescent="0.45">
      <c r="B8" s="230"/>
      <c r="C8" s="26"/>
      <c r="E8" s="27"/>
      <c r="F8" s="249"/>
      <c r="G8" s="27"/>
      <c r="J8" s="231"/>
      <c r="M8" s="192"/>
      <c r="N8" s="192"/>
    </row>
    <row r="9" spans="2:14" x14ac:dyDescent="0.45">
      <c r="B9" s="287" t="s">
        <v>236</v>
      </c>
      <c r="C9" s="288"/>
      <c r="E9" s="27"/>
      <c r="F9" s="249"/>
      <c r="G9" s="27"/>
      <c r="J9" s="231"/>
      <c r="M9" s="192"/>
      <c r="N9" s="192"/>
    </row>
    <row r="10" spans="2:14" x14ac:dyDescent="0.45">
      <c r="B10" s="230" t="s">
        <v>198</v>
      </c>
      <c r="C10" s="26" t="s">
        <v>217</v>
      </c>
      <c r="D10" s="27">
        <v>20.76</v>
      </c>
      <c r="E10" s="27" t="s">
        <v>214</v>
      </c>
      <c r="F10" s="249">
        <f>ROUND(D10*(1+'Revenue Requirements'!$D$15),2)</f>
        <v>22.88</v>
      </c>
      <c r="G10" s="27" t="s">
        <v>214</v>
      </c>
      <c r="H10" s="27">
        <f t="shared" ref="H10:H11" si="0">F10-D10</f>
        <v>2.1199999999999974</v>
      </c>
      <c r="I10" s="211">
        <f t="shared" ref="I10:I11" si="1">H10/D10</f>
        <v>0.10211946050096327</v>
      </c>
      <c r="J10" s="231"/>
      <c r="M10" s="192"/>
      <c r="N10" s="192"/>
    </row>
    <row r="11" spans="2:14" x14ac:dyDescent="0.45">
      <c r="B11" s="230" t="s">
        <v>199</v>
      </c>
      <c r="C11" s="26" t="s">
        <v>237</v>
      </c>
      <c r="D11" s="256">
        <v>7.6899999999999998E-3</v>
      </c>
      <c r="E11" s="27" t="s">
        <v>248</v>
      </c>
      <c r="F11" s="255">
        <f>ROUND(D11*(1+'Revenue Requirements'!$D$15),6)</f>
        <v>8.4740000000000006E-3</v>
      </c>
      <c r="G11" s="27" t="s">
        <v>248</v>
      </c>
      <c r="H11" s="256">
        <f t="shared" si="0"/>
        <v>7.8400000000000084E-4</v>
      </c>
      <c r="I11" s="211">
        <f t="shared" si="1"/>
        <v>0.10195058517555278</v>
      </c>
      <c r="J11" s="231"/>
      <c r="M11" s="192"/>
      <c r="N11" s="192"/>
    </row>
    <row r="12" spans="2:14" x14ac:dyDescent="0.45">
      <c r="B12" s="230" t="s">
        <v>199</v>
      </c>
      <c r="C12" s="26" t="s">
        <v>238</v>
      </c>
      <c r="D12" s="256">
        <v>7.1599999999999997E-3</v>
      </c>
      <c r="E12" s="27" t="s">
        <v>248</v>
      </c>
      <c r="F12" s="255">
        <f>ROUND(D12*(1+'Revenue Requirements'!$D$15),6)</f>
        <v>7.8899999999999994E-3</v>
      </c>
      <c r="G12" s="27" t="s">
        <v>248</v>
      </c>
      <c r="H12" s="256">
        <f t="shared" ref="H12" si="2">F12-D12</f>
        <v>7.2999999999999975E-4</v>
      </c>
      <c r="I12" s="211">
        <f t="shared" ref="I12" si="3">H12/D12</f>
        <v>0.10195530726256981</v>
      </c>
      <c r="J12" s="231"/>
      <c r="M12" s="192"/>
      <c r="N12" s="192"/>
    </row>
    <row r="13" spans="2:14" x14ac:dyDescent="0.45">
      <c r="B13" s="230" t="s">
        <v>215</v>
      </c>
      <c r="C13" s="26" t="s">
        <v>239</v>
      </c>
      <c r="D13" s="256">
        <v>6.6299999999999996E-3</v>
      </c>
      <c r="E13" s="27" t="s">
        <v>248</v>
      </c>
      <c r="F13" s="255">
        <f>ROUND(D13*(1+'Revenue Requirements'!$D$15),6)</f>
        <v>7.306E-3</v>
      </c>
      <c r="G13" s="27" t="s">
        <v>248</v>
      </c>
      <c r="H13" s="256">
        <f t="shared" ref="H13:H41" si="4">F13-D13</f>
        <v>6.7600000000000039E-4</v>
      </c>
      <c r="I13" s="211">
        <f t="shared" ref="I13" si="5">H13/D13</f>
        <v>0.10196078431372556</v>
      </c>
      <c r="J13" s="228"/>
    </row>
    <row r="14" spans="2:14" x14ac:dyDescent="0.45">
      <c r="B14" s="230"/>
      <c r="C14" s="26"/>
      <c r="E14" s="27"/>
      <c r="F14" s="249"/>
      <c r="G14" s="27"/>
      <c r="H14" s="256"/>
      <c r="J14" s="228"/>
    </row>
    <row r="15" spans="2:14" x14ac:dyDescent="0.45">
      <c r="B15" s="287" t="s">
        <v>240</v>
      </c>
      <c r="C15" s="288"/>
      <c r="E15" s="27"/>
      <c r="F15" s="249"/>
      <c r="G15" s="27"/>
      <c r="H15" s="256"/>
      <c r="J15" s="228"/>
    </row>
    <row r="16" spans="2:14" x14ac:dyDescent="0.45">
      <c r="B16" s="230" t="s">
        <v>198</v>
      </c>
      <c r="C16" s="26" t="s">
        <v>242</v>
      </c>
      <c r="D16" s="27">
        <v>43.83</v>
      </c>
      <c r="E16" s="27" t="s">
        <v>214</v>
      </c>
      <c r="F16" s="249">
        <f>ROUND(F10+3000*F11,2)</f>
        <v>48.3</v>
      </c>
      <c r="G16" s="27" t="s">
        <v>214</v>
      </c>
      <c r="H16" s="27">
        <f t="shared" ref="H16:H19" si="6">F16-D16</f>
        <v>4.4699999999999989</v>
      </c>
      <c r="I16" s="211">
        <f t="shared" ref="I16:I19" si="7">H16/D16</f>
        <v>0.10198494182067075</v>
      </c>
      <c r="J16" s="228"/>
    </row>
    <row r="17" spans="2:10" x14ac:dyDescent="0.45">
      <c r="B17" s="230" t="s">
        <v>199</v>
      </c>
      <c r="C17" s="26" t="s">
        <v>242</v>
      </c>
      <c r="D17" s="256">
        <v>7.6899999999999998E-3</v>
      </c>
      <c r="E17" s="27" t="s">
        <v>248</v>
      </c>
      <c r="F17" s="255">
        <f>ROUND(D17*(1+'Revenue Requirements'!$D$15),6)</f>
        <v>8.4740000000000006E-3</v>
      </c>
      <c r="G17" s="27" t="s">
        <v>248</v>
      </c>
      <c r="H17" s="256">
        <f t="shared" si="6"/>
        <v>7.8400000000000084E-4</v>
      </c>
      <c r="I17" s="211">
        <f t="shared" si="7"/>
        <v>0.10195058517555278</v>
      </c>
      <c r="J17" s="228"/>
    </row>
    <row r="18" spans="2:10" x14ac:dyDescent="0.45">
      <c r="B18" s="230" t="s">
        <v>199</v>
      </c>
      <c r="C18" s="26" t="s">
        <v>238</v>
      </c>
      <c r="D18" s="256">
        <v>7.1599999999999997E-3</v>
      </c>
      <c r="E18" s="27" t="s">
        <v>248</v>
      </c>
      <c r="F18" s="255">
        <f>ROUND(D18*(1+'Revenue Requirements'!$D$15),6)</f>
        <v>7.8899999999999994E-3</v>
      </c>
      <c r="G18" s="27" t="s">
        <v>248</v>
      </c>
      <c r="H18" s="256">
        <f t="shared" si="6"/>
        <v>7.2999999999999975E-4</v>
      </c>
      <c r="I18" s="211">
        <f t="shared" si="7"/>
        <v>0.10195530726256981</v>
      </c>
      <c r="J18" s="228"/>
    </row>
    <row r="19" spans="2:10" x14ac:dyDescent="0.45">
      <c r="B19" s="230" t="s">
        <v>215</v>
      </c>
      <c r="C19" s="26" t="s">
        <v>239</v>
      </c>
      <c r="D19" s="256">
        <v>6.6299999999999996E-3</v>
      </c>
      <c r="E19" s="27" t="s">
        <v>248</v>
      </c>
      <c r="F19" s="255">
        <f>ROUND(D19*(1+'Revenue Requirements'!$D$15),6)</f>
        <v>7.306E-3</v>
      </c>
      <c r="G19" s="27" t="s">
        <v>248</v>
      </c>
      <c r="H19" s="256">
        <f t="shared" si="6"/>
        <v>6.7600000000000039E-4</v>
      </c>
      <c r="I19" s="211">
        <f t="shared" si="7"/>
        <v>0.10196078431372556</v>
      </c>
      <c r="J19" s="228"/>
    </row>
    <row r="20" spans="2:10" x14ac:dyDescent="0.45">
      <c r="B20" s="230"/>
      <c r="C20" s="26"/>
      <c r="E20" s="27"/>
      <c r="F20" s="249"/>
      <c r="G20" s="27"/>
      <c r="H20" s="256"/>
      <c r="J20" s="228"/>
    </row>
    <row r="21" spans="2:10" x14ac:dyDescent="0.45">
      <c r="B21" s="287" t="s">
        <v>241</v>
      </c>
      <c r="C21" s="288"/>
      <c r="E21" s="27"/>
      <c r="F21" s="249"/>
      <c r="G21" s="27"/>
      <c r="H21" s="256"/>
      <c r="J21" s="228"/>
    </row>
    <row r="22" spans="2:10" x14ac:dyDescent="0.45">
      <c r="B22" s="230" t="s">
        <v>198</v>
      </c>
      <c r="C22" s="26" t="s">
        <v>243</v>
      </c>
      <c r="D22" s="27">
        <v>125.24</v>
      </c>
      <c r="E22" s="27" t="s">
        <v>214</v>
      </c>
      <c r="F22" s="249">
        <f>ROUND(F16+5000*F17+6000*F18,2)</f>
        <v>138.01</v>
      </c>
      <c r="G22" s="27" t="s">
        <v>214</v>
      </c>
      <c r="H22" s="27">
        <f t="shared" ref="H22:H24" si="8">F22-D22</f>
        <v>12.769999999999996</v>
      </c>
      <c r="I22" s="211">
        <f t="shared" ref="I22:I24" si="9">H22/D22</f>
        <v>0.10196422868093258</v>
      </c>
      <c r="J22" s="228"/>
    </row>
    <row r="23" spans="2:10" x14ac:dyDescent="0.45">
      <c r="B23" s="230" t="s">
        <v>199</v>
      </c>
      <c r="C23" s="26" t="s">
        <v>244</v>
      </c>
      <c r="D23" s="256">
        <v>7.1599999999999997E-3</v>
      </c>
      <c r="E23" s="27" t="s">
        <v>248</v>
      </c>
      <c r="F23" s="255">
        <f>ROUND(D23*(1+'Revenue Requirements'!$D$15),6)</f>
        <v>7.8899999999999994E-3</v>
      </c>
      <c r="G23" s="27" t="s">
        <v>248</v>
      </c>
      <c r="H23" s="256">
        <f t="shared" si="8"/>
        <v>7.2999999999999975E-4</v>
      </c>
      <c r="I23" s="211">
        <f t="shared" si="9"/>
        <v>0.10195530726256981</v>
      </c>
      <c r="J23" s="228"/>
    </row>
    <row r="24" spans="2:10" x14ac:dyDescent="0.45">
      <c r="B24" s="230" t="s">
        <v>215</v>
      </c>
      <c r="C24" s="26" t="s">
        <v>239</v>
      </c>
      <c r="D24" s="256">
        <v>6.6299999999999996E-3</v>
      </c>
      <c r="E24" s="27" t="s">
        <v>248</v>
      </c>
      <c r="F24" s="255">
        <f>ROUND(D24*(1+'Revenue Requirements'!$D$15),6)</f>
        <v>7.306E-3</v>
      </c>
      <c r="G24" s="27" t="s">
        <v>248</v>
      </c>
      <c r="H24" s="256">
        <f t="shared" si="8"/>
        <v>6.7600000000000039E-4</v>
      </c>
      <c r="I24" s="211">
        <f t="shared" si="9"/>
        <v>0.10196078431372556</v>
      </c>
      <c r="J24" s="228"/>
    </row>
    <row r="25" spans="2:10" x14ac:dyDescent="0.45">
      <c r="B25" s="230"/>
      <c r="C25" s="26"/>
      <c r="E25" s="27"/>
      <c r="F25" s="249"/>
      <c r="G25" s="27"/>
      <c r="H25" s="256"/>
      <c r="J25" s="228"/>
    </row>
    <row r="26" spans="2:10" x14ac:dyDescent="0.45">
      <c r="B26" s="287" t="s">
        <v>245</v>
      </c>
      <c r="C26" s="288"/>
      <c r="E26" s="27"/>
      <c r="F26" s="249"/>
      <c r="G26" s="27"/>
      <c r="H26" s="256"/>
      <c r="J26" s="228"/>
    </row>
    <row r="27" spans="2:10" x14ac:dyDescent="0.45">
      <c r="B27" s="230" t="s">
        <v>198</v>
      </c>
      <c r="C27" s="26" t="s">
        <v>239</v>
      </c>
      <c r="D27" s="27">
        <v>225.48</v>
      </c>
      <c r="E27" s="27" t="s">
        <v>214</v>
      </c>
      <c r="F27" s="249">
        <f>ROUND(F22+14000*F23,2)</f>
        <v>248.47</v>
      </c>
      <c r="G27" s="27" t="s">
        <v>214</v>
      </c>
      <c r="H27" s="27">
        <f t="shared" ref="H27:H28" si="10">F27-D27</f>
        <v>22.990000000000009</v>
      </c>
      <c r="I27" s="211">
        <f t="shared" ref="I27:I28" si="11">H27/D27</f>
        <v>0.10196026255100235</v>
      </c>
      <c r="J27" s="228"/>
    </row>
    <row r="28" spans="2:10" x14ac:dyDescent="0.45">
      <c r="B28" s="230" t="s">
        <v>215</v>
      </c>
      <c r="C28" s="26" t="s">
        <v>239</v>
      </c>
      <c r="D28" s="256">
        <v>6.6299999999999996E-3</v>
      </c>
      <c r="E28" s="27" t="s">
        <v>248</v>
      </c>
      <c r="F28" s="255">
        <f>ROUND(D28*(1+'Revenue Requirements'!$D$15),6)</f>
        <v>7.306E-3</v>
      </c>
      <c r="G28" s="27" t="s">
        <v>248</v>
      </c>
      <c r="H28" s="256">
        <f t="shared" si="10"/>
        <v>6.7600000000000039E-4</v>
      </c>
      <c r="I28" s="211">
        <f t="shared" si="11"/>
        <v>0.10196078431372556</v>
      </c>
      <c r="J28" s="228"/>
    </row>
    <row r="29" spans="2:10" x14ac:dyDescent="0.45">
      <c r="B29" s="230"/>
      <c r="C29" s="26"/>
      <c r="E29" s="27"/>
      <c r="F29" s="249"/>
      <c r="G29" s="27"/>
      <c r="H29" s="256"/>
      <c r="J29" s="228"/>
    </row>
    <row r="30" spans="2:10" x14ac:dyDescent="0.45">
      <c r="B30" s="287" t="s">
        <v>246</v>
      </c>
      <c r="C30" s="288"/>
      <c r="E30" s="27"/>
      <c r="F30" s="249"/>
      <c r="G30" s="27"/>
      <c r="H30" s="256"/>
      <c r="J30" s="228"/>
    </row>
    <row r="31" spans="2:10" x14ac:dyDescent="0.45">
      <c r="B31" s="230" t="s">
        <v>198</v>
      </c>
      <c r="C31" s="26" t="s">
        <v>216</v>
      </c>
      <c r="D31" s="27">
        <v>358.08</v>
      </c>
      <c r="E31" s="27" t="s">
        <v>214</v>
      </c>
      <c r="F31" s="249">
        <f>ROUND(F27+20000*F28,2)</f>
        <v>394.59</v>
      </c>
      <c r="G31" s="27" t="s">
        <v>214</v>
      </c>
      <c r="H31" s="27">
        <f t="shared" ref="H31:H32" si="12">F31-D31</f>
        <v>36.509999999999991</v>
      </c>
      <c r="I31" s="211">
        <f t="shared" ref="I31:I32" si="13">H31/D31</f>
        <v>0.10196045576407504</v>
      </c>
      <c r="J31" s="228"/>
    </row>
    <row r="32" spans="2:10" x14ac:dyDescent="0.45">
      <c r="B32" s="230" t="s">
        <v>215</v>
      </c>
      <c r="C32" s="26" t="s">
        <v>216</v>
      </c>
      <c r="D32" s="256">
        <v>6.6299999999999996E-3</v>
      </c>
      <c r="E32" s="27" t="s">
        <v>248</v>
      </c>
      <c r="F32" s="255">
        <f>ROUND(D32*(1+'Revenue Requirements'!$D$15),6)</f>
        <v>7.306E-3</v>
      </c>
      <c r="G32" s="27" t="s">
        <v>248</v>
      </c>
      <c r="H32" s="256">
        <f t="shared" si="12"/>
        <v>6.7600000000000039E-4</v>
      </c>
      <c r="I32" s="211">
        <f t="shared" si="13"/>
        <v>0.10196078431372556</v>
      </c>
      <c r="J32" s="228"/>
    </row>
    <row r="33" spans="2:10" x14ac:dyDescent="0.45">
      <c r="B33" s="230"/>
      <c r="C33" s="26"/>
      <c r="E33" s="27"/>
      <c r="F33" s="249"/>
      <c r="G33" s="27"/>
      <c r="H33" s="256"/>
      <c r="J33" s="228"/>
    </row>
    <row r="34" spans="2:10" x14ac:dyDescent="0.45">
      <c r="B34" s="287" t="s">
        <v>247</v>
      </c>
      <c r="C34" s="288"/>
      <c r="E34" s="27"/>
      <c r="F34" s="249"/>
      <c r="G34" s="27"/>
      <c r="H34" s="256"/>
      <c r="J34" s="228"/>
    </row>
    <row r="35" spans="2:10" x14ac:dyDescent="0.45">
      <c r="B35" s="230" t="s">
        <v>198</v>
      </c>
      <c r="C35" s="26" t="s">
        <v>252</v>
      </c>
      <c r="D35" s="27">
        <v>689.58</v>
      </c>
      <c r="E35" s="27" t="s">
        <v>214</v>
      </c>
      <c r="F35" s="249">
        <f>ROUND(F31+50000*F32,2)</f>
        <v>759.89</v>
      </c>
      <c r="G35" s="27" t="s">
        <v>214</v>
      </c>
      <c r="H35" s="27">
        <f t="shared" ref="H35:H36" si="14">F35-D35</f>
        <v>70.309999999999945</v>
      </c>
      <c r="I35" s="211">
        <f t="shared" ref="I35:I36" si="15">H35/D35</f>
        <v>0.10196061370689397</v>
      </c>
      <c r="J35" s="228"/>
    </row>
    <row r="36" spans="2:10" x14ac:dyDescent="0.45">
      <c r="B36" s="230" t="s">
        <v>215</v>
      </c>
      <c r="C36" s="26" t="s">
        <v>252</v>
      </c>
      <c r="D36" s="256">
        <v>6.6299999999999996E-3</v>
      </c>
      <c r="E36" s="27" t="s">
        <v>248</v>
      </c>
      <c r="F36" s="255">
        <f>ROUND(D36*(1+'Revenue Requirements'!$D$15),6)</f>
        <v>7.306E-3</v>
      </c>
      <c r="G36" s="27" t="s">
        <v>248</v>
      </c>
      <c r="H36" s="256">
        <f t="shared" si="14"/>
        <v>6.7600000000000039E-4</v>
      </c>
      <c r="I36" s="211">
        <f t="shared" si="15"/>
        <v>0.10196078431372556</v>
      </c>
      <c r="J36" s="228"/>
    </row>
    <row r="37" spans="2:10" x14ac:dyDescent="0.45">
      <c r="B37" s="230"/>
      <c r="C37" s="26"/>
      <c r="D37" s="256"/>
      <c r="E37" s="27"/>
      <c r="F37" s="255"/>
      <c r="G37" s="27"/>
      <c r="H37" s="256"/>
      <c r="J37" s="228"/>
    </row>
    <row r="38" spans="2:10" x14ac:dyDescent="0.45">
      <c r="B38" s="230" t="s">
        <v>301</v>
      </c>
      <c r="D38" s="27">
        <v>20.76</v>
      </c>
      <c r="E38" s="27" t="s">
        <v>214</v>
      </c>
      <c r="F38" s="249">
        <f>ROUND(D38*(1+'Revenue Requirements'!$D$15),2)</f>
        <v>22.88</v>
      </c>
      <c r="G38" s="27" t="s">
        <v>214</v>
      </c>
      <c r="H38" s="27">
        <f t="shared" ref="H38" si="16">F38-D38</f>
        <v>2.1199999999999974</v>
      </c>
      <c r="I38" s="211">
        <f t="shared" ref="I38" si="17">H38/D38</f>
        <v>0.10211946050096327</v>
      </c>
      <c r="J38" s="228"/>
    </row>
    <row r="39" spans="2:10" x14ac:dyDescent="0.45">
      <c r="B39" s="230" t="s">
        <v>338</v>
      </c>
      <c r="D39" s="256"/>
      <c r="E39" s="27"/>
      <c r="F39" s="255"/>
      <c r="G39" s="27"/>
      <c r="H39" s="256"/>
      <c r="J39" s="228"/>
    </row>
    <row r="40" spans="2:10" x14ac:dyDescent="0.45">
      <c r="B40" s="230"/>
      <c r="C40" s="26"/>
      <c r="E40" s="27"/>
      <c r="F40" s="249"/>
      <c r="G40" s="27"/>
      <c r="J40" s="228"/>
    </row>
    <row r="41" spans="2:10" x14ac:dyDescent="0.45">
      <c r="B41" s="230" t="s">
        <v>231</v>
      </c>
      <c r="C41" s="26"/>
      <c r="D41" s="27">
        <v>0</v>
      </c>
      <c r="E41" s="27" t="s">
        <v>232</v>
      </c>
      <c r="F41" s="249">
        <f>'Water Loss'!D38</f>
        <v>1.3</v>
      </c>
      <c r="G41" s="27" t="s">
        <v>232</v>
      </c>
      <c r="H41" s="27">
        <f t="shared" si="4"/>
        <v>1.3</v>
      </c>
      <c r="I41" s="211">
        <v>1</v>
      </c>
      <c r="J41" s="228"/>
    </row>
    <row r="42" spans="2:10" ht="14.65" thickBot="1" x14ac:dyDescent="0.5">
      <c r="B42" s="232"/>
      <c r="C42" s="233"/>
      <c r="D42" s="252"/>
      <c r="E42" s="233"/>
      <c r="F42" s="254"/>
      <c r="G42" s="233"/>
      <c r="H42" s="252"/>
      <c r="I42" s="234"/>
      <c r="J42" s="235"/>
    </row>
  </sheetData>
  <mergeCells count="14">
    <mergeCell ref="B3:J3"/>
    <mergeCell ref="D7:E7"/>
    <mergeCell ref="F7:G7"/>
    <mergeCell ref="B2:J2"/>
    <mergeCell ref="B5:J5"/>
    <mergeCell ref="B6:J6"/>
    <mergeCell ref="B7:C7"/>
    <mergeCell ref="H7:I7"/>
    <mergeCell ref="B34:C34"/>
    <mergeCell ref="B9:C9"/>
    <mergeCell ref="B15:C15"/>
    <mergeCell ref="B21:C21"/>
    <mergeCell ref="B26:C26"/>
    <mergeCell ref="B30:C30"/>
  </mergeCells>
  <printOptions horizontalCentered="1"/>
  <pageMargins left="0.55000000000000004" right="0.55000000000000004" top="1.6" bottom="0.5" header="0" footer="0"/>
  <pageSetup scale="7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SAO</vt:lpstr>
      <vt:lpstr>Revenue Requirements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Bills</vt:lpstr>
      <vt:lpstr>Bills w Surcharge</vt:lpstr>
      <vt:lpstr>ExBA</vt:lpstr>
      <vt:lpstr>PrBA</vt:lpstr>
      <vt:lpstr>Bills!Print_Area</vt:lpstr>
      <vt:lpstr>Depreciation!Print_Area</vt:lpstr>
      <vt:lpstr>ExBA!Print_Area</vt:lpstr>
      <vt:lpstr>Medical!Print_Area</vt:lpstr>
      <vt:lpstr>PrBA!Print_Area</vt:lpstr>
      <vt:lpstr>Rates!Print_Area</vt:lpstr>
      <vt:lpstr>'Revenue Requirements'!Print_Area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2023-05-15T20:15:12Z</cp:lastPrinted>
  <dcterms:created xsi:type="dcterms:W3CDTF">2016-05-18T14:12:06Z</dcterms:created>
  <dcterms:modified xsi:type="dcterms:W3CDTF">2023-06-05T20:57:10Z</dcterms:modified>
</cp:coreProperties>
</file>