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SUPPLIERS COSTS" sheetId="1" r:id="rId1"/>
    <sheet name="May" sheetId="2" r:id="rId2"/>
  </sheets>
  <externalReferences>
    <externalReference r:id="rId5"/>
  </externalReferences>
  <definedNames>
    <definedName name="_xlnm.Print_Area" localSheetId="1">'May'!$A$1:$H$56</definedName>
    <definedName name="_xlnm.Print_Area" localSheetId="0">'SUPPLIERS COSTS'!$A$1:$F$30</definedName>
  </definedNames>
  <calcPr fullCalcOnLoad="1"/>
</workbook>
</file>

<file path=xl/sharedStrings.xml><?xml version="1.0" encoding="utf-8"?>
<sst xmlns="http://schemas.openxmlformats.org/spreadsheetml/2006/main" count="165" uniqueCount="126">
  <si>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</si>
  <si>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</si>
  <si>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</si>
  <si>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</si>
  <si>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</si>
  <si>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</si>
  <si>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</si>
  <si>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</si>
  <si>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</si>
  <si>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</si>
  <si>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</si>
  <si>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</si>
  <si>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</si>
  <si>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</si>
  <si>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</si>
  <si>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</si>
  <si>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</si>
  <si>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</si>
  <si>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</si>
  <si>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</si>
  <si>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</si>
  <si>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</si>
  <si>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</si>
  <si>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</si>
  <si>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</si>
  <si>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</si>
  <si>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</si>
  <si>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</si>
  <si>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</si>
  <si>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</si>
  <si>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</si>
  <si>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</si>
  <si>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</si>
  <si>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</si>
  <si>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</si>
  <si>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</si>
  <si>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</si>
  <si>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</si>
  <si>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</si>
  <si>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</si>
  <si>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</si>
  <si>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</si>
  <si>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</si>
  <si>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</si>
  <si>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</si>
  <si>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</si>
  <si>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</si>
  <si>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</si>
  <si>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</si>
  <si>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</si>
  <si>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</si>
  <si>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</si>
  <si>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</si>
  <si>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</si>
  <si>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</si>
  <si>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</si>
  <si>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</si>
  <si>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</si>
  <si>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</si>
  <si>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</si>
  <si>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</si>
  <si>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</si>
  <si>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</si>
  <si>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</si>
  <si>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</si>
  <si>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</si>
  <si>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</si>
  <si>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</si>
  <si>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</si>
  <si>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</si>
  <si>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</si>
  <si>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</si>
  <si>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</si>
  <si>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</si>
  <si>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</si>
  <si>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</si>
  <si>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</si>
  <si>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</si>
  <si>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</si>
  <si>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</si>
  <si>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</si>
  <si>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</si>
  <si>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</si>
  <si>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</si>
  <si>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</si>
  <si>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</si>
  <si>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</si>
  <si>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</si>
  <si>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</si>
  <si>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</si>
  <si>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</si>
  <si>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</si>
  <si>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</si>
  <si>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</si>
  <si>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</si>
  <si>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DELTA NATURAL GAS COMPANY, INC.</t>
  </si>
  <si>
    <t>AT SUPPLIERS COSTS EFFECTIVE</t>
  </si>
  <si>
    <t>MCF</t>
  </si>
  <si>
    <t>CONV</t>
  </si>
  <si>
    <t>SUPPLIER</t>
  </si>
  <si>
    <t>FACTOR</t>
  </si>
  <si>
    <t>($)</t>
  </si>
  <si>
    <t>TOTAL</t>
  </si>
  <si>
    <t>TOTAL TENNESSEE GAS PIPELINE CHARGES</t>
  </si>
  <si>
    <t>PAGE 2 OF 2</t>
  </si>
  <si>
    <t>PAGE 1 OF 2</t>
  </si>
  <si>
    <t>EGC Rate</t>
  </si>
  <si>
    <t>Rate</t>
  </si>
  <si>
    <t>Increase (I)/</t>
  </si>
  <si>
    <t>Reduction (R)</t>
  </si>
  <si>
    <t>Previous EGC Rate</t>
  </si>
  <si>
    <t>Difference</t>
  </si>
  <si>
    <t>MCF PURCHASES FOR THREE MONTHS BEGINNING</t>
  </si>
  <si>
    <t>PURCHASES</t>
  </si>
  <si>
    <t>QUARTERLY</t>
  </si>
  <si>
    <t>COMPANY USAGE</t>
  </si>
  <si>
    <t>Total Est. Sales for Three Months Beginning</t>
  </si>
  <si>
    <t>Quarterly % of MDQ's:</t>
  </si>
  <si>
    <t>Fixed:</t>
  </si>
  <si>
    <t>Variable:</t>
  </si>
  <si>
    <t>FTS RESERVATION RATE</t>
  </si>
  <si>
    <t>FTS COMMODITY RATE</t>
  </si>
  <si>
    <t>R</t>
  </si>
  <si>
    <t>TENNESSEE GAS PIPELINE RATES EFFECTIVE 05/01/2023</t>
  </si>
  <si>
    <t>COLUMBIA GAS TRANSMISSION RATES EFFECTIVE 05/01/2023</t>
  </si>
  <si>
    <t>COLUMBIA GULF CORPORATION RATES EFFECTIVE 05/01/2023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</si>
</sst>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  <numFmt numFmtId="178" formatCode="0.0000000"/>
    <numFmt numFmtId="179" formatCode="0.00000000"/>
    <numFmt numFmtId="180" formatCode="0.0000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2"/>
    </font>
    <font>
      <u val="single"/>
      <sz val="8"/>
      <name val="MS Sans Serif"/>
      <family val="2"/>
    </font>
    <font>
      <u val="single"/>
      <sz val="10"/>
      <name val="MS Sans Serif"/>
      <family val="0"/>
    </font>
    <font>
      <b/>
      <sz val="8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5" fontId="4" fillId="0" borderId="0" xfId="0" applyNumberFormat="1" applyFont="1" applyAlignment="1">
      <alignment/>
    </xf>
    <xf numFmtId="38" fontId="4" fillId="0" borderId="0" xfId="43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38" fontId="5" fillId="0" borderId="0" xfId="43" applyFont="1" applyBorder="1" applyAlignment="1">
      <alignment/>
    </xf>
    <xf numFmtId="14" fontId="7" fillId="0" borderId="0" xfId="0" applyNumberFormat="1" applyFont="1" applyAlignment="1">
      <alignment horizontal="left"/>
    </xf>
    <xf numFmtId="5" fontId="8" fillId="0" borderId="0" xfId="0" applyNumberFormat="1" applyFont="1" applyAlignment="1">
      <alignment/>
    </xf>
    <xf numFmtId="38" fontId="6" fillId="0" borderId="0" xfId="43" applyFont="1" applyBorder="1" applyAlignment="1">
      <alignment horizontal="center"/>
    </xf>
    <xf numFmtId="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0" fontId="4" fillId="0" borderId="10" xfId="0" applyNumberFormat="1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38" fontId="4" fillId="0" borderId="0" xfId="43" applyFont="1" applyFill="1" applyAlignment="1">
      <alignment/>
    </xf>
    <xf numFmtId="38" fontId="4" fillId="0" borderId="0" xfId="43" applyFont="1" applyAlignment="1">
      <alignment horizontal="center"/>
    </xf>
    <xf numFmtId="38" fontId="4" fillId="0" borderId="0" xfId="43" applyFont="1" applyAlignment="1" quotePrefix="1">
      <alignment horizontal="right"/>
    </xf>
    <xf numFmtId="165" fontId="4" fillId="0" borderId="0" xfId="45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38" fontId="4" fillId="0" borderId="0" xfId="43" applyFont="1" applyFill="1" applyBorder="1" applyAlignment="1">
      <alignment/>
    </xf>
    <xf numFmtId="164" fontId="4" fillId="0" borderId="0" xfId="45" applyNumberFormat="1" applyFont="1" applyFill="1" applyAlignment="1">
      <alignment/>
    </xf>
    <xf numFmtId="5" fontId="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5" fontId="4" fillId="0" borderId="11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Fill="1" applyBorder="1" applyAlignment="1">
      <alignment horizontal="center"/>
    </xf>
    <xf numFmtId="38" fontId="4" fillId="0" borderId="0" xfId="43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5" fontId="10" fillId="0" borderId="12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38" fontId="4" fillId="0" borderId="0" xfId="43" applyFont="1" applyBorder="1" applyAlignment="1">
      <alignment horizontal="center"/>
    </xf>
    <xf numFmtId="0" fontId="1" fillId="0" borderId="0" xfId="0" applyFont="1" applyAlignment="1">
      <alignment/>
    </xf>
    <xf numFmtId="5" fontId="1" fillId="0" borderId="12" xfId="0" applyNumberFormat="1" applyFont="1" applyBorder="1" applyAlignment="1">
      <alignment/>
    </xf>
    <xf numFmtId="38" fontId="4" fillId="0" borderId="10" xfId="43" applyFont="1" applyFill="1" applyBorder="1" applyAlignment="1">
      <alignment/>
    </xf>
    <xf numFmtId="0" fontId="4" fillId="0" borderId="0" xfId="0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8" fontId="4" fillId="0" borderId="0" xfId="0" applyNumberFormat="1" applyFont="1" applyAlignment="1">
      <alignment/>
    </xf>
    <xf numFmtId="177" fontId="4" fillId="0" borderId="0" xfId="42" applyNumberFormat="1" applyFont="1" applyFill="1" applyAlignment="1">
      <alignment/>
    </xf>
    <xf numFmtId="38" fontId="8" fillId="0" borderId="0" xfId="43" applyFont="1" applyFill="1" applyBorder="1" applyAlignment="1">
      <alignment/>
    </xf>
    <xf numFmtId="7" fontId="4" fillId="0" borderId="0" xfId="0" applyNumberFormat="1" applyFont="1" applyFill="1" applyAlignment="1">
      <alignment/>
    </xf>
    <xf numFmtId="9" fontId="4" fillId="0" borderId="0" xfId="57" applyFont="1" applyAlignment="1">
      <alignment/>
    </xf>
    <xf numFmtId="38" fontId="4" fillId="0" borderId="12" xfId="43" applyFont="1" applyFill="1" applyBorder="1" applyAlignment="1">
      <alignment/>
    </xf>
    <xf numFmtId="8" fontId="4" fillId="0" borderId="0" xfId="0" applyNumberFormat="1" applyFont="1" applyFill="1" applyAlignment="1">
      <alignment/>
    </xf>
    <xf numFmtId="5" fontId="4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5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72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May%2023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6">
          <cell r="H6">
            <v>1.0632</v>
          </cell>
        </row>
        <row r="9">
          <cell r="B9">
            <v>79670</v>
          </cell>
        </row>
        <row r="13">
          <cell r="E13">
            <v>2.715587121877746</v>
          </cell>
        </row>
        <row r="19">
          <cell r="H19">
            <v>1.0744</v>
          </cell>
        </row>
        <row r="22">
          <cell r="B22">
            <v>44863</v>
          </cell>
        </row>
        <row r="26">
          <cell r="E26">
            <v>2.6718740610302483</v>
          </cell>
        </row>
        <row r="33">
          <cell r="H33">
            <v>1.3232583855510505</v>
          </cell>
        </row>
        <row r="36">
          <cell r="B36">
            <v>2713</v>
          </cell>
        </row>
        <row r="38">
          <cell r="E38">
            <v>2.628545890158496</v>
          </cell>
        </row>
        <row r="45">
          <cell r="H45">
            <v>1.22297525</v>
          </cell>
        </row>
        <row r="48">
          <cell r="B48">
            <v>138521</v>
          </cell>
        </row>
        <row r="50">
          <cell r="E50">
            <v>3.2261592754889152</v>
          </cell>
        </row>
        <row r="57">
          <cell r="H57">
            <v>1.225</v>
          </cell>
        </row>
        <row r="60">
          <cell r="B60">
            <v>23718</v>
          </cell>
        </row>
        <row r="62">
          <cell r="E62">
            <v>3.3491</v>
          </cell>
        </row>
      </sheetData>
      <sheetData sheetId="2">
        <row r="7">
          <cell r="E7">
            <v>79670</v>
          </cell>
        </row>
        <row r="28"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125" zoomScaleNormal="125" zoomScalePageLayoutView="0" workbookViewId="0" topLeftCell="A1">
      <selection activeCell="A11" sqref="A11"/>
    </sheetView>
  </sheetViews>
  <sheetFormatPr defaultColWidth="9.140625" defaultRowHeight="12.75"/>
  <cols>
    <col min="1" max="1" width="33.57421875" style="7" customWidth="1"/>
    <col min="2" max="2" width="10.57421875" style="7" customWidth="1"/>
    <col min="3" max="4" width="9.140625" style="7" customWidth="1"/>
    <col min="5" max="5" width="11.28125" style="7" customWidth="1"/>
    <col min="6" max="6" width="9.8515625" style="7" customWidth="1"/>
    <col min="7" max="9" width="9.140625" style="7" customWidth="1"/>
    <col min="10" max="10" width="11.28125" style="7" bestFit="1" customWidth="1"/>
    <col min="11" max="16384" width="9.140625" style="7" customWidth="1"/>
  </cols>
  <sheetData>
    <row r="1" spans="1:7" ht="10.5">
      <c r="A1" s="56" t="s">
        <v>95</v>
      </c>
      <c r="B1" s="56"/>
      <c r="C1" s="56"/>
      <c r="D1" s="56"/>
      <c r="E1" s="56"/>
      <c r="F1" s="6" t="s">
        <v>0</v>
      </c>
      <c r="G1" s="1"/>
    </row>
    <row r="2" spans="1:7" ht="10.5">
      <c r="A2" s="56" t="s">
        <v>112</v>
      </c>
      <c r="B2" s="56"/>
      <c r="C2" s="56"/>
      <c r="D2" s="56"/>
      <c r="E2" s="56"/>
      <c r="F2" s="6" t="s">
        <v>105</v>
      </c>
      <c r="G2" s="1"/>
    </row>
    <row r="3" spans="1:7" ht="10.5">
      <c r="A3" s="57">
        <v>45047</v>
      </c>
      <c r="B3" s="56"/>
      <c r="C3" s="56"/>
      <c r="D3" s="56"/>
      <c r="E3" s="56"/>
      <c r="F3" s="1"/>
      <c r="G3" s="1"/>
    </row>
    <row r="4" spans="1:7" ht="10.5">
      <c r="A4" s="56" t="s">
        <v>96</v>
      </c>
      <c r="B4" s="56"/>
      <c r="C4" s="56"/>
      <c r="D4" s="56"/>
      <c r="E4" s="56"/>
      <c r="F4" s="1"/>
      <c r="G4" s="1"/>
    </row>
    <row r="5" spans="1:7" ht="10.5">
      <c r="A5" s="57">
        <f>A3</f>
        <v>45047</v>
      </c>
      <c r="B5" s="56"/>
      <c r="C5" s="56"/>
      <c r="D5" s="56"/>
      <c r="E5" s="56"/>
      <c r="F5" s="1"/>
      <c r="G5" s="1"/>
    </row>
    <row r="6" spans="1:7" ht="10.5">
      <c r="A6" s="1"/>
      <c r="B6" s="1"/>
      <c r="C6" s="1"/>
      <c r="D6" s="1"/>
      <c r="E6" s="1"/>
      <c r="F6" s="1"/>
      <c r="G6" s="1"/>
    </row>
    <row r="7" spans="1:7" ht="10.5">
      <c r="A7" s="1"/>
      <c r="B7" s="2"/>
      <c r="C7" s="2" t="s">
        <v>2</v>
      </c>
      <c r="D7" s="2"/>
      <c r="E7" s="2"/>
      <c r="F7" s="2" t="s">
        <v>107</v>
      </c>
      <c r="G7" s="1"/>
    </row>
    <row r="8" spans="1:7" ht="10.5">
      <c r="A8" s="1"/>
      <c r="B8" s="2" t="s">
        <v>97</v>
      </c>
      <c r="C8" s="2" t="s">
        <v>98</v>
      </c>
      <c r="D8" s="2" t="s">
        <v>6</v>
      </c>
      <c r="E8" s="2" t="s">
        <v>114</v>
      </c>
      <c r="F8" s="2" t="s">
        <v>108</v>
      </c>
      <c r="G8" s="1"/>
    </row>
    <row r="9" spans="1:7" ht="10.5">
      <c r="A9" s="2" t="s">
        <v>99</v>
      </c>
      <c r="B9" s="2" t="s">
        <v>113</v>
      </c>
      <c r="C9" s="2" t="s">
        <v>100</v>
      </c>
      <c r="D9" s="2" t="s">
        <v>101</v>
      </c>
      <c r="E9" s="2" t="s">
        <v>7</v>
      </c>
      <c r="F9" s="2" t="s">
        <v>109</v>
      </c>
      <c r="G9" s="1"/>
    </row>
    <row r="10" spans="1:7" ht="10.5">
      <c r="A10" s="1"/>
      <c r="B10" s="1"/>
      <c r="C10" s="1"/>
      <c r="D10" s="1"/>
      <c r="E10" s="1"/>
      <c r="F10" s="1"/>
      <c r="G10" s="1"/>
    </row>
    <row r="11" spans="1:7" ht="10.5">
      <c r="A11" s="71"/>
      <c r="B11" s="1"/>
      <c r="C11" s="1"/>
      <c r="D11" s="1"/>
      <c r="E11" s="58"/>
      <c r="F11" s="1"/>
      <c r="G11" s="1"/>
    </row>
    <row r="12" spans="1:10" ht="10.5">
      <c r="A12" s="72"/>
      <c r="B12" s="1"/>
      <c r="C12" s="1"/>
      <c r="D12" s="1"/>
      <c r="E12" s="10">
        <f>May!$H$39</f>
        <v>236404.50613584864</v>
      </c>
      <c r="F12" s="1"/>
      <c r="G12" s="1"/>
      <c r="J12" s="15"/>
    </row>
    <row r="13" spans="1:7" ht="10.5">
      <c r="A13" s="71"/>
      <c r="B13" s="9">
        <f>'[1]NYMEX'!$B$9</f>
        <v>79670</v>
      </c>
      <c r="C13" s="59">
        <f>'[1]NYMEX'!$H$6</f>
        <v>1.0632</v>
      </c>
      <c r="D13" s="8">
        <f>'[1]NYMEX'!$E$13</f>
        <v>2.715587121877746</v>
      </c>
      <c r="E13" s="3">
        <f>B13*C13*D13</f>
        <v>230024.1982032</v>
      </c>
      <c r="F13" s="70" t="s">
        <v>122</v>
      </c>
      <c r="G13" s="1"/>
    </row>
    <row r="14" spans="1:7" ht="10.5">
      <c r="A14" s="72"/>
      <c r="B14" s="9"/>
      <c r="C14" s="59"/>
      <c r="D14" s="8"/>
      <c r="E14" s="3"/>
      <c r="F14" s="2"/>
      <c r="G14" s="1"/>
    </row>
    <row r="15" spans="1:7" ht="10.5">
      <c r="A15" s="72"/>
      <c r="B15" s="9"/>
      <c r="C15" s="59"/>
      <c r="D15" s="8"/>
      <c r="E15" s="10">
        <f>May!$H$58</f>
        <v>126429.82478328</v>
      </c>
      <c r="F15" s="2"/>
      <c r="G15" s="1"/>
    </row>
    <row r="16" spans="1:7" ht="10.5">
      <c r="A16" s="72"/>
      <c r="B16" s="9">
        <f>'[1]NYMEX'!$B$22</f>
        <v>44863</v>
      </c>
      <c r="C16" s="59">
        <f>'[1]NYMEX'!$H$19</f>
        <v>1.0744</v>
      </c>
      <c r="D16" s="8">
        <f>'[1]NYMEX'!$E$26</f>
        <v>2.6718740610302483</v>
      </c>
      <c r="E16" s="3">
        <f>B16*C16*D16</f>
        <v>128786.48647840004</v>
      </c>
      <c r="F16" s="70" t="s">
        <v>122</v>
      </c>
      <c r="G16" s="1"/>
    </row>
    <row r="17" spans="1:7" ht="10.5">
      <c r="A17" s="72"/>
      <c r="B17" s="9"/>
      <c r="C17" s="59"/>
      <c r="D17" s="8"/>
      <c r="E17" s="3"/>
      <c r="F17" s="2"/>
      <c r="G17" s="1"/>
    </row>
    <row r="18" spans="1:7" ht="10.5">
      <c r="A18" s="72"/>
      <c r="B18" s="9">
        <f>'[1]NYMEX'!$B$48</f>
        <v>138521</v>
      </c>
      <c r="C18" s="59">
        <f>'[1]NYMEX'!$H$45</f>
        <v>1.22297525</v>
      </c>
      <c r="D18" s="8">
        <f>'[1]NYMEX'!$E$50</f>
        <v>3.2261592754889152</v>
      </c>
      <c r="E18" s="3">
        <f>B18*C18*D18</f>
        <v>546536.3988594773</v>
      </c>
      <c r="F18" s="70" t="s">
        <v>122</v>
      </c>
      <c r="G18" s="1"/>
    </row>
    <row r="19" spans="1:7" ht="10.5">
      <c r="A19" s="72"/>
      <c r="B19" s="9"/>
      <c r="C19" s="16"/>
      <c r="D19" s="8"/>
      <c r="E19" s="3"/>
      <c r="F19" s="2"/>
      <c r="G19" s="1"/>
    </row>
    <row r="20" spans="1:7" ht="10.5">
      <c r="A20" s="72"/>
      <c r="B20" s="9">
        <f>'[1]NYMEX'!$B$36</f>
        <v>2713</v>
      </c>
      <c r="C20" s="59">
        <f>'[1]NYMEX'!$H$33</f>
        <v>1.3232583855510505</v>
      </c>
      <c r="D20" s="8">
        <f>'[1]NYMEX'!$E$38</f>
        <v>2.628545890158496</v>
      </c>
      <c r="E20" s="3">
        <f>(B20*C20)*D20</f>
        <v>9436.479745669001</v>
      </c>
      <c r="F20" s="70" t="s">
        <v>122</v>
      </c>
      <c r="G20" s="1"/>
    </row>
    <row r="21" spans="1:7" ht="10.5">
      <c r="A21" s="72"/>
      <c r="B21" s="60">
        <f>'[1]Purchases'!$E$28</f>
        <v>0</v>
      </c>
      <c r="C21" s="16"/>
      <c r="D21" s="8">
        <v>0</v>
      </c>
      <c r="E21" s="13">
        <f>B21*D21</f>
        <v>0</v>
      </c>
      <c r="F21" s="70" t="s">
        <v>122</v>
      </c>
      <c r="G21" s="1"/>
    </row>
    <row r="22" spans="1:14" ht="10.5">
      <c r="A22" s="72"/>
      <c r="B22" s="16"/>
      <c r="C22" s="16"/>
      <c r="D22" s="16"/>
      <c r="E22" s="1"/>
      <c r="F22" s="1"/>
      <c r="G22" s="1"/>
      <c r="M22" s="7">
        <v>77217</v>
      </c>
      <c r="N22" s="7">
        <f>14242+35350+44999</f>
        <v>94591</v>
      </c>
    </row>
    <row r="23" spans="1:7" ht="10.5">
      <c r="A23" s="72"/>
      <c r="B23" s="9">
        <f>'[1]NYMEX'!$B$60</f>
        <v>23718</v>
      </c>
      <c r="C23" s="59">
        <f>'[1]NYMEX'!$H$57</f>
        <v>1.225</v>
      </c>
      <c r="D23" s="8">
        <f>'[1]NYMEX'!$E$62</f>
        <v>3.3491</v>
      </c>
      <c r="E23" s="61">
        <f>B23*C23*D23</f>
        <v>97306.593405</v>
      </c>
      <c r="F23" s="1"/>
      <c r="G23" s="1"/>
    </row>
    <row r="24" spans="1:7" ht="10.5">
      <c r="A24" s="1"/>
      <c r="B24" s="1"/>
      <c r="C24" s="62"/>
      <c r="D24" s="1"/>
      <c r="E24" s="1"/>
      <c r="F24" s="1"/>
      <c r="G24" s="1"/>
    </row>
    <row r="25" spans="1:13" ht="11.25" thickBot="1">
      <c r="A25" s="1" t="s">
        <v>102</v>
      </c>
      <c r="B25" s="63">
        <f>SUM(B12:B23)</f>
        <v>289485</v>
      </c>
      <c r="C25" s="16"/>
      <c r="D25" s="64"/>
      <c r="E25" s="65">
        <f>SUM(E12:E23)</f>
        <v>1374924.487610875</v>
      </c>
      <c r="F25" s="1"/>
      <c r="G25" s="1"/>
      <c r="M25" s="17"/>
    </row>
    <row r="26" spans="1:7" ht="11.25" thickTop="1">
      <c r="A26" s="1"/>
      <c r="B26" s="1"/>
      <c r="C26" s="1"/>
      <c r="D26" s="1"/>
      <c r="E26" s="1"/>
      <c r="F26" s="1"/>
      <c r="G26" s="1"/>
    </row>
    <row r="27" spans="1:7" ht="10.5">
      <c r="A27" s="12"/>
      <c r="B27" s="1"/>
      <c r="C27" s="1"/>
      <c r="D27" s="1"/>
      <c r="E27" s="1"/>
      <c r="F27" s="1"/>
      <c r="G27" s="1"/>
    </row>
    <row r="28" spans="1:7" ht="10.5">
      <c r="A28" s="1" t="s">
        <v>115</v>
      </c>
      <c r="B28" s="66">
        <f>B25*0.015</f>
        <v>4342.275</v>
      </c>
      <c r="C28" s="1"/>
      <c r="D28" s="1"/>
      <c r="E28" s="1"/>
      <c r="F28" s="1"/>
      <c r="G28" s="1"/>
    </row>
    <row r="29" spans="1:7" ht="10.5">
      <c r="A29" s="1"/>
      <c r="B29" s="1"/>
      <c r="C29" s="1"/>
      <c r="D29" s="1"/>
      <c r="E29" s="1"/>
      <c r="F29" s="1"/>
      <c r="G29" s="1"/>
    </row>
    <row r="30" spans="1:7" ht="10.5">
      <c r="A30" s="1"/>
      <c r="B30" s="1"/>
      <c r="C30" s="1"/>
      <c r="D30" s="1"/>
      <c r="E30" s="1"/>
      <c r="F30" s="1"/>
      <c r="G30" s="1"/>
    </row>
    <row r="31" spans="1:7" ht="10.5">
      <c r="A31" s="1" t="s">
        <v>116</v>
      </c>
      <c r="B31" s="67">
        <f>A3</f>
        <v>45047</v>
      </c>
      <c r="C31" s="1"/>
      <c r="D31" s="1"/>
      <c r="E31" s="4">
        <f>B25</f>
        <v>289485</v>
      </c>
      <c r="F31" s="1"/>
      <c r="G31" s="1"/>
    </row>
    <row r="32" spans="1:7" ht="10.5">
      <c r="A32" s="1" t="s">
        <v>106</v>
      </c>
      <c r="B32" s="1"/>
      <c r="C32" s="1"/>
      <c r="D32" s="1"/>
      <c r="E32" s="68">
        <f>E25/E31</f>
        <v>4.7495534746562855</v>
      </c>
      <c r="F32" s="1"/>
      <c r="G32" s="1"/>
    </row>
    <row r="33" spans="1:7" ht="10.5">
      <c r="A33" s="1" t="s">
        <v>110</v>
      </c>
      <c r="B33" s="1"/>
      <c r="C33" s="1"/>
      <c r="D33" s="1"/>
      <c r="E33" s="69">
        <v>6.3631</v>
      </c>
      <c r="F33" s="1"/>
      <c r="G33" s="1"/>
    </row>
    <row r="34" spans="1:7" ht="10.5">
      <c r="A34" s="1" t="s">
        <v>111</v>
      </c>
      <c r="B34" s="1"/>
      <c r="C34" s="1"/>
      <c r="D34" s="1"/>
      <c r="E34" s="68">
        <f>E32-E33</f>
        <v>-1.6135465253437147</v>
      </c>
      <c r="F34" s="1"/>
      <c r="G34" s="1"/>
    </row>
    <row r="35" spans="1:7" ht="10.5">
      <c r="A35" s="1"/>
      <c r="B35" s="1"/>
      <c r="C35" s="1"/>
      <c r="D35" s="1"/>
      <c r="E35" s="1"/>
      <c r="F35" s="1"/>
      <c r="G35" s="1"/>
    </row>
  </sheetData>
  <sheetProtection/>
  <printOptions gridLines="1"/>
  <pageMargins left="0.5" right="0.5" top="1" bottom="1" header="0.5" footer="0.5"/>
  <pageSetup fitToHeight="1" fitToWidth="1"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="120" zoomScaleNormal="120" zoomScalePageLayoutView="0" workbookViewId="0" topLeftCell="A37">
      <selection activeCell="J15" sqref="J15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  <col min="12" max="12" width="10.00390625" style="0" bestFit="1" customWidth="1"/>
  </cols>
  <sheetData>
    <row r="1" spans="1:12" ht="12" customHeight="1">
      <c r="A1" s="18">
        <f ca="1">NOW()</f>
        <v>45008.40474201389</v>
      </c>
      <c r="B1" s="19"/>
      <c r="C1" s="19"/>
      <c r="D1" s="19"/>
      <c r="E1" s="19"/>
      <c r="F1" s="19"/>
      <c r="G1" s="19"/>
      <c r="H1" s="20" t="s">
        <v>0</v>
      </c>
      <c r="I1" s="19"/>
      <c r="J1" s="19"/>
      <c r="K1" s="19"/>
      <c r="L1" s="19"/>
    </row>
    <row r="2" spans="1:12" ht="12" customHeight="1">
      <c r="A2" s="19"/>
      <c r="B2" s="21"/>
      <c r="C2" s="19"/>
      <c r="D2" s="19"/>
      <c r="E2" s="19"/>
      <c r="F2" s="19"/>
      <c r="G2" s="19"/>
      <c r="H2" s="20" t="s">
        <v>104</v>
      </c>
      <c r="I2" s="19"/>
      <c r="J2" s="19"/>
      <c r="K2" s="19"/>
      <c r="L2" s="19"/>
    </row>
    <row r="3" spans="1:15" ht="12" customHeight="1">
      <c r="A3" s="5" t="s">
        <v>123</v>
      </c>
      <c r="B3" s="5"/>
      <c r="C3" s="22"/>
      <c r="D3" s="22"/>
      <c r="E3" s="22"/>
      <c r="F3" s="22"/>
      <c r="G3" s="22"/>
      <c r="H3" s="22"/>
      <c r="I3" s="22"/>
      <c r="J3" s="22" t="s">
        <v>1</v>
      </c>
      <c r="K3" s="19"/>
      <c r="L3" s="19"/>
      <c r="M3" s="55">
        <f>'[1]Purchases'!$E$7</f>
        <v>79670</v>
      </c>
      <c r="N3" s="7" t="s">
        <v>2</v>
      </c>
      <c r="O3" s="14"/>
    </row>
    <row r="4" spans="1:14" ht="12" customHeight="1">
      <c r="A4" s="5"/>
      <c r="B4" s="5"/>
      <c r="C4" s="22"/>
      <c r="D4" s="22"/>
      <c r="E4" s="22"/>
      <c r="F4" s="22"/>
      <c r="G4" s="22"/>
      <c r="H4" s="22"/>
      <c r="I4" s="22"/>
      <c r="J4" s="22"/>
      <c r="K4" s="19"/>
      <c r="L4" s="19"/>
      <c r="M4" s="11"/>
      <c r="N4" s="7"/>
    </row>
    <row r="5" spans="1:13" ht="12" customHeight="1">
      <c r="A5" s="22"/>
      <c r="B5" s="22"/>
      <c r="C5" s="22"/>
      <c r="D5" s="23" t="s">
        <v>2</v>
      </c>
      <c r="E5" s="23" t="s">
        <v>3</v>
      </c>
      <c r="F5" s="23"/>
      <c r="G5" s="23"/>
      <c r="H5" s="23" t="s">
        <v>114</v>
      </c>
      <c r="I5" s="22"/>
      <c r="J5" s="22" t="s">
        <v>117</v>
      </c>
      <c r="K5" s="19"/>
      <c r="L5" s="24">
        <v>0.134502049</v>
      </c>
      <c r="M5" s="14"/>
    </row>
    <row r="6" spans="1:12" ht="12" customHeight="1">
      <c r="A6" s="22"/>
      <c r="B6" s="22"/>
      <c r="C6" s="22"/>
      <c r="D6" s="25" t="s">
        <v>4</v>
      </c>
      <c r="E6" s="23" t="s">
        <v>5</v>
      </c>
      <c r="F6" s="23"/>
      <c r="G6" s="23" t="s">
        <v>6</v>
      </c>
      <c r="H6" s="23" t="s">
        <v>7</v>
      </c>
      <c r="I6" s="22"/>
      <c r="J6" s="22"/>
      <c r="K6" s="19"/>
      <c r="L6" s="19"/>
    </row>
    <row r="7" spans="1:12" ht="12" customHeight="1">
      <c r="A7" s="26" t="s">
        <v>8</v>
      </c>
      <c r="B7" s="22"/>
      <c r="C7" s="27" t="s">
        <v>9</v>
      </c>
      <c r="D7" s="28">
        <f>(18219+263+15000)*L5</f>
        <v>4503.3976046180005</v>
      </c>
      <c r="E7" s="29" t="s">
        <v>10</v>
      </c>
      <c r="F7" s="30" t="s">
        <v>11</v>
      </c>
      <c r="G7" s="31">
        <v>13.1952</v>
      </c>
      <c r="H7" s="32">
        <f aca="true" t="shared" si="0" ref="H7:H16">D7*G7</f>
        <v>59423.23207245544</v>
      </c>
      <c r="I7" s="22"/>
      <c r="J7" s="22"/>
      <c r="K7" s="19"/>
      <c r="L7" s="19"/>
    </row>
    <row r="8" spans="1:12" ht="12" customHeight="1">
      <c r="A8" s="26" t="s">
        <v>12</v>
      </c>
      <c r="B8" s="22"/>
      <c r="C8" s="27" t="s">
        <v>13</v>
      </c>
      <c r="D8" s="28">
        <f>(88756+1287)*L5</f>
        <v>12110.967998107</v>
      </c>
      <c r="E8" s="29" t="s">
        <v>10</v>
      </c>
      <c r="F8" s="30" t="s">
        <v>14</v>
      </c>
      <c r="G8" s="31">
        <v>9.0149</v>
      </c>
      <c r="H8" s="32">
        <f t="shared" si="0"/>
        <v>109179.16540613481</v>
      </c>
      <c r="I8" s="22"/>
      <c r="J8" s="22" t="s">
        <v>118</v>
      </c>
      <c r="K8" s="33">
        <f>SUM(H7,H8,H11,H12,H13,H23,H26,H31,H34,H50)</f>
        <v>293764.73966700275</v>
      </c>
      <c r="L8" s="19"/>
    </row>
    <row r="9" spans="1:12" ht="12" customHeight="1">
      <c r="A9" s="26" t="s">
        <v>15</v>
      </c>
      <c r="B9" s="22"/>
      <c r="C9" s="27" t="s">
        <v>16</v>
      </c>
      <c r="D9" s="34">
        <f>(M3-(511000*L5))*0.2711</f>
        <v>2965.685697727097</v>
      </c>
      <c r="E9" s="29" t="s">
        <v>17</v>
      </c>
      <c r="F9" s="30" t="s">
        <v>18</v>
      </c>
      <c r="G9" s="35">
        <v>0.0177</v>
      </c>
      <c r="H9" s="32">
        <f t="shared" si="0"/>
        <v>52.49263684976962</v>
      </c>
      <c r="I9" s="22"/>
      <c r="J9" s="22" t="s">
        <v>119</v>
      </c>
      <c r="K9" s="36">
        <f>SUM(H9,H10,H14,H15,H16,H17,H18,H19,H24,H25,H27,H32,H33,H35,H43,H44,H51,H52)</f>
        <v>69069.59125212586</v>
      </c>
      <c r="L9" s="19"/>
    </row>
    <row r="10" spans="1:12" ht="12" customHeight="1">
      <c r="A10" s="26" t="s">
        <v>19</v>
      </c>
      <c r="B10" s="22"/>
      <c r="C10" s="27" t="s">
        <v>20</v>
      </c>
      <c r="D10" s="34">
        <f>(M3-(511000*L5))*0.7289</f>
        <v>7973.767263272891</v>
      </c>
      <c r="E10" s="29" t="s">
        <v>17</v>
      </c>
      <c r="F10" s="30" t="s">
        <v>21</v>
      </c>
      <c r="G10" s="35">
        <v>0.0147</v>
      </c>
      <c r="H10" s="32">
        <f t="shared" si="0"/>
        <v>117.2143787701115</v>
      </c>
      <c r="I10" s="22"/>
      <c r="J10" s="22"/>
      <c r="K10" s="37">
        <f>SUM(K8:K9)</f>
        <v>362834.3309191286</v>
      </c>
      <c r="L10" s="19"/>
    </row>
    <row r="11" spans="1:12" ht="12" customHeight="1">
      <c r="A11" s="26" t="s">
        <v>22</v>
      </c>
      <c r="B11" s="22"/>
      <c r="C11" s="27" t="s">
        <v>23</v>
      </c>
      <c r="D11" s="28">
        <f>2820*L5</f>
        <v>379.29577818</v>
      </c>
      <c r="E11" s="29" t="s">
        <v>10</v>
      </c>
      <c r="F11" s="30" t="s">
        <v>24</v>
      </c>
      <c r="G11" s="31">
        <f>G7</f>
        <v>13.1952</v>
      </c>
      <c r="H11" s="32">
        <f t="shared" si="0"/>
        <v>5004.883652240736</v>
      </c>
      <c r="I11" s="22"/>
      <c r="J11" s="22"/>
      <c r="K11" s="19"/>
      <c r="L11" s="19"/>
    </row>
    <row r="12" spans="1:12" ht="12" customHeight="1">
      <c r="A12" s="26" t="s">
        <v>25</v>
      </c>
      <c r="B12" s="22"/>
      <c r="C12" s="27" t="s">
        <v>26</v>
      </c>
      <c r="D12" s="28">
        <f>12096*L5</f>
        <v>1626.936784704</v>
      </c>
      <c r="E12" s="29" t="s">
        <v>10</v>
      </c>
      <c r="F12" s="30" t="s">
        <v>27</v>
      </c>
      <c r="G12" s="31">
        <f>G8</f>
        <v>9.0149</v>
      </c>
      <c r="H12" s="32">
        <f t="shared" si="0"/>
        <v>14666.67242042809</v>
      </c>
      <c r="I12" s="22"/>
      <c r="J12" s="22"/>
      <c r="K12" s="19"/>
      <c r="L12" s="19"/>
    </row>
    <row r="13" spans="1:12" ht="12" customHeight="1">
      <c r="A13" s="26" t="s">
        <v>28</v>
      </c>
      <c r="B13" s="22"/>
      <c r="C13" s="27" t="s">
        <v>29</v>
      </c>
      <c r="D13" s="28">
        <f>1884*L5</f>
        <v>253.401860316</v>
      </c>
      <c r="E13" s="29" t="s">
        <v>10</v>
      </c>
      <c r="F13" s="30" t="s">
        <v>30</v>
      </c>
      <c r="G13" s="31">
        <v>4.7439</v>
      </c>
      <c r="H13" s="32">
        <f t="shared" si="0"/>
        <v>1202.1130851530725</v>
      </c>
      <c r="I13" s="22"/>
      <c r="J13" s="22"/>
      <c r="K13" s="19"/>
      <c r="L13" s="19"/>
    </row>
    <row r="14" spans="1:12" ht="12" customHeight="1">
      <c r="A14" s="26" t="s">
        <v>31</v>
      </c>
      <c r="B14" s="22"/>
      <c r="C14" s="27" t="s">
        <v>32</v>
      </c>
      <c r="D14" s="34">
        <f>(235*365)*L5</f>
        <v>11536.913252975</v>
      </c>
      <c r="E14" s="29" t="s">
        <v>17</v>
      </c>
      <c r="F14" s="30" t="s">
        <v>33</v>
      </c>
      <c r="G14" s="35">
        <f>G9</f>
        <v>0.0177</v>
      </c>
      <c r="H14" s="32">
        <f t="shared" si="0"/>
        <v>204.2033645776575</v>
      </c>
      <c r="I14" s="22"/>
      <c r="J14" s="22"/>
      <c r="K14" s="19"/>
      <c r="L14" s="19"/>
    </row>
    <row r="15" spans="1:12" ht="12" customHeight="1">
      <c r="A15" s="26" t="s">
        <v>34</v>
      </c>
      <c r="B15" s="22"/>
      <c r="C15" s="27" t="s">
        <v>35</v>
      </c>
      <c r="D15" s="34">
        <f>(1008*365)*L5</f>
        <v>49485.993868080004</v>
      </c>
      <c r="E15" s="29" t="s">
        <v>17</v>
      </c>
      <c r="F15" s="30" t="s">
        <v>36</v>
      </c>
      <c r="G15" s="35">
        <f>G10</f>
        <v>0.0147</v>
      </c>
      <c r="H15" s="32">
        <f t="shared" si="0"/>
        <v>727.444109860776</v>
      </c>
      <c r="I15" s="22"/>
      <c r="J15" s="22"/>
      <c r="K15" s="19"/>
      <c r="L15" s="19"/>
    </row>
    <row r="16" spans="1:12" ht="12" customHeight="1">
      <c r="A16" s="26" t="s">
        <v>37</v>
      </c>
      <c r="B16" s="22"/>
      <c r="C16" s="27" t="s">
        <v>38</v>
      </c>
      <c r="D16" s="34">
        <f>(157*365)*L5</f>
        <v>7707.639917945001</v>
      </c>
      <c r="E16" s="29" t="s">
        <v>17</v>
      </c>
      <c r="F16" s="30" t="s">
        <v>39</v>
      </c>
      <c r="G16" s="35">
        <v>0.0026</v>
      </c>
      <c r="H16" s="32">
        <f t="shared" si="0"/>
        <v>20.039863786657</v>
      </c>
      <c r="I16" s="22"/>
      <c r="J16" s="22"/>
      <c r="K16" s="19"/>
      <c r="L16" s="19"/>
    </row>
    <row r="17" spans="1:12" ht="12" customHeight="1">
      <c r="A17" s="26" t="s">
        <v>40</v>
      </c>
      <c r="B17" s="22"/>
      <c r="C17" s="27" t="s">
        <v>41</v>
      </c>
      <c r="D17" s="34">
        <f>(M3-(511000*L5))*0.2711+((235*365)*L5)</f>
        <v>14502.598950702097</v>
      </c>
      <c r="E17" s="29" t="s">
        <v>17</v>
      </c>
      <c r="F17" s="30" t="s">
        <v>42</v>
      </c>
      <c r="G17" s="38">
        <f>H17/D17</f>
        <v>0.07630799812476466</v>
      </c>
      <c r="H17" s="32">
        <f>(((D17/365)*151)*0.0281*'[1]NYMEX'!$E$13)+(((D17/365)*214)*0.0281*'[1]NYMEX'!$E$13)</f>
        <v>1106.6642935343896</v>
      </c>
      <c r="I17" s="22"/>
      <c r="J17" s="22"/>
      <c r="K17" s="19"/>
      <c r="L17" s="19"/>
    </row>
    <row r="18" spans="1:12" ht="12" customHeight="1">
      <c r="A18" s="26" t="s">
        <v>43</v>
      </c>
      <c r="B18" s="22"/>
      <c r="C18" s="27" t="s">
        <v>44</v>
      </c>
      <c r="D18" s="34">
        <f>(M3-(511000*L5))*0.7289+((1008*365)*L5)</f>
        <v>57459.7611313529</v>
      </c>
      <c r="E18" s="29" t="s">
        <v>17</v>
      </c>
      <c r="F18" s="30" t="s">
        <v>45</v>
      </c>
      <c r="G18" s="38">
        <f>H18/D18</f>
        <v>0.06273006251537593</v>
      </c>
      <c r="H18" s="32">
        <f>(((D18/365)*151)*0.0231*'[1]NYMEX'!$E$13)+(((D18/365)*214)*0.0231*'[1]NYMEX'!$E$13)</f>
        <v>3604.454407888335</v>
      </c>
      <c r="I18" s="22"/>
      <c r="J18" s="22"/>
      <c r="K18" s="19"/>
      <c r="L18" s="19"/>
    </row>
    <row r="19" spans="1:12" ht="12" customHeight="1">
      <c r="A19" s="26" t="s">
        <v>46</v>
      </c>
      <c r="B19" s="22"/>
      <c r="C19" s="27" t="s">
        <v>47</v>
      </c>
      <c r="D19" s="34">
        <f>(157*365)*L5</f>
        <v>7707.639917945001</v>
      </c>
      <c r="E19" s="29" t="s">
        <v>17</v>
      </c>
      <c r="F19" s="30" t="s">
        <v>48</v>
      </c>
      <c r="G19" s="38">
        <f>H19/D19</f>
        <v>0.015207287882515377</v>
      </c>
      <c r="H19" s="39">
        <f>(((D19/365)*151)*0.0056*'[1]NYMEX'!$E$13)+(((D19/365)*214)*0.0056*'[1]NYMEX'!$E$13)</f>
        <v>117.21229912695682</v>
      </c>
      <c r="I19" s="19"/>
      <c r="J19" s="22"/>
      <c r="K19" s="19"/>
      <c r="L19" s="19"/>
    </row>
    <row r="20" spans="1:12" ht="12" customHeight="1">
      <c r="A20" s="26"/>
      <c r="B20" s="22"/>
      <c r="C20" s="27"/>
      <c r="D20" s="34"/>
      <c r="E20" s="29"/>
      <c r="F20" s="30"/>
      <c r="G20" s="38"/>
      <c r="H20" s="40"/>
      <c r="I20" s="19"/>
      <c r="J20" s="22"/>
      <c r="K20" s="19"/>
      <c r="L20" s="19"/>
    </row>
    <row r="21" spans="1:12" ht="12" customHeight="1">
      <c r="A21" s="22" t="s">
        <v>49</v>
      </c>
      <c r="B21" s="22"/>
      <c r="C21" s="22"/>
      <c r="D21" s="41"/>
      <c r="E21" s="29"/>
      <c r="F21" s="29"/>
      <c r="G21" s="22"/>
      <c r="H21" s="42">
        <f>SUM(H7:H19)</f>
        <v>195425.79199080684</v>
      </c>
      <c r="I21" s="43"/>
      <c r="J21" s="22"/>
      <c r="K21" s="19"/>
      <c r="L21" s="19"/>
    </row>
    <row r="22" spans="1:12" ht="12" customHeight="1">
      <c r="A22" s="22"/>
      <c r="B22" s="22"/>
      <c r="C22" s="22"/>
      <c r="D22" s="41"/>
      <c r="E22" s="29"/>
      <c r="F22" s="29"/>
      <c r="G22" s="22"/>
      <c r="H22" s="19"/>
      <c r="I22" s="19"/>
      <c r="J22" s="22"/>
      <c r="K22" s="19"/>
      <c r="L22" s="19"/>
    </row>
    <row r="23" spans="1:12" ht="12" customHeight="1">
      <c r="A23" s="26" t="s">
        <v>50</v>
      </c>
      <c r="B23" s="26"/>
      <c r="C23" s="27" t="s">
        <v>51</v>
      </c>
      <c r="D23" s="41">
        <f>(1524*12)*L5</f>
        <v>2459.773472112</v>
      </c>
      <c r="E23" s="29" t="s">
        <v>10</v>
      </c>
      <c r="F23" s="30" t="s">
        <v>52</v>
      </c>
      <c r="G23" s="38">
        <v>1.7226</v>
      </c>
      <c r="H23" s="42">
        <f>D23*G23</f>
        <v>4237.205783060131</v>
      </c>
      <c r="I23" s="22"/>
      <c r="J23" s="22"/>
      <c r="K23" s="19"/>
      <c r="L23" s="19"/>
    </row>
    <row r="24" spans="1:12" ht="12" customHeight="1">
      <c r="A24" s="26" t="s">
        <v>53</v>
      </c>
      <c r="B24" s="22"/>
      <c r="C24" s="27" t="s">
        <v>54</v>
      </c>
      <c r="D24" s="44">
        <f>186757*L5</f>
        <v>25119.199165093003</v>
      </c>
      <c r="E24" s="29" t="s">
        <v>17</v>
      </c>
      <c r="F24" s="30" t="s">
        <v>55</v>
      </c>
      <c r="G24" s="38">
        <v>0.0073</v>
      </c>
      <c r="H24" s="42">
        <f>D24*G24</f>
        <v>183.37015390517894</v>
      </c>
      <c r="I24" s="22"/>
      <c r="J24" s="22"/>
      <c r="K24" s="19"/>
      <c r="L24" s="19"/>
    </row>
    <row r="25" spans="1:12" ht="12" customHeight="1">
      <c r="A25" s="26" t="s">
        <v>56</v>
      </c>
      <c r="B25" s="22"/>
      <c r="C25" s="27" t="s">
        <v>57</v>
      </c>
      <c r="D25" s="44">
        <f>186757*L5</f>
        <v>25119.199165093003</v>
      </c>
      <c r="E25" s="29" t="s">
        <v>17</v>
      </c>
      <c r="F25" s="30" t="s">
        <v>58</v>
      </c>
      <c r="G25" s="38">
        <v>0.0073</v>
      </c>
      <c r="H25" s="42">
        <f>D25*G25</f>
        <v>183.37015390517894</v>
      </c>
      <c r="I25" s="22"/>
      <c r="J25" s="22"/>
      <c r="K25" s="19"/>
      <c r="L25" s="19"/>
    </row>
    <row r="26" spans="1:12" ht="12" customHeight="1">
      <c r="A26" s="26" t="s">
        <v>59</v>
      </c>
      <c r="B26" s="22"/>
      <c r="C26" s="27" t="s">
        <v>60</v>
      </c>
      <c r="D26" s="41">
        <f>(186757*12)*L5</f>
        <v>301430.38998111605</v>
      </c>
      <c r="E26" s="29" t="s">
        <v>10</v>
      </c>
      <c r="F26" s="30" t="s">
        <v>61</v>
      </c>
      <c r="G26" s="38">
        <v>0.0175</v>
      </c>
      <c r="H26" s="42">
        <f>D26*G26</f>
        <v>5275.0318246695315</v>
      </c>
      <c r="I26" s="22"/>
      <c r="J26" s="22"/>
      <c r="K26" s="19"/>
      <c r="L26" s="19"/>
    </row>
    <row r="27" spans="1:12" ht="12" customHeight="1">
      <c r="A27" s="26" t="s">
        <v>62</v>
      </c>
      <c r="B27" s="22"/>
      <c r="C27" s="27" t="s">
        <v>63</v>
      </c>
      <c r="D27" s="44">
        <f>186757*L5</f>
        <v>25119.199165093003</v>
      </c>
      <c r="E27" s="29" t="s">
        <v>17</v>
      </c>
      <c r="F27" s="30" t="s">
        <v>64</v>
      </c>
      <c r="G27" s="45">
        <f>H27/D27</f>
        <v>0.019823785989707545</v>
      </c>
      <c r="H27" s="39">
        <f>D27*0.0073*'[1]NYMEX'!$E$13</f>
        <v>497.9576284816442</v>
      </c>
      <c r="I27" s="19"/>
      <c r="J27" s="22"/>
      <c r="K27" s="19"/>
      <c r="L27" s="19"/>
    </row>
    <row r="28" spans="1:12" ht="12" customHeight="1">
      <c r="A28" s="22"/>
      <c r="B28" s="22"/>
      <c r="C28" s="22"/>
      <c r="D28" s="41"/>
      <c r="E28" s="29"/>
      <c r="F28" s="29"/>
      <c r="G28" s="22"/>
      <c r="H28" s="22"/>
      <c r="I28" s="19"/>
      <c r="J28" s="22"/>
      <c r="K28" s="19"/>
      <c r="L28" s="19"/>
    </row>
    <row r="29" spans="1:12" ht="12" customHeight="1">
      <c r="A29" s="22" t="s">
        <v>49</v>
      </c>
      <c r="B29" s="22"/>
      <c r="C29" s="22"/>
      <c r="D29" s="41"/>
      <c r="E29" s="29"/>
      <c r="F29" s="29"/>
      <c r="G29" s="22"/>
      <c r="H29" s="42">
        <f>SUM(H23:H27)</f>
        <v>10376.935544021666</v>
      </c>
      <c r="I29" s="43"/>
      <c r="J29" s="22"/>
      <c r="K29" s="19"/>
      <c r="L29" s="19"/>
    </row>
    <row r="30" spans="1:12" ht="12" customHeight="1">
      <c r="A30" s="22"/>
      <c r="B30" s="22"/>
      <c r="C30" s="22"/>
      <c r="D30" s="41"/>
      <c r="E30" s="29"/>
      <c r="F30" s="29"/>
      <c r="G30" s="22"/>
      <c r="H30" s="22"/>
      <c r="I30" s="19"/>
      <c r="J30" s="22"/>
      <c r="K30" s="19"/>
      <c r="L30" s="19"/>
    </row>
    <row r="31" spans="1:12" ht="12" customHeight="1">
      <c r="A31" s="26" t="s">
        <v>65</v>
      </c>
      <c r="B31" s="22"/>
      <c r="C31" s="27" t="s">
        <v>66</v>
      </c>
      <c r="D31" s="41">
        <f>(8636*12)*L5</f>
        <v>13938.716341968002</v>
      </c>
      <c r="E31" s="29" t="s">
        <v>10</v>
      </c>
      <c r="F31" s="30" t="s">
        <v>67</v>
      </c>
      <c r="G31" s="38">
        <v>1.2655</v>
      </c>
      <c r="H31" s="42">
        <f>D31*G31</f>
        <v>17639.445530760506</v>
      </c>
      <c r="I31" s="22"/>
      <c r="J31" s="22"/>
      <c r="K31" s="19"/>
      <c r="L31" s="19"/>
    </row>
    <row r="32" spans="1:12" ht="12" customHeight="1">
      <c r="A32" s="26" t="s">
        <v>68</v>
      </c>
      <c r="B32" s="22"/>
      <c r="C32" s="27" t="s">
        <v>69</v>
      </c>
      <c r="D32" s="44">
        <f>387622*L5</f>
        <v>52135.953237478</v>
      </c>
      <c r="E32" s="29" t="s">
        <v>17</v>
      </c>
      <c r="F32" s="30" t="s">
        <v>70</v>
      </c>
      <c r="G32" s="38">
        <v>0.0087</v>
      </c>
      <c r="H32" s="42">
        <f>D32*G32</f>
        <v>453.5827931660586</v>
      </c>
      <c r="I32" s="22"/>
      <c r="J32" s="22"/>
      <c r="K32" s="19"/>
      <c r="L32" s="19"/>
    </row>
    <row r="33" spans="1:12" ht="12" customHeight="1">
      <c r="A33" s="26" t="s">
        <v>71</v>
      </c>
      <c r="B33" s="22"/>
      <c r="C33" s="27" t="s">
        <v>72</v>
      </c>
      <c r="D33" s="44">
        <f>387622*L5</f>
        <v>52135.953237478</v>
      </c>
      <c r="E33" s="29" t="s">
        <v>17</v>
      </c>
      <c r="F33" s="30" t="s">
        <v>73</v>
      </c>
      <c r="G33" s="38">
        <v>0.0087</v>
      </c>
      <c r="H33" s="42">
        <f>D33*G33</f>
        <v>453.5827931660586</v>
      </c>
      <c r="I33" s="22"/>
      <c r="J33" s="22"/>
      <c r="K33" s="19"/>
      <c r="L33" s="19"/>
    </row>
    <row r="34" spans="1:12" ht="12" customHeight="1">
      <c r="A34" s="26" t="s">
        <v>74</v>
      </c>
      <c r="B34" s="26"/>
      <c r="C34" s="27" t="s">
        <v>75</v>
      </c>
      <c r="D34" s="41">
        <f>(387622*12)*L5</f>
        <v>625631.438849736</v>
      </c>
      <c r="E34" s="29" t="s">
        <v>10</v>
      </c>
      <c r="F34" s="30" t="s">
        <v>76</v>
      </c>
      <c r="G34" s="38">
        <v>0.0173</v>
      </c>
      <c r="H34" s="42">
        <f>D34*G34</f>
        <v>10823.423892100433</v>
      </c>
      <c r="I34" s="22"/>
      <c r="J34" s="22"/>
      <c r="K34" s="19"/>
      <c r="L34" s="19"/>
    </row>
    <row r="35" spans="1:12" ht="12" customHeight="1">
      <c r="A35" s="26" t="s">
        <v>77</v>
      </c>
      <c r="B35" s="26"/>
      <c r="C35" s="27" t="s">
        <v>78</v>
      </c>
      <c r="D35" s="44">
        <f>387622*L5</f>
        <v>52135.953237478</v>
      </c>
      <c r="E35" s="29" t="s">
        <v>17</v>
      </c>
      <c r="F35" s="30" t="s">
        <v>79</v>
      </c>
      <c r="G35" s="45">
        <f>H35/D35</f>
        <v>0.023625607960336387</v>
      </c>
      <c r="H35" s="39">
        <f>D35*0.0087*'[1]NYMEX'!$E$13</f>
        <v>1231.743591827086</v>
      </c>
      <c r="I35" s="22"/>
      <c r="J35" s="22"/>
      <c r="K35" s="19"/>
      <c r="L35" s="19"/>
    </row>
    <row r="36" spans="1:12" ht="12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19"/>
      <c r="L36" s="19"/>
    </row>
    <row r="37" spans="1:12" ht="12" customHeight="1">
      <c r="A37" s="22" t="s">
        <v>49</v>
      </c>
      <c r="B37" s="22"/>
      <c r="C37" s="22"/>
      <c r="D37" s="41"/>
      <c r="E37" s="29"/>
      <c r="F37" s="29"/>
      <c r="G37" s="22"/>
      <c r="H37" s="42">
        <f>SUM(H31:H35)</f>
        <v>30601.778601020138</v>
      </c>
      <c r="I37" s="43"/>
      <c r="J37" s="22"/>
      <c r="K37" s="19"/>
      <c r="L37" s="19"/>
    </row>
    <row r="38" spans="1:12" ht="12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19"/>
      <c r="L38" s="19"/>
    </row>
    <row r="39" spans="1:12" ht="12" customHeight="1" thickBot="1">
      <c r="A39" s="46" t="s">
        <v>103</v>
      </c>
      <c r="B39" s="47"/>
      <c r="C39" s="47"/>
      <c r="D39" s="47"/>
      <c r="E39" s="47"/>
      <c r="F39" s="47"/>
      <c r="G39" s="47"/>
      <c r="H39" s="48">
        <f>H21+H29+H37</f>
        <v>236404.50613584864</v>
      </c>
      <c r="I39" s="43"/>
      <c r="J39" s="22"/>
      <c r="K39" s="19"/>
      <c r="L39" s="19"/>
    </row>
    <row r="40" spans="1:12" ht="12" customHeight="1" thickTop="1">
      <c r="A40" s="22"/>
      <c r="B40" s="22"/>
      <c r="C40" s="22"/>
      <c r="D40" s="22"/>
      <c r="E40" s="22"/>
      <c r="F40" s="22"/>
      <c r="G40" s="22"/>
      <c r="H40" s="49"/>
      <c r="I40" s="22"/>
      <c r="J40" s="22"/>
      <c r="K40" s="19"/>
      <c r="L40" s="19"/>
    </row>
    <row r="41" spans="1:12" ht="12" customHeight="1">
      <c r="A41" s="5" t="s">
        <v>124</v>
      </c>
      <c r="B41" s="5"/>
      <c r="C41" s="22"/>
      <c r="D41" s="22"/>
      <c r="E41" s="22"/>
      <c r="F41" s="22"/>
      <c r="G41" s="22"/>
      <c r="H41" s="22"/>
      <c r="I41" s="22"/>
      <c r="J41" s="22"/>
      <c r="K41" s="19"/>
      <c r="L41" s="19"/>
    </row>
    <row r="42" spans="1:12" ht="12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19"/>
      <c r="L42" s="19"/>
    </row>
    <row r="43" spans="1:12" ht="12" customHeight="1">
      <c r="A43" s="26" t="s">
        <v>80</v>
      </c>
      <c r="B43" s="26"/>
      <c r="C43" s="27" t="s">
        <v>81</v>
      </c>
      <c r="D43" s="34">
        <f>'SUPPLIERS COSTS'!B16</f>
        <v>44863</v>
      </c>
      <c r="E43" s="23" t="s">
        <v>17</v>
      </c>
      <c r="F43" s="30" t="s">
        <v>82</v>
      </c>
      <c r="G43" s="38">
        <v>1.2689</v>
      </c>
      <c r="H43" s="42">
        <f>D43*G43</f>
        <v>56926.66069999999</v>
      </c>
      <c r="I43" s="43"/>
      <c r="J43" s="22"/>
      <c r="K43" s="19"/>
      <c r="L43" s="19"/>
    </row>
    <row r="44" spans="1:12" ht="12" customHeight="1">
      <c r="A44" s="26" t="s">
        <v>83</v>
      </c>
      <c r="B44" s="50"/>
      <c r="C44" s="27" t="s">
        <v>84</v>
      </c>
      <c r="D44" s="44">
        <f>D43</f>
        <v>44863</v>
      </c>
      <c r="E44" s="29" t="s">
        <v>17</v>
      </c>
      <c r="F44" s="30" t="s">
        <v>85</v>
      </c>
      <c r="G44" s="45">
        <f>H44/D44</f>
        <v>0.05629638646590733</v>
      </c>
      <c r="H44" s="39">
        <f>((D44*0.00276)+(D44*0.01831))*'[1]NYMEX'!$E$26</f>
        <v>2525.6247860200006</v>
      </c>
      <c r="I44" s="22"/>
      <c r="J44" s="22"/>
      <c r="K44" s="19"/>
      <c r="L44" s="19"/>
    </row>
    <row r="45" spans="1:12" ht="12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9"/>
      <c r="L45" s="19"/>
    </row>
    <row r="46" spans="1:12" ht="12" customHeight="1" thickBot="1">
      <c r="A46" s="46" t="s">
        <v>86</v>
      </c>
      <c r="B46" s="46"/>
      <c r="C46" s="47"/>
      <c r="D46" s="47"/>
      <c r="E46" s="47"/>
      <c r="F46" s="47"/>
      <c r="G46" s="47"/>
      <c r="H46" s="48">
        <f>SUM(H43:H44)</f>
        <v>59452.285486019995</v>
      </c>
      <c r="I46" s="43"/>
      <c r="J46" s="22"/>
      <c r="K46" s="19"/>
      <c r="L46" s="19"/>
    </row>
    <row r="47" spans="1:12" ht="12" customHeight="1" thickTop="1">
      <c r="A47" s="22"/>
      <c r="B47" s="22"/>
      <c r="C47" s="22"/>
      <c r="D47" s="22"/>
      <c r="E47" s="22"/>
      <c r="F47" s="22"/>
      <c r="G47" s="22"/>
      <c r="H47" s="51"/>
      <c r="I47" s="22"/>
      <c r="J47" s="22"/>
      <c r="K47" s="19"/>
      <c r="L47" s="19"/>
    </row>
    <row r="48" spans="1:12" ht="12" customHeight="1">
      <c r="A48" s="5" t="s">
        <v>125</v>
      </c>
      <c r="B48" s="5"/>
      <c r="C48" s="22"/>
      <c r="D48" s="22"/>
      <c r="E48" s="22"/>
      <c r="F48" s="22"/>
      <c r="G48" s="22"/>
      <c r="H48" s="22"/>
      <c r="I48" s="22"/>
      <c r="J48" s="22"/>
      <c r="K48" s="19"/>
      <c r="L48" s="19"/>
    </row>
    <row r="49" spans="1:12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19"/>
      <c r="L49" s="19"/>
    </row>
    <row r="50" spans="1:12" ht="12" customHeight="1">
      <c r="A50" s="26" t="s">
        <v>120</v>
      </c>
      <c r="B50" s="26"/>
      <c r="C50" s="27" t="s">
        <v>87</v>
      </c>
      <c r="D50" s="30">
        <f>((4103+105+170)*12)/4</f>
        <v>13134</v>
      </c>
      <c r="E50" s="23" t="s">
        <v>10</v>
      </c>
      <c r="F50" s="30" t="s">
        <v>88</v>
      </c>
      <c r="G50" s="38">
        <v>5.049</v>
      </c>
      <c r="H50" s="42">
        <f>D50*G50</f>
        <v>66313.566</v>
      </c>
      <c r="I50" s="43"/>
      <c r="J50" s="22"/>
      <c r="K50" s="19"/>
      <c r="L50" s="19"/>
    </row>
    <row r="51" spans="1:12" ht="12" customHeight="1">
      <c r="A51" s="26" t="s">
        <v>121</v>
      </c>
      <c r="B51" s="22"/>
      <c r="C51" s="27" t="s">
        <v>89</v>
      </c>
      <c r="D51" s="44">
        <f>D43</f>
        <v>44863</v>
      </c>
      <c r="E51" s="23" t="s">
        <v>17</v>
      </c>
      <c r="F51" s="30" t="s">
        <v>90</v>
      </c>
      <c r="G51" s="38">
        <v>0.0109</v>
      </c>
      <c r="H51" s="42">
        <f>D51*G51</f>
        <v>489.0067</v>
      </c>
      <c r="I51" s="52"/>
      <c r="J51" s="22"/>
      <c r="K51" s="19"/>
      <c r="L51" s="19"/>
    </row>
    <row r="52" spans="1:12" ht="12" customHeight="1">
      <c r="A52" s="26" t="s">
        <v>83</v>
      </c>
      <c r="B52" s="50"/>
      <c r="C52" s="27" t="s">
        <v>91</v>
      </c>
      <c r="D52" s="44">
        <f>D51</f>
        <v>44863</v>
      </c>
      <c r="E52" s="29" t="s">
        <v>17</v>
      </c>
      <c r="F52" s="30" t="s">
        <v>92</v>
      </c>
      <c r="G52" s="45">
        <f>H52/D52</f>
        <v>0.00390002</v>
      </c>
      <c r="H52" s="39">
        <f>(D52*0.3578)*G51</f>
        <v>174.96659726000001</v>
      </c>
      <c r="I52" s="22"/>
      <c r="J52" s="22"/>
      <c r="K52" s="19"/>
      <c r="L52" s="19"/>
    </row>
    <row r="53" spans="1:12" ht="12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19"/>
      <c r="L53" s="19"/>
    </row>
    <row r="54" spans="1:12" ht="12" customHeight="1" thickBot="1">
      <c r="A54" s="47" t="s">
        <v>93</v>
      </c>
      <c r="B54" s="47"/>
      <c r="C54" s="47"/>
      <c r="D54" s="47"/>
      <c r="E54" s="47"/>
      <c r="F54" s="47"/>
      <c r="G54" s="47"/>
      <c r="H54" s="48">
        <f>H50+H51+H52</f>
        <v>66977.53929726001</v>
      </c>
      <c r="I54" s="43"/>
      <c r="J54" s="22"/>
      <c r="K54" s="19"/>
      <c r="L54" s="19"/>
    </row>
    <row r="55" spans="1:12" ht="12" customHeight="1" thickTop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19"/>
      <c r="L55" s="19"/>
    </row>
    <row r="56" spans="1:12" ht="12" customHeight="1" thickBot="1">
      <c r="A56" s="53" t="s">
        <v>94</v>
      </c>
      <c r="B56" s="53"/>
      <c r="C56" s="53"/>
      <c r="D56" s="53"/>
      <c r="E56" s="53"/>
      <c r="F56" s="53"/>
      <c r="G56" s="53"/>
      <c r="H56" s="54">
        <f>H39+H46+H54</f>
        <v>362834.3309191286</v>
      </c>
      <c r="I56" s="43"/>
      <c r="J56" s="22"/>
      <c r="K56" s="19"/>
      <c r="L56" s="19"/>
    </row>
    <row r="57" spans="1:12" ht="12" customHeight="1" thickTop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19"/>
      <c r="L57" s="19"/>
    </row>
    <row r="58" spans="1:12" ht="12" customHeight="1">
      <c r="A58" s="47"/>
      <c r="B58" s="22"/>
      <c r="C58" s="22"/>
      <c r="D58" s="22"/>
      <c r="E58" s="22"/>
      <c r="F58" s="22"/>
      <c r="G58" s="19"/>
      <c r="H58" s="33">
        <f>H46+H54</f>
        <v>126429.82478328</v>
      </c>
      <c r="I58" s="22"/>
      <c r="J58" s="22"/>
      <c r="K58" s="19"/>
      <c r="L58" s="19"/>
    </row>
    <row r="59" spans="1:12" ht="12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19"/>
      <c r="L59" s="19"/>
    </row>
    <row r="60" spans="1:12" ht="12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19"/>
      <c r="L60" s="19"/>
    </row>
    <row r="61" spans="1:12" ht="12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19"/>
      <c r="L61" s="19"/>
    </row>
    <row r="62" spans="1:12" ht="12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19"/>
      <c r="L62" s="19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2023-03-23T11:40:00Z</cp:lastPrinted>
  <dcterms:created xsi:type="dcterms:W3CDTF">1998-06-17T15:14:46Z</dcterms:created>
  <dcterms:modified xsi:type="dcterms:W3CDTF">2023-03-23T13:42:53Z</dcterms:modified>
  <cp:category/>
  <cp:version/>
  <cp:contentType/>
  <cp:contentStatus/>
</cp:coreProperties>
</file>