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internal\reh\RegulatoryRequest\Kentucky\IRP 2022\requests\"/>
    </mc:Choice>
  </mc:AlternateContent>
  <xr:revisionPtr revIDLastSave="0" documentId="8_{470F8C7E-0BE7-49DC-9405-ADD38E0650AD}" xr6:coauthVersionLast="47" xr6:coauthVersionMax="47" xr10:uidLastSave="{00000000-0000-0000-0000-000000000000}"/>
  <bookViews>
    <workbookView xWindow="-120" yWindow="-120" windowWidth="29040" windowHeight="17640" xr2:uid="{1C088C5C-D60D-4060-A3D7-DF161E5FEA8B}"/>
  </bookViews>
  <sheets>
    <sheet name="Actuals" sheetId="1" r:id="rId1"/>
    <sheet name="Growth Rates" sheetId="2" r:id="rId2"/>
    <sheet name="Forecas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9" i="3" l="1"/>
  <c r="I19" i="3"/>
  <c r="J19" i="3"/>
  <c r="K19" i="3"/>
  <c r="L19" i="3"/>
  <c r="M19" i="3"/>
  <c r="N19" i="3"/>
  <c r="O19" i="3"/>
  <c r="P19" i="3"/>
  <c r="C22" i="3"/>
  <c r="C19" i="3"/>
  <c r="G12" i="3"/>
  <c r="G19" i="3" s="1"/>
  <c r="F12" i="3"/>
  <c r="E12" i="3"/>
  <c r="E15" i="3" s="1"/>
  <c r="F15" i="3" s="1"/>
  <c r="G15" i="3" s="1"/>
  <c r="D12" i="3"/>
  <c r="D14" i="3" s="1"/>
  <c r="C12" i="3"/>
  <c r="C15" i="3" s="1"/>
  <c r="G4" i="3"/>
  <c r="F4" i="3"/>
  <c r="F19" i="3" s="1"/>
  <c r="E4" i="3"/>
  <c r="E6" i="3" s="1"/>
  <c r="F6" i="3" s="1"/>
  <c r="D4" i="3"/>
  <c r="D7" i="3" s="1"/>
  <c r="C4" i="3"/>
  <c r="C7" i="3" s="1"/>
  <c r="L12" i="2"/>
  <c r="M12" i="2" s="1"/>
  <c r="N12" i="2" s="1"/>
  <c r="O12" i="2" s="1"/>
  <c r="K12" i="2"/>
  <c r="J12" i="2"/>
  <c r="I12" i="2"/>
  <c r="H12" i="2"/>
  <c r="G12" i="2"/>
  <c r="F12" i="2"/>
  <c r="E12" i="2"/>
  <c r="D12" i="2"/>
  <c r="O10" i="2"/>
  <c r="N10" i="2"/>
  <c r="M10" i="2"/>
  <c r="L10" i="2"/>
  <c r="K10" i="2"/>
  <c r="J10" i="2"/>
  <c r="I10" i="2"/>
  <c r="H10" i="2"/>
  <c r="G10" i="2"/>
  <c r="F10" i="2"/>
  <c r="E10" i="2"/>
  <c r="D10" i="2"/>
  <c r="O5" i="2"/>
  <c r="N5" i="2"/>
  <c r="M5" i="2"/>
  <c r="L5" i="2"/>
  <c r="K5" i="2"/>
  <c r="J5" i="2"/>
  <c r="I5" i="2"/>
  <c r="H5" i="2"/>
  <c r="G5" i="2"/>
  <c r="F5" i="2"/>
  <c r="E5" i="2"/>
  <c r="D5" i="2"/>
  <c r="O3" i="2"/>
  <c r="N3" i="2"/>
  <c r="M3" i="2"/>
  <c r="L3" i="2"/>
  <c r="K3" i="2"/>
  <c r="J3" i="2"/>
  <c r="I3" i="2"/>
  <c r="H3" i="2"/>
  <c r="G3" i="2"/>
  <c r="F3" i="2"/>
  <c r="E3" i="2"/>
  <c r="D3" i="2"/>
  <c r="E19" i="3" l="1"/>
  <c r="D19" i="3"/>
  <c r="C13" i="3"/>
  <c r="C14" i="3"/>
  <c r="D15" i="3"/>
  <c r="D22" i="3" s="1"/>
  <c r="D13" i="3"/>
  <c r="E14" i="3"/>
  <c r="E13" i="3"/>
  <c r="G6" i="3"/>
  <c r="E7" i="3"/>
  <c r="C5" i="3"/>
  <c r="E5" i="3"/>
  <c r="C6" i="3"/>
  <c r="D6" i="3"/>
  <c r="D21" i="3" s="1"/>
  <c r="D5" i="3"/>
  <c r="F7" i="3" l="1"/>
  <c r="E22" i="3"/>
  <c r="D20" i="3"/>
  <c r="E21" i="3"/>
  <c r="F14" i="3"/>
  <c r="F5" i="3"/>
  <c r="E20" i="3"/>
  <c r="F13" i="3"/>
  <c r="G13" i="3" s="1"/>
  <c r="C21" i="3"/>
  <c r="C20" i="3"/>
  <c r="U6" i="3"/>
  <c r="F21" i="3" l="1"/>
  <c r="G14" i="3"/>
  <c r="G5" i="3"/>
  <c r="G20" i="3" s="1"/>
  <c r="F20" i="3"/>
  <c r="G7" i="3"/>
  <c r="G22" i="3" s="1"/>
  <c r="F22" i="3"/>
  <c r="U7" i="3"/>
  <c r="H7" i="3" s="1"/>
  <c r="U5" i="3"/>
  <c r="H5" i="3" s="1"/>
  <c r="H6" i="3"/>
  <c r="I5" i="3" l="1"/>
  <c r="I6" i="3"/>
  <c r="H14" i="3"/>
  <c r="I14" i="3" s="1"/>
  <c r="J14" i="3" s="1"/>
  <c r="K14" i="3" s="1"/>
  <c r="L14" i="3" s="1"/>
  <c r="M14" i="3" s="1"/>
  <c r="N14" i="3" s="1"/>
  <c r="O14" i="3" s="1"/>
  <c r="P14" i="3" s="1"/>
  <c r="Q14" i="3" s="1"/>
  <c r="V6" i="3"/>
  <c r="G21" i="3"/>
  <c r="I7" i="3"/>
  <c r="V7" i="3" l="1"/>
  <c r="H15" i="3" s="1"/>
  <c r="V5" i="3"/>
  <c r="H13" i="3" s="1"/>
  <c r="H21" i="3"/>
  <c r="J6" i="3"/>
  <c r="I21" i="3"/>
  <c r="J7" i="3"/>
  <c r="J5" i="3"/>
  <c r="K5" i="3" l="1"/>
  <c r="K6" i="3"/>
  <c r="J21" i="3"/>
  <c r="I13" i="3"/>
  <c r="H20" i="3"/>
  <c r="K7" i="3"/>
  <c r="I15" i="3"/>
  <c r="H22" i="3"/>
  <c r="J13" i="3" l="1"/>
  <c r="I20" i="3"/>
  <c r="J15" i="3"/>
  <c r="I22" i="3"/>
  <c r="L7" i="3"/>
  <c r="L6" i="3"/>
  <c r="K21" i="3"/>
  <c r="L5" i="3"/>
  <c r="M5" i="3" l="1"/>
  <c r="K15" i="3"/>
  <c r="J22" i="3"/>
  <c r="M6" i="3"/>
  <c r="L21" i="3"/>
  <c r="M7" i="3"/>
  <c r="K13" i="3"/>
  <c r="J20" i="3"/>
  <c r="L13" i="3" l="1"/>
  <c r="K20" i="3"/>
  <c r="L15" i="3"/>
  <c r="K22" i="3"/>
  <c r="N7" i="3"/>
  <c r="N6" i="3"/>
  <c r="M21" i="3"/>
  <c r="N5" i="3"/>
  <c r="O6" i="3" l="1"/>
  <c r="N21" i="3"/>
  <c r="O5" i="3"/>
  <c r="O7" i="3"/>
  <c r="M15" i="3"/>
  <c r="L22" i="3"/>
  <c r="M13" i="3"/>
  <c r="L20" i="3"/>
  <c r="N15" i="3" l="1"/>
  <c r="M22" i="3"/>
  <c r="N13" i="3"/>
  <c r="M20" i="3"/>
  <c r="P5" i="3"/>
  <c r="P7" i="3"/>
  <c r="P6" i="3"/>
  <c r="O21" i="3"/>
  <c r="Q6" i="3" l="1"/>
  <c r="P21" i="3"/>
  <c r="Q21" i="3" s="1"/>
  <c r="O13" i="3"/>
  <c r="N20" i="3"/>
  <c r="Q7" i="3"/>
  <c r="Q5" i="3"/>
  <c r="O15" i="3"/>
  <c r="N22" i="3"/>
  <c r="P15" i="3" l="1"/>
  <c r="O22" i="3"/>
  <c r="P13" i="3"/>
  <c r="O20" i="3"/>
  <c r="Q13" i="3" l="1"/>
  <c r="P20" i="3"/>
  <c r="Q20" i="3" s="1"/>
  <c r="Q15" i="3"/>
  <c r="P22" i="3"/>
  <c r="Q22" i="3" s="1"/>
</calcChain>
</file>

<file path=xl/sharedStrings.xml><?xml version="1.0" encoding="utf-8"?>
<sst xmlns="http://schemas.openxmlformats.org/spreadsheetml/2006/main" count="167" uniqueCount="50">
  <si>
    <t>As of Dec-17</t>
  </si>
  <si>
    <t>As of Mar-18</t>
  </si>
  <si>
    <t>As of Jun-18</t>
  </si>
  <si>
    <t>As of Sep-18</t>
  </si>
  <si>
    <t>As of Dec-18</t>
  </si>
  <si>
    <t>As of Mar-19</t>
  </si>
  <si>
    <t>As of Jun-19</t>
  </si>
  <si>
    <t>As of Sep-19</t>
  </si>
  <si>
    <t>As of Dec-19</t>
  </si>
  <si>
    <t>As of Mar-20</t>
  </si>
  <si>
    <t>As of Jun-20</t>
  </si>
  <si>
    <t>As of Sep-20</t>
  </si>
  <si>
    <t>As of Dec-20</t>
  </si>
  <si>
    <t>As of Mar-21</t>
  </si>
  <si>
    <t>As of Jun-21</t>
  </si>
  <si>
    <t>As of Sep-21</t>
  </si>
  <si>
    <t>As of Dec-21</t>
  </si>
  <si>
    <t>As of Mar-22</t>
  </si>
  <si>
    <t>As of Jun-22</t>
  </si>
  <si>
    <t>BEV</t>
  </si>
  <si>
    <t>PHEV</t>
  </si>
  <si>
    <t>KY</t>
  </si>
  <si>
    <t>AEP</t>
  </si>
  <si>
    <t>Total EV</t>
  </si>
  <si>
    <t>Kentucky</t>
  </si>
  <si>
    <t>Growth Rates</t>
  </si>
  <si>
    <t>CAGR 2020-30</t>
  </si>
  <si>
    <t>High Forecast</t>
  </si>
  <si>
    <t>Base Forecast</t>
  </si>
  <si>
    <t>Low Forecast</t>
  </si>
  <si>
    <t>Actual</t>
  </si>
  <si>
    <t xml:space="preserve">High </t>
  </si>
  <si>
    <t xml:space="preserve">Base </t>
  </si>
  <si>
    <t>Low</t>
  </si>
  <si>
    <t>CAGR 2017-30</t>
  </si>
  <si>
    <t>Scenario</t>
  </si>
  <si>
    <t>Battery Electric Vehicles (BEV)</t>
  </si>
  <si>
    <t>2019 Calibrations</t>
  </si>
  <si>
    <t>2021 Calibrations</t>
  </si>
  <si>
    <t>Plug-In Hybrid Electric Vehicles (PHEV)</t>
  </si>
  <si>
    <t>Total EV Forecast</t>
  </si>
  <si>
    <t>Source: EPRI</t>
  </si>
  <si>
    <t>KPSC Case No. 2023-00092</t>
  </si>
  <si>
    <t>Joint Intervenors' First Set of Data Requests</t>
  </si>
  <si>
    <t>Dated May 22, 2023</t>
  </si>
  <si>
    <t>Item No. 61</t>
  </si>
  <si>
    <t>Attachment 1</t>
  </si>
  <si>
    <t>Page 1 of 3</t>
  </si>
  <si>
    <t>Page 2 of 3</t>
  </si>
  <si>
    <t>Page 3 of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</si>
</sst>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 wrapText="1"/>
    </xf>
    <xf numFmtId="9" fontId="0" fillId="0" borderId="0" xfId="2" applyFont="1"/>
    <xf numFmtId="9" fontId="0" fillId="0" borderId="1" xfId="0" applyNumberFormat="1" applyBorder="1"/>
    <xf numFmtId="9" fontId="2" fillId="0" borderId="0" xfId="2" applyFont="1"/>
    <xf numFmtId="9" fontId="1" fillId="0" borderId="1" xfId="2" applyFont="1" applyFill="1" applyBorder="1"/>
    <xf numFmtId="0" fontId="4" fillId="0" borderId="0" xfId="0" applyFont="1"/>
    <xf numFmtId="9" fontId="1" fillId="0" borderId="1" xfId="2" applyFont="1" applyBorder="1"/>
    <xf numFmtId="9" fontId="2" fillId="0" borderId="1" xfId="2" applyFont="1" applyBorder="1"/>
    <xf numFmtId="164" fontId="0" fillId="0" borderId="0" xfId="1" applyNumberFormat="1" applyFont="1"/>
    <xf numFmtId="164" fontId="0" fillId="0" borderId="0" xfId="0" applyNumberFormat="1"/>
    <xf numFmtId="9" fontId="0" fillId="0" borderId="0" xfId="2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121EE0-E3A0-481C-ACCE-2D8B5A5AA37C}">
  <dimension ref="A1:DL6"/>
  <sheetViews>
    <sheetView tabSelected="1" topLeftCell="CV1" workbookViewId="0">
      <selection activeCell="DG10" sqref="DG10"/>
    </sheetView>
  </sheetViews>
  <sheetFormatPr defaultRowHeight="15" x14ac:dyDescent="0.25"/>
  <sheetData>
    <row r="1" spans="1:116" x14ac:dyDescent="0.25">
      <c r="A1" t="s">
        <v>0</v>
      </c>
      <c r="G1" t="s">
        <v>1</v>
      </c>
      <c r="M1" t="s">
        <v>2</v>
      </c>
      <c r="S1" t="s">
        <v>3</v>
      </c>
      <c r="Y1" t="s">
        <v>4</v>
      </c>
      <c r="AE1" t="s">
        <v>5</v>
      </c>
      <c r="AK1" t="s">
        <v>6</v>
      </c>
      <c r="AQ1" t="s">
        <v>7</v>
      </c>
      <c r="AW1" t="s">
        <v>8</v>
      </c>
      <c r="BC1" t="s">
        <v>9</v>
      </c>
      <c r="BI1" t="s">
        <v>10</v>
      </c>
      <c r="BP1" t="s">
        <v>11</v>
      </c>
      <c r="BV1" t="s">
        <v>12</v>
      </c>
      <c r="CB1" t="s">
        <v>13</v>
      </c>
      <c r="CH1" t="s">
        <v>14</v>
      </c>
      <c r="CN1" t="s">
        <v>15</v>
      </c>
      <c r="CT1" t="s">
        <v>16</v>
      </c>
      <c r="CZ1" t="s">
        <v>17</v>
      </c>
      <c r="DF1" t="s">
        <v>18</v>
      </c>
      <c r="DL1" t="s">
        <v>42</v>
      </c>
    </row>
    <row r="2" spans="1:116" x14ac:dyDescent="0.25">
      <c r="B2" t="s">
        <v>22</v>
      </c>
      <c r="C2" t="s">
        <v>19</v>
      </c>
      <c r="D2" t="s">
        <v>20</v>
      </c>
      <c r="E2" t="s">
        <v>23</v>
      </c>
      <c r="I2" t="s">
        <v>19</v>
      </c>
      <c r="J2" t="s">
        <v>20</v>
      </c>
      <c r="K2" t="s">
        <v>23</v>
      </c>
      <c r="O2" t="s">
        <v>19</v>
      </c>
      <c r="P2" t="s">
        <v>20</v>
      </c>
      <c r="Q2" t="s">
        <v>23</v>
      </c>
      <c r="T2" t="s">
        <v>19</v>
      </c>
      <c r="U2" t="s">
        <v>20</v>
      </c>
      <c r="V2" t="s">
        <v>23</v>
      </c>
      <c r="AA2" t="s">
        <v>19</v>
      </c>
      <c r="AB2" t="s">
        <v>20</v>
      </c>
      <c r="AC2" t="s">
        <v>23</v>
      </c>
      <c r="AG2" t="s">
        <v>19</v>
      </c>
      <c r="AH2" t="s">
        <v>20</v>
      </c>
      <c r="AI2" t="s">
        <v>23</v>
      </c>
      <c r="AM2" t="s">
        <v>19</v>
      </c>
      <c r="AN2" t="s">
        <v>20</v>
      </c>
      <c r="AO2" t="s">
        <v>23</v>
      </c>
      <c r="AS2" t="s">
        <v>19</v>
      </c>
      <c r="AT2" t="s">
        <v>20</v>
      </c>
      <c r="AU2" t="s">
        <v>23</v>
      </c>
      <c r="AY2" t="s">
        <v>19</v>
      </c>
      <c r="AZ2" t="s">
        <v>20</v>
      </c>
      <c r="BA2" t="s">
        <v>23</v>
      </c>
      <c r="BE2" t="s">
        <v>19</v>
      </c>
      <c r="BF2" t="s">
        <v>20</v>
      </c>
      <c r="BG2" t="s">
        <v>23</v>
      </c>
      <c r="BK2" t="s">
        <v>19</v>
      </c>
      <c r="BL2" t="s">
        <v>20</v>
      </c>
      <c r="BM2" t="s">
        <v>23</v>
      </c>
      <c r="BR2" t="s">
        <v>19</v>
      </c>
      <c r="BS2" t="s">
        <v>20</v>
      </c>
      <c r="BT2" t="s">
        <v>23</v>
      </c>
      <c r="BX2" t="s">
        <v>19</v>
      </c>
      <c r="BY2" t="s">
        <v>20</v>
      </c>
      <c r="BZ2" t="s">
        <v>23</v>
      </c>
      <c r="CD2" t="s">
        <v>19</v>
      </c>
      <c r="CE2" t="s">
        <v>20</v>
      </c>
      <c r="CF2" t="s">
        <v>23</v>
      </c>
      <c r="CJ2" t="s">
        <v>19</v>
      </c>
      <c r="CK2" t="s">
        <v>20</v>
      </c>
      <c r="CL2" t="s">
        <v>23</v>
      </c>
      <c r="CP2" t="s">
        <v>19</v>
      </c>
      <c r="CQ2" t="s">
        <v>20</v>
      </c>
      <c r="CR2" t="s">
        <v>23</v>
      </c>
      <c r="CV2" t="s">
        <v>19</v>
      </c>
      <c r="CW2" t="s">
        <v>20</v>
      </c>
      <c r="CX2" t="s">
        <v>23</v>
      </c>
      <c r="DB2" t="s">
        <v>19</v>
      </c>
      <c r="DC2" t="s">
        <v>20</v>
      </c>
      <c r="DD2" t="s">
        <v>23</v>
      </c>
      <c r="DH2" t="s">
        <v>19</v>
      </c>
      <c r="DI2" t="s">
        <v>20</v>
      </c>
      <c r="DJ2" t="s">
        <v>23</v>
      </c>
      <c r="DL2" t="s">
        <v>43</v>
      </c>
    </row>
    <row r="3" spans="1:116" x14ac:dyDescent="0.25">
      <c r="B3" t="s">
        <v>24</v>
      </c>
      <c r="C3">
        <v>23</v>
      </c>
      <c r="D3">
        <v>109</v>
      </c>
      <c r="E3">
        <v>132</v>
      </c>
      <c r="H3" t="s">
        <v>24</v>
      </c>
      <c r="I3">
        <v>17</v>
      </c>
      <c r="J3">
        <v>102</v>
      </c>
      <c r="K3">
        <v>119</v>
      </c>
      <c r="N3" t="s">
        <v>24</v>
      </c>
      <c r="O3">
        <v>17</v>
      </c>
      <c r="P3">
        <v>108</v>
      </c>
      <c r="Q3">
        <v>125</v>
      </c>
      <c r="T3" t="s">
        <v>24</v>
      </c>
      <c r="U3">
        <v>24</v>
      </c>
      <c r="V3">
        <v>114</v>
      </c>
      <c r="W3">
        <v>138</v>
      </c>
      <c r="Z3" t="s">
        <v>24</v>
      </c>
      <c r="AA3">
        <v>25</v>
      </c>
      <c r="AB3">
        <v>119</v>
      </c>
      <c r="AC3">
        <v>144</v>
      </c>
      <c r="AF3" t="s">
        <v>24</v>
      </c>
      <c r="AG3">
        <v>28</v>
      </c>
      <c r="AH3">
        <v>112</v>
      </c>
      <c r="AI3">
        <v>140</v>
      </c>
      <c r="AK3">
        <v>6</v>
      </c>
      <c r="AL3" t="s">
        <v>24</v>
      </c>
      <c r="AM3">
        <v>34</v>
      </c>
      <c r="AN3">
        <v>111</v>
      </c>
      <c r="AO3">
        <v>145</v>
      </c>
      <c r="AP3" t="s">
        <v>21</v>
      </c>
      <c r="AQ3">
        <v>3</v>
      </c>
      <c r="AR3" t="s">
        <v>24</v>
      </c>
      <c r="AS3">
        <v>37</v>
      </c>
      <c r="AT3">
        <v>67</v>
      </c>
      <c r="AU3">
        <v>104</v>
      </c>
      <c r="AW3">
        <v>-4</v>
      </c>
      <c r="AX3" t="s">
        <v>24</v>
      </c>
      <c r="AY3">
        <v>33</v>
      </c>
      <c r="AZ3">
        <v>53</v>
      </c>
      <c r="BA3">
        <v>86</v>
      </c>
      <c r="BC3">
        <v>1</v>
      </c>
      <c r="BD3" t="s">
        <v>24</v>
      </c>
      <c r="BE3">
        <v>34</v>
      </c>
      <c r="BF3">
        <v>53</v>
      </c>
      <c r="BG3">
        <v>87</v>
      </c>
      <c r="BI3">
        <v>1</v>
      </c>
      <c r="BJ3" t="s">
        <v>24</v>
      </c>
      <c r="BK3">
        <v>35</v>
      </c>
      <c r="BL3">
        <v>58</v>
      </c>
      <c r="BM3">
        <v>93</v>
      </c>
      <c r="BN3">
        <v>1</v>
      </c>
      <c r="BP3">
        <v>3</v>
      </c>
      <c r="BQ3" t="s">
        <v>24</v>
      </c>
      <c r="BR3">
        <v>38</v>
      </c>
      <c r="BS3">
        <v>61</v>
      </c>
      <c r="BT3">
        <v>99</v>
      </c>
      <c r="BU3">
        <v>3</v>
      </c>
      <c r="BW3" t="s">
        <v>24</v>
      </c>
      <c r="BX3">
        <v>46</v>
      </c>
      <c r="BY3">
        <v>71</v>
      </c>
      <c r="BZ3">
        <v>117</v>
      </c>
      <c r="CC3" t="s">
        <v>24</v>
      </c>
      <c r="CD3">
        <v>50</v>
      </c>
      <c r="CE3">
        <v>76</v>
      </c>
      <c r="CF3">
        <v>126</v>
      </c>
      <c r="CG3">
        <v>6.1713278150560807E-3</v>
      </c>
      <c r="CI3" t="s">
        <v>24</v>
      </c>
      <c r="CJ3">
        <v>53</v>
      </c>
      <c r="CK3">
        <v>95</v>
      </c>
      <c r="CL3">
        <v>148</v>
      </c>
      <c r="CO3" t="s">
        <v>24</v>
      </c>
      <c r="CP3">
        <v>65</v>
      </c>
      <c r="CQ3">
        <v>115</v>
      </c>
      <c r="CR3">
        <v>180</v>
      </c>
      <c r="CU3" t="s">
        <v>24</v>
      </c>
      <c r="CV3">
        <v>77</v>
      </c>
      <c r="CW3">
        <v>120</v>
      </c>
      <c r="CX3">
        <v>197</v>
      </c>
      <c r="DA3" t="s">
        <v>24</v>
      </c>
      <c r="DB3">
        <v>90</v>
      </c>
      <c r="DC3">
        <v>126</v>
      </c>
      <c r="DD3">
        <v>216</v>
      </c>
      <c r="DG3" t="s">
        <v>24</v>
      </c>
      <c r="DH3">
        <v>99</v>
      </c>
      <c r="DI3">
        <v>152</v>
      </c>
      <c r="DJ3">
        <v>251</v>
      </c>
      <c r="DL3" t="s">
        <v>44</v>
      </c>
    </row>
    <row r="4" spans="1:116" x14ac:dyDescent="0.25">
      <c r="DL4" t="s">
        <v>45</v>
      </c>
    </row>
    <row r="5" spans="1:116" x14ac:dyDescent="0.25">
      <c r="DL5" t="s">
        <v>46</v>
      </c>
    </row>
    <row r="6" spans="1:116" x14ac:dyDescent="0.25">
      <c r="A6" t="s">
        <v>41</v>
      </c>
      <c r="DL6" t="s">
        <v>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00AFDE-A53B-4448-B920-62741BEB3CF2}">
  <dimension ref="A1:R12"/>
  <sheetViews>
    <sheetView workbookViewId="0">
      <selection activeCell="R1" sqref="R1:R6"/>
    </sheetView>
  </sheetViews>
  <sheetFormatPr defaultRowHeight="15" x14ac:dyDescent="0.25"/>
  <cols>
    <col min="1" max="1" width="12.85546875" bestFit="1" customWidth="1"/>
  </cols>
  <sheetData>
    <row r="1" spans="1:18" x14ac:dyDescent="0.25">
      <c r="A1" s="8" t="s">
        <v>19</v>
      </c>
      <c r="R1" t="s">
        <v>42</v>
      </c>
    </row>
    <row r="2" spans="1:18" ht="30" x14ac:dyDescent="0.25">
      <c r="A2" s="1" t="s">
        <v>25</v>
      </c>
      <c r="C2" s="2">
        <v>2018</v>
      </c>
      <c r="D2" s="2">
        <v>2019</v>
      </c>
      <c r="E2" s="2">
        <v>2020</v>
      </c>
      <c r="F2" s="2">
        <v>2021</v>
      </c>
      <c r="G2" s="2">
        <v>2022</v>
      </c>
      <c r="H2" s="2">
        <v>2023</v>
      </c>
      <c r="I2" s="2">
        <v>2024</v>
      </c>
      <c r="J2" s="2">
        <v>2025</v>
      </c>
      <c r="K2" s="2">
        <v>2026</v>
      </c>
      <c r="L2" s="2">
        <v>2027</v>
      </c>
      <c r="M2" s="2">
        <v>2028</v>
      </c>
      <c r="N2" s="2">
        <v>2029</v>
      </c>
      <c r="O2" s="2">
        <v>2030</v>
      </c>
      <c r="P2" s="3" t="s">
        <v>26</v>
      </c>
      <c r="R2" t="s">
        <v>43</v>
      </c>
    </row>
    <row r="3" spans="1:18" x14ac:dyDescent="0.25">
      <c r="B3" s="1" t="s">
        <v>27</v>
      </c>
      <c r="C3" s="4">
        <v>0.55995356935577489</v>
      </c>
      <c r="D3" s="4">
        <f>+D4+0.09</f>
        <v>0.68289067739771958</v>
      </c>
      <c r="E3" s="4">
        <f>+E4+0.1</f>
        <v>0.55000000000000004</v>
      </c>
      <c r="F3" s="4">
        <f t="shared" ref="F3:O3" si="0">+F4+0.1</f>
        <v>0.65</v>
      </c>
      <c r="G3" s="4">
        <f t="shared" si="0"/>
        <v>0.6</v>
      </c>
      <c r="H3" s="4">
        <f t="shared" si="0"/>
        <v>0.55000000000000004</v>
      </c>
      <c r="I3" s="4">
        <f t="shared" si="0"/>
        <v>0.5</v>
      </c>
      <c r="J3" s="4">
        <f t="shared" si="0"/>
        <v>0.44999999999999996</v>
      </c>
      <c r="K3" s="4">
        <f t="shared" si="0"/>
        <v>0.4</v>
      </c>
      <c r="L3" s="4">
        <f t="shared" si="0"/>
        <v>0.35</v>
      </c>
      <c r="M3" s="4">
        <f t="shared" si="0"/>
        <v>0.30000000000000004</v>
      </c>
      <c r="N3" s="4">
        <f t="shared" si="0"/>
        <v>0.29626581743799807</v>
      </c>
      <c r="O3" s="4">
        <f t="shared" si="0"/>
        <v>0.28084894772596514</v>
      </c>
      <c r="P3" s="5">
        <v>0.4</v>
      </c>
      <c r="R3" t="s">
        <v>44</v>
      </c>
    </row>
    <row r="4" spans="1:18" x14ac:dyDescent="0.25">
      <c r="B4" s="1" t="s">
        <v>28</v>
      </c>
      <c r="C4" s="4">
        <v>0.40273589007576294</v>
      </c>
      <c r="D4" s="6">
        <v>0.59289067739771961</v>
      </c>
      <c r="E4" s="4">
        <v>0.45</v>
      </c>
      <c r="F4" s="4">
        <v>0.55000000000000004</v>
      </c>
      <c r="G4" s="4">
        <v>0.5</v>
      </c>
      <c r="H4" s="4">
        <v>0.45</v>
      </c>
      <c r="I4" s="4">
        <v>0.4</v>
      </c>
      <c r="J4" s="4">
        <v>0.35</v>
      </c>
      <c r="K4" s="4">
        <v>0.3</v>
      </c>
      <c r="L4" s="4">
        <v>0.25</v>
      </c>
      <c r="M4" s="4">
        <v>0.2</v>
      </c>
      <c r="N4" s="4">
        <v>0.19626581743799809</v>
      </c>
      <c r="O4" s="4">
        <v>0.18084894772596516</v>
      </c>
      <c r="P4" s="7">
        <v>0.3</v>
      </c>
      <c r="R4" t="s">
        <v>45</v>
      </c>
    </row>
    <row r="5" spans="1:18" x14ac:dyDescent="0.25">
      <c r="B5" s="1" t="s">
        <v>29</v>
      </c>
      <c r="C5" s="4">
        <v>0.23914182808210471</v>
      </c>
      <c r="D5" s="4">
        <f>+D4-0.09</f>
        <v>0.50289067739771964</v>
      </c>
      <c r="E5" s="4">
        <f>+E4-0.1</f>
        <v>0.35</v>
      </c>
      <c r="F5" s="4">
        <f>+F4-0.1</f>
        <v>0.45000000000000007</v>
      </c>
      <c r="G5" s="4">
        <f>+G4-0.09</f>
        <v>0.41000000000000003</v>
      </c>
      <c r="H5" s="4">
        <f>+H4-0.08</f>
        <v>0.37</v>
      </c>
      <c r="I5" s="4">
        <f>+I4-0.07</f>
        <v>0.33</v>
      </c>
      <c r="J5" s="4">
        <f>+J4-0.06</f>
        <v>0.28999999999999998</v>
      </c>
      <c r="K5" s="4">
        <f>+K4-0.05</f>
        <v>0.25</v>
      </c>
      <c r="L5" s="4">
        <f>+L4-0.04</f>
        <v>0.21</v>
      </c>
      <c r="M5" s="4">
        <f>+M4-0.03</f>
        <v>0.17</v>
      </c>
      <c r="N5" s="4">
        <f>+N4-0.02</f>
        <v>0.1762658174379981</v>
      </c>
      <c r="O5" s="4">
        <f>+O4-0.01</f>
        <v>0.17084894772596515</v>
      </c>
      <c r="P5" s="5">
        <v>0.25</v>
      </c>
      <c r="R5" t="s">
        <v>46</v>
      </c>
    </row>
    <row r="6" spans="1:18" x14ac:dyDescent="0.25">
      <c r="R6" t="s">
        <v>48</v>
      </c>
    </row>
    <row r="8" spans="1:18" x14ac:dyDescent="0.25">
      <c r="A8" s="8" t="s">
        <v>20</v>
      </c>
    </row>
    <row r="9" spans="1:18" ht="30" x14ac:dyDescent="0.25">
      <c r="A9" s="1" t="s">
        <v>25</v>
      </c>
      <c r="C9" s="2">
        <v>2018</v>
      </c>
      <c r="D9" s="2">
        <v>2019</v>
      </c>
      <c r="E9" s="2">
        <v>2020</v>
      </c>
      <c r="F9" s="2">
        <v>2021</v>
      </c>
      <c r="G9" s="2">
        <v>2022</v>
      </c>
      <c r="H9" s="2">
        <v>2023</v>
      </c>
      <c r="I9" s="2">
        <v>2024</v>
      </c>
      <c r="J9" s="2">
        <v>2025</v>
      </c>
      <c r="K9" s="2">
        <v>2026</v>
      </c>
      <c r="L9" s="2">
        <v>2027</v>
      </c>
      <c r="M9" s="2">
        <v>2028</v>
      </c>
      <c r="N9" s="2">
        <v>2029</v>
      </c>
      <c r="O9" s="2">
        <v>2030</v>
      </c>
      <c r="P9" s="3" t="s">
        <v>26</v>
      </c>
    </row>
    <row r="10" spans="1:18" x14ac:dyDescent="0.25">
      <c r="B10" s="1" t="s">
        <v>27</v>
      </c>
      <c r="C10" s="5">
        <v>0.55995356935577489</v>
      </c>
      <c r="D10" s="5">
        <f>+D11+0.09</f>
        <v>0.33044706237728427</v>
      </c>
      <c r="E10" s="5">
        <f>+E11+0.1</f>
        <v>0.21000000000000002</v>
      </c>
      <c r="F10" s="5">
        <f t="shared" ref="F10:O10" si="1">+F11+0.1</f>
        <v>0.2</v>
      </c>
      <c r="G10" s="5">
        <f t="shared" si="1"/>
        <v>0.19</v>
      </c>
      <c r="H10" s="5">
        <f t="shared" si="1"/>
        <v>0.19</v>
      </c>
      <c r="I10" s="5">
        <f t="shared" si="1"/>
        <v>0.18</v>
      </c>
      <c r="J10" s="5">
        <f t="shared" si="1"/>
        <v>0.18</v>
      </c>
      <c r="K10" s="5">
        <f t="shared" si="1"/>
        <v>0.17</v>
      </c>
      <c r="L10" s="5">
        <f t="shared" si="1"/>
        <v>0.17</v>
      </c>
      <c r="M10" s="5">
        <f t="shared" si="1"/>
        <v>0.16</v>
      </c>
      <c r="N10" s="5">
        <f t="shared" si="1"/>
        <v>0.16</v>
      </c>
      <c r="O10" s="5">
        <f t="shared" si="1"/>
        <v>0.15000000000000002</v>
      </c>
      <c r="P10" s="5">
        <v>0.4</v>
      </c>
    </row>
    <row r="11" spans="1:18" x14ac:dyDescent="0.25">
      <c r="B11" s="1" t="s">
        <v>28</v>
      </c>
      <c r="C11" s="9">
        <v>0.40273589007576294</v>
      </c>
      <c r="D11" s="10">
        <v>0.2404470623772843</v>
      </c>
      <c r="E11" s="9">
        <v>0.11</v>
      </c>
      <c r="F11" s="9">
        <v>0.1</v>
      </c>
      <c r="G11" s="9">
        <v>0.09</v>
      </c>
      <c r="H11" s="9">
        <v>0.09</v>
      </c>
      <c r="I11" s="9">
        <v>0.08</v>
      </c>
      <c r="J11" s="9">
        <v>0.08</v>
      </c>
      <c r="K11" s="9">
        <v>7.0000000000000007E-2</v>
      </c>
      <c r="L11" s="9">
        <v>7.0000000000000007E-2</v>
      </c>
      <c r="M11" s="9">
        <v>0.06</v>
      </c>
      <c r="N11" s="9">
        <v>0.06</v>
      </c>
      <c r="O11" s="9">
        <v>0.05</v>
      </c>
      <c r="P11" s="7">
        <v>0.3</v>
      </c>
    </row>
    <row r="12" spans="1:18" x14ac:dyDescent="0.25">
      <c r="B12" s="1" t="s">
        <v>29</v>
      </c>
      <c r="C12" s="5">
        <v>0.23914182808210471</v>
      </c>
      <c r="D12" s="5">
        <f>+D11-0.09</f>
        <v>0.15044706237728431</v>
      </c>
      <c r="E12" s="5">
        <f>+E11-0.05</f>
        <v>0.06</v>
      </c>
      <c r="F12" s="5">
        <f t="shared" ref="F12:L12" si="2">+F11-0.05</f>
        <v>0.05</v>
      </c>
      <c r="G12" s="5">
        <f t="shared" si="2"/>
        <v>3.9999999999999994E-2</v>
      </c>
      <c r="H12" s="5">
        <f t="shared" si="2"/>
        <v>3.9999999999999994E-2</v>
      </c>
      <c r="I12" s="5">
        <f t="shared" si="2"/>
        <v>0.03</v>
      </c>
      <c r="J12" s="5">
        <f t="shared" si="2"/>
        <v>0.03</v>
      </c>
      <c r="K12" s="5">
        <f t="shared" si="2"/>
        <v>2.0000000000000004E-2</v>
      </c>
      <c r="L12" s="5">
        <f t="shared" si="2"/>
        <v>2.0000000000000004E-2</v>
      </c>
      <c r="M12" s="5">
        <f>+L12</f>
        <v>2.0000000000000004E-2</v>
      </c>
      <c r="N12" s="5">
        <f>+M12</f>
        <v>2.0000000000000004E-2</v>
      </c>
      <c r="O12" s="5">
        <f>+N12</f>
        <v>2.0000000000000004E-2</v>
      </c>
      <c r="P12" s="5">
        <v>0.25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EC4A8-835B-4340-B20D-590E099D87B9}">
  <dimension ref="A1:X22"/>
  <sheetViews>
    <sheetView topLeftCell="F1" workbookViewId="0">
      <selection activeCell="X6" sqref="X6"/>
    </sheetView>
  </sheetViews>
  <sheetFormatPr defaultRowHeight="15" x14ac:dyDescent="0.25"/>
  <cols>
    <col min="1" max="1" width="4.42578125" bestFit="1" customWidth="1"/>
    <col min="2" max="2" width="8.5703125" bestFit="1" customWidth="1"/>
    <col min="3" max="3" width="12" customWidth="1"/>
    <col min="4" max="4" width="8.85546875" customWidth="1"/>
    <col min="5" max="5" width="9.7109375" customWidth="1"/>
    <col min="6" max="6" width="10.28515625" customWidth="1"/>
    <col min="7" max="7" width="11.28515625" customWidth="1"/>
    <col min="8" max="8" width="10" bestFit="1" customWidth="1"/>
    <col min="9" max="16" width="12" bestFit="1" customWidth="1"/>
    <col min="17" max="17" width="13.140625" bestFit="1" customWidth="1"/>
  </cols>
  <sheetData>
    <row r="1" spans="1:24" x14ac:dyDescent="0.25">
      <c r="S1" s="2" t="s">
        <v>37</v>
      </c>
      <c r="T1" s="2"/>
      <c r="U1" s="2" t="s">
        <v>38</v>
      </c>
      <c r="V1" s="2"/>
      <c r="X1" t="s">
        <v>42</v>
      </c>
    </row>
    <row r="2" spans="1:24" s="2" customFormat="1" x14ac:dyDescent="0.25">
      <c r="A2" s="8" t="s">
        <v>36</v>
      </c>
      <c r="S2" s="2" t="s">
        <v>19</v>
      </c>
      <c r="T2" s="2" t="s">
        <v>20</v>
      </c>
      <c r="U2" s="2" t="s">
        <v>19</v>
      </c>
      <c r="V2" s="2" t="s">
        <v>20</v>
      </c>
      <c r="X2" t="s">
        <v>43</v>
      </c>
    </row>
    <row r="3" spans="1:24" s="2" customFormat="1" x14ac:dyDescent="0.25">
      <c r="B3" s="2" t="s">
        <v>35</v>
      </c>
      <c r="C3" s="2">
        <v>2017</v>
      </c>
      <c r="D3" s="2">
        <v>2018</v>
      </c>
      <c r="E3" s="2">
        <v>2019</v>
      </c>
      <c r="F3" s="2">
        <v>2020</v>
      </c>
      <c r="G3" s="2">
        <v>2021</v>
      </c>
      <c r="H3" s="2">
        <v>2022</v>
      </c>
      <c r="I3" s="2">
        <v>2023</v>
      </c>
      <c r="J3" s="2">
        <v>2024</v>
      </c>
      <c r="K3" s="2">
        <v>2025</v>
      </c>
      <c r="L3" s="2">
        <v>2026</v>
      </c>
      <c r="M3" s="2">
        <v>2027</v>
      </c>
      <c r="N3" s="2">
        <v>2028</v>
      </c>
      <c r="O3" s="2">
        <v>2029</v>
      </c>
      <c r="P3" s="2">
        <v>2030</v>
      </c>
      <c r="Q3" s="2" t="s">
        <v>34</v>
      </c>
      <c r="X3" t="s">
        <v>44</v>
      </c>
    </row>
    <row r="4" spans="1:24" x14ac:dyDescent="0.25">
      <c r="A4" t="s">
        <v>21</v>
      </c>
      <c r="B4" t="s">
        <v>30</v>
      </c>
      <c r="C4" s="11">
        <f>+Actuals!C3</f>
        <v>23</v>
      </c>
      <c r="D4" s="11">
        <f>+Actuals!AA3</f>
        <v>25</v>
      </c>
      <c r="E4" s="11">
        <f>+Actuals!AY3</f>
        <v>33</v>
      </c>
      <c r="F4" s="11">
        <f>+Actuals!BX3</f>
        <v>46</v>
      </c>
      <c r="G4" s="11">
        <f>+Actuals!CV3</f>
        <v>77</v>
      </c>
      <c r="H4" s="11"/>
      <c r="I4" s="11"/>
      <c r="J4" s="11"/>
      <c r="K4" s="11"/>
      <c r="L4" s="11"/>
      <c r="M4" s="11"/>
      <c r="N4" s="11"/>
      <c r="O4" s="11"/>
      <c r="P4" s="11"/>
      <c r="X4" t="s">
        <v>45</v>
      </c>
    </row>
    <row r="5" spans="1:24" x14ac:dyDescent="0.25">
      <c r="A5" t="s">
        <v>21</v>
      </c>
      <c r="B5" t="s">
        <v>31</v>
      </c>
      <c r="C5" s="11">
        <f>+C4</f>
        <v>23</v>
      </c>
      <c r="D5" s="11">
        <f t="shared" ref="D5:E5" si="0">+D4</f>
        <v>25</v>
      </c>
      <c r="E5" s="11">
        <f t="shared" si="0"/>
        <v>33</v>
      </c>
      <c r="F5" s="11">
        <f>E5*(1+'Growth Rates'!E3)+S5</f>
        <v>44.15</v>
      </c>
      <c r="G5" s="11">
        <f>F5*(1+'Growth Rates'!F3)</f>
        <v>72.847499999999997</v>
      </c>
      <c r="H5" s="11">
        <f>G5*(1+'Growth Rates'!G3)+U5</f>
        <v>130.23849999999999</v>
      </c>
      <c r="I5" s="11">
        <f>H5*(1+'Growth Rates'!H3)</f>
        <v>201.869675</v>
      </c>
      <c r="J5" s="11">
        <f>I5*(1+'Growth Rates'!I3)</f>
        <v>302.80451249999999</v>
      </c>
      <c r="K5" s="11">
        <f>J5*(1+'Growth Rates'!J3)</f>
        <v>439.06654312499995</v>
      </c>
      <c r="L5" s="11">
        <f>K5*(1+'Growth Rates'!K3)</f>
        <v>614.69316037499993</v>
      </c>
      <c r="M5" s="11">
        <f>L5*(1+'Growth Rates'!L3)</f>
        <v>829.83576650624991</v>
      </c>
      <c r="N5" s="11">
        <f>M5*(1+'Growth Rates'!M3)</f>
        <v>1078.7864964581249</v>
      </c>
      <c r="O5" s="11">
        <f>N5*(1+'Growth Rates'!N3)</f>
        <v>1398.3940596723655</v>
      </c>
      <c r="P5" s="11">
        <f>O5*(1+'Growth Rates'!O3)</f>
        <v>1791.1315598375897</v>
      </c>
      <c r="Q5" s="13">
        <f>(P5/C5)^(1/12)-1</f>
        <v>0.43752907555722076</v>
      </c>
      <c r="S5">
        <v>-7</v>
      </c>
      <c r="T5">
        <v>5</v>
      </c>
      <c r="U5" s="12">
        <f>+U6</f>
        <v>13.682499999999997</v>
      </c>
      <c r="V5" s="12">
        <f>+V6</f>
        <v>49.786999999999992</v>
      </c>
      <c r="X5" t="s">
        <v>46</v>
      </c>
    </row>
    <row r="6" spans="1:24" x14ac:dyDescent="0.25">
      <c r="A6" t="s">
        <v>21</v>
      </c>
      <c r="B6" t="s">
        <v>32</v>
      </c>
      <c r="C6" s="11">
        <f>+C4</f>
        <v>23</v>
      </c>
      <c r="D6" s="11">
        <f t="shared" ref="D6:E6" si="1">+D4</f>
        <v>25</v>
      </c>
      <c r="E6" s="11">
        <f t="shared" si="1"/>
        <v>33</v>
      </c>
      <c r="F6" s="11">
        <f>E6*(1+'Growth Rates'!E4)+S6</f>
        <v>40.85</v>
      </c>
      <c r="G6" s="11">
        <f>F6*(1+'Growth Rates'!F4)</f>
        <v>63.317500000000003</v>
      </c>
      <c r="H6" s="11">
        <f>G6*(1+'Growth Rates'!G4)+U6</f>
        <v>108.65875</v>
      </c>
      <c r="I6" s="11">
        <f>H6*(1+'Growth Rates'!H4)</f>
        <v>157.55518749999999</v>
      </c>
      <c r="J6" s="11">
        <f>I6*(1+'Growth Rates'!I4)</f>
        <v>220.57726249999996</v>
      </c>
      <c r="K6" s="11">
        <f>J6*(1+'Growth Rates'!J4)</f>
        <v>297.77930437499998</v>
      </c>
      <c r="L6" s="11">
        <f>K6*(1+'Growth Rates'!K4)</f>
        <v>387.11309568749999</v>
      </c>
      <c r="M6" s="11">
        <f>L6*(1+'Growth Rates'!L4)</f>
        <v>483.89136960937498</v>
      </c>
      <c r="N6" s="11">
        <f>M6*(1+'Growth Rates'!M4)</f>
        <v>580.6696435312499</v>
      </c>
      <c r="O6" s="11">
        <f>N6*(1+'Growth Rates'!N4)</f>
        <v>694.63524578034162</v>
      </c>
      <c r="P6" s="11">
        <f>O6*(1+'Growth Rates'!O4)</f>
        <v>820.25929903308361</v>
      </c>
      <c r="Q6" s="13">
        <f t="shared" ref="Q6:Q7" si="2">(P6/C6)^(1/12)-1</f>
        <v>0.34695145539179739</v>
      </c>
      <c r="S6">
        <v>-7</v>
      </c>
      <c r="T6">
        <v>5</v>
      </c>
      <c r="U6" s="12">
        <f>+G4-G6</f>
        <v>13.682499999999997</v>
      </c>
      <c r="V6" s="12">
        <f>+G12-G14</f>
        <v>49.786999999999992</v>
      </c>
      <c r="X6" t="s">
        <v>49</v>
      </c>
    </row>
    <row r="7" spans="1:24" x14ac:dyDescent="0.25">
      <c r="A7" t="s">
        <v>21</v>
      </c>
      <c r="B7" t="s">
        <v>33</v>
      </c>
      <c r="C7" s="11">
        <f>+C4</f>
        <v>23</v>
      </c>
      <c r="D7" s="11">
        <f t="shared" ref="D7:E7" si="3">+D4</f>
        <v>25</v>
      </c>
      <c r="E7" s="11">
        <f t="shared" si="3"/>
        <v>33</v>
      </c>
      <c r="F7" s="11">
        <f>E7*(1+'Growth Rates'!E5)+S7</f>
        <v>37.550000000000004</v>
      </c>
      <c r="G7" s="11">
        <f>F7*(1+'Growth Rates'!F5)</f>
        <v>54.447500000000012</v>
      </c>
      <c r="H7" s="11">
        <f>G7*(1+'Growth Rates'!G5)+U7</f>
        <v>90.453475000000026</v>
      </c>
      <c r="I7" s="11">
        <f>H7*(1+'Growth Rates'!H5)</f>
        <v>123.92126075000004</v>
      </c>
      <c r="J7" s="11">
        <f>I7*(1+'Growth Rates'!I5)</f>
        <v>164.81527679750008</v>
      </c>
      <c r="K7" s="11">
        <f>J7*(1+'Growth Rates'!J5)</f>
        <v>212.6117070687751</v>
      </c>
      <c r="L7" s="11">
        <f>K7*(1+'Growth Rates'!K5)</f>
        <v>265.76463383596888</v>
      </c>
      <c r="M7" s="11">
        <f>L7*(1+'Growth Rates'!L5)</f>
        <v>321.57520694152231</v>
      </c>
      <c r="N7" s="11">
        <f>M7*(1+'Growth Rates'!M5)</f>
        <v>376.2429921215811</v>
      </c>
      <c r="O7" s="11">
        <f>N7*(1+'Growth Rates'!N5)</f>
        <v>442.56177068320983</v>
      </c>
      <c r="P7" s="11">
        <f>O7*(1+'Growth Rates'!O5)</f>
        <v>518.17298350817612</v>
      </c>
      <c r="Q7" s="13">
        <f t="shared" si="2"/>
        <v>0.29636981671921858</v>
      </c>
      <c r="S7">
        <v>-7</v>
      </c>
      <c r="T7">
        <v>5</v>
      </c>
      <c r="U7" s="12">
        <f>+U6</f>
        <v>13.682499999999997</v>
      </c>
      <c r="V7" s="12">
        <f>+V6</f>
        <v>49.786999999999992</v>
      </c>
    </row>
    <row r="10" spans="1:24" x14ac:dyDescent="0.25">
      <c r="A10" s="8" t="s">
        <v>39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24" x14ac:dyDescent="0.25">
      <c r="A11" s="2"/>
      <c r="B11" s="2" t="s">
        <v>35</v>
      </c>
      <c r="C11" s="2">
        <v>2017</v>
      </c>
      <c r="D11" s="2">
        <v>2018</v>
      </c>
      <c r="E11" s="2">
        <v>2019</v>
      </c>
      <c r="F11" s="2">
        <v>2020</v>
      </c>
      <c r="G11" s="2">
        <v>2021</v>
      </c>
      <c r="H11" s="2">
        <v>2022</v>
      </c>
      <c r="I11" s="2">
        <v>2023</v>
      </c>
      <c r="J11" s="2">
        <v>2024</v>
      </c>
      <c r="K11" s="2">
        <v>2025</v>
      </c>
      <c r="L11" s="2">
        <v>2026</v>
      </c>
      <c r="M11" s="2">
        <v>2027</v>
      </c>
      <c r="N11" s="2">
        <v>2028</v>
      </c>
      <c r="O11" s="2">
        <v>2029</v>
      </c>
      <c r="P11" s="2">
        <v>2030</v>
      </c>
      <c r="Q11" s="2" t="s">
        <v>34</v>
      </c>
    </row>
    <row r="12" spans="1:24" x14ac:dyDescent="0.25">
      <c r="A12" t="s">
        <v>21</v>
      </c>
      <c r="B12" t="s">
        <v>30</v>
      </c>
      <c r="C12" s="11">
        <f>+Actuals!D3</f>
        <v>109</v>
      </c>
      <c r="D12" s="11">
        <f>+Actuals!AB3</f>
        <v>119</v>
      </c>
      <c r="E12" s="11">
        <f>+Actuals!AZ3</f>
        <v>53</v>
      </c>
      <c r="F12" s="11">
        <f>+Actuals!BY3</f>
        <v>71</v>
      </c>
      <c r="G12" s="11">
        <f>+Actuals!CW3</f>
        <v>120</v>
      </c>
      <c r="H12" s="11"/>
      <c r="I12" s="11"/>
      <c r="J12" s="11"/>
      <c r="K12" s="11"/>
      <c r="L12" s="11"/>
      <c r="M12" s="11"/>
      <c r="N12" s="11"/>
      <c r="O12" s="11"/>
      <c r="P12" s="11"/>
    </row>
    <row r="13" spans="1:24" x14ac:dyDescent="0.25">
      <c r="A13" t="s">
        <v>21</v>
      </c>
      <c r="B13" t="s">
        <v>31</v>
      </c>
      <c r="C13" s="11">
        <f>+C12</f>
        <v>109</v>
      </c>
      <c r="D13" s="11">
        <f t="shared" ref="D13" si="4">+D12</f>
        <v>119</v>
      </c>
      <c r="E13" s="11">
        <f t="shared" ref="E13" si="5">+E12</f>
        <v>53</v>
      </c>
      <c r="F13" s="11">
        <f>E13*(1+'Growth Rates'!E10)+$T5</f>
        <v>69.13</v>
      </c>
      <c r="G13" s="11">
        <f>F13*(1+'Growth Rates'!F10)</f>
        <v>82.955999999999989</v>
      </c>
      <c r="H13" s="11">
        <f>G13*(1+'Growth Rates'!G10)+V5</f>
        <v>148.50463999999999</v>
      </c>
      <c r="I13" s="11">
        <f>H13*(1+'Growth Rates'!H10)</f>
        <v>176.72052159999998</v>
      </c>
      <c r="J13" s="11">
        <f>I13*(1+'Growth Rates'!I10)</f>
        <v>208.53021548799998</v>
      </c>
      <c r="K13" s="11">
        <f>J13*(1+'Growth Rates'!J10)</f>
        <v>246.06565427583996</v>
      </c>
      <c r="L13" s="11">
        <f>K13*(1+'Growth Rates'!K10)</f>
        <v>287.89681550273275</v>
      </c>
      <c r="M13" s="11">
        <f>L13*(1+'Growth Rates'!L10)</f>
        <v>336.83927413819731</v>
      </c>
      <c r="N13" s="11">
        <f>M13*(1+'Growth Rates'!M10)</f>
        <v>390.73355800030885</v>
      </c>
      <c r="O13" s="11">
        <f>N13*(1+'Growth Rates'!N10)</f>
        <v>453.25092728035821</v>
      </c>
      <c r="P13" s="11">
        <f>O13*(1+'Growth Rates'!O10)</f>
        <v>521.23856637241192</v>
      </c>
      <c r="Q13" s="13">
        <f>(P13/C13)^(1/12)-1</f>
        <v>0.13928969801776958</v>
      </c>
    </row>
    <row r="14" spans="1:24" x14ac:dyDescent="0.25">
      <c r="A14" t="s">
        <v>21</v>
      </c>
      <c r="B14" t="s">
        <v>32</v>
      </c>
      <c r="C14" s="11">
        <f>+C12</f>
        <v>109</v>
      </c>
      <c r="D14" s="11">
        <f t="shared" ref="D14:E14" si="6">+D12</f>
        <v>119</v>
      </c>
      <c r="E14" s="11">
        <f t="shared" si="6"/>
        <v>53</v>
      </c>
      <c r="F14" s="11">
        <f>E14*(1+'Growth Rates'!E11)+$T6</f>
        <v>63.830000000000005</v>
      </c>
      <c r="G14" s="11">
        <f>F14*(1+'Growth Rates'!F11)</f>
        <v>70.213000000000008</v>
      </c>
      <c r="H14" s="11">
        <f>G14*(1+'Growth Rates'!G11)+V6</f>
        <v>126.31917</v>
      </c>
      <c r="I14" s="11">
        <f>H14*(1+'Growth Rates'!H11)</f>
        <v>137.68789530000001</v>
      </c>
      <c r="J14" s="11">
        <f>I14*(1+'Growth Rates'!I11)</f>
        <v>148.70292692400002</v>
      </c>
      <c r="K14" s="11">
        <f>J14*(1+'Growth Rates'!J11)</f>
        <v>160.59916107792003</v>
      </c>
      <c r="L14" s="11">
        <f>K14*(1+'Growth Rates'!K11)</f>
        <v>171.84110235337445</v>
      </c>
      <c r="M14" s="11">
        <f>L14*(1+'Growth Rates'!L11)</f>
        <v>183.86997951811068</v>
      </c>
      <c r="N14" s="11">
        <f>M14*(1+'Growth Rates'!M11)</f>
        <v>194.90217828919734</v>
      </c>
      <c r="O14" s="11">
        <f>N14*(1+'Growth Rates'!N11)</f>
        <v>206.59630898654919</v>
      </c>
      <c r="P14" s="11">
        <f>O14*(1+'Growth Rates'!O11)</f>
        <v>216.92612443587666</v>
      </c>
      <c r="Q14" s="13">
        <f t="shared" ref="Q14:Q15" si="7">(P14/C14)^(1/12)-1</f>
        <v>5.902719666319145E-2</v>
      </c>
    </row>
    <row r="15" spans="1:24" x14ac:dyDescent="0.25">
      <c r="A15" t="s">
        <v>21</v>
      </c>
      <c r="B15" t="s">
        <v>33</v>
      </c>
      <c r="C15" s="11">
        <f>+C12</f>
        <v>109</v>
      </c>
      <c r="D15" s="11">
        <f t="shared" ref="D15:E15" si="8">+D12</f>
        <v>119</v>
      </c>
      <c r="E15" s="11">
        <f t="shared" si="8"/>
        <v>53</v>
      </c>
      <c r="F15" s="11">
        <f>E15*(1+'Growth Rates'!E12)+$T7</f>
        <v>61.18</v>
      </c>
      <c r="G15" s="11">
        <f>F15*(1+'Growth Rates'!F12)</f>
        <v>64.239000000000004</v>
      </c>
      <c r="H15" s="11">
        <f>G15*(1+'Growth Rates'!G12)+V7</f>
        <v>116.59555999999999</v>
      </c>
      <c r="I15" s="11">
        <f>H15*(1+'Growth Rates'!H12)</f>
        <v>121.25938239999999</v>
      </c>
      <c r="J15" s="11">
        <f>I15*(1+'Growth Rates'!I12)</f>
        <v>124.89716387199999</v>
      </c>
      <c r="K15" s="11">
        <f>J15*(1+'Growth Rates'!J12)</f>
        <v>128.64407878815999</v>
      </c>
      <c r="L15" s="11">
        <f>K15*(1+'Growth Rates'!K12)</f>
        <v>131.21696036392319</v>
      </c>
      <c r="M15" s="11">
        <f>L15*(1+'Growth Rates'!L12)</f>
        <v>133.84129957120166</v>
      </c>
      <c r="N15" s="11">
        <f>M15*(1+'Growth Rates'!M12)</f>
        <v>136.5181255626257</v>
      </c>
      <c r="O15" s="11">
        <f>N15*(1+'Growth Rates'!N12)</f>
        <v>139.24848807387821</v>
      </c>
      <c r="P15" s="11">
        <f>O15*(1+'Growth Rates'!O12)</f>
        <v>142.03345783535576</v>
      </c>
      <c r="Q15" s="13">
        <f t="shared" si="7"/>
        <v>2.2304675057364109E-2</v>
      </c>
    </row>
    <row r="17" spans="1:17" x14ac:dyDescent="0.25">
      <c r="A17" s="8" t="s">
        <v>40</v>
      </c>
    </row>
    <row r="18" spans="1:17" x14ac:dyDescent="0.25">
      <c r="A18" s="2"/>
      <c r="B18" s="2" t="s">
        <v>35</v>
      </c>
      <c r="C18" s="2">
        <v>2017</v>
      </c>
      <c r="D18" s="2">
        <v>2018</v>
      </c>
      <c r="E18" s="2">
        <v>2019</v>
      </c>
      <c r="F18" s="2">
        <v>2020</v>
      </c>
      <c r="G18" s="2">
        <v>2021</v>
      </c>
      <c r="H18" s="2">
        <v>2022</v>
      </c>
      <c r="I18" s="2">
        <v>2023</v>
      </c>
      <c r="J18" s="2">
        <v>2024</v>
      </c>
      <c r="K18" s="2">
        <v>2025</v>
      </c>
      <c r="L18" s="2">
        <v>2026</v>
      </c>
      <c r="M18" s="2">
        <v>2027</v>
      </c>
      <c r="N18" s="2">
        <v>2028</v>
      </c>
      <c r="O18" s="2">
        <v>2029</v>
      </c>
      <c r="P18" s="2">
        <v>2030</v>
      </c>
      <c r="Q18" s="2" t="s">
        <v>34</v>
      </c>
    </row>
    <row r="19" spans="1:17" x14ac:dyDescent="0.25">
      <c r="A19" t="s">
        <v>21</v>
      </c>
      <c r="B19" t="s">
        <v>30</v>
      </c>
      <c r="C19" s="11">
        <f>+C4+C12</f>
        <v>132</v>
      </c>
      <c r="D19" s="11">
        <f t="shared" ref="D19:P19" si="9">+D4+D12</f>
        <v>144</v>
      </c>
      <c r="E19" s="11">
        <f t="shared" si="9"/>
        <v>86</v>
      </c>
      <c r="F19" s="11">
        <f t="shared" si="9"/>
        <v>117</v>
      </c>
      <c r="G19" s="11">
        <f t="shared" si="9"/>
        <v>197</v>
      </c>
      <c r="H19" s="11">
        <f t="shared" si="9"/>
        <v>0</v>
      </c>
      <c r="I19" s="11">
        <f t="shared" si="9"/>
        <v>0</v>
      </c>
      <c r="J19" s="11">
        <f t="shared" si="9"/>
        <v>0</v>
      </c>
      <c r="K19" s="11">
        <f t="shared" si="9"/>
        <v>0</v>
      </c>
      <c r="L19" s="11">
        <f t="shared" si="9"/>
        <v>0</v>
      </c>
      <c r="M19" s="11">
        <f t="shared" si="9"/>
        <v>0</v>
      </c>
      <c r="N19" s="11">
        <f t="shared" si="9"/>
        <v>0</v>
      </c>
      <c r="O19" s="11">
        <f t="shared" si="9"/>
        <v>0</v>
      </c>
      <c r="P19" s="11">
        <f t="shared" si="9"/>
        <v>0</v>
      </c>
    </row>
    <row r="20" spans="1:17" x14ac:dyDescent="0.25">
      <c r="A20" t="s">
        <v>21</v>
      </c>
      <c r="B20" t="s">
        <v>31</v>
      </c>
      <c r="C20" s="11">
        <f t="shared" ref="C20:P22" si="10">+C5+C13</f>
        <v>132</v>
      </c>
      <c r="D20" s="11">
        <f t="shared" si="10"/>
        <v>144</v>
      </c>
      <c r="E20" s="11">
        <f t="shared" si="10"/>
        <v>86</v>
      </c>
      <c r="F20" s="11">
        <f t="shared" si="10"/>
        <v>113.28</v>
      </c>
      <c r="G20" s="11">
        <f t="shared" si="10"/>
        <v>155.80349999999999</v>
      </c>
      <c r="H20" s="11">
        <f t="shared" si="10"/>
        <v>278.74313999999998</v>
      </c>
      <c r="I20" s="11">
        <f t="shared" si="10"/>
        <v>378.59019660000001</v>
      </c>
      <c r="J20" s="11">
        <f t="shared" si="10"/>
        <v>511.33472798799994</v>
      </c>
      <c r="K20" s="11">
        <f t="shared" si="10"/>
        <v>685.13219740083991</v>
      </c>
      <c r="L20" s="11">
        <f t="shared" si="10"/>
        <v>902.58997587773274</v>
      </c>
      <c r="M20" s="11">
        <f t="shared" si="10"/>
        <v>1166.6750406444471</v>
      </c>
      <c r="N20" s="11">
        <f t="shared" si="10"/>
        <v>1469.5200544584338</v>
      </c>
      <c r="O20" s="11">
        <f t="shared" si="10"/>
        <v>1851.6449869527237</v>
      </c>
      <c r="P20" s="11">
        <f t="shared" si="10"/>
        <v>2312.3701262100017</v>
      </c>
      <c r="Q20" s="13">
        <f>(P20/C20)^(1/12)-1</f>
        <v>0.2694734378558139</v>
      </c>
    </row>
    <row r="21" spans="1:17" x14ac:dyDescent="0.25">
      <c r="A21" t="s">
        <v>21</v>
      </c>
      <c r="B21" t="s">
        <v>32</v>
      </c>
      <c r="C21" s="11">
        <f t="shared" si="10"/>
        <v>132</v>
      </c>
      <c r="D21" s="11">
        <f t="shared" si="10"/>
        <v>144</v>
      </c>
      <c r="E21" s="11">
        <f t="shared" si="10"/>
        <v>86</v>
      </c>
      <c r="F21" s="11">
        <f t="shared" si="10"/>
        <v>104.68</v>
      </c>
      <c r="G21" s="11">
        <f t="shared" si="10"/>
        <v>133.53050000000002</v>
      </c>
      <c r="H21" s="11">
        <f t="shared" si="10"/>
        <v>234.97791999999998</v>
      </c>
      <c r="I21" s="11">
        <f t="shared" si="10"/>
        <v>295.24308280000002</v>
      </c>
      <c r="J21" s="11">
        <f t="shared" si="10"/>
        <v>369.28018942400001</v>
      </c>
      <c r="K21" s="11">
        <f t="shared" si="10"/>
        <v>458.37846545292001</v>
      </c>
      <c r="L21" s="11">
        <f t="shared" si="10"/>
        <v>558.95419804087442</v>
      </c>
      <c r="M21" s="11">
        <f t="shared" si="10"/>
        <v>667.76134912748569</v>
      </c>
      <c r="N21" s="11">
        <f t="shared" si="10"/>
        <v>775.57182182044721</v>
      </c>
      <c r="O21" s="11">
        <f t="shared" si="10"/>
        <v>901.23155476689078</v>
      </c>
      <c r="P21" s="11">
        <f t="shared" si="10"/>
        <v>1037.1854234689604</v>
      </c>
      <c r="Q21" s="13">
        <f t="shared" ref="Q21:Q22" si="11">(P21/C21)^(1/12)-1</f>
        <v>0.18742687146230175</v>
      </c>
    </row>
    <row r="22" spans="1:17" x14ac:dyDescent="0.25">
      <c r="A22" t="s">
        <v>21</v>
      </c>
      <c r="B22" t="s">
        <v>33</v>
      </c>
      <c r="C22" s="11">
        <f t="shared" si="10"/>
        <v>132</v>
      </c>
      <c r="D22" s="11">
        <f t="shared" si="10"/>
        <v>144</v>
      </c>
      <c r="E22" s="11">
        <f t="shared" si="10"/>
        <v>86</v>
      </c>
      <c r="F22" s="11">
        <f t="shared" si="10"/>
        <v>98.73</v>
      </c>
      <c r="G22" s="11">
        <f t="shared" si="10"/>
        <v>118.68650000000002</v>
      </c>
      <c r="H22" s="11">
        <f t="shared" si="10"/>
        <v>207.049035</v>
      </c>
      <c r="I22" s="11">
        <f t="shared" si="10"/>
        <v>245.18064315000004</v>
      </c>
      <c r="J22" s="11">
        <f t="shared" si="10"/>
        <v>289.7124406695001</v>
      </c>
      <c r="K22" s="11">
        <f t="shared" si="10"/>
        <v>341.25578585693506</v>
      </c>
      <c r="L22" s="11">
        <f t="shared" si="10"/>
        <v>396.98159419989207</v>
      </c>
      <c r="M22" s="11">
        <f t="shared" si="10"/>
        <v>455.41650651272397</v>
      </c>
      <c r="N22" s="11">
        <f t="shared" si="10"/>
        <v>512.76111768420674</v>
      </c>
      <c r="O22" s="11">
        <f t="shared" si="10"/>
        <v>581.81025875708804</v>
      </c>
      <c r="P22" s="11">
        <f t="shared" si="10"/>
        <v>660.20644134353188</v>
      </c>
      <c r="Q22" s="13">
        <f t="shared" si="11"/>
        <v>0.14355963886054024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dXNlclNlbGVjdGVkIj48ZWxlbWVudCB1aWQ9IjUwYzMxODI0LTA3ODAtNDkxMC04N2QxLWVhYWZmZDE4MmQ0MiIgdmFsdWU9IiIgeG1sbnM9Imh0dHA6Ly93d3cuYm9sZG9uamFtZXMuY29tLzIwMDgvMDEvc2llL2ludGVybmFsL2xhYmVsIiAvPjxlbGVtZW50IHVpZD0iZDE0ZjVjMzYtZjQ0YS00MzE1LWI0MzgtMDA1Y2ZlOGYwNjlmIiB2YWx1ZT0iIiB4bWxucz0iaHR0cDovL3d3dy5ib2xkb25qYW1lcy5jb20vMjAwOC8wMS9zaWUvaW50ZXJuYWwvbGFiZWwiIC8+PC9zaXNsPjxVc2VyTmFtZT5DT1JQXHMyNjQ3OTA8L1VzZXJOYW1lPjxEYXRlVGltZT42LzgvMjAyMyA0OjU0OjMyIFBNPC9EYXRlVGltZT48TGFiZWxTdHJpbmc+QUVQIEludGVybmFsPC9MYWJlbFN0cmluZz48L2l0ZW0+PC9sYWJlbEhpc3Rvcnk+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50c31824-0780-4910-87d1-eaaffd182d42" value=""/>
  <element uid="d14f5c36-f44a-4315-b438-005cfe8f069f" value=""/>
</sisl>
</file>

<file path=customXml/itemProps1.xml><?xml version="1.0" encoding="utf-8"?>
<ds:datastoreItem xmlns:ds="http://schemas.openxmlformats.org/officeDocument/2006/customXml" ds:itemID="{E747F9FC-3F2F-4F83-9F41-C30D66E53522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6801C681-6E0D-4AAC-A66F-6A194783BC2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Actuals</vt:lpstr>
      <vt:lpstr>Growth Rates</vt:lpstr>
      <vt:lpstr>Forecast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s264790</dc:creator>
  <cp:lastModifiedBy>s413174</cp:lastModifiedBy>
  <dcterms:created xsi:type="dcterms:W3CDTF">2023-06-08T16:51:36Z</dcterms:created>
  <dcterms:modified xsi:type="dcterms:W3CDTF">2023-06-08T20:31:47Z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ce3d0095-d580-4101-b583-a19c132b2d0f</vt:lpwstr>
  </property>
  <property fmtid="{D5CDD505-2E9C-101B-9397-08002B2CF9AE}" pid="3" name="bjClsUserRVM">
    <vt:lpwstr>[]</vt:lpwstr>
  </property>
  <property fmtid="{D5CDD505-2E9C-101B-9397-08002B2CF9AE}" pid="4" name="bjSaver">
    <vt:lpwstr>Q7rAIbUkGBmTbas+POKL1OLUSLB2TdlY</vt:lpwstr>
  </property>
  <property fmtid="{D5CDD505-2E9C-101B-9397-08002B2CF9AE}" pid="5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6" name="bjDocumentLabelXML-0">
    <vt:lpwstr>ames.com/2008/01/sie/internal/label"&gt;&lt;element uid="50c31824-0780-4910-87d1-eaaffd182d42" value="" /&gt;&lt;element uid="d14f5c36-f44a-4315-b438-005cfe8f069f" value="" /&gt;&lt;/sisl&gt;</vt:lpwstr>
  </property>
  <property fmtid="{D5CDD505-2E9C-101B-9397-08002B2CF9AE}" pid="7" name="bjDocumentSecurityLabel">
    <vt:lpwstr>AEP Internal</vt:lpwstr>
  </property>
  <property fmtid="{D5CDD505-2E9C-101B-9397-08002B2CF9AE}" pid="8" name="MSIP_Label_69f43042-6bda-44b2-91eb-eca3d3d484f4_SiteId">
    <vt:lpwstr>15f3c881-6b03-4ff6-8559-77bf5177818f</vt:lpwstr>
  </property>
  <property fmtid="{D5CDD505-2E9C-101B-9397-08002B2CF9AE}" pid="9" name="MSIP_Label_69f43042-6bda-44b2-91eb-eca3d3d484f4_Name">
    <vt:lpwstr>AEP Internal</vt:lpwstr>
  </property>
  <property fmtid="{D5CDD505-2E9C-101B-9397-08002B2CF9AE}" pid="10" name="MSIP_Label_69f43042-6bda-44b2-91eb-eca3d3d484f4_Enabled">
    <vt:lpwstr>true</vt:lpwstr>
  </property>
  <property fmtid="{D5CDD505-2E9C-101B-9397-08002B2CF9AE}" pid="11" name="bjLabelHistoryID">
    <vt:lpwstr>{E747F9FC-3F2F-4F83-9F41-C30D66E53522}</vt:lpwstr>
  </property>
</Properties>
</file>