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internal\Regulatory\KY\2022\IRP\Discovery\Staff\Set 1\KPSC 1-8\"/>
    </mc:Choice>
  </mc:AlternateContent>
  <xr:revisionPtr revIDLastSave="0" documentId="13_ncr:1_{FAAB12B6-8018-4FB9-A056-34D03A05D3D4}" xr6:coauthVersionLast="47" xr6:coauthVersionMax="47" xr10:uidLastSave="{00000000-0000-0000-0000-000000000000}"/>
  <bookViews>
    <workbookView xWindow="29355" yWindow="2310" windowWidth="25590" windowHeight="11295" xr2:uid="{C507EA8E-564E-4237-BDC6-3F0CB047EAE4}"/>
  </bookViews>
  <sheets>
    <sheet name="Rate Impact" sheetId="1" r:id="rId1"/>
    <sheet name="Residential Usage" sheetId="4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'Residential Usage'!$A$1:$H$45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1" i="1" l="1"/>
  <c r="J34" i="4"/>
  <c r="AB11" i="1" l="1"/>
  <c r="AB10" i="1"/>
  <c r="AB12" i="1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I34" i="4" s="1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J22" i="4"/>
  <c r="I22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J10" i="4" s="1"/>
  <c r="G11" i="4"/>
  <c r="I10" i="4"/>
  <c r="H10" i="4"/>
  <c r="G10" i="4"/>
  <c r="Y11" i="1" l="1"/>
  <c r="Y42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11" i="1"/>
  <c r="W26" i="1" s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12" i="1"/>
  <c r="X15" i="1" l="1"/>
  <c r="Y15" i="1" s="1"/>
  <c r="W57" i="1"/>
  <c r="X17" i="1"/>
  <c r="Y17" i="1" s="1"/>
  <c r="AK25" i="1"/>
  <c r="AL25" i="1" s="1"/>
  <c r="X24" i="1"/>
  <c r="Y24" i="1" s="1"/>
  <c r="W28" i="1"/>
  <c r="W27" i="1"/>
  <c r="W59" i="1"/>
  <c r="W58" i="1"/>
  <c r="X22" i="1"/>
  <c r="Y22" i="1" s="1"/>
  <c r="X14" i="1"/>
  <c r="Y14" i="1" s="1"/>
  <c r="X48" i="1"/>
  <c r="Y48" i="1" s="1"/>
  <c r="X56" i="1"/>
  <c r="Y56" i="1" s="1"/>
  <c r="X23" i="1"/>
  <c r="Y23" i="1" s="1"/>
  <c r="X20" i="1"/>
  <c r="Y20" i="1" s="1"/>
  <c r="X12" i="1"/>
  <c r="X49" i="1"/>
  <c r="Y49" i="1" s="1"/>
  <c r="AF12" i="1"/>
  <c r="X50" i="1"/>
  <c r="Y50" i="1" s="1"/>
  <c r="AF24" i="1"/>
  <c r="X19" i="1"/>
  <c r="Y19" i="1" s="1"/>
  <c r="X43" i="1"/>
  <c r="X51" i="1"/>
  <c r="Y51" i="1" s="1"/>
  <c r="AF20" i="1"/>
  <c r="X25" i="1"/>
  <c r="Y25" i="1" s="1"/>
  <c r="X18" i="1"/>
  <c r="Y18" i="1" s="1"/>
  <c r="X44" i="1"/>
  <c r="Y44" i="1" s="1"/>
  <c r="X52" i="1"/>
  <c r="Y52" i="1" s="1"/>
  <c r="AF19" i="1"/>
  <c r="AF16" i="1"/>
  <c r="X45" i="1"/>
  <c r="Y45" i="1" s="1"/>
  <c r="X53" i="1"/>
  <c r="Y53" i="1" s="1"/>
  <c r="AF18" i="1"/>
  <c r="X46" i="1"/>
  <c r="Y46" i="1" s="1"/>
  <c r="X54" i="1"/>
  <c r="Y54" i="1" s="1"/>
  <c r="AF11" i="1"/>
  <c r="AF13" i="1"/>
  <c r="X16" i="1"/>
  <c r="Y16" i="1" s="1"/>
  <c r="X47" i="1"/>
  <c r="Y47" i="1" s="1"/>
  <c r="X55" i="1"/>
  <c r="Y55" i="1" s="1"/>
  <c r="AK13" i="1"/>
  <c r="AL13" i="1" s="1"/>
  <c r="AF25" i="1"/>
  <c r="AF17" i="1"/>
  <c r="AF23" i="1"/>
  <c r="AF15" i="1"/>
  <c r="AF22" i="1"/>
  <c r="AF14" i="1"/>
  <c r="AF21" i="1"/>
  <c r="AK20" i="1"/>
  <c r="AL20" i="1" s="1"/>
  <c r="AL11" i="1"/>
  <c r="AK19" i="1"/>
  <c r="AL19" i="1" s="1"/>
  <c r="AK12" i="1"/>
  <c r="AL12" i="1" s="1"/>
  <c r="AK17" i="1"/>
  <c r="AL17" i="1" s="1"/>
  <c r="AK24" i="1"/>
  <c r="AL24" i="1" s="1"/>
  <c r="AK16" i="1"/>
  <c r="AL16" i="1" s="1"/>
  <c r="AK18" i="1"/>
  <c r="AL18" i="1" s="1"/>
  <c r="AK23" i="1"/>
  <c r="AL23" i="1" s="1"/>
  <c r="AK15" i="1"/>
  <c r="AL15" i="1" s="1"/>
  <c r="AK22" i="1"/>
  <c r="AL22" i="1" s="1"/>
  <c r="AK14" i="1"/>
  <c r="AL14" i="1" s="1"/>
  <c r="AK21" i="1"/>
  <c r="AL21" i="1" s="1"/>
  <c r="X13" i="1"/>
  <c r="Y13" i="1" s="1"/>
  <c r="X21" i="1"/>
  <c r="Y21" i="1" s="1"/>
  <c r="Y43" i="1" l="1"/>
  <c r="Y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tc={26DCBFD6-D6D0-42A8-A00E-A0C8C86CA4FB}</author>
  </authors>
  <commentList>
    <comment ref="AA15" authorId="0" shapeId="0" xr:uid="{26DCBFD6-D6D0-42A8-A00E-A0C8C86CA4FB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https://www.kentuckypower.com/company/about/rates/
Reply:
    Bill Calculation sheets, RS tab</t>
      </text>
    </comment>
  </commentList>
</comments>
</file>

<file path=xl/sharedStrings.xml><?xml version="1.0" encoding="utf-8"?>
<sst xmlns="http://schemas.openxmlformats.org/spreadsheetml/2006/main" count="137" uniqueCount="65">
  <si>
    <t>Utility Costs (Nominal$000)</t>
  </si>
  <si>
    <t>Cents/kWh</t>
  </si>
  <si>
    <t>(11)=(1)thru(8)-(9)+(10)</t>
  </si>
  <si>
    <t>Existing</t>
  </si>
  <si>
    <t>New</t>
  </si>
  <si>
    <t>Capital</t>
  </si>
  <si>
    <t>Fixed O&amp;M</t>
  </si>
  <si>
    <t>Fuel Costs</t>
  </si>
  <si>
    <t>Emission</t>
  </si>
  <si>
    <t>Other</t>
  </si>
  <si>
    <t>Market Purchases</t>
  </si>
  <si>
    <t>Less:</t>
  </si>
  <si>
    <t>Taxes</t>
  </si>
  <si>
    <t>GRAND TOTAL,</t>
  </si>
  <si>
    <t>Depreciation</t>
  </si>
  <si>
    <t>Charge</t>
  </si>
  <si>
    <t>Costs</t>
  </si>
  <si>
    <t>VOM Costs</t>
  </si>
  <si>
    <t>Market Sales</t>
  </si>
  <si>
    <t>Net Utility</t>
  </si>
  <si>
    <t>Revenue</t>
  </si>
  <si>
    <t>$000</t>
  </si>
  <si>
    <t>KPCo Net Load (GWh)</t>
  </si>
  <si>
    <t>Incremental Cost cents/kWh</t>
  </si>
  <si>
    <t>Cumulative Present Worth $000 (2023$)</t>
  </si>
  <si>
    <t>Utility CPW 2023-2042</t>
  </si>
  <si>
    <t>TOTAL Utility Cost, Net CPW (2023$)</t>
  </si>
  <si>
    <t>REF Plan Annual Net Cost ($000)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</si>
  <si>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</si>
  <si>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</si>
  <si>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</si>
  <si>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</si>
  <si>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</si>
  <si>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</si>
  <si>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</si>
  <si>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</si>
  <si>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</si>
  <si>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</si>
  <si>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Preferred Portfolio</t>
  </si>
  <si>
    <t>REF Portfolio</t>
  </si>
  <si>
    <t>PP Annual Net Cost ($000)</t>
  </si>
  <si>
    <t>kWh/yr</t>
  </si>
  <si>
    <t>kWh/mo</t>
  </si>
  <si>
    <t>Monthly Rate Impact vs. REF</t>
  </si>
  <si>
    <t>Incremental Cost ($000)</t>
  </si>
  <si>
    <t>Inflation</t>
  </si>
  <si>
    <t>Year</t>
  </si>
  <si>
    <t>Nominal ($/kWh)</t>
  </si>
  <si>
    <t>Real ($2023/kWh)</t>
  </si>
  <si>
    <t>Month</t>
  </si>
  <si>
    <t>Kentucky Power Company</t>
  </si>
  <si>
    <t>Energy Sales (kWh), Customers, Revenue ($),</t>
  </si>
  <si>
    <t>Usage per Customer (kWh per customer per month) and Average Price (cents per kWh)</t>
  </si>
  <si>
    <t>Usage per</t>
  </si>
  <si>
    <t>Average</t>
  </si>
  <si>
    <t>Energy</t>
  </si>
  <si>
    <t>Customers</t>
  </si>
  <si>
    <t>Cusomer</t>
  </si>
  <si>
    <t>Price</t>
  </si>
  <si>
    <t>2022 Use per Res. Customer</t>
  </si>
  <si>
    <t>2022 Res. Rate</t>
  </si>
  <si>
    <t>CAGR 2023-2032</t>
  </si>
  <si>
    <t>CAGR 2023-2037</t>
  </si>
  <si>
    <t>CAGR 2023-2028</t>
  </si>
  <si>
    <t>Incremental Bill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</si>
</sst>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"/>
    <numFmt numFmtId="166" formatCode="0.0"/>
    <numFmt numFmtId="167" formatCode="#,##0.0"/>
    <numFmt numFmtId="168" formatCode="0.0000"/>
    <numFmt numFmtId="169" formatCode="0.000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0"/>
      <name val="Arial"/>
      <family val="2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9"/>
      <name val="Calibri"/>
      <family val="2"/>
    </font>
    <font>
      <sz val="12"/>
      <color indexed="14"/>
      <name val="Calibri"/>
      <family val="2"/>
    </font>
    <font>
      <b/>
      <sz val="12"/>
      <color indexed="52"/>
      <name val="Calibri"/>
      <family val="2"/>
    </font>
    <font>
      <b/>
      <sz val="12"/>
      <color indexed="9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2"/>
      <color indexed="62"/>
      <name val="Calibri"/>
      <family val="2"/>
    </font>
    <font>
      <sz val="12"/>
      <color indexed="52"/>
      <name val="Calibri"/>
      <family val="2"/>
    </font>
    <font>
      <sz val="12"/>
      <color indexed="60"/>
      <name val="Calibri"/>
      <family val="2"/>
    </font>
    <font>
      <b/>
      <sz val="12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indexed="8"/>
      <name val="Calibri"/>
      <family val="2"/>
    </font>
    <font>
      <sz val="12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8">
    <xf numFmtId="0" fontId="0" fillId="0" borderId="0"/>
    <xf numFmtId="43" fontId="6" fillId="0" borderId="0" applyFont="0" applyFill="0" applyBorder="0" applyAlignment="0" applyProtection="0"/>
    <xf numFmtId="7" fontId="7" fillId="0" borderId="0" applyFill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3" borderId="0" applyNumberFormat="0" applyBorder="0" applyAlignment="0" applyProtection="0"/>
    <xf numFmtId="0" fontId="11" fillId="6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3" fillId="5" borderId="34" applyNumberFormat="0" applyAlignment="0" applyProtection="0"/>
    <xf numFmtId="0" fontId="14" fillId="18" borderId="35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19" borderId="0" applyNumberFormat="0" applyBorder="0" applyAlignment="0" applyProtection="0"/>
    <xf numFmtId="0" fontId="17" fillId="0" borderId="36" applyNumberFormat="0" applyFill="0" applyAlignment="0" applyProtection="0"/>
    <xf numFmtId="0" fontId="18" fillId="0" borderId="37" applyNumberFormat="0" applyFill="0" applyAlignment="0" applyProtection="0"/>
    <xf numFmtId="0" fontId="19" fillId="0" borderId="3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6" borderId="34" applyNumberFormat="0" applyAlignment="0" applyProtection="0"/>
    <xf numFmtId="0" fontId="22" fillId="0" borderId="39" applyNumberFormat="0" applyFill="0" applyAlignment="0" applyProtection="0"/>
    <xf numFmtId="0" fontId="23" fillId="11" borderId="0" applyNumberFormat="0" applyBorder="0" applyAlignment="0" applyProtection="0"/>
    <xf numFmtId="0" fontId="7" fillId="0" borderId="0"/>
    <xf numFmtId="0" fontId="9" fillId="0" borderId="0"/>
    <xf numFmtId="0" fontId="7" fillId="0" borderId="0"/>
    <xf numFmtId="0" fontId="7" fillId="7" borderId="40" applyNumberFormat="0" applyFont="0" applyAlignment="0" applyProtection="0"/>
    <xf numFmtId="0" fontId="7" fillId="7" borderId="40" applyNumberFormat="0" applyFont="0" applyAlignment="0" applyProtection="0"/>
    <xf numFmtId="0" fontId="24" fillId="5" borderId="41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42" applyNumberFormat="0" applyFill="0" applyAlignment="0" applyProtection="0"/>
    <xf numFmtId="0" fontId="27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93">
    <xf numFmtId="0" fontId="0" fillId="0" borderId="0" xfId="0"/>
    <xf numFmtId="164" fontId="0" fillId="0" borderId="0" xfId="0" applyNumberFormat="1"/>
    <xf numFmtId="3" fontId="0" fillId="0" borderId="0" xfId="0" applyNumberFormat="1"/>
    <xf numFmtId="0" fontId="0" fillId="0" borderId="4" xfId="0" applyBorder="1"/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8" xfId="0" applyBorder="1"/>
    <xf numFmtId="38" fontId="5" fillId="0" borderId="13" xfId="0" applyNumberFormat="1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7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49" fontId="3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1" fillId="0" borderId="0" xfId="0" applyFont="1" applyBorder="1"/>
    <xf numFmtId="38" fontId="0" fillId="0" borderId="0" xfId="0" applyNumberForma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38" fontId="0" fillId="0" borderId="10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2" fontId="0" fillId="0" borderId="19" xfId="1" applyNumberFormat="1" applyFont="1" applyBorder="1" applyAlignment="1">
      <alignment horizontal="center"/>
    </xf>
    <xf numFmtId="2" fontId="0" fillId="0" borderId="5" xfId="1" applyNumberFormat="1" applyFont="1" applyBorder="1" applyAlignment="1">
      <alignment horizontal="center"/>
    </xf>
    <xf numFmtId="0" fontId="0" fillId="2" borderId="20" xfId="0" applyFill="1" applyBorder="1" applyAlignment="1">
      <alignment horizontal="center" wrapText="1"/>
    </xf>
    <xf numFmtId="0" fontId="0" fillId="2" borderId="19" xfId="0" applyFill="1" applyBorder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6" fontId="0" fillId="0" borderId="20" xfId="0" applyNumberFormat="1" applyBorder="1" applyAlignment="1">
      <alignment horizontal="center"/>
    </xf>
    <xf numFmtId="2" fontId="0" fillId="0" borderId="21" xfId="1" applyNumberFormat="1" applyFont="1" applyBorder="1" applyAlignment="1">
      <alignment horizontal="center"/>
    </xf>
    <xf numFmtId="6" fontId="0" fillId="0" borderId="22" xfId="0" applyNumberFormat="1" applyBorder="1" applyAlignment="1">
      <alignment horizontal="center"/>
    </xf>
    <xf numFmtId="2" fontId="0" fillId="0" borderId="23" xfId="1" applyNumberFormat="1" applyFont="1" applyBorder="1" applyAlignment="1">
      <alignment horizontal="center"/>
    </xf>
    <xf numFmtId="6" fontId="0" fillId="0" borderId="24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2" fontId="0" fillId="0" borderId="12" xfId="1" applyNumberFormat="1" applyFont="1" applyBorder="1" applyAlignment="1">
      <alignment horizontal="center"/>
    </xf>
    <xf numFmtId="2" fontId="0" fillId="0" borderId="25" xfId="1" applyNumberFormat="1" applyFont="1" applyBorder="1" applyAlignment="1">
      <alignment horizontal="center"/>
    </xf>
    <xf numFmtId="8" fontId="0" fillId="0" borderId="0" xfId="0" applyNumberFormat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 wrapText="1"/>
    </xf>
    <xf numFmtId="0" fontId="0" fillId="2" borderId="26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27" xfId="0" applyFill="1" applyBorder="1" applyAlignment="1">
      <alignment horizontal="center" wrapText="1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0" fillId="2" borderId="28" xfId="0" applyFill="1" applyBorder="1" applyAlignment="1">
      <alignment horizontal="center" wrapText="1"/>
    </xf>
    <xf numFmtId="6" fontId="0" fillId="0" borderId="4" xfId="0" applyNumberFormat="1" applyBorder="1" applyAlignment="1">
      <alignment horizontal="center"/>
    </xf>
    <xf numFmtId="6" fontId="0" fillId="0" borderId="29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165" fontId="9" fillId="3" borderId="30" xfId="2" applyNumberFormat="1" applyFont="1" applyFill="1" applyBorder="1" applyAlignment="1">
      <alignment horizontal="center"/>
    </xf>
    <xf numFmtId="165" fontId="9" fillId="4" borderId="31" xfId="2" applyNumberFormat="1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 wrapText="1"/>
    </xf>
    <xf numFmtId="165" fontId="9" fillId="3" borderId="21" xfId="2" applyNumberFormat="1" applyFont="1" applyFill="1" applyBorder="1" applyAlignment="1">
      <alignment horizontal="center"/>
    </xf>
    <xf numFmtId="165" fontId="9" fillId="3" borderId="23" xfId="2" applyNumberFormat="1" applyFont="1" applyFill="1" applyBorder="1" applyAlignment="1">
      <alignment horizontal="center"/>
    </xf>
    <xf numFmtId="165" fontId="9" fillId="3" borderId="25" xfId="2" applyNumberFormat="1" applyFont="1" applyFill="1" applyBorder="1" applyAlignment="1">
      <alignment horizontal="center"/>
    </xf>
    <xf numFmtId="165" fontId="9" fillId="4" borderId="23" xfId="2" applyNumberFormat="1" applyFont="1" applyFill="1" applyBorder="1" applyAlignment="1">
      <alignment horizontal="center"/>
    </xf>
    <xf numFmtId="165" fontId="9" fillId="3" borderId="31" xfId="2" applyNumberFormat="1" applyFont="1" applyFill="1" applyBorder="1" applyAlignment="1">
      <alignment horizontal="center"/>
    </xf>
    <xf numFmtId="165" fontId="9" fillId="3" borderId="32" xfId="2" applyNumberFormat="1" applyFont="1" applyFill="1" applyBorder="1" applyAlignment="1">
      <alignment horizontal="center"/>
    </xf>
    <xf numFmtId="0" fontId="0" fillId="2" borderId="33" xfId="0" applyFill="1" applyBorder="1" applyAlignment="1">
      <alignment horizontal="center" wrapText="1"/>
    </xf>
    <xf numFmtId="164" fontId="0" fillId="0" borderId="33" xfId="0" applyNumberFormat="1" applyBorder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/>
    <xf numFmtId="4" fontId="0" fillId="0" borderId="0" xfId="0" applyNumberFormat="1"/>
    <xf numFmtId="168" fontId="0" fillId="0" borderId="0" xfId="0" applyNumberFormat="1"/>
    <xf numFmtId="2" fontId="0" fillId="0" borderId="0" xfId="0" applyNumberFormat="1"/>
    <xf numFmtId="6" fontId="0" fillId="0" borderId="0" xfId="0" applyNumberFormat="1" applyBorder="1" applyAlignment="1">
      <alignment horizontal="center"/>
    </xf>
    <xf numFmtId="2" fontId="0" fillId="0" borderId="0" xfId="1" applyNumberFormat="1" applyFont="1" applyBorder="1" applyAlignment="1">
      <alignment horizontal="center"/>
    </xf>
    <xf numFmtId="169" fontId="0" fillId="0" borderId="0" xfId="0" applyNumberFormat="1"/>
    <xf numFmtId="10" fontId="0" fillId="0" borderId="0" xfId="67" applyNumberFormat="1" applyFont="1" applyBorder="1" applyAlignment="1">
      <alignment horizontal="center"/>
    </xf>
    <xf numFmtId="166" fontId="0" fillId="0" borderId="0" xfId="0" applyNumberFormat="1"/>
    <xf numFmtId="10" fontId="0" fillId="0" borderId="5" xfId="67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6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</cellXfs>
  <cellStyles count="68">
    <cellStyle name="20% - Accent1 2" xfId="3" xr:uid="{68F89B24-816E-4D58-AD03-43CA5998FC15}"/>
    <cellStyle name="20% - Accent2 2" xfId="4" xr:uid="{F742BA0D-CA10-4EC3-AD6E-5C0FFCC2B641}"/>
    <cellStyle name="20% - Accent3 2" xfId="5" xr:uid="{7DFD0F33-2EDF-4806-9DDA-F6524016DDA3}"/>
    <cellStyle name="20% - Accent4 2" xfId="6" xr:uid="{0F1EFB85-1C28-46A6-935F-047D66E3D5E9}"/>
    <cellStyle name="20% - Accent5 2" xfId="7" xr:uid="{852FE3BF-9B69-4EBA-97E9-6A0DE5B2A4EE}"/>
    <cellStyle name="20% - Accent6 2" xfId="8" xr:uid="{8AFBF3EF-579D-46E7-872E-BE373EEB5632}"/>
    <cellStyle name="40% - Accent1 2" xfId="9" xr:uid="{8700D66F-2BEA-436D-8FE1-8C3503643835}"/>
    <cellStyle name="40% - Accent2 2" xfId="10" xr:uid="{F1344D94-3270-4508-852B-F3543B725B90}"/>
    <cellStyle name="40% - Accent3 2" xfId="11" xr:uid="{84AD9AE4-9D5A-45A6-A1B7-F95375D60948}"/>
    <cellStyle name="40% - Accent4 2" xfId="12" xr:uid="{FC33597E-281E-4CA1-AD20-35075C833FC6}"/>
    <cellStyle name="40% - Accent5 2" xfId="13" xr:uid="{00A8FD54-C66E-4215-9185-C18F313F48DC}"/>
    <cellStyle name="40% - Accent6 2" xfId="14" xr:uid="{B324E852-6963-4C7C-B17C-F4B31DE3957E}"/>
    <cellStyle name="60% - Accent1 2" xfId="15" xr:uid="{4C788991-8505-4E94-88CF-990976A4DD5E}"/>
    <cellStyle name="60% - Accent2 2" xfId="16" xr:uid="{DF66ABDE-F0A6-4E73-A0A7-C5FE28056FFD}"/>
    <cellStyle name="60% - Accent3 2" xfId="17" xr:uid="{27B71F94-76A4-4E51-BB27-B733AE8F7014}"/>
    <cellStyle name="60% - Accent4 2" xfId="18" xr:uid="{5A7485A4-E614-4974-AED6-5CDDF4D3F8CC}"/>
    <cellStyle name="60% - Accent5 2" xfId="19" xr:uid="{BAA5F19A-005A-4ED2-945F-29D4D701D9A3}"/>
    <cellStyle name="60% - Accent6 2" xfId="20" xr:uid="{E8E4E714-E1DD-4F16-AD81-84544D6752A5}"/>
    <cellStyle name="Accent1 2" xfId="21" xr:uid="{C36713BF-2001-4C9D-A2A8-237C6A1A1B6C}"/>
    <cellStyle name="Accent2 2" xfId="22" xr:uid="{D1B0D42E-4478-4C30-B1B1-D543B8B9CA4B}"/>
    <cellStyle name="Accent3 2" xfId="23" xr:uid="{A4D54486-5A85-4F0D-9660-87620358FB94}"/>
    <cellStyle name="Accent4 2" xfId="24" xr:uid="{C82523C6-B2FA-46C4-958B-40EF6BDBC8CA}"/>
    <cellStyle name="Accent5 2" xfId="25" xr:uid="{0478FDEA-4642-4B51-88A2-7FBEC010C16C}"/>
    <cellStyle name="Accent6 2" xfId="26" xr:uid="{D2C36974-D22B-4997-BA7F-C1274D0523F6}"/>
    <cellStyle name="Bad 2" xfId="27" xr:uid="{2EA46886-D18D-477F-8A2B-BC040E3927EE}"/>
    <cellStyle name="Calculation 2" xfId="28" xr:uid="{6DC8D2BE-F0F4-450C-B80E-AEF9EA4BCBD8}"/>
    <cellStyle name="Check Cell 2" xfId="29" xr:uid="{621B058B-FE8D-4DFF-BC00-7D12132319F1}"/>
    <cellStyle name="Comma 11 2 2" xfId="1" xr:uid="{E133484A-7DD3-46BA-BD10-932E346445A0}"/>
    <cellStyle name="Comma 2" xfId="30" xr:uid="{99F035E1-45F2-4B3A-BFE4-60EE50B9755A}"/>
    <cellStyle name="Comma 3" xfId="31" xr:uid="{C809EF49-DB15-4619-98BE-20F5A735FD32}"/>
    <cellStyle name="Comma 4" xfId="32" xr:uid="{1684E48B-86C9-468D-AF19-323206EEF733}"/>
    <cellStyle name="Comma 5" xfId="33" xr:uid="{57800638-C1D9-440D-A9A5-AEEE40829460}"/>
    <cellStyle name="Comma 5 2" xfId="34" xr:uid="{6211F96D-F201-427A-BD11-09E7BAB07B22}"/>
    <cellStyle name="Comma 6" xfId="35" xr:uid="{B1168530-4140-4CCC-8EA8-314CED53CC43}"/>
    <cellStyle name="Currency 2" xfId="36" xr:uid="{E8B4391C-2A52-4BC7-898B-F5190799BA5F}"/>
    <cellStyle name="Currency 20" xfId="2" xr:uid="{6B386BB5-107F-4937-80EA-9C8D1E73C696}"/>
    <cellStyle name="Currency 3" xfId="37" xr:uid="{3B0CA676-4447-4EEF-9788-AD2BA5C4D7BD}"/>
    <cellStyle name="Currency 4" xfId="38" xr:uid="{3AA52B99-9D62-4395-905E-2877B5AF1D4D}"/>
    <cellStyle name="Currency 5" xfId="39" xr:uid="{CC5DD57C-40EC-4BD6-93D1-127AC0AD111D}"/>
    <cellStyle name="Currency 5 2" xfId="40" xr:uid="{F898189D-D6B7-42F9-8233-8E84F375E3FA}"/>
    <cellStyle name="Currency 6" xfId="41" xr:uid="{1C20AAEC-F3AB-4728-B357-A1385167BBAF}"/>
    <cellStyle name="Explanatory Text 2" xfId="42" xr:uid="{E5E2BA88-B0DE-43B7-9041-055C14066204}"/>
    <cellStyle name="Good 2" xfId="43" xr:uid="{7D957420-619A-4760-8831-FB0A0600E46D}"/>
    <cellStyle name="Heading 1 2" xfId="44" xr:uid="{45CC7C55-B976-46C2-9CF6-E6B97E064D68}"/>
    <cellStyle name="Heading 2 2" xfId="45" xr:uid="{C15240DC-FA45-4050-B64E-FDAE2211A5E6}"/>
    <cellStyle name="Heading 3 2" xfId="46" xr:uid="{52A4F51F-7003-4FE2-BBFB-F931F98F634A}"/>
    <cellStyle name="Heading 4 2" xfId="47" xr:uid="{B104A213-4353-41A3-A996-B8CA5CADF224}"/>
    <cellStyle name="Hyperlink 2" xfId="48" xr:uid="{4A5CC17B-00F1-4C27-B536-D2926D736A03}"/>
    <cellStyle name="Input 2" xfId="49" xr:uid="{34740539-E999-4ECF-A89D-E67ED228F2E7}"/>
    <cellStyle name="Linked Cell 2" xfId="50" xr:uid="{F1ADB1CE-D9F8-4959-AA87-32ED192CA23D}"/>
    <cellStyle name="Neutral 2" xfId="51" xr:uid="{6076FD75-AE8A-449D-9463-9ACE7A46C604}"/>
    <cellStyle name="Normal" xfId="0" builtinId="0"/>
    <cellStyle name="Normal 2" xfId="52" xr:uid="{D4123161-4243-4B56-9D1F-0C84862D815C}"/>
    <cellStyle name="Normal 3" xfId="53" xr:uid="{CB563B0F-0028-4A36-A479-A94692A85389}"/>
    <cellStyle name="Normal 4" xfId="54" xr:uid="{C71689EF-5836-4073-9ADA-5E49990FA5FD}"/>
    <cellStyle name="Note 2" xfId="55" xr:uid="{FA8942EA-4379-4E3B-81AE-7B3C4E752958}"/>
    <cellStyle name="Note 3" xfId="56" xr:uid="{19AFBB38-D1C8-4B9F-8503-BD014DDEC02E}"/>
    <cellStyle name="Output 2" xfId="57" xr:uid="{F2823F0A-CCDA-4F1D-903E-3EFCD4760640}"/>
    <cellStyle name="Percent" xfId="67" builtinId="5"/>
    <cellStyle name="Percent 2" xfId="58" xr:uid="{BEF4CAC2-5455-4DFA-AE71-F531F720CA21}"/>
    <cellStyle name="Percent 3" xfId="59" xr:uid="{7137378E-F5F1-4E0C-9AAC-5C67F4F23405}"/>
    <cellStyle name="Percent 4" xfId="60" xr:uid="{7B8660C1-71D2-4836-AB3F-E98641D5295A}"/>
    <cellStyle name="Percent 5" xfId="61" xr:uid="{167BC826-D28B-4CE7-8396-B6AD070A4DF1}"/>
    <cellStyle name="Percent 5 2" xfId="62" xr:uid="{FC00007A-C5FE-4EB3-B800-C34FA72B275B}"/>
    <cellStyle name="Percent 6" xfId="63" xr:uid="{07CBD6C3-F615-4DF5-95BC-BB12147242E6}"/>
    <cellStyle name="Title 2" xfId="64" xr:uid="{466CFE87-C536-4121-BE18-BD2A18C2C4A5}"/>
    <cellStyle name="Total 2" xfId="65" xr:uid="{448E1A9D-123F-4E5A-90FA-5370A53117CC}"/>
    <cellStyle name="Warning Text 2" xfId="66" xr:uid="{F1A9A7B6-DC46-44E5-8CF3-D8D89C9191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Montly Rate Impact Over Reference Portfolio</a:t>
            </a:r>
          </a:p>
        </c:rich>
      </c:tx>
      <c:layout>
        <c:manualLayout>
          <c:xMode val="edge"/>
          <c:yMode val="edge"/>
          <c:x val="0.15058286175040439"/>
          <c:y val="6.684039907402363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53080344123652"/>
          <c:y val="9.8894838876975213E-2"/>
          <c:w val="0.79909993920938127"/>
          <c:h val="0.75381867125469748"/>
        </c:manualLayout>
      </c:layout>
      <c:barChart>
        <c:barDir val="col"/>
        <c:grouping val="clustered"/>
        <c:varyColors val="0"/>
        <c:ser>
          <c:idx val="0"/>
          <c:order val="0"/>
          <c:tx>
            <c:v>Difference between Preferred and REF Portfolios</c:v>
          </c:tx>
          <c:invertIfNegative val="0"/>
          <c:cat>
            <c:numRef>
              <c:f>'Rate Impact'!$S$11:$S$25</c:f>
              <c:numCache>
                <c:formatCode>General</c:formatCode>
                <c:ptCount val="1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</c:numCache>
            </c:numRef>
          </c:cat>
          <c:val>
            <c:numRef>
              <c:f>'Rate Impact'!$AF$11:$AF$25</c:f>
              <c:numCache>
                <c:formatCode>"$"#,##0.00</c:formatCode>
                <c:ptCount val="15"/>
                <c:pt idx="0">
                  <c:v>-7.6418216534411003E-14</c:v>
                </c:pt>
                <c:pt idx="1">
                  <c:v>1.0874088589269871E-2</c:v>
                </c:pt>
                <c:pt idx="2">
                  <c:v>0</c:v>
                </c:pt>
                <c:pt idx="3">
                  <c:v>1.0905258939579361</c:v>
                </c:pt>
                <c:pt idx="4">
                  <c:v>2.8083975497091478</c:v>
                </c:pt>
                <c:pt idx="5">
                  <c:v>5.0563916918616547</c:v>
                </c:pt>
                <c:pt idx="6">
                  <c:v>3.8562186398537701</c:v>
                </c:pt>
                <c:pt idx="7">
                  <c:v>3.8911241503468608</c:v>
                </c:pt>
                <c:pt idx="8">
                  <c:v>3.3629443234975267</c:v>
                </c:pt>
                <c:pt idx="9">
                  <c:v>3.3420031035254256</c:v>
                </c:pt>
                <c:pt idx="10">
                  <c:v>3.6705236596956583</c:v>
                </c:pt>
                <c:pt idx="11">
                  <c:v>4.0224671465514126</c:v>
                </c:pt>
                <c:pt idx="12">
                  <c:v>7.6781353908069319</c:v>
                </c:pt>
                <c:pt idx="13">
                  <c:v>9.1470744310806289</c:v>
                </c:pt>
                <c:pt idx="14">
                  <c:v>11.395950032244757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6-4A2C-A9CC-7CAC3EDB5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40471424"/>
        <c:axId val="2404936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'Rate Impact'!$AB$25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'Rate Impact'!$S$11:$S$25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'Rate Impact'!$AB$26:$AB$40</c15:sqref>
                        </c15:formulaRef>
                      </c:ext>
                    </c:extLst>
                    <c:numCache>
                      <c:formatCode>0.000000</c:formatCode>
                      <c:ptCount val="1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40B8-4648-AACE-EE18A2BFCF05}"/>
                  </c:ext>
                </c:extLst>
              </c15:ser>
            </c15:filteredBarSeries>
          </c:ext>
        </c:extLst>
      </c:barChart>
      <c:catAx>
        <c:axId val="24047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40493696"/>
        <c:crosses val="autoZero"/>
        <c:auto val="1"/>
        <c:lblAlgn val="ctr"/>
        <c:lblOffset val="100"/>
        <c:noMultiLvlLbl val="0"/>
      </c:catAx>
      <c:valAx>
        <c:axId val="240493696"/>
        <c:scaling>
          <c:orientation val="minMax"/>
          <c:max val="15"/>
          <c:min val="0"/>
        </c:scaling>
        <c:delete val="0"/>
        <c:axPos val="l"/>
        <c:majorGridlines/>
        <c:numFmt formatCode="&quot;$&quot;#,##0.00" sourceLinked="1"/>
        <c:majorTickMark val="none"/>
        <c:minorTickMark val="none"/>
        <c:tickLblPos val="nextTo"/>
        <c:spPr>
          <a:ln w="9525">
            <a:noFill/>
          </a:ln>
        </c:spPr>
        <c:crossAx val="240471424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0.17091966769475048"/>
          <c:y val="0.91938521583250765"/>
          <c:w val="0.67104003652565458"/>
          <c:h val="5.97676314812159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286657</xdr:colOff>
      <xdr:row>26</xdr:row>
      <xdr:rowOff>111237</xdr:rowOff>
    </xdr:from>
    <xdr:to>
      <xdr:col>35</xdr:col>
      <xdr:colOff>1471044</xdr:colOff>
      <xdr:row>46</xdr:row>
      <xdr:rowOff>80168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Neath, Barrett" id="{37278EAB-188E-4847-8C55-9C8F2DB93D23}" userId="S::bneath@crai.com::77ababa0-d6f0-4ac7-a1b8-d3abdf53a57e" providerId="AD"/>
  <person displayName="Haratym, Thomas" id="{18A5DBFB-E1C6-4F60-9EA4-95A0D47ED4AB}" userId="S::THaratym@crai.com::329dc924-23cd-431d-a5ba-ce520b2bd2c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A15" dT="2023-02-20T21:55:46.81" personId="{37278EAB-188E-4847-8C55-9C8F2DB93D23}" id="{26DCBFD6-D6D0-42A8-A00E-A0C8C86CA4FB}">
    <text>https://www.kentuckypower.com/company/about/rates/</text>
  </threadedComment>
  <threadedComment ref="AA15" dT="2023-02-23T16:30:42.54" personId="{18A5DBFB-E1C6-4F60-9EA4-95A0D47ED4AB}" id="{A96459F6-1CF3-4973-9C1E-537F82CDCB06}" parentId="{26DCBFD6-D6D0-42A8-A00E-A0C8C86CA4FB}">
    <text>Bill Calculation sheets, RS tab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E04A7-7017-4366-A852-4EC5C806EDB3}">
  <dimension ref="B1:AL59"/>
  <sheetViews>
    <sheetView showGridLines="0" tabSelected="1" view="pageLayout" zoomScale="115" zoomScaleNormal="71" zoomScalePageLayoutView="115" workbookViewId="0">
      <selection activeCell="AA15" sqref="AA15"/>
    </sheetView>
  </sheetViews>
  <sheetFormatPr defaultRowHeight="15" x14ac:dyDescent="0.25"/>
  <cols>
    <col min="2" max="2" width="2.5703125" customWidth="1"/>
    <col min="3" max="3" width="30.140625" customWidth="1"/>
    <col min="5" max="6" width="13.28515625" bestFit="1" customWidth="1"/>
    <col min="7" max="8" width="13.140625" customWidth="1"/>
    <col min="9" max="9" width="11.42578125" customWidth="1"/>
    <col min="10" max="10" width="10.28515625" bestFit="1" customWidth="1"/>
    <col min="11" max="11" width="12.7109375" bestFit="1" customWidth="1"/>
    <col min="12" max="12" width="16" bestFit="1" customWidth="1"/>
    <col min="13" max="13" width="11.7109375" bestFit="1" customWidth="1"/>
    <col min="14" max="14" width="11.5703125" customWidth="1"/>
    <col min="15" max="15" width="16.28515625" bestFit="1" customWidth="1"/>
    <col min="16" max="16" width="2.5703125" customWidth="1"/>
    <col min="20" max="20" width="28" customWidth="1"/>
    <col min="21" max="22" width="22.42578125" customWidth="1"/>
    <col min="23" max="23" width="11" bestFit="1" customWidth="1"/>
    <col min="24" max="24" width="19.7109375" customWidth="1"/>
    <col min="25" max="25" width="9.5703125" customWidth="1"/>
    <col min="26" max="26" width="27.28515625" bestFit="1" customWidth="1"/>
    <col min="27" max="27" width="11" bestFit="1" customWidth="1"/>
    <col min="28" max="28" width="9.85546875" customWidth="1"/>
    <col min="31" max="31" width="27" bestFit="1" customWidth="1"/>
    <col min="34" max="34" width="9" bestFit="1" customWidth="1"/>
    <col min="35" max="35" width="11.7109375" bestFit="1" customWidth="1"/>
    <col min="36" max="36" width="9.85546875" customWidth="1"/>
    <col min="37" max="38" width="14" customWidth="1"/>
  </cols>
  <sheetData>
    <row r="1" spans="2:38" ht="15.75" thickBot="1" x14ac:dyDescent="0.3"/>
    <row r="2" spans="2:38" x14ac:dyDescent="0.25">
      <c r="B2" s="10"/>
      <c r="C2" s="91" t="s">
        <v>38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</row>
    <row r="3" spans="2:38" ht="15.75" thickBot="1" x14ac:dyDescent="0.3">
      <c r="B3" s="25"/>
      <c r="C3" s="92"/>
      <c r="D3" s="14"/>
      <c r="E3" s="88" t="s">
        <v>0</v>
      </c>
      <c r="F3" s="89"/>
      <c r="G3" s="89"/>
      <c r="H3" s="89"/>
      <c r="I3" s="89"/>
      <c r="J3" s="89"/>
      <c r="K3" s="89"/>
      <c r="L3" s="89"/>
      <c r="M3" s="89"/>
      <c r="N3" s="89"/>
      <c r="O3" s="90"/>
      <c r="P3" s="8"/>
    </row>
    <row r="4" spans="2:38" x14ac:dyDescent="0.2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8"/>
    </row>
    <row r="5" spans="2:38" x14ac:dyDescent="0.25">
      <c r="B5" s="13"/>
      <c r="C5" s="14"/>
      <c r="D5" s="14"/>
      <c r="E5" s="15" t="s">
        <v>28</v>
      </c>
      <c r="F5" s="15" t="s">
        <v>29</v>
      </c>
      <c r="G5" s="15" t="s">
        <v>30</v>
      </c>
      <c r="H5" s="15" t="s">
        <v>31</v>
      </c>
      <c r="I5" s="15" t="s">
        <v>32</v>
      </c>
      <c r="J5" s="15" t="s">
        <v>33</v>
      </c>
      <c r="K5" s="15" t="s">
        <v>34</v>
      </c>
      <c r="L5" s="15" t="s">
        <v>35</v>
      </c>
      <c r="M5" s="15" t="s">
        <v>36</v>
      </c>
      <c r="N5" s="15" t="s">
        <v>37</v>
      </c>
      <c r="O5" s="16" t="s">
        <v>2</v>
      </c>
      <c r="P5" s="8"/>
    </row>
    <row r="6" spans="2:38" x14ac:dyDescent="0.25">
      <c r="B6" s="13"/>
      <c r="C6" s="14"/>
      <c r="D6" s="3"/>
      <c r="E6" s="17" t="s">
        <v>3</v>
      </c>
      <c r="F6" s="17" t="s">
        <v>4</v>
      </c>
      <c r="G6" s="17" t="s">
        <v>5</v>
      </c>
      <c r="H6" s="17" t="s">
        <v>6</v>
      </c>
      <c r="I6" s="17" t="s">
        <v>7</v>
      </c>
      <c r="J6" s="17" t="s">
        <v>8</v>
      </c>
      <c r="K6" s="18" t="s">
        <v>9</v>
      </c>
      <c r="L6" s="18" t="s">
        <v>10</v>
      </c>
      <c r="M6" s="19" t="s">
        <v>11</v>
      </c>
      <c r="N6" s="17" t="s">
        <v>12</v>
      </c>
      <c r="O6" s="4" t="s">
        <v>13</v>
      </c>
      <c r="P6" s="8"/>
    </row>
    <row r="7" spans="2:38" x14ac:dyDescent="0.25">
      <c r="B7" s="13"/>
      <c r="C7" s="14"/>
      <c r="D7" s="3"/>
      <c r="E7" s="18" t="s">
        <v>14</v>
      </c>
      <c r="F7" s="18" t="s">
        <v>14</v>
      </c>
      <c r="G7" s="18" t="s">
        <v>15</v>
      </c>
      <c r="H7" s="18"/>
      <c r="I7" s="18"/>
      <c r="J7" s="18" t="s">
        <v>16</v>
      </c>
      <c r="K7" s="18" t="s">
        <v>17</v>
      </c>
      <c r="L7" s="20" t="s">
        <v>16</v>
      </c>
      <c r="M7" s="18" t="s">
        <v>18</v>
      </c>
      <c r="N7" s="18"/>
      <c r="O7" s="5" t="s">
        <v>19</v>
      </c>
      <c r="P7" s="8"/>
    </row>
    <row r="8" spans="2:38" x14ac:dyDescent="0.25">
      <c r="B8" s="13"/>
      <c r="C8" s="14"/>
      <c r="D8" s="3"/>
      <c r="E8" s="20"/>
      <c r="F8" s="20"/>
      <c r="G8" s="20"/>
      <c r="H8" s="20"/>
      <c r="I8" s="18"/>
      <c r="J8" s="18"/>
      <c r="K8" s="14"/>
      <c r="L8" s="14"/>
      <c r="M8" s="18" t="s">
        <v>20</v>
      </c>
      <c r="N8" s="18"/>
      <c r="O8" s="5" t="s">
        <v>16</v>
      </c>
      <c r="P8" s="8"/>
    </row>
    <row r="9" spans="2:38" ht="15.75" thickBot="1" x14ac:dyDescent="0.3">
      <c r="B9" s="13"/>
      <c r="C9" s="14"/>
      <c r="D9" s="3"/>
      <c r="E9" s="21" t="s">
        <v>21</v>
      </c>
      <c r="F9" s="21" t="s">
        <v>21</v>
      </c>
      <c r="G9" s="21" t="s">
        <v>21</v>
      </c>
      <c r="H9" s="21" t="s">
        <v>21</v>
      </c>
      <c r="I9" s="21" t="s">
        <v>21</v>
      </c>
      <c r="J9" s="21" t="s">
        <v>21</v>
      </c>
      <c r="K9" s="21" t="s">
        <v>21</v>
      </c>
      <c r="L9" s="21" t="s">
        <v>21</v>
      </c>
      <c r="M9" s="21" t="s">
        <v>21</v>
      </c>
      <c r="N9" s="21" t="s">
        <v>21</v>
      </c>
      <c r="O9" s="6" t="s">
        <v>21</v>
      </c>
      <c r="P9" s="8"/>
    </row>
    <row r="10" spans="2:38" ht="29.45" customHeight="1" thickBot="1" x14ac:dyDescent="0.3">
      <c r="B10" s="13"/>
      <c r="C10" s="14"/>
      <c r="D10" s="3">
        <v>2023</v>
      </c>
      <c r="E10" s="22">
        <v>38400.277140355458</v>
      </c>
      <c r="F10" s="22">
        <v>0</v>
      </c>
      <c r="G10" s="22">
        <v>39370.842004361941</v>
      </c>
      <c r="H10" s="22">
        <v>17559.273735824721</v>
      </c>
      <c r="I10" s="22">
        <v>182415.05329407274</v>
      </c>
      <c r="J10" s="22">
        <v>494.43915822011189</v>
      </c>
      <c r="K10" s="22">
        <v>15187.202672610181</v>
      </c>
      <c r="L10" s="22">
        <v>33410.648269342266</v>
      </c>
      <c r="M10" s="22">
        <v>77510.12551162079</v>
      </c>
      <c r="N10" s="22">
        <v>12112.314576040661</v>
      </c>
      <c r="O10" s="7">
        <v>261439.92533920734</v>
      </c>
      <c r="P10" s="8"/>
      <c r="T10" s="46" t="s">
        <v>40</v>
      </c>
      <c r="U10" s="51" t="s">
        <v>44</v>
      </c>
      <c r="V10" s="47" t="s">
        <v>22</v>
      </c>
      <c r="W10" s="47" t="s">
        <v>1</v>
      </c>
      <c r="X10" s="48" t="s">
        <v>23</v>
      </c>
      <c r="Y10" s="87" t="s">
        <v>64</v>
      </c>
      <c r="AA10" s="45" t="s">
        <v>60</v>
      </c>
      <c r="AB10" s="80">
        <f>'Residential Usage'!J34</f>
        <v>16.465639515806885</v>
      </c>
      <c r="AC10" t="s">
        <v>1</v>
      </c>
      <c r="AF10" s="71" t="s">
        <v>43</v>
      </c>
      <c r="AI10" s="54" t="s">
        <v>45</v>
      </c>
      <c r="AJ10" s="63" t="s">
        <v>46</v>
      </c>
      <c r="AK10" s="64" t="s">
        <v>47</v>
      </c>
      <c r="AL10" s="62" t="s">
        <v>48</v>
      </c>
    </row>
    <row r="11" spans="2:38" x14ac:dyDescent="0.25">
      <c r="B11" s="13"/>
      <c r="C11" s="14"/>
      <c r="D11" s="3">
        <v>2024</v>
      </c>
      <c r="E11" s="22">
        <v>38764.487316831954</v>
      </c>
      <c r="F11" s="22">
        <v>0</v>
      </c>
      <c r="G11" s="22">
        <v>37614.570906619505</v>
      </c>
      <c r="H11" s="22">
        <v>22755.862591921443</v>
      </c>
      <c r="I11" s="22">
        <v>177860.29062658601</v>
      </c>
      <c r="J11" s="22">
        <v>486.36855406874292</v>
      </c>
      <c r="K11" s="22">
        <v>15628.913458140172</v>
      </c>
      <c r="L11" s="22">
        <v>38398.308668634592</v>
      </c>
      <c r="M11" s="22">
        <v>49808.241846435667</v>
      </c>
      <c r="N11" s="22">
        <v>11298.701915571197</v>
      </c>
      <c r="O11" s="7">
        <v>292999.26219193789</v>
      </c>
      <c r="P11" s="8"/>
      <c r="S11">
        <v>2023</v>
      </c>
      <c r="T11" s="37">
        <v>261439.92533920699</v>
      </c>
      <c r="U11" s="52"/>
      <c r="V11" s="7">
        <v>5624.4364999999998</v>
      </c>
      <c r="W11" s="31">
        <f>T11/(V11*10)</f>
        <v>4.6482865499362829</v>
      </c>
      <c r="X11" s="38"/>
      <c r="Y11" s="85">
        <f t="shared" ref="Y11:Y25" si="0">X11/100*$AB$12</f>
        <v>0</v>
      </c>
      <c r="Z11" s="76"/>
      <c r="AA11" t="s">
        <v>59</v>
      </c>
      <c r="AB11" s="2">
        <f>SUM('Residential Usage'!G34:G45)</f>
        <v>14749.587921801054</v>
      </c>
      <c r="AC11" t="s">
        <v>41</v>
      </c>
      <c r="AE11">
        <v>2023</v>
      </c>
      <c r="AF11" s="72">
        <f t="shared" ref="AF11:AF25" si="1">$AB$12/100*(W11-W42)</f>
        <v>-7.6418216534411003E-14</v>
      </c>
      <c r="AH11">
        <v>2023</v>
      </c>
      <c r="AI11" s="55">
        <v>1</v>
      </c>
      <c r="AJ11" s="59">
        <v>2023</v>
      </c>
      <c r="AK11" s="60">
        <f>AB10/100</f>
        <v>0.16465639515806885</v>
      </c>
      <c r="AL11" s="65">
        <f>AK11/AI11</f>
        <v>0.16465639515806885</v>
      </c>
    </row>
    <row r="12" spans="2:38" x14ac:dyDescent="0.25">
      <c r="B12" s="13"/>
      <c r="C12" s="14"/>
      <c r="D12" s="3">
        <v>2025</v>
      </c>
      <c r="E12" s="22">
        <v>39080.706675409638</v>
      </c>
      <c r="F12" s="22">
        <v>0</v>
      </c>
      <c r="G12" s="22">
        <v>35747.298379438449</v>
      </c>
      <c r="H12" s="22">
        <v>24448.805475638837</v>
      </c>
      <c r="I12" s="22">
        <v>132575.81389278028</v>
      </c>
      <c r="J12" s="22">
        <v>357.48749655435125</v>
      </c>
      <c r="K12" s="22">
        <v>13009.833962709714</v>
      </c>
      <c r="L12" s="22">
        <v>71863.368656334584</v>
      </c>
      <c r="M12" s="22">
        <v>28425.976180430604</v>
      </c>
      <c r="N12" s="22">
        <v>10678.532718107332</v>
      </c>
      <c r="O12" s="7">
        <v>299335.87107654253</v>
      </c>
      <c r="P12" s="8"/>
      <c r="S12">
        <v>2024</v>
      </c>
      <c r="T12" s="37">
        <v>292999.26219193789</v>
      </c>
      <c r="U12" s="52">
        <f>T12-$T$11</f>
        <v>31559.336852730892</v>
      </c>
      <c r="V12" s="7">
        <v>6071.5240000000003</v>
      </c>
      <c r="W12" s="31">
        <f t="shared" ref="W12:W25" si="2">T12/(V12*10)</f>
        <v>4.8257943506760057</v>
      </c>
      <c r="X12" s="38">
        <f>W12-W11</f>
        <v>0.17750780073972283</v>
      </c>
      <c r="Y12" s="85">
        <f t="shared" si="0"/>
        <v>2.1818057615134037</v>
      </c>
      <c r="Z12" s="76"/>
      <c r="AA12" t="s">
        <v>59</v>
      </c>
      <c r="AB12" s="2">
        <f>'Residential Usage'!I34</f>
        <v>1229.1323268167546</v>
      </c>
      <c r="AC12" t="s">
        <v>42</v>
      </c>
      <c r="AE12">
        <v>2024</v>
      </c>
      <c r="AF12" s="49">
        <f t="shared" si="1"/>
        <v>1.0874088589269871E-2</v>
      </c>
      <c r="AH12">
        <v>2024</v>
      </c>
      <c r="AI12" s="55">
        <v>1.0229975250932246</v>
      </c>
      <c r="AJ12" s="57">
        <v>2024</v>
      </c>
      <c r="AK12" s="61">
        <f t="shared" ref="AK12:AK25" si="3">$AK$11+U12/V12/1000</f>
        <v>0.16985432188169391</v>
      </c>
      <c r="AL12" s="68">
        <f t="shared" ref="AL12:AL25" si="4">AK12/AI12</f>
        <v>0.16603590694534209</v>
      </c>
    </row>
    <row r="13" spans="2:38" x14ac:dyDescent="0.25">
      <c r="B13" s="13"/>
      <c r="C13" s="14"/>
      <c r="D13" s="3">
        <v>2026</v>
      </c>
      <c r="E13" s="22">
        <v>39552.865444980933</v>
      </c>
      <c r="F13" s="22">
        <v>8415.5986024564827</v>
      </c>
      <c r="G13" s="22">
        <v>46138.033076276522</v>
      </c>
      <c r="H13" s="22">
        <v>35042.871109510874</v>
      </c>
      <c r="I13" s="22">
        <v>114061.78719302702</v>
      </c>
      <c r="J13" s="22">
        <v>316.40271677846664</v>
      </c>
      <c r="K13" s="22">
        <v>12500.52784334223</v>
      </c>
      <c r="L13" s="22">
        <v>71574.767155718757</v>
      </c>
      <c r="M13" s="22">
        <v>27378.644361674316</v>
      </c>
      <c r="N13" s="22">
        <v>3491.2892779931817</v>
      </c>
      <c r="O13" s="7">
        <v>303715.49805841019</v>
      </c>
      <c r="P13" s="8"/>
      <c r="S13">
        <v>2025</v>
      </c>
      <c r="T13" s="37">
        <v>299335.87107654253</v>
      </c>
      <c r="U13" s="52">
        <f t="shared" ref="U13:U25" si="5">T13-$T$11</f>
        <v>37895.94573733554</v>
      </c>
      <c r="V13" s="7">
        <v>5980.2870000000003</v>
      </c>
      <c r="W13" s="31">
        <f t="shared" si="2"/>
        <v>5.0053763486023755</v>
      </c>
      <c r="X13" s="38">
        <f t="shared" ref="X13:X25" si="6">W13-W12</f>
        <v>0.17958199792636975</v>
      </c>
      <c r="Y13" s="85">
        <f t="shared" si="0"/>
        <v>2.2073003896564045</v>
      </c>
      <c r="Z13" s="76"/>
      <c r="AE13">
        <v>2025</v>
      </c>
      <c r="AF13" s="49">
        <f t="shared" si="1"/>
        <v>0</v>
      </c>
      <c r="AH13">
        <v>2025</v>
      </c>
      <c r="AI13" s="55">
        <v>1.0439310720504387</v>
      </c>
      <c r="AJ13" s="56">
        <v>2025</v>
      </c>
      <c r="AK13" s="69">
        <f t="shared" si="3"/>
        <v>0.17099320570534451</v>
      </c>
      <c r="AL13" s="66">
        <f t="shared" si="4"/>
        <v>0.16379740988980046</v>
      </c>
    </row>
    <row r="14" spans="2:38" x14ac:dyDescent="0.25">
      <c r="B14" s="13"/>
      <c r="C14" s="14"/>
      <c r="D14" s="3">
        <v>2027</v>
      </c>
      <c r="E14" s="22">
        <v>39855.795905867722</v>
      </c>
      <c r="F14" s="22">
        <v>44226.704848350106</v>
      </c>
      <c r="G14" s="22">
        <v>93824.122301755837</v>
      </c>
      <c r="H14" s="22">
        <v>45933.930451585271</v>
      </c>
      <c r="I14" s="22">
        <v>91790.873616623678</v>
      </c>
      <c r="J14" s="22">
        <v>228.04707147489148</v>
      </c>
      <c r="K14" s="22">
        <v>8758.7034039278296</v>
      </c>
      <c r="L14" s="22">
        <v>60569.650586874544</v>
      </c>
      <c r="M14" s="22">
        <v>30293.978745871515</v>
      </c>
      <c r="N14" s="22">
        <v>-19496.140925264404</v>
      </c>
      <c r="O14" s="7">
        <v>335397.70851532405</v>
      </c>
      <c r="P14" s="8"/>
      <c r="S14">
        <v>2026</v>
      </c>
      <c r="T14" s="37">
        <v>303715.49805841019</v>
      </c>
      <c r="U14" s="52">
        <f t="shared" si="5"/>
        <v>42275.572719203192</v>
      </c>
      <c r="V14" s="7">
        <v>5817.1785</v>
      </c>
      <c r="W14" s="31">
        <f t="shared" si="2"/>
        <v>5.2210104616595512</v>
      </c>
      <c r="X14" s="38">
        <f t="shared" si="6"/>
        <v>0.21563411305717572</v>
      </c>
      <c r="Y14" s="85">
        <f t="shared" si="0"/>
        <v>2.6504285912303356</v>
      </c>
      <c r="Z14" s="76"/>
      <c r="AE14">
        <v>2026</v>
      </c>
      <c r="AF14" s="49">
        <f t="shared" si="1"/>
        <v>1.0905258939579361</v>
      </c>
      <c r="AH14">
        <v>2026</v>
      </c>
      <c r="AI14" s="55">
        <v>1.0656904568489325</v>
      </c>
      <c r="AJ14" s="57">
        <v>2026</v>
      </c>
      <c r="AK14" s="61">
        <f t="shared" si="3"/>
        <v>0.17192376244260432</v>
      </c>
      <c r="AL14" s="68">
        <f t="shared" si="4"/>
        <v>0.16132617247127648</v>
      </c>
    </row>
    <row r="15" spans="2:38" x14ac:dyDescent="0.25">
      <c r="B15" s="13"/>
      <c r="C15" s="14"/>
      <c r="D15" s="3">
        <v>2028</v>
      </c>
      <c r="E15" s="22">
        <v>40132.695935505995</v>
      </c>
      <c r="F15" s="22">
        <v>95807.496969163549</v>
      </c>
      <c r="G15" s="22">
        <v>158268.89449107181</v>
      </c>
      <c r="H15" s="22">
        <v>57720.425645916243</v>
      </c>
      <c r="I15" s="22">
        <v>50214.19821229524</v>
      </c>
      <c r="J15" s="22">
        <v>81.149816868554979</v>
      </c>
      <c r="K15" s="22">
        <v>4211.648306265809</v>
      </c>
      <c r="L15" s="22">
        <v>85957.454818439117</v>
      </c>
      <c r="M15" s="22">
        <v>36181.186342408088</v>
      </c>
      <c r="N15" s="22">
        <v>-51188.214287947558</v>
      </c>
      <c r="O15" s="7">
        <v>405024.56356517068</v>
      </c>
      <c r="P15" s="8"/>
      <c r="S15">
        <v>2027</v>
      </c>
      <c r="T15" s="37">
        <v>335397.70851532405</v>
      </c>
      <c r="U15" s="52">
        <f t="shared" si="5"/>
        <v>73957.783176117053</v>
      </c>
      <c r="V15" s="7">
        <v>5750.4970000000003</v>
      </c>
      <c r="W15" s="31">
        <f t="shared" si="2"/>
        <v>5.8324994955275002</v>
      </c>
      <c r="X15" s="38">
        <f t="shared" si="6"/>
        <v>0.61148903386794906</v>
      </c>
      <c r="Y15" s="85">
        <f t="shared" si="0"/>
        <v>7.5160093902104146</v>
      </c>
      <c r="Z15" s="76"/>
      <c r="AA15" s="44"/>
      <c r="AB15" s="1"/>
      <c r="AE15">
        <v>2027</v>
      </c>
      <c r="AF15" s="49">
        <f t="shared" si="1"/>
        <v>2.8083975497091478</v>
      </c>
      <c r="AH15">
        <v>2027</v>
      </c>
      <c r="AI15" s="55">
        <v>1.0865445120179955</v>
      </c>
      <c r="AJ15" s="56">
        <v>2027</v>
      </c>
      <c r="AK15" s="69">
        <f t="shared" si="3"/>
        <v>0.17751750667175489</v>
      </c>
      <c r="AL15" s="66">
        <f t="shared" si="4"/>
        <v>0.16337803440933935</v>
      </c>
    </row>
    <row r="16" spans="2:38" x14ac:dyDescent="0.25">
      <c r="B16" s="13"/>
      <c r="C16" s="14"/>
      <c r="D16" s="3">
        <v>2029</v>
      </c>
      <c r="E16" s="22">
        <v>40160.035168958937</v>
      </c>
      <c r="F16" s="22">
        <v>122683.42908190396</v>
      </c>
      <c r="G16" s="22">
        <v>187623.56357660139</v>
      </c>
      <c r="H16" s="22">
        <v>63163.561389003342</v>
      </c>
      <c r="I16" s="22">
        <v>119683.91091559609</v>
      </c>
      <c r="J16" s="22">
        <v>63.441296092637366</v>
      </c>
      <c r="K16" s="22">
        <v>4554.2590019403615</v>
      </c>
      <c r="L16" s="22">
        <v>23918.942220034751</v>
      </c>
      <c r="M16" s="22">
        <v>76144.444793419883</v>
      </c>
      <c r="N16" s="22">
        <v>-45052.01236424048</v>
      </c>
      <c r="O16" s="7">
        <v>440654.68549247109</v>
      </c>
      <c r="P16" s="8"/>
      <c r="S16">
        <v>2028</v>
      </c>
      <c r="T16" s="37">
        <v>405024.56356517068</v>
      </c>
      <c r="U16" s="52">
        <f t="shared" si="5"/>
        <v>143584.63822596369</v>
      </c>
      <c r="V16" s="7">
        <v>5712.6194999999998</v>
      </c>
      <c r="W16" s="31">
        <f t="shared" si="2"/>
        <v>7.0899972169539858</v>
      </c>
      <c r="X16" s="38">
        <f t="shared" si="6"/>
        <v>1.2574977214264855</v>
      </c>
      <c r="Y16" s="85">
        <f t="shared" si="0"/>
        <v>15.456311003037031</v>
      </c>
      <c r="Z16" s="76"/>
      <c r="AB16" s="2"/>
      <c r="AE16">
        <v>2028</v>
      </c>
      <c r="AF16" s="49">
        <f t="shared" si="1"/>
        <v>5.0563916918616547</v>
      </c>
      <c r="AH16">
        <v>2028</v>
      </c>
      <c r="AI16" s="55">
        <v>1.1070596932874266</v>
      </c>
      <c r="AJ16" s="57">
        <v>2028</v>
      </c>
      <c r="AK16" s="61">
        <f t="shared" si="3"/>
        <v>0.1897910357946391</v>
      </c>
      <c r="AL16" s="68">
        <f t="shared" si="4"/>
        <v>0.17143703898301313</v>
      </c>
    </row>
    <row r="17" spans="2:38" x14ac:dyDescent="0.25">
      <c r="B17" s="13"/>
      <c r="C17" s="14"/>
      <c r="D17" s="3">
        <v>2030</v>
      </c>
      <c r="E17" s="22">
        <v>40187.094111317601</v>
      </c>
      <c r="F17" s="22">
        <v>130584.51217449151</v>
      </c>
      <c r="G17" s="22">
        <v>183412.46745554337</v>
      </c>
      <c r="H17" s="22">
        <v>66826.188590312668</v>
      </c>
      <c r="I17" s="22">
        <v>85951.46619077833</v>
      </c>
      <c r="J17" s="22">
        <v>20125.300982337645</v>
      </c>
      <c r="K17" s="22">
        <v>5686.258315013526</v>
      </c>
      <c r="L17" s="22">
        <v>44145.233162954479</v>
      </c>
      <c r="M17" s="22">
        <v>70849.497723127904</v>
      </c>
      <c r="N17" s="22">
        <v>-56738.451396712007</v>
      </c>
      <c r="O17" s="7">
        <v>449330.57186290919</v>
      </c>
      <c r="P17" s="8"/>
      <c r="S17">
        <v>2029</v>
      </c>
      <c r="T17" s="37">
        <v>440654.68549247109</v>
      </c>
      <c r="U17" s="52">
        <f t="shared" si="5"/>
        <v>179214.7601532641</v>
      </c>
      <c r="V17" s="7">
        <v>5650.0140000000001</v>
      </c>
      <c r="W17" s="31">
        <f t="shared" si="2"/>
        <v>7.7991786479196525</v>
      </c>
      <c r="X17" s="38">
        <f t="shared" si="6"/>
        <v>0.70918143096566677</v>
      </c>
      <c r="Y17" s="85">
        <f t="shared" si="0"/>
        <v>8.7167782237806559</v>
      </c>
      <c r="Z17" s="76"/>
      <c r="AB17" s="2"/>
      <c r="AE17">
        <v>2029</v>
      </c>
      <c r="AF17" s="49">
        <f t="shared" si="1"/>
        <v>3.8562186398537701</v>
      </c>
      <c r="AH17">
        <v>2029</v>
      </c>
      <c r="AI17" s="55">
        <v>1.1270482223385949</v>
      </c>
      <c r="AJ17" s="56">
        <v>2029</v>
      </c>
      <c r="AK17" s="69">
        <f t="shared" si="3"/>
        <v>0.19637574313725334</v>
      </c>
      <c r="AL17" s="66">
        <f t="shared" si="4"/>
        <v>0.17423898928634918</v>
      </c>
    </row>
    <row r="18" spans="2:38" x14ac:dyDescent="0.25">
      <c r="B18" s="13"/>
      <c r="C18" s="14"/>
      <c r="D18" s="3">
        <v>2031</v>
      </c>
      <c r="E18" s="22">
        <v>40215.194503540864</v>
      </c>
      <c r="F18" s="22">
        <v>138933.48140497861</v>
      </c>
      <c r="G18" s="22">
        <v>180583.25822688581</v>
      </c>
      <c r="H18" s="22">
        <v>66556.199011255943</v>
      </c>
      <c r="I18" s="22">
        <v>70342.088860087693</v>
      </c>
      <c r="J18" s="22">
        <v>16505.529601609614</v>
      </c>
      <c r="K18" s="22">
        <v>4009.2994771971748</v>
      </c>
      <c r="L18" s="22">
        <v>47920.86725185837</v>
      </c>
      <c r="M18" s="22">
        <v>62924.573721123008</v>
      </c>
      <c r="N18" s="22">
        <v>-68061.494935438503</v>
      </c>
      <c r="O18" s="7">
        <v>434079.84968085255</v>
      </c>
      <c r="P18" s="8"/>
      <c r="S18">
        <v>2030</v>
      </c>
      <c r="T18" s="37">
        <v>449330.57186290919</v>
      </c>
      <c r="U18" s="52">
        <f t="shared" si="5"/>
        <v>187890.64652370219</v>
      </c>
      <c r="V18" s="7">
        <v>5608.1180000000004</v>
      </c>
      <c r="W18" s="31">
        <f t="shared" si="2"/>
        <v>8.012145462397708</v>
      </c>
      <c r="X18" s="38">
        <f t="shared" si="6"/>
        <v>0.21296681447805543</v>
      </c>
      <c r="Y18" s="85">
        <f t="shared" si="0"/>
        <v>2.6176439621416434</v>
      </c>
      <c r="Z18" s="76"/>
      <c r="AE18">
        <v>2030</v>
      </c>
      <c r="AF18" s="49">
        <f t="shared" si="1"/>
        <v>3.8911241503468608</v>
      </c>
      <c r="AH18">
        <v>2030</v>
      </c>
      <c r="AI18" s="55">
        <v>1.1471942146165579</v>
      </c>
      <c r="AJ18" s="57">
        <v>2030</v>
      </c>
      <c r="AK18" s="61">
        <f t="shared" si="3"/>
        <v>0.19815972845521099</v>
      </c>
      <c r="AL18" s="68">
        <f t="shared" si="4"/>
        <v>0.17273424667805229</v>
      </c>
    </row>
    <row r="19" spans="2:38" x14ac:dyDescent="0.25">
      <c r="B19" s="13"/>
      <c r="C19" s="14"/>
      <c r="D19" s="3">
        <v>2032</v>
      </c>
      <c r="E19" s="22">
        <v>40243.811898246822</v>
      </c>
      <c r="F19" s="22">
        <v>138933.48140497864</v>
      </c>
      <c r="G19" s="22">
        <v>166901.18094280941</v>
      </c>
      <c r="H19" s="22">
        <v>67404.833949763779</v>
      </c>
      <c r="I19" s="22">
        <v>62279.213561907316</v>
      </c>
      <c r="J19" s="22">
        <v>14884.692807680298</v>
      </c>
      <c r="K19" s="22">
        <v>4713.8049410829799</v>
      </c>
      <c r="L19" s="22">
        <v>56802.232668772602</v>
      </c>
      <c r="M19" s="22">
        <v>59745.919577836983</v>
      </c>
      <c r="N19" s="22">
        <v>-71696.181750224787</v>
      </c>
      <c r="O19" s="7">
        <v>420721.15084718005</v>
      </c>
      <c r="P19" s="8"/>
      <c r="S19">
        <v>2031</v>
      </c>
      <c r="T19" s="37">
        <v>434079.84968085255</v>
      </c>
      <c r="U19" s="52">
        <f t="shared" si="5"/>
        <v>172639.92434164556</v>
      </c>
      <c r="V19" s="7">
        <v>5587.6165000000001</v>
      </c>
      <c r="W19" s="31">
        <f t="shared" si="2"/>
        <v>7.7686049083871902</v>
      </c>
      <c r="X19" s="38">
        <f t="shared" si="6"/>
        <v>-0.24354055401051777</v>
      </c>
      <c r="Y19" s="85">
        <f t="shared" si="0"/>
        <v>-2.9934356782518923</v>
      </c>
      <c r="Z19" s="76"/>
      <c r="AE19">
        <v>2031</v>
      </c>
      <c r="AF19" s="49">
        <f t="shared" si="1"/>
        <v>3.3629443234975267</v>
      </c>
      <c r="AH19">
        <v>2031</v>
      </c>
      <c r="AI19" s="55">
        <v>1.1674640724266716</v>
      </c>
      <c r="AJ19" s="56">
        <v>2031</v>
      </c>
      <c r="AK19" s="69">
        <f t="shared" si="3"/>
        <v>0.19555327656387855</v>
      </c>
      <c r="AL19" s="66">
        <f t="shared" si="4"/>
        <v>0.16750260773113534</v>
      </c>
    </row>
    <row r="20" spans="2:38" x14ac:dyDescent="0.25">
      <c r="B20" s="13"/>
      <c r="C20" s="14"/>
      <c r="D20" s="3">
        <v>2033</v>
      </c>
      <c r="E20" s="22">
        <v>40272.96386755765</v>
      </c>
      <c r="F20" s="22">
        <v>138933.48140497864</v>
      </c>
      <c r="G20" s="22">
        <v>156179.07007904752</v>
      </c>
      <c r="H20" s="22">
        <v>68224.564157165325</v>
      </c>
      <c r="I20" s="22">
        <v>68128.212027893882</v>
      </c>
      <c r="J20" s="22">
        <v>15755.217707326981</v>
      </c>
      <c r="K20" s="22">
        <v>4853.6969080295075</v>
      </c>
      <c r="L20" s="22">
        <v>58440.75687911141</v>
      </c>
      <c r="M20" s="22">
        <v>66432.584290370491</v>
      </c>
      <c r="N20" s="22">
        <v>-72993.568825458016</v>
      </c>
      <c r="O20" s="7">
        <v>411361.80991528247</v>
      </c>
      <c r="P20" s="8"/>
      <c r="S20">
        <v>2032</v>
      </c>
      <c r="T20" s="37">
        <v>420721.15084718005</v>
      </c>
      <c r="U20" s="52">
        <f t="shared" si="5"/>
        <v>159281.22550797305</v>
      </c>
      <c r="V20" s="7">
        <v>5578.8540000000003</v>
      </c>
      <c r="W20" s="31">
        <f t="shared" si="2"/>
        <v>7.5413543865313564</v>
      </c>
      <c r="X20" s="38">
        <f t="shared" si="6"/>
        <v>-0.22725052185583383</v>
      </c>
      <c r="Y20" s="85">
        <f t="shared" si="0"/>
        <v>-2.7932096269898277</v>
      </c>
      <c r="Z20" s="76"/>
      <c r="AE20">
        <v>2032</v>
      </c>
      <c r="AF20" s="49">
        <f t="shared" si="1"/>
        <v>3.3420031035254256</v>
      </c>
      <c r="AH20">
        <v>2032</v>
      </c>
      <c r="AI20" s="55">
        <v>1.1889435528239123</v>
      </c>
      <c r="AJ20" s="57">
        <v>2032</v>
      </c>
      <c r="AK20" s="61">
        <f t="shared" si="3"/>
        <v>0.19320728132715898</v>
      </c>
      <c r="AL20" s="68">
        <f t="shared" si="4"/>
        <v>0.16250332563582504</v>
      </c>
    </row>
    <row r="21" spans="2:38" x14ac:dyDescent="0.25">
      <c r="B21" s="13"/>
      <c r="C21" s="14"/>
      <c r="D21" s="3">
        <v>2034</v>
      </c>
      <c r="E21" s="22">
        <v>40302.661450418993</v>
      </c>
      <c r="F21" s="22">
        <v>138933.48140497861</v>
      </c>
      <c r="G21" s="22">
        <v>146046.55117607847</v>
      </c>
      <c r="H21" s="22">
        <v>69164.22332861922</v>
      </c>
      <c r="I21" s="22">
        <v>61372.158933824685</v>
      </c>
      <c r="J21" s="22">
        <v>14271.637878588095</v>
      </c>
      <c r="K21" s="22">
        <v>4496.4920577856674</v>
      </c>
      <c r="L21" s="22">
        <v>61795.27269201228</v>
      </c>
      <c r="M21" s="22">
        <v>58726.173562375458</v>
      </c>
      <c r="N21" s="22">
        <v>-75180.023169999564</v>
      </c>
      <c r="O21" s="7">
        <v>402476.28218993091</v>
      </c>
      <c r="P21" s="8"/>
      <c r="S21">
        <v>2033</v>
      </c>
      <c r="T21" s="37">
        <v>411361.80991528247</v>
      </c>
      <c r="U21" s="52">
        <f t="shared" si="5"/>
        <v>149921.88457607548</v>
      </c>
      <c r="V21" s="7">
        <v>5535.9539999999997</v>
      </c>
      <c r="W21" s="31">
        <f t="shared" si="2"/>
        <v>7.4307302754914968</v>
      </c>
      <c r="X21" s="38">
        <f t="shared" si="6"/>
        <v>-0.11062411103985959</v>
      </c>
      <c r="Y21" s="85">
        <f t="shared" si="0"/>
        <v>-1.3597167100445764</v>
      </c>
      <c r="Z21" s="76"/>
      <c r="AE21">
        <v>2033</v>
      </c>
      <c r="AF21" s="49">
        <f t="shared" si="1"/>
        <v>3.6705236596956583</v>
      </c>
      <c r="AH21">
        <v>2033</v>
      </c>
      <c r="AI21" s="55">
        <v>1.2111530878459025</v>
      </c>
      <c r="AJ21" s="56">
        <v>2033</v>
      </c>
      <c r="AK21" s="69">
        <f t="shared" si="3"/>
        <v>0.1917378854623733</v>
      </c>
      <c r="AL21" s="66">
        <f t="shared" si="4"/>
        <v>0.15831019826188025</v>
      </c>
    </row>
    <row r="22" spans="2:38" x14ac:dyDescent="0.25">
      <c r="B22" s="13"/>
      <c r="C22" s="14"/>
      <c r="D22" s="3">
        <v>2035</v>
      </c>
      <c r="E22" s="22">
        <v>40332.916359652721</v>
      </c>
      <c r="F22" s="22">
        <v>143772.44966786547</v>
      </c>
      <c r="G22" s="22">
        <v>141774.0199271779</v>
      </c>
      <c r="H22" s="22">
        <v>71162.036927869936</v>
      </c>
      <c r="I22" s="22">
        <v>61457.19513199613</v>
      </c>
      <c r="J22" s="22">
        <v>14565.790231355299</v>
      </c>
      <c r="K22" s="22">
        <v>5389.4086285362764</v>
      </c>
      <c r="L22" s="22">
        <v>60583.651988866564</v>
      </c>
      <c r="M22" s="22">
        <v>56464.128236899734</v>
      </c>
      <c r="N22" s="22">
        <v>-75578.536181004281</v>
      </c>
      <c r="O22" s="7">
        <v>406994.80444541632</v>
      </c>
      <c r="P22" s="8"/>
      <c r="S22">
        <v>2034</v>
      </c>
      <c r="T22" s="37">
        <v>402476.28218993091</v>
      </c>
      <c r="U22" s="52">
        <f t="shared" si="5"/>
        <v>141036.35685072391</v>
      </c>
      <c r="V22" s="7">
        <v>5517.0240000000003</v>
      </c>
      <c r="W22" s="31">
        <f t="shared" si="2"/>
        <v>7.295170044392246</v>
      </c>
      <c r="X22" s="38">
        <f t="shared" si="6"/>
        <v>-0.13556023109925075</v>
      </c>
      <c r="Y22" s="85">
        <f t="shared" si="0"/>
        <v>-1.6662146227483907</v>
      </c>
      <c r="Z22" s="76"/>
      <c r="AE22">
        <v>2034</v>
      </c>
      <c r="AF22" s="49">
        <f t="shared" si="1"/>
        <v>4.0224671465514126</v>
      </c>
      <c r="AH22">
        <v>2034</v>
      </c>
      <c r="AI22" s="55">
        <v>1.2338212489374649</v>
      </c>
      <c r="AJ22" s="57">
        <v>2034</v>
      </c>
      <c r="AK22" s="61">
        <f t="shared" si="3"/>
        <v>0.19022024205283022</v>
      </c>
      <c r="AL22" s="68">
        <f t="shared" si="4"/>
        <v>0.15417163727455901</v>
      </c>
    </row>
    <row r="23" spans="2:38" x14ac:dyDescent="0.25">
      <c r="B23" s="13"/>
      <c r="C23" s="14"/>
      <c r="D23" s="3">
        <v>2036</v>
      </c>
      <c r="E23" s="22">
        <v>40363.747048701392</v>
      </c>
      <c r="F23" s="22">
        <v>143772.44966786544</v>
      </c>
      <c r="G23" s="22">
        <v>131717.14080407724</v>
      </c>
      <c r="H23" s="22">
        <v>72170.855763007668</v>
      </c>
      <c r="I23" s="22">
        <v>71248.421957816681</v>
      </c>
      <c r="J23" s="22">
        <v>17397.10849152107</v>
      </c>
      <c r="K23" s="22">
        <v>5289.2307039522793</v>
      </c>
      <c r="L23" s="22">
        <v>56800.223854052922</v>
      </c>
      <c r="M23" s="22">
        <v>68081.844901564589</v>
      </c>
      <c r="N23" s="22">
        <v>-67881.757725165298</v>
      </c>
      <c r="O23" s="7">
        <v>402795.57566426485</v>
      </c>
      <c r="P23" s="8"/>
      <c r="S23">
        <v>2035</v>
      </c>
      <c r="T23" s="37">
        <v>406994.80444541632</v>
      </c>
      <c r="U23" s="52">
        <f t="shared" si="5"/>
        <v>145554.87910620932</v>
      </c>
      <c r="V23" s="7">
        <v>5498.8545000000004</v>
      </c>
      <c r="W23" s="31">
        <f t="shared" si="2"/>
        <v>7.401447054935101</v>
      </c>
      <c r="X23" s="38">
        <f t="shared" si="6"/>
        <v>0.10627701054285499</v>
      </c>
      <c r="Y23" s="85">
        <f t="shared" si="0"/>
        <v>1.3062850925566809</v>
      </c>
      <c r="Z23" s="76"/>
      <c r="AE23">
        <v>2035</v>
      </c>
      <c r="AF23" s="49">
        <f t="shared" si="1"/>
        <v>7.6781353908069319</v>
      </c>
      <c r="AH23">
        <v>2035</v>
      </c>
      <c r="AI23" s="55">
        <v>1.2569760330844424</v>
      </c>
      <c r="AJ23" s="56">
        <v>2035</v>
      </c>
      <c r="AK23" s="69">
        <f t="shared" si="3"/>
        <v>0.19112643161860973</v>
      </c>
      <c r="AL23" s="66">
        <f t="shared" si="4"/>
        <v>0.15205256630837452</v>
      </c>
    </row>
    <row r="24" spans="2:38" x14ac:dyDescent="0.25">
      <c r="B24" s="13"/>
      <c r="C24" s="14"/>
      <c r="D24" s="3">
        <v>2037</v>
      </c>
      <c r="E24" s="22">
        <v>40395.168669099439</v>
      </c>
      <c r="F24" s="22">
        <v>143772.44966786544</v>
      </c>
      <c r="G24" s="22">
        <v>121855.2168100509</v>
      </c>
      <c r="H24" s="22">
        <v>73114.698726126211</v>
      </c>
      <c r="I24" s="22">
        <v>65115.0728392608</v>
      </c>
      <c r="J24" s="22">
        <v>16254.009737718414</v>
      </c>
      <c r="K24" s="22">
        <v>3988.0167925341684</v>
      </c>
      <c r="L24" s="22">
        <v>61114.208939054311</v>
      </c>
      <c r="M24" s="22">
        <v>62202.929314156259</v>
      </c>
      <c r="N24" s="22">
        <v>-28117.570249273376</v>
      </c>
      <c r="O24" s="7">
        <v>435288.34261827997</v>
      </c>
      <c r="P24" s="8"/>
      <c r="S24">
        <v>2036</v>
      </c>
      <c r="T24" s="37">
        <v>402795.57566426485</v>
      </c>
      <c r="U24" s="52">
        <f t="shared" si="5"/>
        <v>141355.65032505785</v>
      </c>
      <c r="V24" s="7">
        <v>5500.8864999999996</v>
      </c>
      <c r="W24" s="31">
        <f t="shared" si="2"/>
        <v>7.322375687341756</v>
      </c>
      <c r="X24" s="38">
        <f t="shared" si="6"/>
        <v>-7.9071367593344988E-2</v>
      </c>
      <c r="Y24" s="85">
        <f t="shared" si="0"/>
        <v>-0.97189174034591053</v>
      </c>
      <c r="Z24" s="76"/>
      <c r="AE24">
        <v>2036</v>
      </c>
      <c r="AF24" s="49">
        <f t="shared" si="1"/>
        <v>9.1470744310806289</v>
      </c>
      <c r="AH24">
        <v>2036</v>
      </c>
      <c r="AI24" s="55">
        <v>1.2808974873557684</v>
      </c>
      <c r="AJ24" s="57">
        <v>2036</v>
      </c>
      <c r="AK24" s="61">
        <f t="shared" si="3"/>
        <v>0.19035328061917733</v>
      </c>
      <c r="AL24" s="68">
        <f t="shared" si="4"/>
        <v>0.14860930128931296</v>
      </c>
    </row>
    <row r="25" spans="2:38" ht="15.75" thickBot="1" x14ac:dyDescent="0.3">
      <c r="B25" s="13"/>
      <c r="C25" s="23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8"/>
      <c r="S25">
        <v>2037</v>
      </c>
      <c r="T25" s="39">
        <v>435288.34261827997</v>
      </c>
      <c r="U25" s="53">
        <f t="shared" si="5"/>
        <v>173848.41727907298</v>
      </c>
      <c r="V25" s="40">
        <v>5469.2955000000002</v>
      </c>
      <c r="W25" s="41">
        <f t="shared" si="2"/>
        <v>7.9587643896417735</v>
      </c>
      <c r="X25" s="42">
        <f t="shared" si="6"/>
        <v>0.63638870230001743</v>
      </c>
      <c r="Y25" s="85">
        <f t="shared" si="0"/>
        <v>7.8220592641791535</v>
      </c>
      <c r="Z25" s="76"/>
      <c r="AE25">
        <v>2037</v>
      </c>
      <c r="AF25" s="50">
        <f t="shared" si="1"/>
        <v>11.395950032244757</v>
      </c>
      <c r="AH25">
        <v>2037</v>
      </c>
      <c r="AI25" s="55">
        <v>1.3054484300682174</v>
      </c>
      <c r="AJ25" s="58">
        <v>2037</v>
      </c>
      <c r="AK25" s="70">
        <f t="shared" si="3"/>
        <v>0.19644264939850492</v>
      </c>
      <c r="AL25" s="67">
        <f t="shared" si="4"/>
        <v>0.15047905752067098</v>
      </c>
    </row>
    <row r="26" spans="2:38" x14ac:dyDescent="0.25">
      <c r="B26" s="13"/>
      <c r="C26" s="14" t="s">
        <v>25</v>
      </c>
      <c r="D26" s="14"/>
      <c r="E26" s="24">
        <v>381214.42872199917</v>
      </c>
      <c r="F26" s="24">
        <v>750264.38954770565</v>
      </c>
      <c r="G26" s="24">
        <v>1072782.4754114863</v>
      </c>
      <c r="H26" s="24">
        <v>479824.08043757628</v>
      </c>
      <c r="I26" s="24">
        <v>990199.06149686896</v>
      </c>
      <c r="J26" s="24">
        <v>67794.214466923178</v>
      </c>
      <c r="K26" s="24">
        <v>80774.307362978798</v>
      </c>
      <c r="L26" s="24">
        <v>526023.00040220225</v>
      </c>
      <c r="M26" s="24">
        <v>516726.36783918017</v>
      </c>
      <c r="N26" s="24">
        <v>-310286.50537398417</v>
      </c>
      <c r="O26" s="9">
        <v>3521863.0846345765</v>
      </c>
      <c r="P26" s="8"/>
      <c r="T26" s="81"/>
      <c r="U26" s="81"/>
      <c r="V26" s="22" t="s">
        <v>63</v>
      </c>
      <c r="W26" s="86">
        <f>_xlfn.RRI(5,W11,W16)</f>
        <v>8.8104570101610991E-2</v>
      </c>
      <c r="Z26" s="54"/>
      <c r="AA26" s="82"/>
      <c r="AB26" s="83"/>
      <c r="AC26" s="79"/>
    </row>
    <row r="27" spans="2:38" x14ac:dyDescent="0.25">
      <c r="B27" s="13"/>
      <c r="C27" s="14" t="s">
        <v>26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24">
        <v>3521863.0846345765</v>
      </c>
      <c r="P27" s="8"/>
      <c r="T27" s="81"/>
      <c r="U27" s="81"/>
      <c r="V27" s="22" t="s">
        <v>61</v>
      </c>
      <c r="W27" s="84">
        <f>_xlfn.RRI(10,W11,W20)</f>
        <v>4.9580239667544435E-2</v>
      </c>
      <c r="Z27" s="54"/>
      <c r="AA27" s="82"/>
      <c r="AB27" s="83"/>
      <c r="AC27" s="79"/>
    </row>
    <row r="28" spans="2:38" ht="15.75" thickBot="1" x14ac:dyDescent="0.3"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8"/>
      <c r="P28" s="27"/>
      <c r="T28" s="81"/>
      <c r="U28" s="81"/>
      <c r="V28" s="22" t="s">
        <v>62</v>
      </c>
      <c r="W28" s="84">
        <f>_xlfn.RRI(15,W11,W25)</f>
        <v>3.6502093674218861E-2</v>
      </c>
      <c r="Z28" s="54"/>
      <c r="AA28" s="82"/>
      <c r="AB28" s="83"/>
      <c r="AC28" s="79"/>
    </row>
    <row r="29" spans="2:38" ht="15.75" thickBot="1" x14ac:dyDescent="0.3">
      <c r="Z29" s="54"/>
      <c r="AA29" s="82"/>
      <c r="AB29" s="83"/>
    </row>
    <row r="30" spans="2:38" x14ac:dyDescent="0.25">
      <c r="B30" s="10"/>
      <c r="C30" s="91" t="s">
        <v>39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Z30" s="54"/>
      <c r="AA30" s="82"/>
      <c r="AB30" s="83"/>
    </row>
    <row r="31" spans="2:38" ht="15.75" thickBot="1" x14ac:dyDescent="0.3">
      <c r="B31" s="25"/>
      <c r="C31" s="92"/>
      <c r="D31" s="14"/>
      <c r="E31" s="88" t="s">
        <v>0</v>
      </c>
      <c r="F31" s="89"/>
      <c r="G31" s="89"/>
      <c r="H31" s="89"/>
      <c r="I31" s="89"/>
      <c r="J31" s="89"/>
      <c r="K31" s="89"/>
      <c r="L31" s="89"/>
      <c r="M31" s="89"/>
      <c r="N31" s="89"/>
      <c r="O31" s="90"/>
      <c r="P31" s="8"/>
      <c r="Z31" s="54"/>
      <c r="AA31" s="82"/>
      <c r="AB31" s="83"/>
    </row>
    <row r="32" spans="2:38" x14ac:dyDescent="0.25"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8"/>
      <c r="Z32" s="54"/>
      <c r="AA32" s="82"/>
      <c r="AB32" s="83"/>
    </row>
    <row r="33" spans="2:28" x14ac:dyDescent="0.25">
      <c r="B33" s="13"/>
      <c r="C33" s="14"/>
      <c r="D33" s="14"/>
      <c r="E33" s="15" t="s">
        <v>28</v>
      </c>
      <c r="F33" s="15" t="s">
        <v>29</v>
      </c>
      <c r="G33" s="15" t="s">
        <v>30</v>
      </c>
      <c r="H33" s="15" t="s">
        <v>31</v>
      </c>
      <c r="I33" s="15" t="s">
        <v>32</v>
      </c>
      <c r="J33" s="15" t="s">
        <v>33</v>
      </c>
      <c r="K33" s="15" t="s">
        <v>34</v>
      </c>
      <c r="L33" s="15" t="s">
        <v>35</v>
      </c>
      <c r="M33" s="15" t="s">
        <v>36</v>
      </c>
      <c r="N33" s="15" t="s">
        <v>37</v>
      </c>
      <c r="O33" s="16" t="s">
        <v>2</v>
      </c>
      <c r="P33" s="8"/>
      <c r="Z33" s="54"/>
      <c r="AA33" s="82"/>
      <c r="AB33" s="83"/>
    </row>
    <row r="34" spans="2:28" x14ac:dyDescent="0.25">
      <c r="B34" s="13"/>
      <c r="C34" s="14"/>
      <c r="D34" s="3"/>
      <c r="E34" s="17" t="s">
        <v>3</v>
      </c>
      <c r="F34" s="17" t="s">
        <v>4</v>
      </c>
      <c r="G34" s="17" t="s">
        <v>5</v>
      </c>
      <c r="H34" s="17" t="s">
        <v>6</v>
      </c>
      <c r="I34" s="17" t="s">
        <v>7</v>
      </c>
      <c r="J34" s="17" t="s">
        <v>8</v>
      </c>
      <c r="K34" s="18" t="s">
        <v>9</v>
      </c>
      <c r="L34" s="18" t="s">
        <v>10</v>
      </c>
      <c r="M34" s="19" t="s">
        <v>11</v>
      </c>
      <c r="N34" s="17" t="s">
        <v>12</v>
      </c>
      <c r="O34" s="4" t="s">
        <v>13</v>
      </c>
      <c r="P34" s="8"/>
      <c r="Z34" s="54"/>
      <c r="AA34" s="82"/>
      <c r="AB34" s="83"/>
    </row>
    <row r="35" spans="2:28" x14ac:dyDescent="0.25">
      <c r="B35" s="13"/>
      <c r="C35" s="14"/>
      <c r="D35" s="3"/>
      <c r="E35" s="18" t="s">
        <v>14</v>
      </c>
      <c r="F35" s="18" t="s">
        <v>14</v>
      </c>
      <c r="G35" s="18" t="s">
        <v>15</v>
      </c>
      <c r="H35" s="18"/>
      <c r="I35" s="18"/>
      <c r="J35" s="18" t="s">
        <v>16</v>
      </c>
      <c r="K35" s="18" t="s">
        <v>17</v>
      </c>
      <c r="L35" s="20" t="s">
        <v>16</v>
      </c>
      <c r="M35" s="18" t="s">
        <v>18</v>
      </c>
      <c r="N35" s="18"/>
      <c r="O35" s="5" t="s">
        <v>19</v>
      </c>
      <c r="P35" s="8"/>
      <c r="Z35" s="54"/>
      <c r="AA35" s="82"/>
      <c r="AB35" s="83"/>
    </row>
    <row r="36" spans="2:28" x14ac:dyDescent="0.25">
      <c r="B36" s="13"/>
      <c r="C36" s="14"/>
      <c r="D36" s="3"/>
      <c r="E36" s="20"/>
      <c r="F36" s="20"/>
      <c r="G36" s="20"/>
      <c r="H36" s="20"/>
      <c r="I36" s="18"/>
      <c r="J36" s="18"/>
      <c r="K36" s="14"/>
      <c r="L36" s="14"/>
      <c r="M36" s="18" t="s">
        <v>20</v>
      </c>
      <c r="N36" s="18"/>
      <c r="O36" s="5" t="s">
        <v>16</v>
      </c>
      <c r="P36" s="8"/>
      <c r="Z36" s="54"/>
      <c r="AA36" s="82"/>
      <c r="AB36" s="83"/>
    </row>
    <row r="37" spans="2:28" x14ac:dyDescent="0.25">
      <c r="B37" s="13"/>
      <c r="C37" s="14"/>
      <c r="D37" s="3"/>
      <c r="E37" s="21" t="s">
        <v>21</v>
      </c>
      <c r="F37" s="21" t="s">
        <v>21</v>
      </c>
      <c r="G37" s="21" t="s">
        <v>21</v>
      </c>
      <c r="H37" s="21" t="s">
        <v>21</v>
      </c>
      <c r="I37" s="21" t="s">
        <v>21</v>
      </c>
      <c r="J37" s="21" t="s">
        <v>21</v>
      </c>
      <c r="K37" s="21" t="s">
        <v>21</v>
      </c>
      <c r="L37" s="21" t="s">
        <v>21</v>
      </c>
      <c r="M37" s="21" t="s">
        <v>21</v>
      </c>
      <c r="N37" s="21" t="s">
        <v>21</v>
      </c>
      <c r="O37" s="6" t="s">
        <v>21</v>
      </c>
      <c r="P37" s="8"/>
      <c r="Z37" s="54"/>
      <c r="AA37" s="82"/>
      <c r="AB37" s="83"/>
    </row>
    <row r="38" spans="2:28" ht="14.45" customHeight="1" x14ac:dyDescent="0.25">
      <c r="B38" s="13"/>
      <c r="C38" s="14"/>
      <c r="D38" s="3">
        <v>2023</v>
      </c>
      <c r="E38" s="22">
        <v>38400.277140355458</v>
      </c>
      <c r="F38" s="22">
        <v>0</v>
      </c>
      <c r="G38" s="22">
        <v>39370.842004361941</v>
      </c>
      <c r="H38" s="22">
        <v>17559.273735824721</v>
      </c>
      <c r="I38" s="22">
        <v>182415.05329407274</v>
      </c>
      <c r="J38" s="22">
        <v>494.43915822011189</v>
      </c>
      <c r="K38" s="22">
        <v>15187.202672610181</v>
      </c>
      <c r="L38" s="22">
        <v>33410.648269342266</v>
      </c>
      <c r="M38" s="22">
        <v>77510.12551162079</v>
      </c>
      <c r="N38" s="22">
        <v>12112.314576040661</v>
      </c>
      <c r="O38" s="7">
        <v>261439.92533920734</v>
      </c>
      <c r="P38" s="8"/>
      <c r="Z38" s="54"/>
      <c r="AA38" s="82"/>
      <c r="AB38" s="83"/>
    </row>
    <row r="39" spans="2:28" x14ac:dyDescent="0.25">
      <c r="B39" s="13"/>
      <c r="C39" s="14"/>
      <c r="D39" s="3">
        <v>2024</v>
      </c>
      <c r="E39" s="22">
        <v>38764.487316831954</v>
      </c>
      <c r="F39" s="22">
        <v>0</v>
      </c>
      <c r="G39" s="22">
        <v>37614.570906619505</v>
      </c>
      <c r="H39" s="22">
        <v>22755.862591921443</v>
      </c>
      <c r="I39" s="22">
        <v>177860.29062658601</v>
      </c>
      <c r="J39" s="22">
        <v>486.36855406874292</v>
      </c>
      <c r="K39" s="22">
        <v>15628.913458140172</v>
      </c>
      <c r="L39" s="22">
        <v>38344.594118616282</v>
      </c>
      <c r="M39" s="22">
        <v>49808.241846435667</v>
      </c>
      <c r="N39" s="22">
        <v>11298.701915571197</v>
      </c>
      <c r="O39" s="7">
        <v>292945.54764191958</v>
      </c>
      <c r="P39" s="8"/>
      <c r="Z39" s="54"/>
      <c r="AA39" s="82"/>
      <c r="AB39" s="83"/>
    </row>
    <row r="40" spans="2:28" ht="15.75" thickBot="1" x14ac:dyDescent="0.3">
      <c r="B40" s="13"/>
      <c r="C40" s="14"/>
      <c r="D40" s="3">
        <v>2025</v>
      </c>
      <c r="E40" s="22">
        <v>39080.706675409638</v>
      </c>
      <c r="F40" s="22">
        <v>0</v>
      </c>
      <c r="G40" s="22">
        <v>35747.298379438449</v>
      </c>
      <c r="H40" s="22">
        <v>24448.805475638837</v>
      </c>
      <c r="I40" s="22">
        <v>132575.81389278028</v>
      </c>
      <c r="J40" s="22">
        <v>357.48749655435125</v>
      </c>
      <c r="K40" s="22">
        <v>13009.833962709714</v>
      </c>
      <c r="L40" s="22">
        <v>71863.368656334584</v>
      </c>
      <c r="M40" s="22">
        <v>28425.976180430604</v>
      </c>
      <c r="N40" s="22">
        <v>10678.532718107332</v>
      </c>
      <c r="O40" s="7">
        <v>299335.87107654253</v>
      </c>
      <c r="P40" s="8"/>
      <c r="Z40" s="54"/>
      <c r="AA40" s="82"/>
      <c r="AB40" s="83"/>
    </row>
    <row r="41" spans="2:28" ht="30.75" thickBot="1" x14ac:dyDescent="0.3">
      <c r="B41" s="13"/>
      <c r="C41" s="14"/>
      <c r="D41" s="3">
        <v>2026</v>
      </c>
      <c r="E41" s="22">
        <v>39552.865444980933</v>
      </c>
      <c r="F41" s="22">
        <v>8415.5986024564827</v>
      </c>
      <c r="G41" s="22">
        <v>46138.033076276522</v>
      </c>
      <c r="H41" s="22">
        <v>29437.245460627873</v>
      </c>
      <c r="I41" s="22">
        <v>114061.78719302702</v>
      </c>
      <c r="J41" s="22">
        <v>316.40271677846664</v>
      </c>
      <c r="K41" s="22">
        <v>12500.52784334223</v>
      </c>
      <c r="L41" s="22">
        <v>72413.385164037027</v>
      </c>
      <c r="M41" s="22">
        <v>27105.089115950956</v>
      </c>
      <c r="N41" s="22">
        <v>3491.2892779931817</v>
      </c>
      <c r="O41" s="7">
        <v>299222.04566356877</v>
      </c>
      <c r="P41" s="8"/>
      <c r="T41" s="32" t="s">
        <v>27</v>
      </c>
      <c r="U41" s="51" t="s">
        <v>44</v>
      </c>
      <c r="V41" s="33" t="s">
        <v>22</v>
      </c>
      <c r="W41" s="33" t="s">
        <v>1</v>
      </c>
      <c r="X41" s="34" t="s">
        <v>23</v>
      </c>
      <c r="Y41" s="87" t="s">
        <v>64</v>
      </c>
    </row>
    <row r="42" spans="2:28" x14ac:dyDescent="0.25">
      <c r="B42" s="13"/>
      <c r="C42" s="14"/>
      <c r="D42" s="3">
        <v>2027</v>
      </c>
      <c r="E42" s="22">
        <v>39855.795905867722</v>
      </c>
      <c r="F42" s="22">
        <v>35081.371388803898</v>
      </c>
      <c r="G42" s="22">
        <v>80785.204769802353</v>
      </c>
      <c r="H42" s="22">
        <v>37286.931723976413</v>
      </c>
      <c r="I42" s="22">
        <v>91790.873616623678</v>
      </c>
      <c r="J42" s="22">
        <v>228.04707147489148</v>
      </c>
      <c r="K42" s="22">
        <v>8758.7034039278296</v>
      </c>
      <c r="L42" s="22">
        <v>68032.089427906147</v>
      </c>
      <c r="M42" s="22">
        <v>25579.158293677094</v>
      </c>
      <c r="N42" s="22">
        <v>-13044.979151079737</v>
      </c>
      <c r="O42" s="7">
        <v>323194.87986362615</v>
      </c>
      <c r="P42" s="8"/>
      <c r="S42">
        <v>2023</v>
      </c>
      <c r="T42" s="35">
        <v>261439.92533920734</v>
      </c>
      <c r="U42" s="52"/>
      <c r="V42" s="29">
        <v>5624.4364999999998</v>
      </c>
      <c r="W42" s="30">
        <f>T42/(V42*10)</f>
        <v>4.6482865499362891</v>
      </c>
      <c r="X42" s="36"/>
      <c r="Y42" s="85">
        <f>X42*$AB$12</f>
        <v>0</v>
      </c>
      <c r="Z42" s="76"/>
    </row>
    <row r="43" spans="2:28" x14ac:dyDescent="0.25">
      <c r="B43" s="13"/>
      <c r="C43" s="14"/>
      <c r="D43" s="3">
        <v>2028</v>
      </c>
      <c r="E43" s="22">
        <v>39987.539532195908</v>
      </c>
      <c r="F43" s="22">
        <v>70883.493056693304</v>
      </c>
      <c r="G43" s="22">
        <v>124024.21755310807</v>
      </c>
      <c r="H43" s="22">
        <v>46116.646079356811</v>
      </c>
      <c r="I43" s="22">
        <v>50214.19821229524</v>
      </c>
      <c r="J43" s="22">
        <v>81.149816868554979</v>
      </c>
      <c r="K43" s="22">
        <v>4211.648306265809</v>
      </c>
      <c r="L43" s="22">
        <v>110738.81505566269</v>
      </c>
      <c r="M43" s="22">
        <v>25583.13907023162</v>
      </c>
      <c r="N43" s="22">
        <v>-37817.366856091932</v>
      </c>
      <c r="O43" s="7">
        <v>382857.20168612286</v>
      </c>
      <c r="P43" s="8"/>
      <c r="S43">
        <v>2024</v>
      </c>
      <c r="T43" s="37">
        <v>292945.54764191958</v>
      </c>
      <c r="U43" s="52">
        <f>T43-$T$42</f>
        <v>31505.622302712232</v>
      </c>
      <c r="V43" s="7">
        <v>6071.5240000000003</v>
      </c>
      <c r="W43" s="31">
        <f t="shared" ref="W43:W56" si="7">T43/(V43*10)</f>
        <v>4.8249096543457552</v>
      </c>
      <c r="X43" s="38">
        <f>W43-W42</f>
        <v>0.17662310440946616</v>
      </c>
      <c r="Y43" s="85">
        <f t="shared" ref="Y43:Y56" si="8">(X43/100)*$AB$12</f>
        <v>2.1709316729240573</v>
      </c>
      <c r="Z43" s="76"/>
    </row>
    <row r="44" spans="2:28" x14ac:dyDescent="0.25">
      <c r="B44" s="13"/>
      <c r="C44" s="14"/>
      <c r="D44" s="3">
        <v>2029</v>
      </c>
      <c r="E44" s="22">
        <v>40014.878765648849</v>
      </c>
      <c r="F44" s="22">
        <v>114660.60705632885</v>
      </c>
      <c r="G44" s="22">
        <v>181264.72401790277</v>
      </c>
      <c r="H44" s="22">
        <v>57810.692572654632</v>
      </c>
      <c r="I44" s="22">
        <v>119683.91091559609</v>
      </c>
      <c r="J44" s="22">
        <v>63.441296092637366</v>
      </c>
      <c r="K44" s="22">
        <v>4554.2590019403615</v>
      </c>
      <c r="L44" s="22">
        <v>22565.509637184408</v>
      </c>
      <c r="M44" s="22">
        <v>70696.10438618304</v>
      </c>
      <c r="N44" s="22">
        <v>-45306.124779465703</v>
      </c>
      <c r="O44" s="7">
        <v>424615.79409769987</v>
      </c>
      <c r="P44" s="8"/>
      <c r="S44">
        <v>2025</v>
      </c>
      <c r="T44" s="37">
        <v>299335.87107654253</v>
      </c>
      <c r="U44" s="52">
        <f t="shared" ref="U44:U56" si="9">T44-$T$42</f>
        <v>37895.945737335191</v>
      </c>
      <c r="V44" s="7">
        <v>5980.2870000000003</v>
      </c>
      <c r="W44" s="31">
        <f t="shared" si="7"/>
        <v>5.0053763486023755</v>
      </c>
      <c r="X44" s="38">
        <f t="shared" ref="X44:X56" si="10">W44-W43</f>
        <v>0.18046669425662021</v>
      </c>
      <c r="Y44" s="85">
        <f t="shared" si="8"/>
        <v>2.2181744782456745</v>
      </c>
      <c r="Z44" s="76"/>
    </row>
    <row r="45" spans="2:28" x14ac:dyDescent="0.25">
      <c r="B45" s="13"/>
      <c r="C45" s="14"/>
      <c r="D45" s="3">
        <v>2030</v>
      </c>
      <c r="E45" s="22">
        <v>40041.937708007521</v>
      </c>
      <c r="F45" s="22">
        <v>122561.69014891639</v>
      </c>
      <c r="G45" s="22">
        <v>176929.12817560992</v>
      </c>
      <c r="H45" s="22">
        <v>61550.823027928687</v>
      </c>
      <c r="I45" s="22">
        <v>85951.46619077833</v>
      </c>
      <c r="J45" s="22">
        <v>20125.300982337645</v>
      </c>
      <c r="K45" s="22">
        <v>5686.258315013526</v>
      </c>
      <c r="L45" s="22">
        <v>41621.699680263402</v>
      </c>
      <c r="M45" s="22">
        <v>63894.260241301941</v>
      </c>
      <c r="N45" s="22">
        <v>-57102.06117693305</v>
      </c>
      <c r="O45" s="7">
        <v>433471.98281062039</v>
      </c>
      <c r="P45" s="8"/>
      <c r="S45">
        <v>2026</v>
      </c>
      <c r="T45" s="37">
        <v>299222.04566356877</v>
      </c>
      <c r="U45" s="52">
        <f t="shared" si="9"/>
        <v>37782.120324361429</v>
      </c>
      <c r="V45" s="7">
        <v>5830.1890000000003</v>
      </c>
      <c r="W45" s="31">
        <f t="shared" si="7"/>
        <v>5.1322872322590021</v>
      </c>
      <c r="X45" s="38">
        <f t="shared" si="10"/>
        <v>0.12691088365662662</v>
      </c>
      <c r="Y45" s="85">
        <f t="shared" si="8"/>
        <v>1.5599026972723991</v>
      </c>
      <c r="Z45" s="76"/>
    </row>
    <row r="46" spans="2:28" x14ac:dyDescent="0.25">
      <c r="B46" s="13"/>
      <c r="C46" s="14"/>
      <c r="D46" s="3">
        <v>2031</v>
      </c>
      <c r="E46" s="22">
        <v>40070.038100230777</v>
      </c>
      <c r="F46" s="22">
        <v>130910.65937940351</v>
      </c>
      <c r="G46" s="22">
        <v>174340.9089471733</v>
      </c>
      <c r="H46" s="22">
        <v>63643.95470411166</v>
      </c>
      <c r="I46" s="22">
        <v>70342.088860087693</v>
      </c>
      <c r="J46" s="22">
        <v>16505.529601609614</v>
      </c>
      <c r="K46" s="22">
        <v>4009.2994771971748</v>
      </c>
      <c r="L46" s="22">
        <v>45603.559639917083</v>
      </c>
      <c r="M46" s="22">
        <v>56418.588220548103</v>
      </c>
      <c r="N46" s="22">
        <v>-68400.129175888505</v>
      </c>
      <c r="O46" s="7">
        <v>420607.32131329423</v>
      </c>
      <c r="P46" s="8"/>
      <c r="S46">
        <v>2027</v>
      </c>
      <c r="T46" s="37">
        <v>323194.87986362615</v>
      </c>
      <c r="U46" s="52">
        <f t="shared" si="9"/>
        <v>61754.954524418805</v>
      </c>
      <c r="V46" s="7">
        <v>5767.2039999999997</v>
      </c>
      <c r="W46" s="31">
        <f t="shared" si="7"/>
        <v>5.6040133115392861</v>
      </c>
      <c r="X46" s="38">
        <f t="shared" si="10"/>
        <v>0.47172607928028398</v>
      </c>
      <c r="Y46" s="85">
        <f t="shared" si="8"/>
        <v>5.7981377344592033</v>
      </c>
      <c r="Z46" s="76"/>
    </row>
    <row r="47" spans="2:28" x14ac:dyDescent="0.25">
      <c r="B47" s="13"/>
      <c r="C47" s="14"/>
      <c r="D47" s="3">
        <v>2032</v>
      </c>
      <c r="E47" s="22">
        <v>40098.655494936735</v>
      </c>
      <c r="F47" s="22">
        <v>139212.23794485655</v>
      </c>
      <c r="G47" s="22">
        <v>172829.4349883559</v>
      </c>
      <c r="H47" s="22">
        <v>67626.830652200413</v>
      </c>
      <c r="I47" s="22">
        <v>62279.213561907316</v>
      </c>
      <c r="J47" s="22">
        <v>14884.692807680298</v>
      </c>
      <c r="K47" s="22">
        <v>4713.8049410829799</v>
      </c>
      <c r="L47" s="22">
        <v>47741.344262579034</v>
      </c>
      <c r="M47" s="22">
        <v>61450.318941564474</v>
      </c>
      <c r="N47" s="22">
        <v>-80000.650272685292</v>
      </c>
      <c r="O47" s="7">
        <v>407935.24543934944</v>
      </c>
      <c r="P47" s="8"/>
      <c r="S47">
        <v>2028</v>
      </c>
      <c r="T47" s="37">
        <v>382857.20168612286</v>
      </c>
      <c r="U47" s="52">
        <f t="shared" si="9"/>
        <v>121417.27634691552</v>
      </c>
      <c r="V47" s="7">
        <v>5732.5810000000001</v>
      </c>
      <c r="W47" s="31">
        <f t="shared" si="7"/>
        <v>6.6786182643755554</v>
      </c>
      <c r="X47" s="38">
        <f t="shared" si="10"/>
        <v>1.0746049528362693</v>
      </c>
      <c r="Y47" s="85">
        <f t="shared" si="8"/>
        <v>13.208316860884525</v>
      </c>
      <c r="Z47" s="76"/>
    </row>
    <row r="48" spans="2:28" x14ac:dyDescent="0.25">
      <c r="B48" s="13"/>
      <c r="C48" s="14"/>
      <c r="D48" s="3">
        <v>2033</v>
      </c>
      <c r="E48" s="22">
        <v>40127.807464247569</v>
      </c>
      <c r="F48" s="22">
        <v>147714.56367822981</v>
      </c>
      <c r="G48" s="22">
        <v>172456.96044963313</v>
      </c>
      <c r="H48" s="22">
        <v>71647.084365766656</v>
      </c>
      <c r="I48" s="22">
        <v>68128.212027893882</v>
      </c>
      <c r="J48" s="22">
        <v>15755.217707326981</v>
      </c>
      <c r="K48" s="22">
        <v>4853.6969080295075</v>
      </c>
      <c r="L48" s="22">
        <v>43423.926516687105</v>
      </c>
      <c r="M48" s="22">
        <v>76934.656483289582</v>
      </c>
      <c r="N48" s="22">
        <v>-89473.088110580473</v>
      </c>
      <c r="O48" s="7">
        <v>397699.72452394466</v>
      </c>
      <c r="P48" s="8"/>
      <c r="S48">
        <v>2029</v>
      </c>
      <c r="T48" s="37">
        <v>424615.79409769987</v>
      </c>
      <c r="U48" s="52">
        <f t="shared" si="9"/>
        <v>163175.86875849252</v>
      </c>
      <c r="V48" s="7">
        <v>5672.5535</v>
      </c>
      <c r="W48" s="31">
        <f t="shared" si="7"/>
        <v>7.4854436207203658</v>
      </c>
      <c r="X48" s="38">
        <f t="shared" si="10"/>
        <v>0.80682535634481045</v>
      </c>
      <c r="Y48" s="85">
        <f t="shared" si="8"/>
        <v>9.9169512757885414</v>
      </c>
      <c r="Z48" s="76"/>
    </row>
    <row r="49" spans="2:28" x14ac:dyDescent="0.25">
      <c r="B49" s="13"/>
      <c r="C49" s="14"/>
      <c r="D49" s="3">
        <v>2034</v>
      </c>
      <c r="E49" s="22">
        <v>40157.505047108913</v>
      </c>
      <c r="F49" s="22">
        <v>156424.96137784992</v>
      </c>
      <c r="G49" s="22">
        <v>172685.39573841434</v>
      </c>
      <c r="H49" s="22">
        <v>75800.075469470699</v>
      </c>
      <c r="I49" s="22">
        <v>61372.158933824685</v>
      </c>
      <c r="J49" s="22">
        <v>14271.637878588095</v>
      </c>
      <c r="K49" s="22">
        <v>4496.4920577856674</v>
      </c>
      <c r="L49" s="22">
        <v>40118.130225749803</v>
      </c>
      <c r="M49" s="22">
        <v>77494.918233634977</v>
      </c>
      <c r="N49" s="22">
        <v>-100134.38485360482</v>
      </c>
      <c r="O49" s="7">
        <v>387697.05364155228</v>
      </c>
      <c r="P49" s="8"/>
      <c r="S49">
        <v>2030</v>
      </c>
      <c r="T49" s="37">
        <v>433471.98281062039</v>
      </c>
      <c r="U49" s="52">
        <f t="shared" si="9"/>
        <v>172032.05747141305</v>
      </c>
      <c r="V49" s="7">
        <v>5632.7465000000002</v>
      </c>
      <c r="W49" s="31">
        <f t="shared" si="7"/>
        <v>7.6955705855149059</v>
      </c>
      <c r="X49" s="38">
        <f t="shared" si="10"/>
        <v>0.21012696479454007</v>
      </c>
      <c r="Y49" s="85">
        <f t="shared" si="8"/>
        <v>2.5827384516485532</v>
      </c>
      <c r="Z49" s="76"/>
    </row>
    <row r="50" spans="2:28" x14ac:dyDescent="0.25">
      <c r="B50" s="13"/>
      <c r="C50" s="14"/>
      <c r="D50" s="3">
        <v>2035</v>
      </c>
      <c r="E50" s="22">
        <v>40187.759956342641</v>
      </c>
      <c r="F50" s="22">
        <v>165369.69581565293</v>
      </c>
      <c r="G50" s="22">
        <v>172819.54974062659</v>
      </c>
      <c r="H50" s="22">
        <v>80076.035378259068</v>
      </c>
      <c r="I50" s="22">
        <v>61457.19513199613</v>
      </c>
      <c r="J50" s="22">
        <v>14565.790231355299</v>
      </c>
      <c r="K50" s="22">
        <v>5389.4086285362764</v>
      </c>
      <c r="L50" s="22">
        <v>33412.083411257467</v>
      </c>
      <c r="M50" s="22">
        <v>85419.880643628116</v>
      </c>
      <c r="N50" s="22">
        <v>-111626.77430072722</v>
      </c>
      <c r="O50" s="7">
        <v>376230.86334967113</v>
      </c>
      <c r="P50" s="8"/>
      <c r="S50">
        <v>2031</v>
      </c>
      <c r="T50" s="37">
        <v>420607.32131329423</v>
      </c>
      <c r="U50" s="52">
        <f t="shared" si="9"/>
        <v>159167.39597408689</v>
      </c>
      <c r="V50" s="7">
        <v>5611.8374999999996</v>
      </c>
      <c r="W50" s="31">
        <f t="shared" si="7"/>
        <v>7.4950017942125768</v>
      </c>
      <c r="X50" s="38">
        <f t="shared" si="10"/>
        <v>-0.20056879130232907</v>
      </c>
      <c r="Y50" s="85">
        <f t="shared" si="8"/>
        <v>-2.4652558514025578</v>
      </c>
      <c r="Z50" s="76"/>
    </row>
    <row r="51" spans="2:28" x14ac:dyDescent="0.25">
      <c r="B51" s="13"/>
      <c r="C51" s="14"/>
      <c r="D51" s="3">
        <v>2036</v>
      </c>
      <c r="E51" s="22">
        <v>40218.590645391305</v>
      </c>
      <c r="F51" s="22">
        <v>165369.6958156529</v>
      </c>
      <c r="G51" s="22">
        <v>159754.83198801102</v>
      </c>
      <c r="H51" s="22">
        <v>81129.912528536443</v>
      </c>
      <c r="I51" s="22">
        <v>71248.421957816681</v>
      </c>
      <c r="J51" s="22">
        <v>17397.10849152107</v>
      </c>
      <c r="K51" s="22">
        <v>5289.2307039522793</v>
      </c>
      <c r="L51" s="22">
        <v>31961.885503633475</v>
      </c>
      <c r="M51" s="22">
        <v>101411.83227398609</v>
      </c>
      <c r="N51" s="22">
        <v>-105280.45823713529</v>
      </c>
      <c r="O51" s="7">
        <v>365677.38712339383</v>
      </c>
      <c r="P51" s="8"/>
      <c r="S51">
        <v>2032</v>
      </c>
      <c r="T51" s="37">
        <v>407935.24543934944</v>
      </c>
      <c r="U51" s="52">
        <f t="shared" si="9"/>
        <v>146495.3201001421</v>
      </c>
      <c r="V51" s="7">
        <v>5611.6345000000001</v>
      </c>
      <c r="W51" s="31">
        <f t="shared" si="7"/>
        <v>7.2694550124272963</v>
      </c>
      <c r="X51" s="38">
        <f t="shared" si="10"/>
        <v>-0.22554678178528054</v>
      </c>
      <c r="Y51" s="85">
        <f t="shared" si="8"/>
        <v>-2.7722684070177266</v>
      </c>
      <c r="Z51" s="76"/>
    </row>
    <row r="52" spans="2:28" x14ac:dyDescent="0.25">
      <c r="B52" s="13"/>
      <c r="C52" s="14"/>
      <c r="D52" s="3">
        <v>2037</v>
      </c>
      <c r="E52" s="22">
        <v>40250.012265789352</v>
      </c>
      <c r="F52" s="22">
        <v>169487.55821172716</v>
      </c>
      <c r="G52" s="22">
        <v>153630.6101663812</v>
      </c>
      <c r="H52" s="22">
        <v>82861.775098546161</v>
      </c>
      <c r="I52" s="22">
        <v>65115.0728392608</v>
      </c>
      <c r="J52" s="22">
        <v>16254.009737718414</v>
      </c>
      <c r="K52" s="22">
        <v>3988.0167925341684</v>
      </c>
      <c r="L52" s="22">
        <v>33457.909735592882</v>
      </c>
      <c r="M52" s="22">
        <v>98824.228118217361</v>
      </c>
      <c r="N52" s="22">
        <v>-77309.364775420516</v>
      </c>
      <c r="O52" s="7">
        <v>388911.37195391225</v>
      </c>
      <c r="P52" s="8"/>
      <c r="S52">
        <v>2033</v>
      </c>
      <c r="T52" s="37">
        <v>397699.72452394466</v>
      </c>
      <c r="U52" s="52">
        <f t="shared" si="9"/>
        <v>136259.79918473732</v>
      </c>
      <c r="V52" s="7">
        <v>5576.1914999999999</v>
      </c>
      <c r="W52" s="31">
        <f t="shared" si="7"/>
        <v>7.132103058582989</v>
      </c>
      <c r="X52" s="38">
        <f t="shared" si="10"/>
        <v>-0.13735195384430732</v>
      </c>
      <c r="Y52" s="85">
        <f t="shared" si="8"/>
        <v>-1.6882372662148095</v>
      </c>
      <c r="Z52" s="76"/>
    </row>
    <row r="53" spans="2:28" x14ac:dyDescent="0.25">
      <c r="B53" s="13"/>
      <c r="C53" s="23" t="s">
        <v>24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8"/>
      <c r="S53">
        <v>2034</v>
      </c>
      <c r="T53" s="37">
        <v>387697.05364155228</v>
      </c>
      <c r="U53" s="52">
        <f t="shared" si="9"/>
        <v>126257.12830234494</v>
      </c>
      <c r="V53" s="7">
        <v>5564.0370000000003</v>
      </c>
      <c r="W53" s="31">
        <f t="shared" si="7"/>
        <v>6.9679093370793952</v>
      </c>
      <c r="X53" s="38">
        <f t="shared" si="10"/>
        <v>-0.16419372150359379</v>
      </c>
      <c r="Y53" s="85">
        <f t="shared" si="8"/>
        <v>-2.0181581096041441</v>
      </c>
      <c r="Z53" s="76"/>
    </row>
    <row r="54" spans="2:28" x14ac:dyDescent="0.25">
      <c r="B54" s="13"/>
      <c r="C54" s="14" t="s">
        <v>25</v>
      </c>
      <c r="D54" s="14"/>
      <c r="E54" s="24">
        <v>380430.27574015973</v>
      </c>
      <c r="F54" s="24">
        <v>754055.31302571192</v>
      </c>
      <c r="G54" s="24">
        <v>1091259.1040690537</v>
      </c>
      <c r="H54" s="24">
        <v>469468.40757245931</v>
      </c>
      <c r="I54" s="24">
        <v>990199.06149686896</v>
      </c>
      <c r="J54" s="24">
        <v>67794.214466923178</v>
      </c>
      <c r="K54" s="24">
        <v>80774.307362978798</v>
      </c>
      <c r="L54" s="24">
        <v>487981.33119729121</v>
      </c>
      <c r="M54" s="24">
        <v>551963.02153228212</v>
      </c>
      <c r="N54" s="24">
        <v>-374603.02619587997</v>
      </c>
      <c r="O54" s="9">
        <v>3395395.9672032846</v>
      </c>
      <c r="P54" s="8"/>
      <c r="S54">
        <v>2035</v>
      </c>
      <c r="T54" s="37">
        <v>376230.86334967113</v>
      </c>
      <c r="U54" s="52">
        <f t="shared" si="9"/>
        <v>114790.93801046378</v>
      </c>
      <c r="V54" s="7">
        <v>5551.7745000000004</v>
      </c>
      <c r="W54" s="31">
        <f t="shared" si="7"/>
        <v>6.7767677406506897</v>
      </c>
      <c r="X54" s="38">
        <f t="shared" si="10"/>
        <v>-0.19114159642870554</v>
      </c>
      <c r="Y54" s="85">
        <f t="shared" si="8"/>
        <v>-2.3493831516988393</v>
      </c>
      <c r="Z54" s="76"/>
    </row>
    <row r="55" spans="2:28" x14ac:dyDescent="0.25">
      <c r="B55" s="13"/>
      <c r="C55" s="14" t="s">
        <v>26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24">
        <v>3395395.9672032846</v>
      </c>
      <c r="P55" s="8"/>
      <c r="S55">
        <v>2036</v>
      </c>
      <c r="T55" s="37">
        <v>365677.38712339383</v>
      </c>
      <c r="U55" s="52">
        <f t="shared" si="9"/>
        <v>104237.46178418648</v>
      </c>
      <c r="V55" s="7">
        <v>5558.9395000000004</v>
      </c>
      <c r="W55" s="31">
        <f t="shared" si="7"/>
        <v>6.5781861292678903</v>
      </c>
      <c r="X55" s="38">
        <f t="shared" si="10"/>
        <v>-0.19858161138279939</v>
      </c>
      <c r="Y55" s="85">
        <f t="shared" si="8"/>
        <v>-2.4408307806196072</v>
      </c>
      <c r="Z55" s="76"/>
    </row>
    <row r="56" spans="2:28" ht="15.75" thickBot="1" x14ac:dyDescent="0.3">
      <c r="B56" s="25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7"/>
      <c r="S56">
        <v>2037</v>
      </c>
      <c r="T56" s="39">
        <v>388911.37195391225</v>
      </c>
      <c r="U56" s="53">
        <f t="shared" si="9"/>
        <v>127471.44661470491</v>
      </c>
      <c r="V56" s="40">
        <v>5530.9004999999997</v>
      </c>
      <c r="W56" s="41">
        <f t="shared" si="7"/>
        <v>7.0316103490545938</v>
      </c>
      <c r="X56" s="42">
        <f t="shared" si="10"/>
        <v>0.45342421978670355</v>
      </c>
      <c r="Y56" s="85">
        <f t="shared" si="8"/>
        <v>5.5731836630150244</v>
      </c>
      <c r="Z56" s="76"/>
    </row>
    <row r="57" spans="2:28" x14ac:dyDescent="0.25">
      <c r="V57" s="22" t="s">
        <v>63</v>
      </c>
      <c r="W57" s="86">
        <f>_xlfn.RRI(5,W42,W47)</f>
        <v>7.5173979993375051E-2</v>
      </c>
      <c r="AB57" s="43"/>
    </row>
    <row r="58" spans="2:28" x14ac:dyDescent="0.25">
      <c r="V58" s="22" t="s">
        <v>61</v>
      </c>
      <c r="W58" s="84">
        <f>_xlfn.RRI(10,W42,W51)</f>
        <v>4.5733199494367494E-2</v>
      </c>
    </row>
    <row r="59" spans="2:28" x14ac:dyDescent="0.25">
      <c r="V59" s="22" t="s">
        <v>62</v>
      </c>
      <c r="W59" s="84">
        <f>_xlfn.RRI(15,W42,W56)</f>
        <v>2.7978725721241826E-2</v>
      </c>
    </row>
  </sheetData>
  <mergeCells count="4">
    <mergeCell ref="E3:O3"/>
    <mergeCell ref="E31:O31"/>
    <mergeCell ref="C2:C3"/>
    <mergeCell ref="C30:C31"/>
  </mergeCells>
  <pageMargins left="0.7" right="0.7" top="1.7857142857142858" bottom="0.75" header="0.3" footer="0.3"/>
  <pageSetup orientation="portrait" r:id="rId1"/>
  <headerFooter>
    <oddHeader>&amp;R&amp;"Times New Roman,Regular"&amp;12KPSC Case No. 2023-00092
Commission Staff’s First Set of Data Requests
Dated May 22, 2023
Item No. 8
Attachment 3
Page &amp;P of &amp;N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94BF-1730-4D10-8B29-9C85522309A5}">
  <dimension ref="A1:J45"/>
  <sheetViews>
    <sheetView tabSelected="1" view="pageLayout" topLeftCell="A10" zoomScaleNormal="100" workbookViewId="0">
      <selection activeCell="AA15" sqref="AA15"/>
    </sheetView>
  </sheetViews>
  <sheetFormatPr defaultRowHeight="15" x14ac:dyDescent="0.25"/>
  <cols>
    <col min="3" max="5" width="12.7109375" customWidth="1"/>
    <col min="6" max="6" width="2.7109375" customWidth="1"/>
    <col min="7" max="8" width="11.7109375" customWidth="1"/>
  </cols>
  <sheetData>
    <row r="1" spans="1:10" x14ac:dyDescent="0.25">
      <c r="A1" s="73" t="s">
        <v>50</v>
      </c>
      <c r="B1" s="73"/>
      <c r="C1" s="73"/>
      <c r="D1" s="73"/>
      <c r="E1" s="73"/>
      <c r="F1" s="73"/>
      <c r="G1" s="73"/>
      <c r="H1" s="73"/>
    </row>
    <row r="2" spans="1:10" x14ac:dyDescent="0.25">
      <c r="A2" s="73" t="s">
        <v>51</v>
      </c>
      <c r="B2" s="73"/>
      <c r="C2" s="73"/>
      <c r="D2" s="73"/>
      <c r="E2" s="73"/>
      <c r="F2" s="73"/>
      <c r="G2" s="73"/>
      <c r="H2" s="73"/>
    </row>
    <row r="3" spans="1:10" x14ac:dyDescent="0.25">
      <c r="A3" s="73" t="s">
        <v>52</v>
      </c>
      <c r="B3" s="73"/>
      <c r="C3" s="73"/>
      <c r="D3" s="73"/>
      <c r="E3" s="73"/>
      <c r="F3" s="73"/>
      <c r="G3" s="73"/>
      <c r="H3" s="73"/>
    </row>
    <row r="7" spans="1:10" x14ac:dyDescent="0.25">
      <c r="A7" s="74"/>
      <c r="B7" s="74"/>
      <c r="C7" s="74"/>
      <c r="D7" s="74"/>
      <c r="E7" s="74"/>
      <c r="F7" s="74"/>
      <c r="G7" s="74" t="s">
        <v>53</v>
      </c>
      <c r="H7" s="74" t="s">
        <v>54</v>
      </c>
    </row>
    <row r="8" spans="1:10" x14ac:dyDescent="0.25">
      <c r="A8" s="74" t="s">
        <v>46</v>
      </c>
      <c r="B8" s="74" t="s">
        <v>49</v>
      </c>
      <c r="C8" s="74" t="s">
        <v>55</v>
      </c>
      <c r="D8" s="74" t="s">
        <v>56</v>
      </c>
      <c r="E8" s="74" t="s">
        <v>20</v>
      </c>
      <c r="F8" s="74"/>
      <c r="G8" s="74" t="s">
        <v>57</v>
      </c>
      <c r="H8" s="74" t="s">
        <v>58</v>
      </c>
    </row>
    <row r="10" spans="1:10" x14ac:dyDescent="0.25">
      <c r="A10" s="54">
        <v>2020</v>
      </c>
      <c r="B10" s="54">
        <v>1</v>
      </c>
      <c r="C10" s="75">
        <v>222421706</v>
      </c>
      <c r="D10" s="75">
        <v>133843</v>
      </c>
      <c r="E10" s="75">
        <v>25966919.359999999</v>
      </c>
      <c r="G10" s="75">
        <f>+C10/D10</f>
        <v>1661.8105242709742</v>
      </c>
      <c r="H10" s="76">
        <f>+(E10/C10)*100</f>
        <v>11.674633661878305</v>
      </c>
      <c r="I10" s="2">
        <f>AVERAGE(G10:G21)</f>
        <v>1212.2748229844503</v>
      </c>
      <c r="J10" s="77">
        <f>AVERAGE(H10:H21)</f>
        <v>11.963264707108879</v>
      </c>
    </row>
    <row r="11" spans="1:10" x14ac:dyDescent="0.25">
      <c r="A11" s="54">
        <v>2020</v>
      </c>
      <c r="B11" s="54">
        <v>2</v>
      </c>
      <c r="C11" s="75">
        <v>197844888</v>
      </c>
      <c r="D11" s="75">
        <v>133675</v>
      </c>
      <c r="E11" s="75">
        <v>22149962.370000001</v>
      </c>
      <c r="G11" s="75">
        <f t="shared" ref="G11:G45" si="0">+C11/D11</f>
        <v>1480.0440471292313</v>
      </c>
      <c r="H11" s="76">
        <f t="shared" ref="H11:H45" si="1">+(E11/C11)*100</f>
        <v>11.195620262879878</v>
      </c>
      <c r="J11" s="77"/>
    </row>
    <row r="12" spans="1:10" x14ac:dyDescent="0.25">
      <c r="A12" s="54">
        <v>2020</v>
      </c>
      <c r="B12" s="54">
        <v>3</v>
      </c>
      <c r="C12" s="75">
        <v>186605722</v>
      </c>
      <c r="D12" s="75">
        <v>133756</v>
      </c>
      <c r="E12" s="75">
        <v>20878894.050000001</v>
      </c>
      <c r="G12" s="75">
        <f t="shared" si="0"/>
        <v>1395.1203833846705</v>
      </c>
      <c r="H12" s="76">
        <f t="shared" si="1"/>
        <v>11.188774827601481</v>
      </c>
      <c r="J12" s="77"/>
    </row>
    <row r="13" spans="1:10" x14ac:dyDescent="0.25">
      <c r="A13" s="54">
        <v>2020</v>
      </c>
      <c r="B13" s="54">
        <v>4</v>
      </c>
      <c r="C13" s="75">
        <v>140736380</v>
      </c>
      <c r="D13" s="75">
        <v>133894</v>
      </c>
      <c r="E13" s="75">
        <v>17423300.989999998</v>
      </c>
      <c r="G13" s="75">
        <f t="shared" si="0"/>
        <v>1051.1029620446025</v>
      </c>
      <c r="H13" s="76">
        <f t="shared" si="1"/>
        <v>12.380097448861479</v>
      </c>
      <c r="J13" s="77"/>
    </row>
    <row r="14" spans="1:10" x14ac:dyDescent="0.25">
      <c r="A14" s="54">
        <v>2020</v>
      </c>
      <c r="B14" s="54">
        <v>5</v>
      </c>
      <c r="C14" s="75">
        <v>124738500</v>
      </c>
      <c r="D14" s="75">
        <v>134115</v>
      </c>
      <c r="E14" s="75">
        <v>15157517.1</v>
      </c>
      <c r="G14" s="75">
        <f t="shared" si="0"/>
        <v>930.08612012079186</v>
      </c>
      <c r="H14" s="76">
        <f t="shared" si="1"/>
        <v>12.151434480934114</v>
      </c>
      <c r="J14" s="77"/>
    </row>
    <row r="15" spans="1:10" x14ac:dyDescent="0.25">
      <c r="A15" s="54">
        <v>2020</v>
      </c>
      <c r="B15" s="54">
        <v>6</v>
      </c>
      <c r="C15" s="75">
        <v>139659602</v>
      </c>
      <c r="D15" s="75">
        <v>134289</v>
      </c>
      <c r="E15" s="75">
        <v>16279210.73</v>
      </c>
      <c r="G15" s="75">
        <f t="shared" si="0"/>
        <v>1039.9928661319989</v>
      </c>
      <c r="H15" s="76">
        <f t="shared" si="1"/>
        <v>11.656349077953122</v>
      </c>
      <c r="J15" s="77"/>
    </row>
    <row r="16" spans="1:10" x14ac:dyDescent="0.25">
      <c r="A16" s="54">
        <v>2020</v>
      </c>
      <c r="B16" s="54">
        <v>7</v>
      </c>
      <c r="C16" s="75">
        <v>165643989</v>
      </c>
      <c r="D16" s="75">
        <v>134395</v>
      </c>
      <c r="E16" s="75">
        <v>18046639.060000002</v>
      </c>
      <c r="G16" s="75">
        <f t="shared" si="0"/>
        <v>1232.5160087800884</v>
      </c>
      <c r="H16" s="76">
        <f t="shared" si="1"/>
        <v>10.894834861770928</v>
      </c>
      <c r="J16" s="77"/>
    </row>
    <row r="17" spans="1:10" x14ac:dyDescent="0.25">
      <c r="A17" s="54">
        <v>2020</v>
      </c>
      <c r="B17" s="54">
        <v>8</v>
      </c>
      <c r="C17" s="75">
        <v>181110137</v>
      </c>
      <c r="D17" s="75">
        <v>134531</v>
      </c>
      <c r="E17" s="75">
        <v>21020241.390000001</v>
      </c>
      <c r="G17" s="75">
        <f t="shared" si="0"/>
        <v>1346.2334852190202</v>
      </c>
      <c r="H17" s="76">
        <f t="shared" si="1"/>
        <v>11.606330677117207</v>
      </c>
      <c r="J17" s="77"/>
    </row>
    <row r="18" spans="1:10" x14ac:dyDescent="0.25">
      <c r="A18" s="54">
        <v>2020</v>
      </c>
      <c r="B18" s="54">
        <v>9</v>
      </c>
      <c r="C18" s="75">
        <v>160717512</v>
      </c>
      <c r="D18" s="75">
        <v>134624</v>
      </c>
      <c r="E18" s="75">
        <v>19868556.489999998</v>
      </c>
      <c r="G18" s="75">
        <f t="shared" si="0"/>
        <v>1193.8251129070597</v>
      </c>
      <c r="H18" s="76">
        <f t="shared" si="1"/>
        <v>12.36240920031166</v>
      </c>
      <c r="J18" s="77"/>
    </row>
    <row r="19" spans="1:10" x14ac:dyDescent="0.25">
      <c r="A19" s="54">
        <v>2020</v>
      </c>
      <c r="B19" s="54">
        <v>10</v>
      </c>
      <c r="C19" s="75">
        <v>118763869</v>
      </c>
      <c r="D19" s="75">
        <v>134679</v>
      </c>
      <c r="E19" s="75">
        <v>15475085.15</v>
      </c>
      <c r="G19" s="75">
        <f t="shared" si="0"/>
        <v>881.82915673564548</v>
      </c>
      <c r="H19" s="76">
        <f t="shared" si="1"/>
        <v>13.030128843310083</v>
      </c>
      <c r="J19" s="77"/>
    </row>
    <row r="20" spans="1:10" x14ac:dyDescent="0.25">
      <c r="A20" s="54">
        <v>2020</v>
      </c>
      <c r="B20" s="54">
        <v>11</v>
      </c>
      <c r="C20" s="75">
        <v>120733306</v>
      </c>
      <c r="D20" s="75">
        <v>134749</v>
      </c>
      <c r="E20" s="75">
        <v>15925131.719999999</v>
      </c>
      <c r="G20" s="75">
        <f t="shared" si="0"/>
        <v>895.9866566727768</v>
      </c>
      <c r="H20" s="76">
        <f t="shared" si="1"/>
        <v>13.190338480418982</v>
      </c>
      <c r="J20" s="77"/>
    </row>
    <row r="21" spans="1:10" x14ac:dyDescent="0.25">
      <c r="A21" s="54">
        <v>2020</v>
      </c>
      <c r="B21" s="54">
        <v>12</v>
      </c>
      <c r="C21" s="75">
        <v>194032777</v>
      </c>
      <c r="D21" s="75">
        <v>134862</v>
      </c>
      <c r="E21" s="75">
        <v>23726763.889999997</v>
      </c>
      <c r="G21" s="75">
        <f t="shared" si="0"/>
        <v>1438.7505524165442</v>
      </c>
      <c r="H21" s="76">
        <f t="shared" si="1"/>
        <v>12.228224662269302</v>
      </c>
      <c r="J21" s="77"/>
    </row>
    <row r="22" spans="1:10" x14ac:dyDescent="0.25">
      <c r="A22" s="54">
        <v>2021</v>
      </c>
      <c r="B22" s="54">
        <v>1</v>
      </c>
      <c r="C22" s="75">
        <v>258610375.99999997</v>
      </c>
      <c r="D22" s="75">
        <v>134725</v>
      </c>
      <c r="E22" s="75">
        <v>30728704.34</v>
      </c>
      <c r="G22" s="75">
        <f t="shared" si="0"/>
        <v>1919.5425941733158</v>
      </c>
      <c r="H22" s="76">
        <f t="shared" si="1"/>
        <v>11.882239535508816</v>
      </c>
      <c r="I22" s="2">
        <f>AVERAGE(G22:G33)</f>
        <v>1260.5095577757229</v>
      </c>
      <c r="J22" s="78">
        <f>AVERAGE(H22:H33)</f>
        <v>14.424581393931716</v>
      </c>
    </row>
    <row r="23" spans="1:10" x14ac:dyDescent="0.25">
      <c r="A23" s="54">
        <v>2021</v>
      </c>
      <c r="B23" s="54">
        <v>2</v>
      </c>
      <c r="C23" s="75">
        <v>246662236</v>
      </c>
      <c r="D23" s="75">
        <v>133661</v>
      </c>
      <c r="E23" s="75">
        <v>28125199.73</v>
      </c>
      <c r="G23" s="75">
        <f t="shared" si="0"/>
        <v>1845.4316217894525</v>
      </c>
      <c r="H23" s="76">
        <f t="shared" si="1"/>
        <v>11.402312808840346</v>
      </c>
      <c r="J23" s="77"/>
    </row>
    <row r="24" spans="1:10" x14ac:dyDescent="0.25">
      <c r="A24" s="54">
        <v>2021</v>
      </c>
      <c r="B24" s="54">
        <v>3</v>
      </c>
      <c r="C24" s="75">
        <v>204871570</v>
      </c>
      <c r="D24" s="75">
        <v>134884</v>
      </c>
      <c r="E24" s="75">
        <v>24283257.93</v>
      </c>
      <c r="G24" s="75">
        <f t="shared" si="0"/>
        <v>1518.8722902642271</v>
      </c>
      <c r="H24" s="76">
        <f t="shared" si="1"/>
        <v>11.852917381362381</v>
      </c>
      <c r="J24" s="77"/>
    </row>
    <row r="25" spans="1:10" x14ac:dyDescent="0.25">
      <c r="A25" s="54">
        <v>2021</v>
      </c>
      <c r="B25" s="54">
        <v>4</v>
      </c>
      <c r="C25" s="75">
        <v>139785531</v>
      </c>
      <c r="D25" s="75">
        <v>133988</v>
      </c>
      <c r="E25" s="75">
        <v>22133147.509999998</v>
      </c>
      <c r="G25" s="75">
        <f t="shared" si="0"/>
        <v>1043.2690315550647</v>
      </c>
      <c r="H25" s="76">
        <f t="shared" si="1"/>
        <v>15.83364698167509</v>
      </c>
      <c r="J25" s="77"/>
    </row>
    <row r="26" spans="1:10" x14ac:dyDescent="0.25">
      <c r="A26" s="54">
        <v>2021</v>
      </c>
      <c r="B26" s="54">
        <v>5</v>
      </c>
      <c r="C26" s="75">
        <v>119646822</v>
      </c>
      <c r="D26" s="75">
        <v>133667</v>
      </c>
      <c r="E26" s="75">
        <v>18974944.530000001</v>
      </c>
      <c r="G26" s="75">
        <f t="shared" si="0"/>
        <v>895.11114934875479</v>
      </c>
      <c r="H26" s="76">
        <f t="shared" si="1"/>
        <v>15.859129572200423</v>
      </c>
      <c r="J26" s="77"/>
    </row>
    <row r="27" spans="1:10" x14ac:dyDescent="0.25">
      <c r="A27" s="54">
        <v>2021</v>
      </c>
      <c r="B27" s="54">
        <v>6</v>
      </c>
      <c r="C27" s="75">
        <v>129319898</v>
      </c>
      <c r="D27" s="75">
        <v>133515</v>
      </c>
      <c r="E27" s="75">
        <v>19448019.32</v>
      </c>
      <c r="G27" s="75">
        <f t="shared" si="0"/>
        <v>968.57954536943419</v>
      </c>
      <c r="H27" s="76">
        <f t="shared" si="1"/>
        <v>15.038690581089076</v>
      </c>
      <c r="J27" s="77"/>
    </row>
    <row r="28" spans="1:10" x14ac:dyDescent="0.25">
      <c r="A28" s="54">
        <v>2021</v>
      </c>
      <c r="B28" s="54">
        <v>7</v>
      </c>
      <c r="C28" s="75">
        <v>158160505</v>
      </c>
      <c r="D28" s="75">
        <v>133417</v>
      </c>
      <c r="E28" s="75">
        <v>22949697.400000002</v>
      </c>
      <c r="G28" s="75">
        <f t="shared" si="0"/>
        <v>1185.4599114055929</v>
      </c>
      <c r="H28" s="76">
        <f t="shared" si="1"/>
        <v>14.510384498329721</v>
      </c>
      <c r="J28" s="77"/>
    </row>
    <row r="29" spans="1:10" x14ac:dyDescent="0.25">
      <c r="A29" s="54">
        <v>2021</v>
      </c>
      <c r="B29" s="54">
        <v>8</v>
      </c>
      <c r="C29" s="75">
        <v>162411561</v>
      </c>
      <c r="D29" s="75">
        <v>133535</v>
      </c>
      <c r="E29" s="75">
        <v>24472028.460000001</v>
      </c>
      <c r="G29" s="75">
        <f t="shared" si="0"/>
        <v>1216.2471337102631</v>
      </c>
      <c r="H29" s="76">
        <f t="shared" si="1"/>
        <v>15.067910381084262</v>
      </c>
      <c r="J29" s="77"/>
    </row>
    <row r="30" spans="1:10" x14ac:dyDescent="0.25">
      <c r="A30" s="54">
        <v>2021</v>
      </c>
      <c r="B30" s="54">
        <v>9</v>
      </c>
      <c r="C30" s="75">
        <v>159204909</v>
      </c>
      <c r="D30" s="75">
        <v>133555</v>
      </c>
      <c r="E30" s="75">
        <v>23794150.48</v>
      </c>
      <c r="G30" s="75">
        <f t="shared" si="0"/>
        <v>1192.0550260192431</v>
      </c>
      <c r="H30" s="76">
        <f t="shared" si="1"/>
        <v>14.945613567732389</v>
      </c>
      <c r="J30" s="77"/>
    </row>
    <row r="31" spans="1:10" x14ac:dyDescent="0.25">
      <c r="A31" s="54">
        <v>2021</v>
      </c>
      <c r="B31" s="54">
        <v>10</v>
      </c>
      <c r="C31" s="75">
        <v>118510015</v>
      </c>
      <c r="D31" s="75">
        <v>133469</v>
      </c>
      <c r="E31" s="75">
        <v>19112885.75</v>
      </c>
      <c r="G31" s="75">
        <f t="shared" si="0"/>
        <v>887.92165221886728</v>
      </c>
      <c r="H31" s="76">
        <f t="shared" si="1"/>
        <v>16.127654485572378</v>
      </c>
      <c r="J31" s="77"/>
    </row>
    <row r="32" spans="1:10" x14ac:dyDescent="0.25">
      <c r="A32" s="54">
        <v>2021</v>
      </c>
      <c r="B32" s="54">
        <v>11</v>
      </c>
      <c r="C32" s="75">
        <v>127167652</v>
      </c>
      <c r="D32" s="75">
        <v>133616</v>
      </c>
      <c r="E32" s="75">
        <v>20506045.849999998</v>
      </c>
      <c r="G32" s="75">
        <f t="shared" si="0"/>
        <v>951.73970183211588</v>
      </c>
      <c r="H32" s="76">
        <f t="shared" si="1"/>
        <v>16.125205999714453</v>
      </c>
      <c r="J32" s="77"/>
    </row>
    <row r="33" spans="1:10" x14ac:dyDescent="0.25">
      <c r="A33" s="54">
        <v>2021</v>
      </c>
      <c r="B33" s="54">
        <v>12</v>
      </c>
      <c r="C33" s="75">
        <v>200687886</v>
      </c>
      <c r="D33" s="75">
        <v>133624</v>
      </c>
      <c r="E33" s="75">
        <v>28997936.379999999</v>
      </c>
      <c r="G33" s="75">
        <f t="shared" si="0"/>
        <v>1501.8850356223434</v>
      </c>
      <c r="H33" s="76">
        <f t="shared" si="1"/>
        <v>14.449270934071226</v>
      </c>
      <c r="J33" s="77"/>
    </row>
    <row r="34" spans="1:10" x14ac:dyDescent="0.25">
      <c r="A34" s="54">
        <v>2022</v>
      </c>
      <c r="B34" s="54">
        <v>1</v>
      </c>
      <c r="C34" s="75">
        <v>221567220</v>
      </c>
      <c r="D34" s="75">
        <v>133753</v>
      </c>
      <c r="E34" s="75">
        <v>35036169.789999999</v>
      </c>
      <c r="G34" s="75">
        <f t="shared" si="0"/>
        <v>1656.5401897527531</v>
      </c>
      <c r="H34" s="76">
        <f t="shared" si="1"/>
        <v>15.812885042291002</v>
      </c>
      <c r="I34" s="2">
        <f>AVERAGE(G34:G45)</f>
        <v>1229.1323268167546</v>
      </c>
      <c r="J34" s="77">
        <f>AVERAGE(H34:H45)</f>
        <v>16.465639515806885</v>
      </c>
    </row>
    <row r="35" spans="1:10" x14ac:dyDescent="0.25">
      <c r="A35" s="54">
        <v>2022</v>
      </c>
      <c r="B35" s="54">
        <v>2</v>
      </c>
      <c r="C35" s="75">
        <v>252031956</v>
      </c>
      <c r="D35" s="75">
        <v>133577</v>
      </c>
      <c r="E35" s="75">
        <v>29598821.02</v>
      </c>
      <c r="G35" s="75">
        <f t="shared" si="0"/>
        <v>1886.7915584269747</v>
      </c>
      <c r="H35" s="76">
        <f t="shared" si="1"/>
        <v>11.744074636313183</v>
      </c>
    </row>
    <row r="36" spans="1:10" x14ac:dyDescent="0.25">
      <c r="A36" s="54">
        <v>2022</v>
      </c>
      <c r="B36" s="54">
        <v>3</v>
      </c>
      <c r="C36" s="75">
        <v>183880255</v>
      </c>
      <c r="D36" s="75">
        <v>133470</v>
      </c>
      <c r="E36" s="75">
        <v>22603062.25</v>
      </c>
      <c r="G36" s="75">
        <f t="shared" si="0"/>
        <v>1377.6897804750131</v>
      </c>
      <c r="H36" s="76">
        <f t="shared" si="1"/>
        <v>12.292272626008703</v>
      </c>
    </row>
    <row r="37" spans="1:10" x14ac:dyDescent="0.25">
      <c r="A37" s="54">
        <v>2022</v>
      </c>
      <c r="B37" s="54">
        <v>4</v>
      </c>
      <c r="C37" s="75">
        <v>147068420</v>
      </c>
      <c r="D37" s="75">
        <v>133283</v>
      </c>
      <c r="E37" s="75">
        <v>22762865.849999998</v>
      </c>
      <c r="G37" s="75">
        <f t="shared" si="0"/>
        <v>1103.429694709753</v>
      </c>
      <c r="H37" s="76">
        <f t="shared" si="1"/>
        <v>15.477738762679301</v>
      </c>
    </row>
    <row r="38" spans="1:10" x14ac:dyDescent="0.25">
      <c r="A38" s="54">
        <v>2022</v>
      </c>
      <c r="B38" s="54">
        <v>5</v>
      </c>
      <c r="C38" s="75">
        <v>117163699</v>
      </c>
      <c r="D38" s="75">
        <v>133021</v>
      </c>
      <c r="E38" s="75">
        <v>20298043.75</v>
      </c>
      <c r="G38" s="75">
        <f t="shared" si="0"/>
        <v>880.79099540674031</v>
      </c>
      <c r="H38" s="76">
        <f t="shared" si="1"/>
        <v>17.324515974866923</v>
      </c>
    </row>
    <row r="39" spans="1:10" x14ac:dyDescent="0.25">
      <c r="A39" s="54">
        <v>2022</v>
      </c>
      <c r="B39" s="54">
        <v>6</v>
      </c>
      <c r="C39" s="75">
        <v>133806935.00000001</v>
      </c>
      <c r="D39" s="75">
        <v>132780</v>
      </c>
      <c r="E39" s="75">
        <v>23488407.309999999</v>
      </c>
      <c r="G39" s="75">
        <f t="shared" si="0"/>
        <v>1007.7341090525682</v>
      </c>
      <c r="H39" s="76">
        <f t="shared" si="1"/>
        <v>17.553953619817982</v>
      </c>
    </row>
    <row r="40" spans="1:10" x14ac:dyDescent="0.25">
      <c r="A40" s="54">
        <v>2022</v>
      </c>
      <c r="B40" s="54">
        <v>7</v>
      </c>
      <c r="C40" s="75">
        <v>160109298</v>
      </c>
      <c r="D40" s="75">
        <v>132670</v>
      </c>
      <c r="E40" s="75">
        <v>28897441.630000003</v>
      </c>
      <c r="G40" s="75">
        <f t="shared" si="0"/>
        <v>1206.8236828220397</v>
      </c>
      <c r="H40" s="76">
        <f t="shared" si="1"/>
        <v>18.048571813736892</v>
      </c>
    </row>
    <row r="41" spans="1:10" x14ac:dyDescent="0.25">
      <c r="A41" s="54">
        <v>2022</v>
      </c>
      <c r="B41" s="54">
        <v>8</v>
      </c>
      <c r="C41" s="75">
        <v>161069240</v>
      </c>
      <c r="D41" s="75">
        <v>132281</v>
      </c>
      <c r="E41" s="75">
        <v>28698397.110000003</v>
      </c>
      <c r="G41" s="75">
        <f t="shared" si="0"/>
        <v>1217.6294403580257</v>
      </c>
      <c r="H41" s="76">
        <f t="shared" si="1"/>
        <v>17.817428771626414</v>
      </c>
    </row>
    <row r="42" spans="1:10" x14ac:dyDescent="0.25">
      <c r="A42" s="54">
        <v>2022</v>
      </c>
      <c r="B42" s="54">
        <v>9</v>
      </c>
      <c r="C42" s="75">
        <v>143844737</v>
      </c>
      <c r="D42" s="75">
        <v>131742</v>
      </c>
      <c r="E42" s="75">
        <v>24060783.870000001</v>
      </c>
      <c r="G42" s="75">
        <f t="shared" si="0"/>
        <v>1091.8669596635848</v>
      </c>
      <c r="H42" s="76">
        <f t="shared" si="1"/>
        <v>16.726912900539421</v>
      </c>
    </row>
    <row r="43" spans="1:10" x14ac:dyDescent="0.25">
      <c r="A43" s="54">
        <v>2022</v>
      </c>
      <c r="B43" s="54">
        <v>10</v>
      </c>
      <c r="C43" s="75">
        <v>116908148</v>
      </c>
      <c r="D43" s="75">
        <v>131572</v>
      </c>
      <c r="E43" s="75">
        <v>21507111.219999999</v>
      </c>
      <c r="G43" s="75">
        <f t="shared" si="0"/>
        <v>888.54884017876145</v>
      </c>
      <c r="H43" s="76">
        <f t="shared" si="1"/>
        <v>18.39658876471125</v>
      </c>
    </row>
    <row r="44" spans="1:10" x14ac:dyDescent="0.25">
      <c r="A44" s="54">
        <v>2022</v>
      </c>
      <c r="B44" s="54">
        <v>11</v>
      </c>
      <c r="C44" s="75">
        <v>124977053</v>
      </c>
      <c r="D44" s="75">
        <v>131637</v>
      </c>
      <c r="E44" s="75">
        <v>24883136.610000003</v>
      </c>
      <c r="G44" s="75">
        <f t="shared" si="0"/>
        <v>949.40672455312711</v>
      </c>
      <c r="H44" s="76">
        <f t="shared" si="1"/>
        <v>19.910164316324536</v>
      </c>
    </row>
    <row r="45" spans="1:10" x14ac:dyDescent="0.25">
      <c r="A45" s="54">
        <v>2022</v>
      </c>
      <c r="B45" s="54">
        <v>12</v>
      </c>
      <c r="C45" s="75">
        <v>195143598</v>
      </c>
      <c r="D45" s="75">
        <v>131646</v>
      </c>
      <c r="E45" s="75">
        <v>32164674.210000001</v>
      </c>
      <c r="G45" s="75">
        <f t="shared" si="0"/>
        <v>1482.3359464017137</v>
      </c>
      <c r="H45" s="76">
        <f t="shared" si="1"/>
        <v>16.482566960767013</v>
      </c>
    </row>
  </sheetData>
  <printOptions horizontalCentered="1"/>
  <pageMargins left="0.7" right="0.7" top="1.7857142857142858" bottom="0.75" header="0.3" footer="0.3"/>
  <pageSetup orientation="portrait" horizontalDpi="1200" verticalDpi="1200" r:id="rId1"/>
  <headerFooter>
    <oddHeader>&amp;R&amp;"Times New Roman,Regular"&amp;12KPSC Case No. 2023-00092
Commission Staff’s First Set of Data Requests
Dated May 22, 2023
Item No. 8
Attachment 3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4E279619F95042B749F285AD849710" ma:contentTypeVersion="6" ma:contentTypeDescription="Create a new document." ma:contentTypeScope="" ma:versionID="9efcb60d1043213120baa1c2a5ced3c4">
  <xsd:schema xmlns:xsd="http://www.w3.org/2001/XMLSchema" xmlns:xs="http://www.w3.org/2001/XMLSchema" xmlns:p="http://schemas.microsoft.com/office/2006/metadata/properties" xmlns:ns2="3a237afa-4e34-4ed2-a661-6b50ee752538" xmlns:ns3="3cfa24eb-7003-41d4-9e13-8a6000afb2b1" targetNamespace="http://schemas.microsoft.com/office/2006/metadata/properties" ma:root="true" ma:fieldsID="df7372a9d273fb1b6632fac54e022f6b" ns2:_="" ns3:_="">
    <xsd:import namespace="3a237afa-4e34-4ed2-a661-6b50ee752538"/>
    <xsd:import namespace="3cfa24eb-7003-41d4-9e13-8a6000afb2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37afa-4e34-4ed2-a661-6b50ee7525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fa24eb-7003-41d4-9e13-8a6000afb2b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xODcyODE8L1VzZXJOYW1lPjxEYXRlVGltZT4yLzI3LzIwMjMgNzowMjozOCBQTTwvRGF0ZVRpbWU+PExhYmVsU3RyaW5nPkFFUCBJbnRlcm5hbDwvTGFiZWxTdHJpbmc+PC9pdGVtPjwvbGFiZWxIaXN0b3J5Pg==</Value>
</WrappedLabelHistory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Props1.xml><?xml version="1.0" encoding="utf-8"?>
<ds:datastoreItem xmlns:ds="http://schemas.openxmlformats.org/officeDocument/2006/customXml" ds:itemID="{63C8D544-B8B2-43C3-A011-381EA77302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237afa-4e34-4ed2-a661-6b50ee752538"/>
    <ds:schemaRef ds:uri="3cfa24eb-7003-41d4-9e13-8a6000afb2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82FF0E-914D-4DD4-95BC-5A546E1ECDC6}">
  <ds:schemaRefs>
    <ds:schemaRef ds:uri="http://www.w3.org/XML/1998/namespace"/>
    <ds:schemaRef ds:uri="3cfa24eb-7003-41d4-9e13-8a6000afb2b1"/>
    <ds:schemaRef ds:uri="http://schemas.microsoft.com/office/2006/documentManagement/types"/>
    <ds:schemaRef ds:uri="http://schemas.microsoft.com/office/2006/metadata/properties"/>
    <ds:schemaRef ds:uri="3a237afa-4e34-4ed2-a661-6b50ee752538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9D02597-555D-4A89-847F-6E54509E05F6}">
  <ds:schemaRefs>
    <ds:schemaRef ds:uri="http://www.w3.org/2001/XMLSchema"/>
    <ds:schemaRef ds:uri="http://www.boldonjames.com/2016/02/Classifier/internal/wrappedLabelHistory"/>
  </ds:schemaRefs>
</ds:datastoreItem>
</file>

<file path=customXml/itemProps4.xml><?xml version="1.0" encoding="utf-8"?>
<ds:datastoreItem xmlns:ds="http://schemas.openxmlformats.org/officeDocument/2006/customXml" ds:itemID="{22B13722-BE96-4DF5-B209-FD7FEE00F35E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BA2BB7A5-EEC0-4B5B-958B-B92FC9AA3C8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Rate Impact</vt:lpstr>
      <vt:lpstr>Residential Usage</vt:lpstr>
      <vt:lpstr>'Residential Usage'!Print_Area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s212374</cp:lastModifiedBy>
  <dcterms:created xsi:type="dcterms:W3CDTF">2023-02-20T21:40:59Z</dcterms:created>
  <dcterms:modified xsi:type="dcterms:W3CDTF">2023-06-20T16:07:54Z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fd51a4-5314-4c60-bce6-0affc34d9cd7_Enabled">
    <vt:lpwstr>true</vt:lpwstr>
  </property>
  <property fmtid="{D5CDD505-2E9C-101B-9397-08002B2CF9AE}" pid="3" name="MSIP_Label_dffd51a4-5314-4c60-bce6-0affc34d9cd7_SetDate">
    <vt:lpwstr>2023-02-20T21:40:59Z</vt:lpwstr>
  </property>
  <property fmtid="{D5CDD505-2E9C-101B-9397-08002B2CF9AE}" pid="4" name="MSIP_Label_dffd51a4-5314-4c60-bce6-0affc34d9cd7_Method">
    <vt:lpwstr>Standard</vt:lpwstr>
  </property>
  <property fmtid="{D5CDD505-2E9C-101B-9397-08002B2CF9AE}" pid="5" name="MSIP_Label_dffd51a4-5314-4c60-bce6-0affc34d9cd7_Name">
    <vt:lpwstr>dffd51a4-5314-4c60-bce6-0affc34d9cd7</vt:lpwstr>
  </property>
  <property fmtid="{D5CDD505-2E9C-101B-9397-08002B2CF9AE}" pid="6" name="MSIP_Label_dffd51a4-5314-4c60-bce6-0affc34d9cd7_SiteId">
    <vt:lpwstr>4a156c19-bc94-41ac-aacf-954686490869</vt:lpwstr>
  </property>
  <property fmtid="{D5CDD505-2E9C-101B-9397-08002B2CF9AE}" pid="7" name="MSIP_Label_dffd51a4-5314-4c60-bce6-0affc34d9cd7_ActionId">
    <vt:lpwstr>748b55f1-98cc-4016-96cc-ed4c0a65d7fc</vt:lpwstr>
  </property>
  <property fmtid="{D5CDD505-2E9C-101B-9397-08002B2CF9AE}" pid="8" name="MSIP_Label_dffd51a4-5314-4c60-bce6-0affc34d9cd7_ContentBits">
    <vt:lpwstr>0</vt:lpwstr>
  </property>
  <property fmtid="{D5CDD505-2E9C-101B-9397-08002B2CF9AE}" pid="9" name="{A44787D4-0540-4523-9961-78E4036D8C6D}">
    <vt:lpwstr>{69E4EBA1-E609-4767-B732-F03A784812FD}</vt:lpwstr>
  </property>
  <property fmtid="{D5CDD505-2E9C-101B-9397-08002B2CF9AE}" pid="10" name="ContentTypeId">
    <vt:lpwstr>0x010100E24E279619F95042B749F285AD849710</vt:lpwstr>
  </property>
  <property fmtid="{D5CDD505-2E9C-101B-9397-08002B2CF9AE}" pid="11" name="docIndexRef">
    <vt:lpwstr>d27abebb-2174-44fb-998b-44a1579b75c4</vt:lpwstr>
  </property>
  <property fmtid="{D5CDD505-2E9C-101B-9397-08002B2CF9AE}" pid="12" name="bjSaver">
    <vt:lpwstr>laB92PiTOE+fMBo2q6pNUjoWMyCT+M9K</vt:lpwstr>
  </property>
  <property fmtid="{D5CDD505-2E9C-101B-9397-08002B2CF9AE}" pid="13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4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15" name="bjDocumentSecurityLabel">
    <vt:lpwstr>AEP Internal</vt:lpwstr>
  </property>
  <property fmtid="{D5CDD505-2E9C-101B-9397-08002B2CF9AE}" pid="16" name="MSIP_Label_69f43042-6bda-44b2-91eb-eca3d3d484f4_SiteId">
    <vt:lpwstr>15f3c881-6b03-4ff6-8559-77bf5177818f</vt:lpwstr>
  </property>
  <property fmtid="{D5CDD505-2E9C-101B-9397-08002B2CF9AE}" pid="17" name="MSIP_Label_69f43042-6bda-44b2-91eb-eca3d3d484f4_Name">
    <vt:lpwstr>AEP Internal</vt:lpwstr>
  </property>
  <property fmtid="{D5CDD505-2E9C-101B-9397-08002B2CF9AE}" pid="18" name="MSIP_Label_69f43042-6bda-44b2-91eb-eca3d3d484f4_Enabled">
    <vt:lpwstr>true</vt:lpwstr>
  </property>
  <property fmtid="{D5CDD505-2E9C-101B-9397-08002B2CF9AE}" pid="19" name="bjClsUserRVM">
    <vt:lpwstr>[]</vt:lpwstr>
  </property>
  <property fmtid="{D5CDD505-2E9C-101B-9397-08002B2CF9AE}" pid="20" name="bjLabelHistoryID">
    <vt:lpwstr>{09D02597-555D-4A89-847F-6E54509E05F6}</vt:lpwstr>
  </property>
</Properties>
</file>