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eLoving\Navitas Utility Dropbox\Julie Loving\Accounting\PGA\Kentucky\KY PGA\2023\"/>
    </mc:Choice>
  </mc:AlternateContent>
  <xr:revisionPtr revIDLastSave="0" documentId="8_{7542B68E-745A-4FAB-B975-1AF909A67BA1}" xr6:coauthVersionLast="47" xr6:coauthVersionMax="47" xr10:uidLastSave="{00000000-0000-0000-0000-000000000000}"/>
  <bookViews>
    <workbookView xWindow="32340" yWindow="1815" windowWidth="21600" windowHeight="11235" tabRatio="594" activeTab="6" xr2:uid="{7E86A399-3FDA-41F5-9C6F-3D06B440742D}"/>
  </bookViews>
  <sheets>
    <sheet name="Cover page" sheetId="7" r:id="rId1"/>
    <sheet name="Summary (SI)" sheetId="10" r:id="rId2"/>
    <sheet name="EGC (SII)" sheetId="8" r:id="rId3"/>
    <sheet name="Actual Adjustment (IV)" sheetId="14" r:id="rId4"/>
    <sheet name="EXAMPLE Actual Adjustment (SIV)" sheetId="13" state="hidden" r:id="rId5"/>
    <sheet name="FUTURE BA (SV)" sheetId="9" state="hidden" r:id="rId6"/>
    <sheet name="Balance Adjustment (V)" sheetId="17" r:id="rId7"/>
    <sheet name="Purchases" sheetId="11" r:id="rId8"/>
    <sheet name="Sales" sheetId="1" r:id="rId9"/>
    <sheet name="PAST GCR RIDER" sheetId="16" r:id="rId10"/>
    <sheet name="SCH III B&amp;S Oil FloydCo N-D-J" sheetId="15" r:id="rId11"/>
    <sheet name="SCH III B&amp;S Oil FloydCo A-S-O" sheetId="12" r:id="rId12"/>
  </sheets>
  <definedNames>
    <definedName name="_xlnm.Print_Area" localSheetId="3">'Actual Adjustment (IV)'!$A$1:$E$51</definedName>
    <definedName name="_xlnm.Print_Area" localSheetId="6">'Balance Adjustment (V)'!$A$2:$DR$53</definedName>
    <definedName name="_xlnm.Print_Area" localSheetId="4">'EXAMPLE Actual Adjustment (SIV)'!$A$1:$E$49</definedName>
    <definedName name="_xlnm.Print_Area" localSheetId="5">'FUTURE BA (SV)'!$A$2:$X$29</definedName>
    <definedName name="_xlnm.Print_Area" localSheetId="7">Purchases!$A$2:$AC$52</definedName>
    <definedName name="_xlnm.Print_Area" localSheetId="8">Sales!$A$2:$AD$23</definedName>
    <definedName name="_xlnm.Print_Titles" localSheetId="3">'Actual Adjustment (IV)'!$A:$E</definedName>
    <definedName name="_xlnm.Print_Titles" localSheetId="6">'Balance Adjustment (V)'!$A:$D,'Balance Adjustment (V)'!$4:$5</definedName>
    <definedName name="_xlnm.Print_Titles" localSheetId="4">'EXAMPLE Actual Adjustment (SIV)'!$A:$E</definedName>
    <definedName name="_xlnm.Print_Titles" localSheetId="5">'FUTURE BA (SV)'!$A:$D,'FUTURE BA (SV)'!$4:$5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8" l="1"/>
  <c r="H7" i="8"/>
  <c r="AB31" i="11"/>
  <c r="AB83" i="11"/>
  <c r="H22" i="8" s="1"/>
  <c r="H23" i="8" s="1"/>
  <c r="H29" i="8"/>
  <c r="AB53" i="1"/>
  <c r="Z53" i="1"/>
  <c r="H16" i="8"/>
  <c r="J91" i="11"/>
  <c r="L91" i="11"/>
  <c r="N91" i="11"/>
  <c r="P91" i="11"/>
  <c r="R91" i="11"/>
  <c r="T91" i="11"/>
  <c r="V91" i="11"/>
  <c r="X91" i="11"/>
  <c r="Z91" i="11"/>
  <c r="AB91" i="11"/>
  <c r="H91" i="11"/>
  <c r="F91" i="11"/>
  <c r="H84" i="11"/>
  <c r="F84" i="11"/>
  <c r="H83" i="11"/>
  <c r="F83" i="11"/>
  <c r="AB78" i="11"/>
  <c r="Z70" i="11"/>
  <c r="X70" i="11"/>
  <c r="V70" i="11"/>
  <c r="T70" i="11"/>
  <c r="R70" i="11"/>
  <c r="P70" i="11"/>
  <c r="N70" i="11"/>
  <c r="L70" i="11"/>
  <c r="J70" i="11"/>
  <c r="H70" i="11"/>
  <c r="F70" i="11"/>
  <c r="Z53" i="11"/>
  <c r="X53" i="11"/>
  <c r="V53" i="11"/>
  <c r="T53" i="11"/>
  <c r="R53" i="11"/>
  <c r="P53" i="11"/>
  <c r="N53" i="11"/>
  <c r="L53" i="11"/>
  <c r="J53" i="11"/>
  <c r="H53" i="11"/>
  <c r="F53" i="11"/>
  <c r="F31" i="11" l="1"/>
  <c r="H22" i="11"/>
  <c r="AQ23" i="17" l="1"/>
  <c r="AM5" i="17"/>
  <c r="AK5" i="17"/>
  <c r="AI5" i="17"/>
  <c r="AG5" i="17"/>
  <c r="F40" i="1"/>
  <c r="F42" i="1" s="1"/>
  <c r="AB61" i="11"/>
  <c r="AB63" i="11" s="1"/>
  <c r="H37" i="11"/>
  <c r="AU8" i="14" l="1"/>
  <c r="AS8" i="14"/>
  <c r="AQ8" i="14"/>
  <c r="AO8" i="14"/>
  <c r="AM8" i="14"/>
  <c r="AD50" i="1"/>
  <c r="AU35" i="14"/>
  <c r="AS35" i="14"/>
  <c r="AQ35" i="14"/>
  <c r="AO35" i="14"/>
  <c r="AQ20" i="14"/>
  <c r="AO20" i="14"/>
  <c r="AU9" i="14"/>
  <c r="AS9" i="14"/>
  <c r="AQ9" i="14"/>
  <c r="AO9" i="14"/>
  <c r="AM9" i="14"/>
  <c r="J83" i="11"/>
  <c r="AD37" i="1"/>
  <c r="AD36" i="1"/>
  <c r="AD27" i="1"/>
  <c r="AD24" i="1"/>
  <c r="H53" i="1"/>
  <c r="F53" i="1"/>
  <c r="H51" i="1"/>
  <c r="F51" i="1"/>
  <c r="H40" i="1"/>
  <c r="H27" i="1"/>
  <c r="F27" i="1"/>
  <c r="H26" i="1"/>
  <c r="F26" i="1"/>
  <c r="F14" i="1"/>
  <c r="H14" i="1"/>
  <c r="H13" i="1"/>
  <c r="N40" i="1"/>
  <c r="H39" i="1"/>
  <c r="F39" i="1"/>
  <c r="AD11" i="1" l="1"/>
  <c r="AD10" i="1"/>
  <c r="F13" i="1"/>
  <c r="J53" i="1"/>
  <c r="L40" i="1"/>
  <c r="H31" i="11"/>
  <c r="J26" i="10"/>
  <c r="J25" i="10"/>
  <c r="J24" i="10"/>
  <c r="AU43" i="14"/>
  <c r="AS43" i="14"/>
  <c r="AQ43" i="14"/>
  <c r="AU36" i="14"/>
  <c r="AS50" i="14"/>
  <c r="AQ36" i="14"/>
  <c r="AS20" i="14"/>
  <c r="AU15" i="14"/>
  <c r="AS15" i="14"/>
  <c r="AQ15" i="14"/>
  <c r="F23" i="8"/>
  <c r="X78" i="11"/>
  <c r="Z31" i="11"/>
  <c r="AS36" i="14" l="1"/>
  <c r="AS37" i="14" s="1"/>
  <c r="AS49" i="14" s="1"/>
  <c r="AS51" i="14" s="1"/>
  <c r="AS13" i="14" s="1"/>
  <c r="AS16" i="14" s="1"/>
  <c r="AU37" i="14"/>
  <c r="AU49" i="14" s="1"/>
  <c r="AU51" i="14" s="1"/>
  <c r="AU13" i="14" s="1"/>
  <c r="AU16" i="14" s="1"/>
  <c r="AU50" i="14"/>
  <c r="AQ37" i="14"/>
  <c r="AQ50" i="14"/>
  <c r="AB40" i="1"/>
  <c r="AB27" i="1"/>
  <c r="AK8" i="14"/>
  <c r="AI8" i="14"/>
  <c r="AG8" i="14"/>
  <c r="AE8" i="14"/>
  <c r="AC8" i="14"/>
  <c r="Z83" i="11"/>
  <c r="X83" i="11"/>
  <c r="V83" i="11"/>
  <c r="V31" i="11"/>
  <c r="T83" i="11"/>
  <c r="Z78" i="11"/>
  <c r="V78" i="11"/>
  <c r="T78" i="11"/>
  <c r="R78" i="11"/>
  <c r="AQ49" i="14" l="1"/>
  <c r="AQ51" i="14" s="1"/>
  <c r="AQ13" i="14" s="1"/>
  <c r="AQ16" i="14" s="1"/>
  <c r="AQ44" i="14"/>
  <c r="AQ7" i="14" s="1"/>
  <c r="AQ10" i="14" s="1"/>
  <c r="AU44" i="14"/>
  <c r="AU7" i="14" s="1"/>
  <c r="AU10" i="14" s="1"/>
  <c r="AU18" i="14" s="1"/>
  <c r="AU22" i="14" s="1"/>
  <c r="AU24" i="14" s="1"/>
  <c r="AU25" i="14" s="1"/>
  <c r="AS44" i="14"/>
  <c r="AS7" i="14" s="1"/>
  <c r="AS10" i="14" s="1"/>
  <c r="AS18" i="14" s="1"/>
  <c r="AS22" i="14" s="1"/>
  <c r="AS24" i="14" s="1"/>
  <c r="AS25" i="14" s="1"/>
  <c r="AM35" i="14"/>
  <c r="AK35" i="14"/>
  <c r="AI35" i="14"/>
  <c r="AI50" i="14" s="1"/>
  <c r="AO50" i="14"/>
  <c r="AO43" i="14"/>
  <c r="AM43" i="14"/>
  <c r="AK43" i="14"/>
  <c r="AO36" i="14"/>
  <c r="AO37" i="14" s="1"/>
  <c r="AO15" i="14"/>
  <c r="AM15" i="14"/>
  <c r="AK15" i="14"/>
  <c r="AK9" i="14"/>
  <c r="X31" i="11"/>
  <c r="T31" i="11"/>
  <c r="Z22" i="11"/>
  <c r="X22" i="11"/>
  <c r="V22" i="11"/>
  <c r="AB50" i="1"/>
  <c r="AM20" i="14" s="1"/>
  <c r="Z50" i="1"/>
  <c r="AK20" i="14" s="1"/>
  <c r="X50" i="1"/>
  <c r="F50" i="1"/>
  <c r="AC23" i="14"/>
  <c r="H10" i="11"/>
  <c r="H14" i="11" s="1"/>
  <c r="H43" i="11" s="1"/>
  <c r="F7" i="8"/>
  <c r="AB13" i="11" l="1"/>
  <c r="F14" i="11"/>
  <c r="AE5" i="17"/>
  <c r="AI20" i="14"/>
  <c r="AO49" i="14"/>
  <c r="AO51" i="14" s="1"/>
  <c r="AO13" i="14" s="1"/>
  <c r="AO16" i="14" s="1"/>
  <c r="F37" i="11"/>
  <c r="V13" i="11"/>
  <c r="AQ18" i="14"/>
  <c r="X13" i="11"/>
  <c r="Z13" i="11"/>
  <c r="AO44" i="14"/>
  <c r="AO7" i="14" s="1"/>
  <c r="AO10" i="14" s="1"/>
  <c r="AK50" i="14"/>
  <c r="AK36" i="14"/>
  <c r="AK37" i="14" s="1"/>
  <c r="Z36" i="11" s="1"/>
  <c r="AM50" i="14"/>
  <c r="AM36" i="14"/>
  <c r="AM37" i="14" s="1"/>
  <c r="AB36" i="11" s="1"/>
  <c r="F22" i="8"/>
  <c r="F43" i="11" l="1"/>
  <c r="AB42" i="11"/>
  <c r="Z42" i="11"/>
  <c r="AQ26" i="14"/>
  <c r="AQ22" i="14"/>
  <c r="AQ24" i="14" s="1"/>
  <c r="AQ25" i="14" s="1"/>
  <c r="AU27" i="14" s="1"/>
  <c r="AU29" i="14" s="1"/>
  <c r="AO18" i="14"/>
  <c r="AO22" i="14" s="1"/>
  <c r="AO24" i="14" s="1"/>
  <c r="AO25" i="14" s="1"/>
  <c r="AM49" i="14"/>
  <c r="AM51" i="14" s="1"/>
  <c r="AM13" i="14" s="1"/>
  <c r="AM16" i="14" s="1"/>
  <c r="AM44" i="14"/>
  <c r="AM7" i="14" s="1"/>
  <c r="AM10" i="14" s="1"/>
  <c r="AK49" i="14"/>
  <c r="AK51" i="14" s="1"/>
  <c r="AK13" i="14" s="1"/>
  <c r="AK16" i="14" s="1"/>
  <c r="AK44" i="14"/>
  <c r="AK7" i="14" s="1"/>
  <c r="AK10" i="14" s="1"/>
  <c r="AE9" i="14"/>
  <c r="AC9" i="14"/>
  <c r="AM18" i="14" l="1"/>
  <c r="AM22" i="14" s="1"/>
  <c r="AM24" i="14" s="1"/>
  <c r="AM25" i="14" s="1"/>
  <c r="AK18" i="14"/>
  <c r="R83" i="11"/>
  <c r="AK26" i="14" l="1"/>
  <c r="AK22" i="14"/>
  <c r="AK24" i="14" s="1"/>
  <c r="AK25" i="14" s="1"/>
  <c r="AO27" i="14" s="1"/>
  <c r="AO29" i="14" l="1"/>
  <c r="AS41" i="17" s="1"/>
  <c r="AS17" i="17" s="1"/>
  <c r="J23" i="10" s="1"/>
  <c r="AK42" i="17"/>
  <c r="R31" i="11"/>
  <c r="L27" i="1"/>
  <c r="V10" i="1"/>
  <c r="AG35" i="14" s="1"/>
  <c r="T10" i="1"/>
  <c r="AE35" i="14" s="1"/>
  <c r="R10" i="1"/>
  <c r="AC35" i="14" s="1"/>
  <c r="P10" i="1"/>
  <c r="V36" i="1"/>
  <c r="T36" i="1"/>
  <c r="R36" i="1"/>
  <c r="R40" i="1" s="1"/>
  <c r="P36" i="1"/>
  <c r="P40" i="1" s="1"/>
  <c r="V23" i="1"/>
  <c r="T23" i="1"/>
  <c r="R23" i="1"/>
  <c r="R27" i="1" s="1"/>
  <c r="P23" i="1"/>
  <c r="P27" i="1" s="1"/>
  <c r="T22" i="11"/>
  <c r="R22" i="11"/>
  <c r="T13" i="11"/>
  <c r="R13" i="11"/>
  <c r="Y55" i="14"/>
  <c r="G24" i="16"/>
  <c r="G25" i="16"/>
  <c r="BI58" i="17"/>
  <c r="BQ57" i="17"/>
  <c r="BS57" i="17" s="1"/>
  <c r="BC54" i="17"/>
  <c r="BK53" i="17"/>
  <c r="BM53" i="17" s="1"/>
  <c r="AW50" i="17"/>
  <c r="BE49" i="17"/>
  <c r="BG49" i="17" s="1"/>
  <c r="AM17" i="17"/>
  <c r="AQ46" i="17"/>
  <c r="AY45" i="17"/>
  <c r="AO37" i="17"/>
  <c r="AU41" i="17" l="1"/>
  <c r="AW41" i="17" s="1"/>
  <c r="AY41" i="17" s="1"/>
  <c r="BA41" i="17" s="1"/>
  <c r="BC41" i="17" s="1"/>
  <c r="BE41" i="17" s="1"/>
  <c r="BG41" i="17" s="1"/>
  <c r="BI41" i="17" s="1"/>
  <c r="BK41" i="17" s="1"/>
  <c r="BM41" i="17" s="1"/>
  <c r="BO41" i="17" s="1"/>
  <c r="BO14" i="17" s="1"/>
  <c r="Z13" i="1"/>
  <c r="AB13" i="1"/>
  <c r="T50" i="1"/>
  <c r="AA5" i="17" s="1"/>
  <c r="R50" i="1"/>
  <c r="AD23" i="1"/>
  <c r="Z26" i="1"/>
  <c r="AB26" i="1"/>
  <c r="V50" i="1"/>
  <c r="AC5" i="17" s="1"/>
  <c r="AQ37" i="17"/>
  <c r="AO17" i="17"/>
  <c r="BI49" i="17"/>
  <c r="BG17" i="17"/>
  <c r="BU57" i="17"/>
  <c r="BS17" i="17"/>
  <c r="AY17" i="17"/>
  <c r="BA45" i="17"/>
  <c r="BO53" i="17"/>
  <c r="BM17" i="17"/>
  <c r="BE17" i="17"/>
  <c r="BK17" i="17"/>
  <c r="BQ17" i="17"/>
  <c r="BM14" i="17" l="1"/>
  <c r="BA16" i="17"/>
  <c r="BC16" i="17"/>
  <c r="BG15" i="17"/>
  <c r="AY16" i="17"/>
  <c r="BE15" i="17"/>
  <c r="BI15" i="17"/>
  <c r="AW17" i="17"/>
  <c r="BK14" i="17"/>
  <c r="AU17" i="17"/>
  <c r="Y5" i="17"/>
  <c r="AC20" i="14"/>
  <c r="BW57" i="17"/>
  <c r="BY57" i="17" s="1"/>
  <c r="CA57" i="17" s="1"/>
  <c r="CC57" i="17" s="1"/>
  <c r="CE57" i="17" s="1"/>
  <c r="CG57" i="17" s="1"/>
  <c r="CI57" i="17" s="1"/>
  <c r="CK57" i="17" s="1"/>
  <c r="CM57" i="17" s="1"/>
  <c r="BU17" i="17"/>
  <c r="BC45" i="17"/>
  <c r="BA17" i="17"/>
  <c r="AS37" i="17"/>
  <c r="AQ17" i="17"/>
  <c r="BQ53" i="17"/>
  <c r="BO17" i="17"/>
  <c r="BK49" i="17"/>
  <c r="BI17" i="17"/>
  <c r="BM49" i="17" l="1"/>
  <c r="BK16" i="17"/>
  <c r="AU37" i="17"/>
  <c r="AS16" i="17"/>
  <c r="BE45" i="17"/>
  <c r="BC17" i="17"/>
  <c r="BS53" i="17"/>
  <c r="BQ16" i="17"/>
  <c r="BG45" i="17" l="1"/>
  <c r="BE16" i="17"/>
  <c r="AW37" i="17"/>
  <c r="AU16" i="17"/>
  <c r="BO49" i="17"/>
  <c r="BM16" i="17"/>
  <c r="BU53" i="17"/>
  <c r="BS16" i="17"/>
  <c r="BQ49" i="17" l="1"/>
  <c r="BO16" i="17"/>
  <c r="AY37" i="17"/>
  <c r="AW16" i="17"/>
  <c r="BI45" i="17"/>
  <c r="BG16" i="17"/>
  <c r="BW53" i="17"/>
  <c r="BY53" i="17" s="1"/>
  <c r="CA53" i="17" s="1"/>
  <c r="CC53" i="17" s="1"/>
  <c r="CE53" i="17" s="1"/>
  <c r="CG53" i="17" s="1"/>
  <c r="BU16" i="17"/>
  <c r="BK45" i="17" l="1"/>
  <c r="BI16" i="17"/>
  <c r="BA37" i="17"/>
  <c r="AY15" i="17"/>
  <c r="BS49" i="17"/>
  <c r="BQ15" i="17"/>
  <c r="BC37" i="17" l="1"/>
  <c r="BA15" i="17"/>
  <c r="BM45" i="17"/>
  <c r="BK15" i="17"/>
  <c r="BK18" i="17" s="1"/>
  <c r="BU49" i="17"/>
  <c r="BS15" i="17"/>
  <c r="BO45" i="17" l="1"/>
  <c r="BM15" i="17"/>
  <c r="BM18" i="17" s="1"/>
  <c r="BW49" i="17"/>
  <c r="BY49" i="17" s="1"/>
  <c r="CA49" i="17" s="1"/>
  <c r="BU15" i="17"/>
  <c r="BE37" i="17"/>
  <c r="BC15" i="17"/>
  <c r="BG37" i="17" l="1"/>
  <c r="BE14" i="17"/>
  <c r="BE18" i="17" s="1"/>
  <c r="BQ45" i="17"/>
  <c r="BO15" i="17"/>
  <c r="BO18" i="17" s="1"/>
  <c r="BI37" i="17" l="1"/>
  <c r="BI14" i="17" s="1"/>
  <c r="BI18" i="17" s="1"/>
  <c r="BG14" i="17"/>
  <c r="BG18" i="17" s="1"/>
  <c r="BS45" i="17"/>
  <c r="BQ14" i="17"/>
  <c r="BQ18" i="17" s="1"/>
  <c r="BU45" i="17" l="1"/>
  <c r="BU14" i="17" s="1"/>
  <c r="BU18" i="17" s="1"/>
  <c r="BS14" i="17"/>
  <c r="BS18" i="17" s="1"/>
  <c r="AE50" i="14" l="1"/>
  <c r="AE43" i="14"/>
  <c r="AE36" i="14"/>
  <c r="AE37" i="14" s="1"/>
  <c r="T36" i="11" s="1"/>
  <c r="T42" i="11" s="1"/>
  <c r="AG50" i="14"/>
  <c r="AG43" i="14"/>
  <c r="AG36" i="14"/>
  <c r="AG37" i="14" s="1"/>
  <c r="V36" i="11" s="1"/>
  <c r="V42" i="11" s="1"/>
  <c r="AI43" i="14"/>
  <c r="AI36" i="14"/>
  <c r="AI37" i="14" s="1"/>
  <c r="AG20" i="14"/>
  <c r="AE20" i="14"/>
  <c r="AI15" i="14"/>
  <c r="AG15" i="14"/>
  <c r="AE15" i="14"/>
  <c r="AI9" i="14"/>
  <c r="AG9" i="14"/>
  <c r="AI49" i="14" l="1"/>
  <c r="AI51" i="14" s="1"/>
  <c r="AI13" i="14" s="1"/>
  <c r="AI16" i="14" s="1"/>
  <c r="X36" i="11"/>
  <c r="X42" i="11" s="1"/>
  <c r="AE49" i="14"/>
  <c r="AE51" i="14" s="1"/>
  <c r="AE44" i="14"/>
  <c r="AG49" i="14"/>
  <c r="AG51" i="14" s="1"/>
  <c r="AG13" i="14" s="1"/>
  <c r="AG16" i="14" s="1"/>
  <c r="AG44" i="14"/>
  <c r="AI44" i="14"/>
  <c r="AI7" i="14" s="1"/>
  <c r="AI10" i="14" s="1"/>
  <c r="P13" i="11"/>
  <c r="P22" i="11"/>
  <c r="P31" i="11"/>
  <c r="P78" i="11"/>
  <c r="N78" i="11"/>
  <c r="L78" i="11"/>
  <c r="P83" i="11"/>
  <c r="D22" i="8" s="1"/>
  <c r="N83" i="11"/>
  <c r="AA35" i="14"/>
  <c r="P50" i="1"/>
  <c r="W5" i="17" s="1"/>
  <c r="N36" i="1"/>
  <c r="AI18" i="14" l="1"/>
  <c r="AI22" i="14" s="1"/>
  <c r="AI24" i="14" s="1"/>
  <c r="AI25" i="14" s="1"/>
  <c r="Z39" i="1"/>
  <c r="AB39" i="1"/>
  <c r="AA20" i="14"/>
  <c r="AE13" i="14"/>
  <c r="AE16" i="14" s="1"/>
  <c r="AG7" i="14"/>
  <c r="AG10" i="14" s="1"/>
  <c r="AG18" i="14" s="1"/>
  <c r="AG22" i="14" s="1"/>
  <c r="AG24" i="14" s="1"/>
  <c r="AG25" i="14" s="1"/>
  <c r="AE7" i="14"/>
  <c r="AE10" i="14" s="1"/>
  <c r="AC43" i="14"/>
  <c r="AA43" i="14"/>
  <c r="Y43" i="14"/>
  <c r="W43" i="14"/>
  <c r="U43" i="14"/>
  <c r="S43" i="14"/>
  <c r="G26" i="16"/>
  <c r="G13" i="16"/>
  <c r="AC22" i="16"/>
  <c r="AA22" i="16"/>
  <c r="Y22" i="16"/>
  <c r="W22" i="16"/>
  <c r="U22" i="16"/>
  <c r="S22" i="16"/>
  <c r="Q22" i="16"/>
  <c r="O22" i="16"/>
  <c r="M22" i="16"/>
  <c r="K22" i="16"/>
  <c r="I22" i="16"/>
  <c r="G22" i="16"/>
  <c r="G19" i="16" s="1"/>
  <c r="I19" i="16" s="1"/>
  <c r="AC16" i="16"/>
  <c r="AA16" i="16"/>
  <c r="Y16" i="16"/>
  <c r="W16" i="16"/>
  <c r="U16" i="16"/>
  <c r="S16" i="16"/>
  <c r="Q16" i="16"/>
  <c r="O16" i="16"/>
  <c r="M16" i="16"/>
  <c r="K16" i="16"/>
  <c r="I16" i="16"/>
  <c r="AC10" i="16"/>
  <c r="AA10" i="16"/>
  <c r="Y10" i="16"/>
  <c r="W10" i="16"/>
  <c r="U10" i="16"/>
  <c r="S10" i="16"/>
  <c r="Q10" i="16"/>
  <c r="O10" i="16"/>
  <c r="M10" i="16"/>
  <c r="K10" i="16"/>
  <c r="I10" i="16"/>
  <c r="I26" i="16" s="1"/>
  <c r="G10" i="16"/>
  <c r="G5" i="16" s="1"/>
  <c r="N22" i="11"/>
  <c r="L22" i="11"/>
  <c r="J22" i="11"/>
  <c r="AC26" i="16" l="1"/>
  <c r="AA26" i="16"/>
  <c r="Y26" i="16"/>
  <c r="W26" i="16"/>
  <c r="U26" i="16"/>
  <c r="S26" i="16"/>
  <c r="K19" i="16"/>
  <c r="M19" i="16" s="1"/>
  <c r="O19" i="16" s="1"/>
  <c r="Q19" i="16" s="1"/>
  <c r="S19" i="16" s="1"/>
  <c r="U19" i="16" s="1"/>
  <c r="W19" i="16" s="1"/>
  <c r="Y19" i="16" s="1"/>
  <c r="AA19" i="16" s="1"/>
  <c r="AC19" i="16" s="1"/>
  <c r="Q26" i="16"/>
  <c r="O26" i="16"/>
  <c r="K26" i="16"/>
  <c r="I13" i="16"/>
  <c r="K13" i="16" s="1"/>
  <c r="M13" i="16" s="1"/>
  <c r="O13" i="16" s="1"/>
  <c r="Q13" i="16" s="1"/>
  <c r="S13" i="16" s="1"/>
  <c r="U13" i="16" s="1"/>
  <c r="W13" i="16" s="1"/>
  <c r="Y13" i="16" s="1"/>
  <c r="AA13" i="16" s="1"/>
  <c r="AC13" i="16" s="1"/>
  <c r="AE18" i="14"/>
  <c r="AE26" i="14" s="1"/>
  <c r="M26" i="16"/>
  <c r="G27" i="16"/>
  <c r="I27" i="16" s="1"/>
  <c r="K27" i="16" s="1"/>
  <c r="M27" i="16" s="1"/>
  <c r="O27" i="16" s="1"/>
  <c r="Q27" i="16" s="1"/>
  <c r="S27" i="16" s="1"/>
  <c r="U27" i="16" s="1"/>
  <c r="W27" i="16" s="1"/>
  <c r="Y27" i="16" s="1"/>
  <c r="AA27" i="16" s="1"/>
  <c r="AC27" i="16" s="1"/>
  <c r="I5" i="16"/>
  <c r="AE22" i="14" l="1"/>
  <c r="AE24" i="14" s="1"/>
  <c r="AE25" i="14" s="1"/>
  <c r="AI27" i="14" s="1"/>
  <c r="K5" i="16"/>
  <c r="I25" i="16"/>
  <c r="AI29" i="14" l="1"/>
  <c r="AE38" i="17"/>
  <c r="M5" i="16"/>
  <c r="K25" i="16"/>
  <c r="J22" i="8"/>
  <c r="L83" i="11"/>
  <c r="J78" i="11"/>
  <c r="H78" i="11"/>
  <c r="F78" i="11"/>
  <c r="N31" i="11"/>
  <c r="L31" i="11"/>
  <c r="J31" i="11"/>
  <c r="N13" i="11"/>
  <c r="N42" i="11" s="1"/>
  <c r="L13" i="11"/>
  <c r="L42" i="11" s="1"/>
  <c r="J13" i="11"/>
  <c r="H13" i="11"/>
  <c r="AC15" i="14"/>
  <c r="AA15" i="14"/>
  <c r="AA9" i="14"/>
  <c r="AA8" i="14"/>
  <c r="Y15" i="14"/>
  <c r="Y9" i="14"/>
  <c r="Y8" i="14"/>
  <c r="W15" i="14"/>
  <c r="U15" i="14"/>
  <c r="W9" i="14"/>
  <c r="S9" i="14"/>
  <c r="U9" i="14"/>
  <c r="W8" i="14"/>
  <c r="U8" i="14"/>
  <c r="S8" i="14"/>
  <c r="J40" i="1"/>
  <c r="J27" i="1"/>
  <c r="J42" i="11" l="1"/>
  <c r="H16" i="11"/>
  <c r="H42" i="11"/>
  <c r="F16" i="11"/>
  <c r="O5" i="16"/>
  <c r="M25" i="16"/>
  <c r="Q5" i="16" l="1"/>
  <c r="O25" i="16"/>
  <c r="Q20" i="14"/>
  <c r="Y35" i="14"/>
  <c r="Y36" i="14" s="1"/>
  <c r="Y37" i="14" s="1"/>
  <c r="Y49" i="14" s="1"/>
  <c r="W35" i="14"/>
  <c r="U35" i="14"/>
  <c r="S35" i="14"/>
  <c r="Q35" i="14"/>
  <c r="AC50" i="14"/>
  <c r="AA50" i="14"/>
  <c r="AC36" i="14"/>
  <c r="AC37" i="14" s="1"/>
  <c r="AA36" i="14"/>
  <c r="AA37" i="14" s="1"/>
  <c r="N50" i="1"/>
  <c r="L50" i="1"/>
  <c r="J50" i="1"/>
  <c r="H50" i="1"/>
  <c r="O5" i="17" s="1"/>
  <c r="S20" i="14" l="1"/>
  <c r="Q5" i="17"/>
  <c r="U20" i="14"/>
  <c r="U5" i="17"/>
  <c r="Y20" i="14"/>
  <c r="S5" i="17"/>
  <c r="W20" i="14"/>
  <c r="AC44" i="14"/>
  <c r="AC7" i="14" s="1"/>
  <c r="AC10" i="14" s="1"/>
  <c r="R36" i="11"/>
  <c r="R42" i="11" s="1"/>
  <c r="AA49" i="14"/>
  <c r="AA51" i="14" s="1"/>
  <c r="AA13" i="14" s="1"/>
  <c r="AA16" i="14" s="1"/>
  <c r="P36" i="11"/>
  <c r="P42" i="11" s="1"/>
  <c r="S5" i="16"/>
  <c r="Q25" i="16"/>
  <c r="Y50" i="14"/>
  <c r="Y51" i="14" s="1"/>
  <c r="Y13" i="14" s="1"/>
  <c r="Y16" i="14" s="1"/>
  <c r="Y44" i="14"/>
  <c r="Y7" i="14" s="1"/>
  <c r="Y10" i="14" s="1"/>
  <c r="AA44" i="14"/>
  <c r="AA7" i="14" s="1"/>
  <c r="AA10" i="14" s="1"/>
  <c r="AC49" i="14"/>
  <c r="AC51" i="14" s="1"/>
  <c r="F45" i="11" l="1"/>
  <c r="H45" i="11"/>
  <c r="AA18" i="14"/>
  <c r="AA22" i="14" s="1"/>
  <c r="AA24" i="14" s="1"/>
  <c r="AA25" i="14" s="1"/>
  <c r="AC13" i="14"/>
  <c r="AC16" i="14" s="1"/>
  <c r="AC18" i="14" s="1"/>
  <c r="AC22" i="14" s="1"/>
  <c r="AC24" i="14" s="1"/>
  <c r="AC25" i="14" s="1"/>
  <c r="Y18" i="14"/>
  <c r="Y22" i="14" s="1"/>
  <c r="Y24" i="14" s="1"/>
  <c r="Y25" i="14" s="1"/>
  <c r="U5" i="16"/>
  <c r="S25" i="16"/>
  <c r="AC27" i="14" l="1"/>
  <c r="W5" i="16"/>
  <c r="U25" i="16"/>
  <c r="Y26" i="14"/>
  <c r="AC29" i="14" l="1"/>
  <c r="Y34" i="17"/>
  <c r="Y5" i="16"/>
  <c r="W25" i="16"/>
  <c r="J7" i="8"/>
  <c r="F90" i="11"/>
  <c r="AA5" i="16" l="1"/>
  <c r="Y25" i="16"/>
  <c r="O35" i="14"/>
  <c r="AG17" i="17" l="1"/>
  <c r="AI33" i="17"/>
  <c r="AC5" i="16"/>
  <c r="AC25" i="16" s="1"/>
  <c r="AA25" i="16"/>
  <c r="AB57" i="11"/>
  <c r="Z61" i="11" s="1"/>
  <c r="Z63" i="11" s="1"/>
  <c r="Z57" i="11"/>
  <c r="F13" i="11"/>
  <c r="AB16" i="11" s="1"/>
  <c r="H6" i="8" s="1"/>
  <c r="AB12" i="11"/>
  <c r="AB41" i="11" s="1"/>
  <c r="L61" i="11" l="1"/>
  <c r="L63" i="11" s="1"/>
  <c r="T61" i="11"/>
  <c r="T63" i="11" s="1"/>
  <c r="R61" i="11"/>
  <c r="R63" i="11" s="1"/>
  <c r="V61" i="11"/>
  <c r="V63" i="11" s="1"/>
  <c r="X61" i="11"/>
  <c r="X63" i="11" s="1"/>
  <c r="Z16" i="11"/>
  <c r="AK33" i="17"/>
  <c r="AI17" i="17"/>
  <c r="P61" i="11"/>
  <c r="N61" i="11"/>
  <c r="N63" i="11" s="1"/>
  <c r="F42" i="11"/>
  <c r="P63" i="11" l="1"/>
  <c r="AB45" i="11"/>
  <c r="AB93" i="11" s="1"/>
  <c r="Z45" i="11"/>
  <c r="AM33" i="17"/>
  <c r="AK17" i="17"/>
  <c r="AO33" i="17" l="1"/>
  <c r="AM16" i="17"/>
  <c r="AQ33" i="17" l="1"/>
  <c r="AO16" i="17"/>
  <c r="AB49" i="1"/>
  <c r="O20" i="14" l="1"/>
  <c r="AS33" i="17"/>
  <c r="AQ16" i="17"/>
  <c r="W50" i="14"/>
  <c r="U50" i="14"/>
  <c r="S50" i="14"/>
  <c r="Q43" i="14"/>
  <c r="O43" i="14"/>
  <c r="M43" i="14"/>
  <c r="W36" i="14"/>
  <c r="W37" i="14" s="1"/>
  <c r="W49" i="14" s="1"/>
  <c r="U36" i="14"/>
  <c r="U37" i="14" s="1"/>
  <c r="U49" i="14" s="1"/>
  <c r="S36" i="14"/>
  <c r="S37" i="14" s="1"/>
  <c r="Q50" i="14"/>
  <c r="O36" i="14"/>
  <c r="Q15" i="14"/>
  <c r="O15" i="14"/>
  <c r="M15" i="14"/>
  <c r="Q9" i="14"/>
  <c r="O9" i="14"/>
  <c r="M9" i="14"/>
  <c r="Q8" i="14"/>
  <c r="O8" i="14"/>
  <c r="M8" i="14"/>
  <c r="J27" i="15"/>
  <c r="J28" i="15" s="1"/>
  <c r="J29" i="15" s="1"/>
  <c r="J32" i="15" s="1"/>
  <c r="J18" i="15"/>
  <c r="J34" i="15" s="1"/>
  <c r="J17" i="15"/>
  <c r="AU33" i="17" l="1"/>
  <c r="AS15" i="17"/>
  <c r="U51" i="14"/>
  <c r="U13" i="14" s="1"/>
  <c r="U16" i="14" s="1"/>
  <c r="W51" i="14"/>
  <c r="W13" i="14" s="1"/>
  <c r="W16" i="14" s="1"/>
  <c r="U44" i="14"/>
  <c r="U7" i="14" s="1"/>
  <c r="U10" i="14" s="1"/>
  <c r="Q36" i="14"/>
  <c r="Q37" i="14" s="1"/>
  <c r="S49" i="14"/>
  <c r="S51" i="14" s="1"/>
  <c r="S13" i="14" s="1"/>
  <c r="S44" i="14"/>
  <c r="S7" i="14" s="1"/>
  <c r="S10" i="14" s="1"/>
  <c r="W44" i="14"/>
  <c r="W7" i="14" s="1"/>
  <c r="W10" i="14" s="1"/>
  <c r="O37" i="14"/>
  <c r="O49" i="14" s="1"/>
  <c r="O50" i="14"/>
  <c r="J35" i="15"/>
  <c r="J33" i="15"/>
  <c r="Z12" i="11"/>
  <c r="X12" i="11"/>
  <c r="V12" i="11"/>
  <c r="T12" i="11"/>
  <c r="R12" i="11"/>
  <c r="P12" i="11"/>
  <c r="N12" i="11"/>
  <c r="P16" i="11" l="1"/>
  <c r="Z41" i="11"/>
  <c r="X45" i="11" s="1"/>
  <c r="X16" i="11"/>
  <c r="T16" i="11"/>
  <c r="X41" i="11"/>
  <c r="V16" i="11"/>
  <c r="AW33" i="17"/>
  <c r="AU15" i="17"/>
  <c r="V41" i="11"/>
  <c r="R41" i="11"/>
  <c r="T41" i="11"/>
  <c r="R16" i="11"/>
  <c r="N41" i="11"/>
  <c r="L16" i="11"/>
  <c r="P41" i="11"/>
  <c r="N16" i="11"/>
  <c r="W18" i="14"/>
  <c r="W22" i="14" s="1"/>
  <c r="W24" i="14" s="1"/>
  <c r="W25" i="14" s="1"/>
  <c r="U18" i="14"/>
  <c r="U22" i="14" s="1"/>
  <c r="U24" i="14" s="1"/>
  <c r="U25" i="14" s="1"/>
  <c r="O51" i="14"/>
  <c r="O13" i="14" s="1"/>
  <c r="O16" i="14" s="1"/>
  <c r="O44" i="14"/>
  <c r="O7" i="14" s="1"/>
  <c r="O10" i="14" s="1"/>
  <c r="Q49" i="14"/>
  <c r="Q51" i="14" s="1"/>
  <c r="Q13" i="14" s="1"/>
  <c r="Q16" i="14" s="1"/>
  <c r="Q44" i="14"/>
  <c r="Q7" i="14" s="1"/>
  <c r="Q10" i="14" s="1"/>
  <c r="K9" i="14"/>
  <c r="K8" i="14"/>
  <c r="I9" i="14"/>
  <c r="I8" i="14"/>
  <c r="G9" i="14"/>
  <c r="G8" i="14"/>
  <c r="K15" i="14"/>
  <c r="I15" i="14"/>
  <c r="G15" i="14"/>
  <c r="S15" i="14" s="1"/>
  <c r="S16" i="14" s="1"/>
  <c r="S18" i="14" s="1"/>
  <c r="T45" i="11" l="1"/>
  <c r="V45" i="11"/>
  <c r="R45" i="11"/>
  <c r="AY33" i="17"/>
  <c r="AW15" i="17"/>
  <c r="P45" i="11"/>
  <c r="N45" i="11"/>
  <c r="L45" i="11"/>
  <c r="S26" i="14"/>
  <c r="S22" i="14"/>
  <c r="S24" i="14" s="1"/>
  <c r="S25" i="14" s="1"/>
  <c r="W27" i="14" s="1"/>
  <c r="O18" i="14"/>
  <c r="O22" i="14" s="1"/>
  <c r="O24" i="14" s="1"/>
  <c r="O25" i="14" s="1"/>
  <c r="Q18" i="14"/>
  <c r="Q22" i="14" s="1"/>
  <c r="Q24" i="14" s="1"/>
  <c r="Q25" i="14" s="1"/>
  <c r="V35" i="1"/>
  <c r="T35" i="1"/>
  <c r="V22" i="1"/>
  <c r="T22" i="1"/>
  <c r="V40" i="1" l="1"/>
  <c r="G74" i="14"/>
  <c r="T27" i="1"/>
  <c r="V27" i="1"/>
  <c r="G75" i="14"/>
  <c r="T40" i="1"/>
  <c r="BA33" i="17"/>
  <c r="AY14" i="17"/>
  <c r="AY18" i="17" s="1"/>
  <c r="W29" i="14"/>
  <c r="S30" i="17"/>
  <c r="J3" i="10"/>
  <c r="K43" i="14"/>
  <c r="I43" i="14"/>
  <c r="G43" i="14"/>
  <c r="AI65" i="13"/>
  <c r="AG65" i="13"/>
  <c r="AE65" i="13"/>
  <c r="AE9" i="13" s="1"/>
  <c r="AC65" i="13"/>
  <c r="AC9" i="13" s="1"/>
  <c r="AA65" i="13"/>
  <c r="Y65" i="13"/>
  <c r="W65" i="13"/>
  <c r="W9" i="13" s="1"/>
  <c r="U65" i="13"/>
  <c r="U9" i="13" s="1"/>
  <c r="S65" i="13"/>
  <c r="Q65" i="13"/>
  <c r="O65" i="13"/>
  <c r="O9" i="13" s="1"/>
  <c r="M65" i="13"/>
  <c r="M9" i="13" s="1"/>
  <c r="K65" i="13"/>
  <c r="I65" i="13"/>
  <c r="G65" i="13"/>
  <c r="G9" i="13" s="1"/>
  <c r="AI55" i="13"/>
  <c r="AI8" i="13" s="1"/>
  <c r="AG55" i="13"/>
  <c r="AE55" i="13"/>
  <c r="AC55" i="13"/>
  <c r="AC8" i="13" s="1"/>
  <c r="AA55" i="13"/>
  <c r="AA8" i="13" s="1"/>
  <c r="Y55" i="13"/>
  <c r="W55" i="13"/>
  <c r="U55" i="13"/>
  <c r="U8" i="13" s="1"/>
  <c r="S55" i="13"/>
  <c r="S8" i="13" s="1"/>
  <c r="Q55" i="13"/>
  <c r="O55" i="13"/>
  <c r="M55" i="13"/>
  <c r="M8" i="13" s="1"/>
  <c r="K55" i="13"/>
  <c r="K8" i="13" s="1"/>
  <c r="I55" i="13"/>
  <c r="G55" i="13"/>
  <c r="AI48" i="13"/>
  <c r="AG48" i="13"/>
  <c r="AE48" i="13"/>
  <c r="AC48" i="13"/>
  <c r="AA48" i="13"/>
  <c r="Y48" i="13"/>
  <c r="W48" i="13"/>
  <c r="U48" i="13"/>
  <c r="S48" i="13"/>
  <c r="Q48" i="13"/>
  <c r="O48" i="13"/>
  <c r="M48" i="13"/>
  <c r="K48" i="13"/>
  <c r="I48" i="13"/>
  <c r="G48" i="13"/>
  <c r="AA43" i="13"/>
  <c r="AA7" i="13" s="1"/>
  <c r="S43" i="13"/>
  <c r="S7" i="13" s="1"/>
  <c r="S10" i="13" s="1"/>
  <c r="AI42" i="13"/>
  <c r="AG42" i="13"/>
  <c r="AG43" i="13" s="1"/>
  <c r="AG7" i="13" s="1"/>
  <c r="AE42" i="13"/>
  <c r="AE43" i="13" s="1"/>
  <c r="AE7" i="13" s="1"/>
  <c r="AC42" i="13"/>
  <c r="AA42" i="13"/>
  <c r="Y42" i="13"/>
  <c r="Y43" i="13" s="1"/>
  <c r="Y7" i="13" s="1"/>
  <c r="W42" i="13"/>
  <c r="U42" i="13"/>
  <c r="S42" i="13"/>
  <c r="Q42" i="13"/>
  <c r="Q43" i="13" s="1"/>
  <c r="Q7" i="13" s="1"/>
  <c r="O42" i="13"/>
  <c r="O43" i="13" s="1"/>
  <c r="M42" i="13"/>
  <c r="K42" i="13"/>
  <c r="I42" i="13"/>
  <c r="I43" i="13" s="1"/>
  <c r="I7" i="13" s="1"/>
  <c r="G42" i="13"/>
  <c r="AG37" i="13"/>
  <c r="AG47" i="13" s="1"/>
  <c r="AG49" i="13" s="1"/>
  <c r="AG13" i="13" s="1"/>
  <c r="AE37" i="13"/>
  <c r="AE47" i="13" s="1"/>
  <c r="AE49" i="13" s="1"/>
  <c r="Y37" i="13"/>
  <c r="Y47" i="13" s="1"/>
  <c r="Y49" i="13" s="1"/>
  <c r="Y13" i="13" s="1"/>
  <c r="W37" i="13"/>
  <c r="W47" i="13" s="1"/>
  <c r="W49" i="13" s="1"/>
  <c r="Q37" i="13"/>
  <c r="Q47" i="13" s="1"/>
  <c r="Q49" i="13" s="1"/>
  <c r="Q13" i="13" s="1"/>
  <c r="Q16" i="13" s="1"/>
  <c r="O37" i="13"/>
  <c r="O47" i="13" s="1"/>
  <c r="O49" i="13" s="1"/>
  <c r="I37" i="13"/>
  <c r="I47" i="13" s="1"/>
  <c r="I49" i="13" s="1"/>
  <c r="I13" i="13" s="1"/>
  <c r="I16" i="13" s="1"/>
  <c r="G37" i="13"/>
  <c r="G47" i="13" s="1"/>
  <c r="G49" i="13" s="1"/>
  <c r="G13" i="13" s="1"/>
  <c r="G16" i="13" s="1"/>
  <c r="AI36" i="13"/>
  <c r="AI37" i="13" s="1"/>
  <c r="AI47" i="13" s="1"/>
  <c r="AI49" i="13" s="1"/>
  <c r="AI13" i="13" s="1"/>
  <c r="AI16" i="13" s="1"/>
  <c r="AG36" i="13"/>
  <c r="AE36" i="13"/>
  <c r="AC36" i="13"/>
  <c r="AC37" i="13" s="1"/>
  <c r="AC43" i="13" s="1"/>
  <c r="AC7" i="13" s="1"/>
  <c r="AA36" i="13"/>
  <c r="AA37" i="13" s="1"/>
  <c r="AA47" i="13" s="1"/>
  <c r="AA49" i="13" s="1"/>
  <c r="AA13" i="13" s="1"/>
  <c r="AA16" i="13" s="1"/>
  <c r="Y36" i="13"/>
  <c r="W36" i="13"/>
  <c r="U36" i="13"/>
  <c r="U37" i="13" s="1"/>
  <c r="U43" i="13" s="1"/>
  <c r="U7" i="13" s="1"/>
  <c r="S36" i="13"/>
  <c r="S37" i="13" s="1"/>
  <c r="S47" i="13" s="1"/>
  <c r="S49" i="13" s="1"/>
  <c r="S13" i="13" s="1"/>
  <c r="S16" i="13" s="1"/>
  <c r="Q36" i="13"/>
  <c r="O36" i="13"/>
  <c r="M36" i="13"/>
  <c r="M37" i="13" s="1"/>
  <c r="M43" i="13" s="1"/>
  <c r="M7" i="13" s="1"/>
  <c r="K36" i="13"/>
  <c r="K37" i="13" s="1"/>
  <c r="K47" i="13" s="1"/>
  <c r="K49" i="13" s="1"/>
  <c r="K13" i="13" s="1"/>
  <c r="K16" i="13" s="1"/>
  <c r="I36" i="13"/>
  <c r="G36" i="13"/>
  <c r="AG16" i="13"/>
  <c r="Y16" i="13"/>
  <c r="AE13" i="13"/>
  <c r="AE16" i="13" s="1"/>
  <c r="W13" i="13"/>
  <c r="W16" i="13" s="1"/>
  <c r="O13" i="13"/>
  <c r="O16" i="13" s="1"/>
  <c r="U10" i="13"/>
  <c r="AI9" i="13"/>
  <c r="AG9" i="13"/>
  <c r="AA9" i="13"/>
  <c r="Y9" i="13"/>
  <c r="S9" i="13"/>
  <c r="Q9" i="13"/>
  <c r="K9" i="13"/>
  <c r="I9" i="13"/>
  <c r="AG8" i="13"/>
  <c r="AE8" i="13"/>
  <c r="Y8" i="13"/>
  <c r="W8" i="13"/>
  <c r="Q8" i="13"/>
  <c r="O8" i="13"/>
  <c r="I8" i="13"/>
  <c r="G8" i="13"/>
  <c r="O7" i="13"/>
  <c r="J27" i="12"/>
  <c r="J28" i="12" s="1"/>
  <c r="J29" i="12" s="1"/>
  <c r="J32" i="12" s="1"/>
  <c r="J18" i="12"/>
  <c r="J34" i="12" s="1"/>
  <c r="J17" i="12"/>
  <c r="L57" i="11"/>
  <c r="J61" i="11" s="1"/>
  <c r="J63" i="11" s="1"/>
  <c r="J57" i="11"/>
  <c r="H57" i="11"/>
  <c r="F57" i="11"/>
  <c r="AB56" i="11"/>
  <c r="AB40" i="11"/>
  <c r="J12" i="11"/>
  <c r="F61" i="11" l="1"/>
  <c r="F63" i="11" s="1"/>
  <c r="BC33" i="17"/>
  <c r="BC14" i="17" s="1"/>
  <c r="BC18" i="17" s="1"/>
  <c r="BA14" i="17"/>
  <c r="BA18" i="17" s="1"/>
  <c r="J41" i="11"/>
  <c r="H61" i="11"/>
  <c r="H63" i="11" s="1"/>
  <c r="AE10" i="13"/>
  <c r="AE18" i="13"/>
  <c r="O18" i="13"/>
  <c r="O22" i="13" s="1"/>
  <c r="O24" i="13" s="1"/>
  <c r="O25" i="13" s="1"/>
  <c r="O10" i="13"/>
  <c r="W43" i="13"/>
  <c r="W7" i="13" s="1"/>
  <c r="I18" i="13"/>
  <c r="I22" i="13" s="1"/>
  <c r="I24" i="13" s="1"/>
  <c r="I25" i="13" s="1"/>
  <c r="I10" i="13"/>
  <c r="Y10" i="13"/>
  <c r="Y18" i="13" s="1"/>
  <c r="AA10" i="13"/>
  <c r="AA18" i="13" s="1"/>
  <c r="AA22" i="13" s="1"/>
  <c r="AA24" i="13" s="1"/>
  <c r="AA25" i="13" s="1"/>
  <c r="AC47" i="13"/>
  <c r="AC49" i="13" s="1"/>
  <c r="AC13" i="13" s="1"/>
  <c r="AC16" i="13" s="1"/>
  <c r="AI43" i="13"/>
  <c r="AI7" i="13" s="1"/>
  <c r="AC18" i="13"/>
  <c r="AC22" i="13" s="1"/>
  <c r="AC24" i="13" s="1"/>
  <c r="AC25" i="13" s="1"/>
  <c r="G43" i="13"/>
  <c r="G7" i="13" s="1"/>
  <c r="U47" i="13"/>
  <c r="U49" i="13" s="1"/>
  <c r="U13" i="13" s="1"/>
  <c r="U16" i="13" s="1"/>
  <c r="AC10" i="13"/>
  <c r="Q18" i="13"/>
  <c r="Q22" i="13" s="1"/>
  <c r="Q24" i="13" s="1"/>
  <c r="Q25" i="13" s="1"/>
  <c r="Q10" i="13"/>
  <c r="AG10" i="13"/>
  <c r="AG18" i="13" s="1"/>
  <c r="AG22" i="13" s="1"/>
  <c r="AG24" i="13" s="1"/>
  <c r="AG25" i="13" s="1"/>
  <c r="M10" i="13"/>
  <c r="M18" i="13" s="1"/>
  <c r="S18" i="13"/>
  <c r="K43" i="13"/>
  <c r="K7" i="13" s="1"/>
  <c r="M47" i="13"/>
  <c r="M49" i="13" s="1"/>
  <c r="M13" i="13" s="1"/>
  <c r="M16" i="13" s="1"/>
  <c r="J33" i="12"/>
  <c r="J35" i="12" s="1"/>
  <c r="AB11" i="11"/>
  <c r="N11" i="11"/>
  <c r="N40" i="11" s="1"/>
  <c r="P11" i="11"/>
  <c r="P40" i="11" s="1"/>
  <c r="X11" i="11"/>
  <c r="X40" i="11" s="1"/>
  <c r="H12" i="11"/>
  <c r="T11" i="11"/>
  <c r="T40" i="11" s="1"/>
  <c r="L12" i="11"/>
  <c r="V11" i="11"/>
  <c r="V40" i="11" s="1"/>
  <c r="F12" i="11"/>
  <c r="F41" i="11" s="1"/>
  <c r="R11" i="11"/>
  <c r="R40" i="11" s="1"/>
  <c r="Z11" i="11"/>
  <c r="Z40" i="11" s="1"/>
  <c r="AC29" i="17" l="1"/>
  <c r="AA17" i="17"/>
  <c r="L41" i="11"/>
  <c r="J45" i="11" s="1"/>
  <c r="J16" i="11"/>
  <c r="H41" i="11"/>
  <c r="Y26" i="13"/>
  <c r="Y22" i="13"/>
  <c r="Y24" i="13" s="1"/>
  <c r="Y25" i="13" s="1"/>
  <c r="AC27" i="13" s="1"/>
  <c r="AC29" i="13" s="1"/>
  <c r="M26" i="13"/>
  <c r="M22" i="13"/>
  <c r="M24" i="13" s="1"/>
  <c r="M25" i="13" s="1"/>
  <c r="Q27" i="13" s="1"/>
  <c r="Q29" i="13" s="1"/>
  <c r="W10" i="13"/>
  <c r="W18" i="13" s="1"/>
  <c r="AE22" i="13"/>
  <c r="AE24" i="13" s="1"/>
  <c r="AE25" i="13" s="1"/>
  <c r="K10" i="13"/>
  <c r="K18" i="13"/>
  <c r="K22" i="13" s="1"/>
  <c r="K24" i="13" s="1"/>
  <c r="K25" i="13" s="1"/>
  <c r="AI10" i="13"/>
  <c r="AI18" i="13"/>
  <c r="AI22" i="13" s="1"/>
  <c r="AI24" i="13" s="1"/>
  <c r="AI25" i="13" s="1"/>
  <c r="U18" i="13"/>
  <c r="U22" i="13" s="1"/>
  <c r="U24" i="13" s="1"/>
  <c r="U25" i="13" s="1"/>
  <c r="S22" i="13"/>
  <c r="S24" i="13" s="1"/>
  <c r="S25" i="13" s="1"/>
  <c r="G10" i="13"/>
  <c r="G18" i="13" s="1"/>
  <c r="W25" i="17" l="1"/>
  <c r="U17" i="17"/>
  <c r="AE29" i="17"/>
  <c r="AC17" i="17"/>
  <c r="G22" i="13"/>
  <c r="G24" i="13" s="1"/>
  <c r="G25" i="13" s="1"/>
  <c r="K27" i="13" s="1"/>
  <c r="K29" i="13" s="1"/>
  <c r="G26" i="13"/>
  <c r="W22" i="13"/>
  <c r="W24" i="13" s="1"/>
  <c r="W25" i="13" s="1"/>
  <c r="S26" i="13"/>
  <c r="AI27" i="13"/>
  <c r="AI29" i="13" s="1"/>
  <c r="AE26" i="13"/>
  <c r="W27" i="13"/>
  <c r="W29" i="13" s="1"/>
  <c r="AG29" i="17" l="1"/>
  <c r="AE17" i="17"/>
  <c r="Y25" i="17"/>
  <c r="W17" i="17"/>
  <c r="V9" i="1"/>
  <c r="T9" i="1"/>
  <c r="AA25" i="17" l="1"/>
  <c r="Y17" i="17"/>
  <c r="AI29" i="17"/>
  <c r="AG16" i="17"/>
  <c r="G73" i="14"/>
  <c r="G76" i="14" s="1"/>
  <c r="G23" i="14" s="1"/>
  <c r="G35" i="14"/>
  <c r="T49" i="1"/>
  <c r="I35" i="14"/>
  <c r="V49" i="1"/>
  <c r="Z9" i="1"/>
  <c r="Z35" i="1"/>
  <c r="Z22" i="1"/>
  <c r="X9" i="1"/>
  <c r="X35" i="1"/>
  <c r="X22" i="1"/>
  <c r="J20" i="10"/>
  <c r="K35" i="14" l="1"/>
  <c r="V13" i="1"/>
  <c r="Z40" i="1"/>
  <c r="X39" i="1"/>
  <c r="X13" i="1"/>
  <c r="M35" i="14"/>
  <c r="I20" i="14"/>
  <c r="X40" i="1"/>
  <c r="V39" i="1"/>
  <c r="T39" i="1"/>
  <c r="P39" i="1"/>
  <c r="R39" i="1"/>
  <c r="N39" i="1"/>
  <c r="Z27" i="1"/>
  <c r="X26" i="1"/>
  <c r="W26" i="1"/>
  <c r="R13" i="1"/>
  <c r="X27" i="1"/>
  <c r="V26" i="1"/>
  <c r="T26" i="1"/>
  <c r="P26" i="1"/>
  <c r="N26" i="1"/>
  <c r="R26" i="1"/>
  <c r="G20" i="14"/>
  <c r="T13" i="1"/>
  <c r="AK29" i="17"/>
  <c r="AI16" i="17"/>
  <c r="AC25" i="17"/>
  <c r="AA16" i="17"/>
  <c r="X49" i="1"/>
  <c r="I36" i="14"/>
  <c r="I37" i="14" s="1"/>
  <c r="I50" i="14"/>
  <c r="K50" i="14"/>
  <c r="K36" i="14"/>
  <c r="K37" i="14" s="1"/>
  <c r="G36" i="14"/>
  <c r="G37" i="14" s="1"/>
  <c r="G50" i="14"/>
  <c r="BI53" i="9"/>
  <c r="BK53" i="9" s="1"/>
  <c r="BG53" i="9"/>
  <c r="BI52" i="9"/>
  <c r="BK52" i="9" s="1"/>
  <c r="BM52" i="9" s="1"/>
  <c r="BO52" i="9" s="1"/>
  <c r="BQ52" i="9" s="1"/>
  <c r="BS52" i="9" s="1"/>
  <c r="BU52" i="9" s="1"/>
  <c r="BW52" i="9" s="1"/>
  <c r="BY52" i="9" s="1"/>
  <c r="CA52" i="9" s="1"/>
  <c r="CC52" i="9" s="1"/>
  <c r="BA49" i="9"/>
  <c r="BC49" i="9" s="1"/>
  <c r="BE48" i="9"/>
  <c r="BC48" i="9"/>
  <c r="AW45" i="9"/>
  <c r="AU45" i="9"/>
  <c r="AY44" i="9"/>
  <c r="BA44" i="9" s="1"/>
  <c r="BC44" i="9" s="1"/>
  <c r="BE44" i="9" s="1"/>
  <c r="BG44" i="9" s="1"/>
  <c r="BI44" i="9" s="1"/>
  <c r="AW44" i="9"/>
  <c r="AS41" i="9"/>
  <c r="AU41" i="9" s="1"/>
  <c r="AO41" i="9"/>
  <c r="AQ41" i="9" s="1"/>
  <c r="AS40" i="9"/>
  <c r="AU40" i="9" s="1"/>
  <c r="AW40" i="9" s="1"/>
  <c r="AY40" i="9" s="1"/>
  <c r="BA40" i="9" s="1"/>
  <c r="AQ40" i="9"/>
  <c r="AI37" i="9"/>
  <c r="AK37" i="9" s="1"/>
  <c r="AM37" i="9" s="1"/>
  <c r="AO36" i="9"/>
  <c r="AQ36" i="9" s="1"/>
  <c r="AS36" i="9" s="1"/>
  <c r="AU36" i="9" s="1"/>
  <c r="AW36" i="9" s="1"/>
  <c r="AY36" i="9" s="1"/>
  <c r="BA36" i="9" s="1"/>
  <c r="BC36" i="9" s="1"/>
  <c r="AK36" i="9"/>
  <c r="AM36" i="9" s="1"/>
  <c r="AI33" i="9"/>
  <c r="AK33" i="9" s="1"/>
  <c r="AM33" i="9" s="1"/>
  <c r="AO33" i="9" s="1"/>
  <c r="AQ33" i="9" s="1"/>
  <c r="AS33" i="9" s="1"/>
  <c r="AC33" i="9"/>
  <c r="AE33" i="9" s="1"/>
  <c r="AG33" i="9" s="1"/>
  <c r="AO32" i="9"/>
  <c r="AQ32" i="9" s="1"/>
  <c r="AS32" i="9" s="1"/>
  <c r="AI32" i="9"/>
  <c r="AK32" i="9" s="1"/>
  <c r="AM32" i="9" s="1"/>
  <c r="AG32" i="9"/>
  <c r="AE32" i="9"/>
  <c r="W29" i="9"/>
  <c r="Y28" i="9"/>
  <c r="Q25" i="9"/>
  <c r="AK24" i="9"/>
  <c r="AM24" i="9" s="1"/>
  <c r="AM14" i="9" s="1"/>
  <c r="AG24" i="9"/>
  <c r="AI24" i="9" s="1"/>
  <c r="AE24" i="9"/>
  <c r="W24" i="9"/>
  <c r="S24" i="9"/>
  <c r="U24" i="9" s="1"/>
  <c r="K21" i="9"/>
  <c r="M21" i="9" s="1"/>
  <c r="O21" i="9" s="1"/>
  <c r="AG20" i="9"/>
  <c r="AG14" i="9" s="1"/>
  <c r="AE20" i="9"/>
  <c r="O20" i="9"/>
  <c r="O17" i="9" s="1"/>
  <c r="O18" i="9" s="1"/>
  <c r="M20" i="9"/>
  <c r="M18" i="9"/>
  <c r="I18" i="9"/>
  <c r="BK17" i="9"/>
  <c r="BI17" i="9"/>
  <c r="BG17" i="9"/>
  <c r="BE17" i="9"/>
  <c r="BC17" i="9"/>
  <c r="BA17" i="9"/>
  <c r="AY17" i="9"/>
  <c r="AW17" i="9"/>
  <c r="AU17" i="9"/>
  <c r="AS17" i="9"/>
  <c r="AQ17" i="9"/>
  <c r="AO17" i="9"/>
  <c r="AM17" i="9"/>
  <c r="AK17" i="9"/>
  <c r="AI17" i="9"/>
  <c r="AG17" i="9"/>
  <c r="AE17" i="9"/>
  <c r="AC17" i="9"/>
  <c r="W17" i="9"/>
  <c r="U17" i="9"/>
  <c r="S17" i="9"/>
  <c r="Q17" i="9"/>
  <c r="M17" i="9"/>
  <c r="K17" i="9"/>
  <c r="K18" i="9" s="1"/>
  <c r="BE16" i="9"/>
  <c r="AW16" i="9"/>
  <c r="AU16" i="9"/>
  <c r="AS16" i="9"/>
  <c r="AQ16" i="9"/>
  <c r="AO16" i="9"/>
  <c r="AM16" i="9"/>
  <c r="AK16" i="9"/>
  <c r="AI16" i="9"/>
  <c r="BG15" i="9"/>
  <c r="AW15" i="9"/>
  <c r="AU15" i="9"/>
  <c r="AQ15" i="9"/>
  <c r="AO15" i="9"/>
  <c r="AG15" i="9"/>
  <c r="AE15" i="9"/>
  <c r="AC15" i="9"/>
  <c r="AK14" i="9"/>
  <c r="AI14" i="9"/>
  <c r="AE14" i="9"/>
  <c r="AC14" i="9"/>
  <c r="AM12" i="9"/>
  <c r="AK12" i="9"/>
  <c r="AI12" i="9"/>
  <c r="AG12" i="9"/>
  <c r="AE12" i="9"/>
  <c r="AC12" i="9"/>
  <c r="AA12" i="9"/>
  <c r="Y12" i="9"/>
  <c r="W12" i="9"/>
  <c r="U12" i="9"/>
  <c r="S12" i="9"/>
  <c r="Q12" i="9"/>
  <c r="O12" i="9"/>
  <c r="M12" i="9"/>
  <c r="K12" i="9"/>
  <c r="I12" i="9"/>
  <c r="M1" i="9"/>
  <c r="K1" i="9"/>
  <c r="I1" i="9"/>
  <c r="D23" i="8"/>
  <c r="J16" i="8"/>
  <c r="D16" i="8"/>
  <c r="D15" i="8"/>
  <c r="L9" i="8"/>
  <c r="L7" i="8"/>
  <c r="J23" i="8"/>
  <c r="L23" i="8" s="1"/>
  <c r="D6" i="8"/>
  <c r="M36" i="14" l="1"/>
  <c r="M37" i="14" s="1"/>
  <c r="M50" i="14"/>
  <c r="K20" i="14"/>
  <c r="AE25" i="17"/>
  <c r="AC16" i="17"/>
  <c r="AM29" i="17"/>
  <c r="AK16" i="17"/>
  <c r="G49" i="14"/>
  <c r="G51" i="14" s="1"/>
  <c r="G13" i="14" s="1"/>
  <c r="G16" i="14" s="1"/>
  <c r="G44" i="14"/>
  <c r="G7" i="14" s="1"/>
  <c r="G10" i="14" s="1"/>
  <c r="K49" i="14"/>
  <c r="K51" i="14" s="1"/>
  <c r="K13" i="14" s="1"/>
  <c r="K16" i="14" s="1"/>
  <c r="K44" i="14"/>
  <c r="K7" i="14" s="1"/>
  <c r="K10" i="14" s="1"/>
  <c r="I49" i="14"/>
  <c r="I51" i="14" s="1"/>
  <c r="I13" i="14" s="1"/>
  <c r="I16" i="14" s="1"/>
  <c r="I44" i="14"/>
  <c r="I7" i="14" s="1"/>
  <c r="I10" i="14" s="1"/>
  <c r="H26" i="8"/>
  <c r="D18" i="8"/>
  <c r="H18" i="8"/>
  <c r="L16" i="8"/>
  <c r="H10" i="8"/>
  <c r="L10" i="8" s="1"/>
  <c r="L6" i="8"/>
  <c r="D21" i="8"/>
  <c r="D26" i="8" s="1"/>
  <c r="L26" i="8"/>
  <c r="Y24" i="9"/>
  <c r="W16" i="9"/>
  <c r="AU32" i="9"/>
  <c r="AS15" i="9"/>
  <c r="BE36" i="9"/>
  <c r="BE14" i="9" s="1"/>
  <c r="BC14" i="9"/>
  <c r="BA14" i="9"/>
  <c r="O1" i="9"/>
  <c r="AU33" i="9"/>
  <c r="BC40" i="9"/>
  <c r="BA15" i="9"/>
  <c r="AY15" i="9"/>
  <c r="AY16" i="9"/>
  <c r="Q20" i="9"/>
  <c r="BK44" i="9"/>
  <c r="BI15" i="9"/>
  <c r="Y29" i="9"/>
  <c r="AA28" i="9"/>
  <c r="BA16" i="9"/>
  <c r="AO37" i="9"/>
  <c r="AQ37" i="9" s="1"/>
  <c r="AS37" i="9" s="1"/>
  <c r="AU37" i="9" s="1"/>
  <c r="AW37" i="9" s="1"/>
  <c r="AY37" i="9" s="1"/>
  <c r="BA37" i="9" s="1"/>
  <c r="BC37" i="9" s="1"/>
  <c r="BE49" i="9"/>
  <c r="BG48" i="9"/>
  <c r="BC16" i="9"/>
  <c r="Y17" i="9"/>
  <c r="S25" i="9"/>
  <c r="U25" i="9" s="1"/>
  <c r="W25" i="9" s="1"/>
  <c r="Y25" i="9" s="1"/>
  <c r="AW41" i="9"/>
  <c r="AY41" i="9" s="1"/>
  <c r="BA41" i="9" s="1"/>
  <c r="BC41" i="9" s="1"/>
  <c r="AY45" i="9"/>
  <c r="BA45" i="9" s="1"/>
  <c r="BC45" i="9" s="1"/>
  <c r="BE45" i="9" s="1"/>
  <c r="BG45" i="9" s="1"/>
  <c r="BI45" i="9" s="1"/>
  <c r="BK45" i="9" s="1"/>
  <c r="BM53" i="9"/>
  <c r="BO53" i="9" s="1"/>
  <c r="BQ53" i="9" s="1"/>
  <c r="BS53" i="9" s="1"/>
  <c r="BU53" i="9" s="1"/>
  <c r="BW53" i="9" s="1"/>
  <c r="BY53" i="9" s="1"/>
  <c r="CA53" i="9" s="1"/>
  <c r="CC53" i="9" s="1"/>
  <c r="CE53" i="9" s="1"/>
  <c r="CG53" i="9" s="1"/>
  <c r="D7" i="8"/>
  <c r="D12" i="8" s="1"/>
  <c r="H28" i="8" l="1"/>
  <c r="M49" i="14"/>
  <c r="M51" i="14" s="1"/>
  <c r="M13" i="14" s="1"/>
  <c r="M16" i="14" s="1"/>
  <c r="M44" i="14"/>
  <c r="M7" i="14" s="1"/>
  <c r="M10" i="14" s="1"/>
  <c r="AO29" i="17"/>
  <c r="AM15" i="17"/>
  <c r="AG25" i="17"/>
  <c r="AE16" i="17"/>
  <c r="G18" i="14"/>
  <c r="L18" i="8"/>
  <c r="I18" i="14"/>
  <c r="I22" i="14" s="1"/>
  <c r="I24" i="14" s="1"/>
  <c r="I25" i="14" s="1"/>
  <c r="K18" i="14"/>
  <c r="K22" i="14" s="1"/>
  <c r="K24" i="14" s="1"/>
  <c r="K25" i="14" s="1"/>
  <c r="L12" i="8"/>
  <c r="D34" i="8"/>
  <c r="BI48" i="9"/>
  <c r="BG16" i="9"/>
  <c r="S20" i="9"/>
  <c r="Q16" i="9"/>
  <c r="Q18" i="9" s="1"/>
  <c r="BG49" i="9"/>
  <c r="BI49" i="9" s="1"/>
  <c r="BE37" i="9"/>
  <c r="BG37" i="9" s="1"/>
  <c r="BI37" i="9" s="1"/>
  <c r="BK37" i="9" s="1"/>
  <c r="BE40" i="9"/>
  <c r="BC15" i="9"/>
  <c r="BC18" i="9" s="1"/>
  <c r="Q21" i="9"/>
  <c r="AC28" i="9"/>
  <c r="AA17" i="9"/>
  <c r="AA25" i="9"/>
  <c r="AC25" i="9" s="1"/>
  <c r="AE25" i="9" s="1"/>
  <c r="AG25" i="9" s="1"/>
  <c r="AI25" i="9" s="1"/>
  <c r="AK25" i="9" s="1"/>
  <c r="AM25" i="9" s="1"/>
  <c r="AO25" i="9" s="1"/>
  <c r="AQ25" i="9" s="1"/>
  <c r="AS25" i="9" s="1"/>
  <c r="AA29" i="9"/>
  <c r="AC29" i="9" s="1"/>
  <c r="AA24" i="9"/>
  <c r="AA16" i="9" s="1"/>
  <c r="Y16" i="9"/>
  <c r="BM45" i="9"/>
  <c r="BO45" i="9" s="1"/>
  <c r="BQ45" i="9" s="1"/>
  <c r="BS45" i="9" s="1"/>
  <c r="BU45" i="9" s="1"/>
  <c r="BM44" i="9"/>
  <c r="BO44" i="9" s="1"/>
  <c r="BQ44" i="9" s="1"/>
  <c r="BK15" i="9"/>
  <c r="AW33" i="9"/>
  <c r="BA18" i="9"/>
  <c r="AW32" i="9"/>
  <c r="AU14" i="9"/>
  <c r="AU18" i="9" s="1"/>
  <c r="M18" i="14" l="1"/>
  <c r="AI25" i="17"/>
  <c r="AG15" i="17"/>
  <c r="AQ29" i="17"/>
  <c r="AO15" i="17"/>
  <c r="L33" i="8"/>
  <c r="G26" i="14"/>
  <c r="G22" i="14"/>
  <c r="G24" i="14" s="1"/>
  <c r="G25" i="14" s="1"/>
  <c r="K27" i="14" s="1"/>
  <c r="L34" i="8"/>
  <c r="L36" i="8" s="1"/>
  <c r="AS26" i="9"/>
  <c r="AU24" i="9" s="1"/>
  <c r="BG40" i="9"/>
  <c r="BE15" i="9"/>
  <c r="BE18" i="9" s="1"/>
  <c r="BK48" i="9"/>
  <c r="BI16" i="9"/>
  <c r="AE29" i="9"/>
  <c r="S21" i="9"/>
  <c r="Q1" i="9"/>
  <c r="U20" i="9"/>
  <c r="S16" i="9"/>
  <c r="S18" i="9" s="1"/>
  <c r="BK49" i="9"/>
  <c r="AW14" i="9"/>
  <c r="AW18" i="9" s="1"/>
  <c r="AY32" i="9"/>
  <c r="AY14" i="9" s="1"/>
  <c r="AY18" i="9" s="1"/>
  <c r="AE28" i="9"/>
  <c r="AC16" i="9"/>
  <c r="AC18" i="9" s="1"/>
  <c r="BK38" i="9"/>
  <c r="BM36" i="9" s="1"/>
  <c r="BO36" i="9" s="1"/>
  <c r="BQ36" i="9" s="1"/>
  <c r="BS36" i="9" s="1"/>
  <c r="BU36" i="9" s="1"/>
  <c r="BW36" i="9" s="1"/>
  <c r="BY36" i="9" s="1"/>
  <c r="CA36" i="9" s="1"/>
  <c r="CC36" i="9" s="1"/>
  <c r="CE36" i="9" s="1"/>
  <c r="CG36" i="9" s="1"/>
  <c r="CI36" i="9" s="1"/>
  <c r="BE41" i="9"/>
  <c r="AK25" i="17" l="1"/>
  <c r="AI15" i="17"/>
  <c r="AS29" i="17"/>
  <c r="AQ15" i="17"/>
  <c r="K29" i="14"/>
  <c r="G22" i="17"/>
  <c r="L35" i="8"/>
  <c r="L37" i="8" s="1"/>
  <c r="J10" i="10" s="1"/>
  <c r="AW24" i="9"/>
  <c r="AU11" i="9"/>
  <c r="AG29" i="9"/>
  <c r="BI40" i="9"/>
  <c r="BG14" i="9"/>
  <c r="BG18" i="9" s="1"/>
  <c r="BM37" i="9"/>
  <c r="BO37" i="9" s="1"/>
  <c r="BQ37" i="9" s="1"/>
  <c r="BS37" i="9" s="1"/>
  <c r="BU37" i="9" s="1"/>
  <c r="BW37" i="9" s="1"/>
  <c r="BY37" i="9" s="1"/>
  <c r="CA37" i="9" s="1"/>
  <c r="CC37" i="9" s="1"/>
  <c r="CE37" i="9" s="1"/>
  <c r="CG37" i="9" s="1"/>
  <c r="CI37" i="9" s="1"/>
  <c r="U16" i="9"/>
  <c r="U18" i="9" s="1"/>
  <c r="W20" i="9"/>
  <c r="AU25" i="9"/>
  <c r="AW25" i="9" s="1"/>
  <c r="BM48" i="9"/>
  <c r="BO48" i="9" s="1"/>
  <c r="BQ48" i="9" s="1"/>
  <c r="BS48" i="9" s="1"/>
  <c r="BU48" i="9" s="1"/>
  <c r="BW48" i="9" s="1"/>
  <c r="BK16" i="9"/>
  <c r="BG41" i="9"/>
  <c r="AG28" i="9"/>
  <c r="AE16" i="9"/>
  <c r="AE18" i="9" s="1"/>
  <c r="AY33" i="9"/>
  <c r="BA33" i="9" s="1"/>
  <c r="BC33" i="9" s="1"/>
  <c r="BE33" i="9" s="1"/>
  <c r="U21" i="9"/>
  <c r="S1" i="9"/>
  <c r="AM25" i="17" l="1"/>
  <c r="AK15" i="17"/>
  <c r="AU29" i="17"/>
  <c r="AS14" i="17"/>
  <c r="AS18" i="17" s="1"/>
  <c r="BK40" i="9"/>
  <c r="BK14" i="9" s="1"/>
  <c r="BK18" i="9" s="1"/>
  <c r="BI14" i="9"/>
  <c r="BI18" i="9" s="1"/>
  <c r="BE34" i="9"/>
  <c r="BG32" i="9" s="1"/>
  <c r="BG33" i="9"/>
  <c r="W15" i="9"/>
  <c r="W18" i="9" s="1"/>
  <c r="Y20" i="9"/>
  <c r="AI28" i="9"/>
  <c r="AI29" i="9" s="1"/>
  <c r="AG16" i="9"/>
  <c r="AG18" i="9" s="1"/>
  <c r="BM49" i="9"/>
  <c r="BO49" i="9" s="1"/>
  <c r="BQ49" i="9" s="1"/>
  <c r="BS49" i="9" s="1"/>
  <c r="BU49" i="9" s="1"/>
  <c r="BW49" i="9" s="1"/>
  <c r="BY49" i="9" s="1"/>
  <c r="CA49" i="9" s="1"/>
  <c r="W21" i="9"/>
  <c r="U1" i="9"/>
  <c r="BI41" i="9"/>
  <c r="BK41" i="9" s="1"/>
  <c r="BM41" i="9" s="1"/>
  <c r="BO41" i="9" s="1"/>
  <c r="AY24" i="9"/>
  <c r="AW11" i="9"/>
  <c r="AW29" i="17" l="1"/>
  <c r="AW14" i="17" s="1"/>
  <c r="AW18" i="17" s="1"/>
  <c r="AU14" i="17"/>
  <c r="AU18" i="17" s="1"/>
  <c r="AO25" i="17"/>
  <c r="AM14" i="17"/>
  <c r="AM18" i="17" s="1"/>
  <c r="Q21" i="17"/>
  <c r="O17" i="17"/>
  <c r="O18" i="17" s="1"/>
  <c r="O22" i="17"/>
  <c r="BA24" i="9"/>
  <c r="AY11" i="9"/>
  <c r="Y21" i="9"/>
  <c r="W1" i="9"/>
  <c r="AY25" i="9"/>
  <c r="BA25" i="9" s="1"/>
  <c r="AA20" i="9"/>
  <c r="AA15" i="9" s="1"/>
  <c r="AA18" i="9" s="1"/>
  <c r="Y15" i="9"/>
  <c r="Y18" i="9" s="1"/>
  <c r="AK28" i="9"/>
  <c r="AI15" i="9"/>
  <c r="AI18" i="9" s="1"/>
  <c r="BI32" i="9"/>
  <c r="BI33" i="9" s="1"/>
  <c r="BG11" i="9"/>
  <c r="AQ25" i="17" l="1"/>
  <c r="AQ14" i="17" s="1"/>
  <c r="AQ18" i="17" s="1"/>
  <c r="AO14" i="17"/>
  <c r="AO18" i="17" s="1"/>
  <c r="Q17" i="17"/>
  <c r="Q18" i="17" s="1"/>
  <c r="S21" i="17"/>
  <c r="O1" i="17"/>
  <c r="Q22" i="17"/>
  <c r="AM28" i="9"/>
  <c r="AK15" i="9"/>
  <c r="AK18" i="9" s="1"/>
  <c r="BC25" i="9"/>
  <c r="BC24" i="9"/>
  <c r="BA10" i="9"/>
  <c r="BK32" i="9"/>
  <c r="BI11" i="9"/>
  <c r="Y1" i="9"/>
  <c r="AA21" i="9"/>
  <c r="AK29" i="9"/>
  <c r="AM29" i="9" s="1"/>
  <c r="U21" i="17" l="1"/>
  <c r="S17" i="17"/>
  <c r="S18" i="17" s="1"/>
  <c r="S22" i="17"/>
  <c r="Q1" i="17"/>
  <c r="AC21" i="9"/>
  <c r="AA1" i="9"/>
  <c r="AM15" i="9"/>
  <c r="AM18" i="9" s="1"/>
  <c r="AO28" i="9"/>
  <c r="AO29" i="9"/>
  <c r="BM32" i="9"/>
  <c r="BO32" i="9" s="1"/>
  <c r="BQ32" i="9" s="1"/>
  <c r="BS32" i="9" s="1"/>
  <c r="BU32" i="9" s="1"/>
  <c r="BW32" i="9" s="1"/>
  <c r="BY32" i="9" s="1"/>
  <c r="CA32" i="9" s="1"/>
  <c r="CC32" i="9" s="1"/>
  <c r="CI53" i="9" s="1"/>
  <c r="BK11" i="9"/>
  <c r="BE24" i="9"/>
  <c r="BC10" i="9"/>
  <c r="BK33" i="9"/>
  <c r="BM33" i="9" s="1"/>
  <c r="BO33" i="9" s="1"/>
  <c r="BQ33" i="9" s="1"/>
  <c r="BS33" i="9" s="1"/>
  <c r="BU33" i="9" s="1"/>
  <c r="BW33" i="9" s="1"/>
  <c r="BY33" i="9" s="1"/>
  <c r="CA33" i="9" s="1"/>
  <c r="CC33" i="9" s="1"/>
  <c r="U22" i="17" l="1"/>
  <c r="S1" i="17"/>
  <c r="U16" i="17"/>
  <c r="U18" i="17" s="1"/>
  <c r="W21" i="17"/>
  <c r="CI54" i="9"/>
  <c r="CK52" i="9" s="1"/>
  <c r="CM52" i="9" s="1"/>
  <c r="CO52" i="9" s="1"/>
  <c r="CQ52" i="9" s="1"/>
  <c r="CS52" i="9" s="1"/>
  <c r="CU52" i="9" s="1"/>
  <c r="CW52" i="9" s="1"/>
  <c r="CY52" i="9" s="1"/>
  <c r="DA52" i="9" s="1"/>
  <c r="DC52" i="9" s="1"/>
  <c r="DE52" i="9" s="1"/>
  <c r="DG52" i="9" s="1"/>
  <c r="AE21" i="9"/>
  <c r="AC1" i="9"/>
  <c r="BE10" i="9"/>
  <c r="BG24" i="9"/>
  <c r="AQ28" i="9"/>
  <c r="AO14" i="9"/>
  <c r="AO18" i="9" s="1"/>
  <c r="BE25" i="9"/>
  <c r="W16" i="17" l="1"/>
  <c r="W18" i="17" s="1"/>
  <c r="Y21" i="17"/>
  <c r="W22" i="17"/>
  <c r="AS28" i="9"/>
  <c r="AS14" i="9" s="1"/>
  <c r="AS18" i="9" s="1"/>
  <c r="AQ14" i="9"/>
  <c r="AQ18" i="9" s="1"/>
  <c r="AG21" i="9"/>
  <c r="AE1" i="9"/>
  <c r="BI24" i="9"/>
  <c r="BG9" i="9"/>
  <c r="AQ29" i="9"/>
  <c r="AS29" i="9" s="1"/>
  <c r="AU29" i="9" s="1"/>
  <c r="AW29" i="9" s="1"/>
  <c r="AY29" i="9" s="1"/>
  <c r="BG25" i="9"/>
  <c r="BI25" i="9" s="1"/>
  <c r="CK53" i="9"/>
  <c r="CM53" i="9" s="1"/>
  <c r="CO53" i="9" s="1"/>
  <c r="CQ53" i="9" s="1"/>
  <c r="CS53" i="9" s="1"/>
  <c r="CU53" i="9" s="1"/>
  <c r="CW53" i="9" s="1"/>
  <c r="CY53" i="9" s="1"/>
  <c r="DA53" i="9" s="1"/>
  <c r="DC53" i="9" s="1"/>
  <c r="DE53" i="9" s="1"/>
  <c r="DG53" i="9" s="1"/>
  <c r="Y16" i="17" l="1"/>
  <c r="Y18" i="17" s="1"/>
  <c r="AA21" i="17"/>
  <c r="AY30" i="9"/>
  <c r="BA28" i="9" s="1"/>
  <c r="BA29" i="9"/>
  <c r="AI21" i="9"/>
  <c r="AG1" i="9"/>
  <c r="BI9" i="9"/>
  <c r="BK24" i="9"/>
  <c r="AA15" i="17" l="1"/>
  <c r="AA18" i="17" s="1"/>
  <c r="AC21" i="17"/>
  <c r="AK21" i="9"/>
  <c r="AI1" i="9"/>
  <c r="BM24" i="9"/>
  <c r="BO24" i="9" s="1"/>
  <c r="BQ24" i="9" s="1"/>
  <c r="BW45" i="9" s="1"/>
  <c r="BK9" i="9"/>
  <c r="BC28" i="9"/>
  <c r="BA11" i="9"/>
  <c r="BC29" i="9"/>
  <c r="BK25" i="9"/>
  <c r="BM25" i="9" s="1"/>
  <c r="BO25" i="9" s="1"/>
  <c r="BQ25" i="9" s="1"/>
  <c r="AE21" i="17" l="1"/>
  <c r="AC15" i="17"/>
  <c r="AC18" i="17" s="1"/>
  <c r="BW46" i="9"/>
  <c r="BY44" i="9" s="1"/>
  <c r="CA44" i="9" s="1"/>
  <c r="CC44" i="9" s="1"/>
  <c r="CE44" i="9" s="1"/>
  <c r="CG44" i="9" s="1"/>
  <c r="CI44" i="9" s="1"/>
  <c r="CK44" i="9" s="1"/>
  <c r="CM44" i="9" s="1"/>
  <c r="CO44" i="9" s="1"/>
  <c r="CQ44" i="9" s="1"/>
  <c r="CS44" i="9" s="1"/>
  <c r="CU44" i="9" s="1"/>
  <c r="BE28" i="9"/>
  <c r="BC11" i="9"/>
  <c r="AM21" i="9"/>
  <c r="AK1" i="9"/>
  <c r="AE15" i="17" l="1"/>
  <c r="AE18" i="17" s="1"/>
  <c r="AG21" i="17"/>
  <c r="BG28" i="9"/>
  <c r="BE11" i="9"/>
  <c r="BY45" i="9"/>
  <c r="CA45" i="9" s="1"/>
  <c r="CC45" i="9" s="1"/>
  <c r="CE45" i="9" s="1"/>
  <c r="CG45" i="9" s="1"/>
  <c r="CI45" i="9" s="1"/>
  <c r="CK45" i="9" s="1"/>
  <c r="CM45" i="9" s="1"/>
  <c r="CO45" i="9" s="1"/>
  <c r="CQ45" i="9" s="1"/>
  <c r="CS45" i="9" s="1"/>
  <c r="CU45" i="9" s="1"/>
  <c r="AM22" i="9"/>
  <c r="AO20" i="9" s="1"/>
  <c r="AM1" i="9"/>
  <c r="BE29" i="9"/>
  <c r="BG29" i="9" s="1"/>
  <c r="AG14" i="17" l="1"/>
  <c r="AI21" i="17"/>
  <c r="AQ20" i="9"/>
  <c r="AO11" i="9"/>
  <c r="AO12" i="9" s="1"/>
  <c r="BI29" i="9"/>
  <c r="AO21" i="9"/>
  <c r="BI28" i="9"/>
  <c r="BG10" i="9"/>
  <c r="AG18" i="17" l="1"/>
  <c r="J28" i="10"/>
  <c r="J4" i="10" s="1"/>
  <c r="AI14" i="17"/>
  <c r="AI18" i="17" s="1"/>
  <c r="AK21" i="17"/>
  <c r="AK14" i="17" s="1"/>
  <c r="AK18" i="17" s="1"/>
  <c r="AO1" i="9"/>
  <c r="AQ21" i="9"/>
  <c r="BK28" i="9"/>
  <c r="BI10" i="9"/>
  <c r="AS20" i="9"/>
  <c r="AQ11" i="9"/>
  <c r="AQ12" i="9" s="1"/>
  <c r="BM28" i="9" l="1"/>
  <c r="BO28" i="9" s="1"/>
  <c r="BQ28" i="9" s="1"/>
  <c r="BS28" i="9" s="1"/>
  <c r="BU28" i="9" s="1"/>
  <c r="BW28" i="9" s="1"/>
  <c r="CC49" i="9" s="1"/>
  <c r="BK10" i="9"/>
  <c r="BK29" i="9"/>
  <c r="BM29" i="9" s="1"/>
  <c r="BO29" i="9" s="1"/>
  <c r="BQ29" i="9" s="1"/>
  <c r="BS29" i="9" s="1"/>
  <c r="BU29" i="9" s="1"/>
  <c r="BW29" i="9" s="1"/>
  <c r="AS11" i="9"/>
  <c r="AS12" i="9" s="1"/>
  <c r="AU20" i="9"/>
  <c r="AS21" i="9"/>
  <c r="AQ1" i="9"/>
  <c r="AU21" i="9" l="1"/>
  <c r="AS1" i="9"/>
  <c r="AW20" i="9"/>
  <c r="AU10" i="9"/>
  <c r="AU12" i="9" s="1"/>
  <c r="CC50" i="9"/>
  <c r="CE48" i="9" s="1"/>
  <c r="CG48" i="9" s="1"/>
  <c r="CI48" i="9" s="1"/>
  <c r="CK48" i="9" s="1"/>
  <c r="CM48" i="9" s="1"/>
  <c r="CO48" i="9" s="1"/>
  <c r="CQ48" i="9" s="1"/>
  <c r="CS48" i="9" s="1"/>
  <c r="CU48" i="9" s="1"/>
  <c r="CW48" i="9" s="1"/>
  <c r="CY48" i="9" s="1"/>
  <c r="DA48" i="9" s="1"/>
  <c r="CE49" i="9"/>
  <c r="CG49" i="9" s="1"/>
  <c r="CI49" i="9" s="1"/>
  <c r="CK49" i="9" s="1"/>
  <c r="CM49" i="9" s="1"/>
  <c r="CO49" i="9" s="1"/>
  <c r="CQ49" i="9" s="1"/>
  <c r="CS49" i="9" s="1"/>
  <c r="CU49" i="9" s="1"/>
  <c r="CW49" i="9" s="1"/>
  <c r="CY49" i="9" s="1"/>
  <c r="DA49" i="9" s="1"/>
  <c r="AY20" i="9" l="1"/>
  <c r="AW10" i="9"/>
  <c r="AW12" i="9" s="1"/>
  <c r="AW21" i="9"/>
  <c r="AU1" i="9"/>
  <c r="AY21" i="9" l="1"/>
  <c r="AW1" i="9"/>
  <c r="BA20" i="9"/>
  <c r="AY10" i="9"/>
  <c r="AY12" i="9" s="1"/>
  <c r="BC20" i="9" l="1"/>
  <c r="BA9" i="9"/>
  <c r="BA12" i="9" s="1"/>
  <c r="BA21" i="9"/>
  <c r="AY1" i="9"/>
  <c r="BA1" i="9" l="1"/>
  <c r="BC21" i="9"/>
  <c r="BE20" i="9"/>
  <c r="BC9" i="9"/>
  <c r="BC12" i="9" s="1"/>
  <c r="BE21" i="9" l="1"/>
  <c r="BC1" i="9"/>
  <c r="BG20" i="9"/>
  <c r="BE9" i="9"/>
  <c r="BE12" i="9" s="1"/>
  <c r="BG8" i="9" l="1"/>
  <c r="BG12" i="9" s="1"/>
  <c r="BI20" i="9"/>
  <c r="BE1" i="9"/>
  <c r="BG21" i="9"/>
  <c r="BI21" i="9" l="1"/>
  <c r="BG1" i="9"/>
  <c r="BK20" i="9"/>
  <c r="BI8" i="9"/>
  <c r="BI12" i="9" s="1"/>
  <c r="BK8" i="9" l="1"/>
  <c r="BK12" i="9" s="1"/>
  <c r="BQ41" i="9"/>
  <c r="BK21" i="9"/>
  <c r="BK1" i="9" s="1"/>
  <c r="BI1" i="9"/>
  <c r="BQ42" i="9" l="1"/>
  <c r="BS40" i="9" s="1"/>
  <c r="BU40" i="9" s="1"/>
  <c r="BW40" i="9" s="1"/>
  <c r="BY40" i="9" s="1"/>
  <c r="CA40" i="9" s="1"/>
  <c r="CC40" i="9" s="1"/>
  <c r="CE40" i="9" s="1"/>
  <c r="CG40" i="9" s="1"/>
  <c r="CI40" i="9" s="1"/>
  <c r="CK40" i="9" s="1"/>
  <c r="CM40" i="9" s="1"/>
  <c r="CO40" i="9" s="1"/>
  <c r="BS41" i="9" l="1"/>
  <c r="BU41" i="9" s="1"/>
  <c r="BW41" i="9" s="1"/>
  <c r="BY41" i="9" s="1"/>
  <c r="CA41" i="9" s="1"/>
  <c r="CC41" i="9" s="1"/>
  <c r="CE41" i="9" s="1"/>
  <c r="CG41" i="9" s="1"/>
  <c r="CI41" i="9" s="1"/>
  <c r="CK41" i="9" s="1"/>
  <c r="CM41" i="9" s="1"/>
  <c r="CO41" i="9" s="1"/>
  <c r="R9" i="1" l="1"/>
  <c r="P9" i="1"/>
  <c r="P49" i="1" l="1"/>
  <c r="N13" i="1"/>
  <c r="R49" i="1"/>
  <c r="P13" i="1"/>
  <c r="N35" i="1"/>
  <c r="AD34" i="1"/>
  <c r="AD33" i="1"/>
  <c r="AD32" i="1"/>
  <c r="AD31" i="1"/>
  <c r="AD30" i="1"/>
  <c r="N22" i="1"/>
  <c r="AD21" i="1"/>
  <c r="AD20" i="1"/>
  <c r="AD19" i="1"/>
  <c r="AD18" i="1"/>
  <c r="AD17" i="1"/>
  <c r="N9" i="1"/>
  <c r="L9" i="1"/>
  <c r="J9" i="1"/>
  <c r="H9" i="1"/>
  <c r="F9" i="1"/>
  <c r="F49" i="1" s="1"/>
  <c r="AB8" i="1"/>
  <c r="AB48" i="1" s="1"/>
  <c r="Z8" i="1"/>
  <c r="X8" i="1"/>
  <c r="X14" i="1" s="1"/>
  <c r="V8" i="1"/>
  <c r="V14" i="1" s="1"/>
  <c r="V42" i="1" s="1"/>
  <c r="T8" i="1"/>
  <c r="T14" i="1" s="1"/>
  <c r="T42" i="1" s="1"/>
  <c r="R8" i="1"/>
  <c r="R14" i="1" s="1"/>
  <c r="R42" i="1" s="1"/>
  <c r="P8" i="1"/>
  <c r="P14" i="1" s="1"/>
  <c r="N8" i="1"/>
  <c r="L8" i="1"/>
  <c r="J8" i="1"/>
  <c r="J14" i="1" s="1"/>
  <c r="J42" i="1" s="1"/>
  <c r="H8" i="1"/>
  <c r="F8" i="1"/>
  <c r="AB7" i="1"/>
  <c r="AB14" i="1" s="1"/>
  <c r="Z7" i="1"/>
  <c r="AD6" i="1"/>
  <c r="AD5" i="1"/>
  <c r="AD4" i="1"/>
  <c r="L14" i="1" l="1"/>
  <c r="L42" i="1" s="1"/>
  <c r="DK5" i="17" s="1"/>
  <c r="N14" i="1"/>
  <c r="AQ5" i="17"/>
  <c r="AD40" i="1"/>
  <c r="L39" i="1"/>
  <c r="J39" i="1"/>
  <c r="H49" i="1"/>
  <c r="CK5" i="17"/>
  <c r="BM5" i="17"/>
  <c r="AO5" i="17"/>
  <c r="DI5" i="17"/>
  <c r="AD7" i="1"/>
  <c r="Z14" i="1"/>
  <c r="Z42" i="1" s="1"/>
  <c r="J49" i="1"/>
  <c r="N27" i="1"/>
  <c r="L26" i="1"/>
  <c r="J26" i="1"/>
  <c r="H42" i="1"/>
  <c r="H43" i="1" s="1"/>
  <c r="L49" i="1"/>
  <c r="J13" i="1"/>
  <c r="L13" i="1"/>
  <c r="Z49" i="1"/>
  <c r="L45" i="1"/>
  <c r="AD9" i="1"/>
  <c r="Z48" i="1"/>
  <c r="AD35" i="1"/>
  <c r="T48" i="1"/>
  <c r="AD22" i="1"/>
  <c r="P48" i="1"/>
  <c r="R48" i="1"/>
  <c r="V48" i="1"/>
  <c r="X48" i="1"/>
  <c r="X42" i="1"/>
  <c r="J44" i="1"/>
  <c r="AD8" i="1"/>
  <c r="N49" i="1"/>
  <c r="BO5" i="17" l="1"/>
  <c r="CM5" i="17"/>
  <c r="X53" i="1"/>
  <c r="J11" i="10" s="1"/>
  <c r="M20" i="14"/>
  <c r="T53" i="1"/>
  <c r="R53" i="1"/>
  <c r="V53" i="1"/>
  <c r="DG5" i="17"/>
  <c r="CI5" i="17"/>
  <c r="BK5" i="17"/>
  <c r="BK54" i="17" s="1"/>
  <c r="BM54" i="17" s="1"/>
  <c r="BO54" i="17" s="1"/>
  <c r="AM38" i="17"/>
  <c r="AO38" i="17" s="1"/>
  <c r="AQ38" i="17" s="1"/>
  <c r="L53" i="1"/>
  <c r="AD14" i="1"/>
  <c r="N53" i="1"/>
  <c r="P53" i="1"/>
  <c r="Z43" i="1"/>
  <c r="DA5" i="17"/>
  <c r="BE5" i="17"/>
  <c r="BE50" i="17" s="1"/>
  <c r="CC5" i="17"/>
  <c r="AG34" i="17"/>
  <c r="CY5" i="17"/>
  <c r="BC5" i="17"/>
  <c r="CA5" i="17"/>
  <c r="H45" i="1"/>
  <c r="H44" i="1"/>
  <c r="J43" i="1"/>
  <c r="J45" i="1"/>
  <c r="P42" i="1"/>
  <c r="L44" i="1"/>
  <c r="Z44" i="1"/>
  <c r="N42" i="1"/>
  <c r="Z45" i="1"/>
  <c r="L43" i="1"/>
  <c r="AB42" i="1"/>
  <c r="F44" i="1" l="1"/>
  <c r="F45" i="1"/>
  <c r="DE5" i="17"/>
  <c r="BI5" i="17"/>
  <c r="CG5" i="17"/>
  <c r="F43" i="1"/>
  <c r="M26" i="14"/>
  <c r="M22" i="14"/>
  <c r="M24" i="14" s="1"/>
  <c r="M25" i="14" s="1"/>
  <c r="Q27" i="14" s="1"/>
  <c r="AD42" i="1"/>
  <c r="AD44" i="1" s="1"/>
  <c r="BG5" i="17"/>
  <c r="BG50" i="17" s="1"/>
  <c r="DC5" i="17"/>
  <c r="AI34" i="17"/>
  <c r="CE5" i="17"/>
  <c r="V44" i="1"/>
  <c r="V43" i="1"/>
  <c r="T43" i="1"/>
  <c r="AY5" i="17"/>
  <c r="AY46" i="17" s="1"/>
  <c r="BW5" i="17"/>
  <c r="AA30" i="17"/>
  <c r="CU5" i="17"/>
  <c r="AW5" i="17"/>
  <c r="CS5" i="17"/>
  <c r="BU5" i="17"/>
  <c r="DQ5" i="17"/>
  <c r="BQ5" i="17"/>
  <c r="AS5" i="17"/>
  <c r="CO5" i="17"/>
  <c r="DM5" i="17"/>
  <c r="BY5" i="17"/>
  <c r="CW5" i="17"/>
  <c r="BA5" i="17"/>
  <c r="CQ5" i="17"/>
  <c r="BS5" i="17"/>
  <c r="DO5" i="17"/>
  <c r="AU5" i="17"/>
  <c r="N43" i="1"/>
  <c r="J12" i="10"/>
  <c r="J2" i="10" s="1"/>
  <c r="H30" i="8"/>
  <c r="H31" i="8" s="1"/>
  <c r="P45" i="1"/>
  <c r="X45" i="1"/>
  <c r="X44" i="1"/>
  <c r="V45" i="1"/>
  <c r="AB44" i="1"/>
  <c r="AB45" i="1"/>
  <c r="R45" i="1"/>
  <c r="R44" i="1"/>
  <c r="AB43" i="1"/>
  <c r="N44" i="1"/>
  <c r="N45" i="1"/>
  <c r="P43" i="1"/>
  <c r="T45" i="1"/>
  <c r="T44" i="1"/>
  <c r="X43" i="1"/>
  <c r="R43" i="1"/>
  <c r="AK34" i="17" l="1"/>
  <c r="AM34" i="17" s="1"/>
  <c r="Q29" i="14"/>
  <c r="M26" i="17"/>
  <c r="U26" i="17" s="1"/>
  <c r="BI50" i="17"/>
  <c r="BK50" i="17" s="1"/>
  <c r="BM50" i="17" s="1"/>
  <c r="BO50" i="17" s="1"/>
  <c r="BQ50" i="17" s="1"/>
  <c r="BS50" i="17" s="1"/>
  <c r="BU50" i="17" s="1"/>
  <c r="BW50" i="17" s="1"/>
  <c r="BY50" i="17" s="1"/>
  <c r="CA50" i="17" s="1"/>
  <c r="CC50" i="17" s="1"/>
  <c r="CE50" i="17" s="1"/>
  <c r="CG50" i="17" s="1"/>
  <c r="AO34" i="17"/>
  <c r="AQ34" i="17" s="1"/>
  <c r="AS34" i="17" s="1"/>
  <c r="AU34" i="17" s="1"/>
  <c r="AW34" i="17" s="1"/>
  <c r="AY34" i="17" s="1"/>
  <c r="BA34" i="17" s="1"/>
  <c r="BC34" i="17" s="1"/>
  <c r="BE34" i="17" s="1"/>
  <c r="BG34" i="17" s="1"/>
  <c r="BI34" i="17" s="1"/>
  <c r="BA46" i="17"/>
  <c r="BC46" i="17" s="1"/>
  <c r="BE46" i="17" s="1"/>
  <c r="BG46" i="17" s="1"/>
  <c r="BI46" i="17" s="1"/>
  <c r="BK46" i="17" s="1"/>
  <c r="BM46" i="17" s="1"/>
  <c r="BO46" i="17" s="1"/>
  <c r="BQ46" i="17" s="1"/>
  <c r="BS46" i="17" s="1"/>
  <c r="BU46" i="17" s="1"/>
  <c r="BW46" i="17" s="1"/>
  <c r="BY46" i="17" s="1"/>
  <c r="CA46" i="17" s="1"/>
  <c r="Y22" i="17"/>
  <c r="AS42" i="17"/>
  <c r="AU42" i="17" s="1"/>
  <c r="AW42" i="17" s="1"/>
  <c r="AY42" i="17" s="1"/>
  <c r="BA42" i="17" s="1"/>
  <c r="BC42" i="17" s="1"/>
  <c r="BE42" i="17" s="1"/>
  <c r="BG42" i="17" s="1"/>
  <c r="BI42" i="17" s="1"/>
  <c r="BK42" i="17" s="1"/>
  <c r="BM42" i="17" s="1"/>
  <c r="BO42" i="17" s="1"/>
  <c r="BQ42" i="17" s="1"/>
  <c r="BS42" i="17" s="1"/>
  <c r="BU42" i="17" s="1"/>
  <c r="AS38" i="17"/>
  <c r="AU38" i="17" s="1"/>
  <c r="AW38" i="17" s="1"/>
  <c r="AY38" i="17" s="1"/>
  <c r="BA38" i="17" s="1"/>
  <c r="BC38" i="17" s="1"/>
  <c r="BE38" i="17" s="1"/>
  <c r="BG38" i="17" s="1"/>
  <c r="BI38" i="17" s="1"/>
  <c r="BK38" i="17" s="1"/>
  <c r="BM38" i="17" s="1"/>
  <c r="BO38" i="17" s="1"/>
  <c r="BQ58" i="17"/>
  <c r="BS58" i="17" s="1"/>
  <c r="BU58" i="17" s="1"/>
  <c r="BW58" i="17" s="1"/>
  <c r="BY58" i="17" s="1"/>
  <c r="CA58" i="17" s="1"/>
  <c r="CC58" i="17" s="1"/>
  <c r="CE58" i="17" s="1"/>
  <c r="CG58" i="17" s="1"/>
  <c r="CI58" i="17" s="1"/>
  <c r="CK58" i="17" s="1"/>
  <c r="CM58" i="17" s="1"/>
  <c r="CO58" i="17" s="1"/>
  <c r="CQ58" i="17" s="1"/>
  <c r="CS58" i="17" s="1"/>
  <c r="BQ54" i="17"/>
  <c r="BS54" i="17" s="1"/>
  <c r="BU54" i="17" s="1"/>
  <c r="BW54" i="17" s="1"/>
  <c r="BY54" i="17" s="1"/>
  <c r="CA54" i="17" s="1"/>
  <c r="CC54" i="17" s="1"/>
  <c r="CE54" i="17" s="1"/>
  <c r="CG54" i="17" s="1"/>
  <c r="CI54" i="17" s="1"/>
  <c r="CK54" i="17" s="1"/>
  <c r="CM54" i="17" s="1"/>
  <c r="AC30" i="17"/>
  <c r="AE30" i="17" s="1"/>
  <c r="AG30" i="17" s="1"/>
  <c r="AI30" i="17" s="1"/>
  <c r="AK30" i="17" s="1"/>
  <c r="AM30" i="17" s="1"/>
  <c r="AO30" i="17" s="1"/>
  <c r="AQ30" i="17" s="1"/>
  <c r="AS30" i="17" s="1"/>
  <c r="AU30" i="17" s="1"/>
  <c r="AW30" i="17" s="1"/>
  <c r="AY30" i="17" s="1"/>
  <c r="BA30" i="17" s="1"/>
  <c r="BC30" i="17" s="1"/>
  <c r="AD45" i="1"/>
  <c r="AD43" i="1"/>
  <c r="W26" i="17" l="1"/>
  <c r="U1" i="17"/>
  <c r="AA22" i="17"/>
  <c r="CG51" i="17"/>
  <c r="CI49" i="17" s="1"/>
  <c r="CK49" i="17" s="1"/>
  <c r="CM49" i="17" s="1"/>
  <c r="CO49" i="17" s="1"/>
  <c r="CQ49" i="17" s="1"/>
  <c r="CS49" i="17" s="1"/>
  <c r="CU49" i="17" s="1"/>
  <c r="CW49" i="17" s="1"/>
  <c r="CY49" i="17" s="1"/>
  <c r="DA49" i="17" s="1"/>
  <c r="DC49" i="17" s="1"/>
  <c r="DE49" i="17" s="1"/>
  <c r="CM55" i="17"/>
  <c r="CO53" i="17" s="1"/>
  <c r="CQ53" i="17" s="1"/>
  <c r="CS53" i="17" s="1"/>
  <c r="CU53" i="17" s="1"/>
  <c r="CW53" i="17" s="1"/>
  <c r="CY53" i="17" s="1"/>
  <c r="DA53" i="17" s="1"/>
  <c r="DC53" i="17" s="1"/>
  <c r="DE53" i="17" s="1"/>
  <c r="DG53" i="17" s="1"/>
  <c r="DI53" i="17" s="1"/>
  <c r="DK53" i="17" s="1"/>
  <c r="CS59" i="17"/>
  <c r="CU57" i="17" s="1"/>
  <c r="CW57" i="17" s="1"/>
  <c r="CY57" i="17" s="1"/>
  <c r="DA57" i="17" s="1"/>
  <c r="DC57" i="17" s="1"/>
  <c r="DE57" i="17" s="1"/>
  <c r="DG57" i="17" s="1"/>
  <c r="DI57" i="17" s="1"/>
  <c r="DK57" i="17" s="1"/>
  <c r="DM57" i="17" s="1"/>
  <c r="DO57" i="17" s="1"/>
  <c r="DQ57" i="17" s="1"/>
  <c r="CA47" i="17"/>
  <c r="CC45" i="17" s="1"/>
  <c r="CE45" i="17" s="1"/>
  <c r="CG45" i="17" s="1"/>
  <c r="CI45" i="17" s="1"/>
  <c r="CK45" i="17" s="1"/>
  <c r="CM45" i="17" s="1"/>
  <c r="CO45" i="17" s="1"/>
  <c r="CQ45" i="17" s="1"/>
  <c r="CS45" i="17" s="1"/>
  <c r="CU45" i="17" s="1"/>
  <c r="CW45" i="17" s="1"/>
  <c r="CY45" i="17" s="1"/>
  <c r="BC31" i="17"/>
  <c r="BE29" i="17" s="1"/>
  <c r="BE30" i="17" s="1"/>
  <c r="BI35" i="17"/>
  <c r="BK33" i="17" s="1"/>
  <c r="BK34" i="17" s="1"/>
  <c r="BO39" i="17"/>
  <c r="BQ37" i="17" s="1"/>
  <c r="BQ38" i="17" s="1"/>
  <c r="BU43" i="17"/>
  <c r="BW41" i="17" s="1"/>
  <c r="BY41" i="17" s="1"/>
  <c r="CA41" i="17" s="1"/>
  <c r="CC41" i="17" s="1"/>
  <c r="CE41" i="17" s="1"/>
  <c r="CG41" i="17" s="1"/>
  <c r="CI41" i="17" s="1"/>
  <c r="CK41" i="17" s="1"/>
  <c r="CM41" i="17" s="1"/>
  <c r="CO41" i="17" s="1"/>
  <c r="CQ41" i="17" s="1"/>
  <c r="CS41" i="17" s="1"/>
  <c r="W1" i="17" l="1"/>
  <c r="Y26" i="17"/>
  <c r="AC22" i="17"/>
  <c r="CO54" i="17"/>
  <c r="CQ54" i="17" s="1"/>
  <c r="CS54" i="17" s="1"/>
  <c r="CU54" i="17" s="1"/>
  <c r="CW54" i="17" s="1"/>
  <c r="CY54" i="17" s="1"/>
  <c r="DA54" i="17" s="1"/>
  <c r="DC54" i="17" s="1"/>
  <c r="DE54" i="17" s="1"/>
  <c r="DG54" i="17" s="1"/>
  <c r="DI54" i="17" s="1"/>
  <c r="DK54" i="17" s="1"/>
  <c r="CC46" i="17"/>
  <c r="CE46" i="17" s="1"/>
  <c r="CG46" i="17" s="1"/>
  <c r="CI46" i="17" s="1"/>
  <c r="CK46" i="17" s="1"/>
  <c r="CM46" i="17" s="1"/>
  <c r="CO46" i="17" s="1"/>
  <c r="CQ46" i="17" s="1"/>
  <c r="CS46" i="17" s="1"/>
  <c r="CU46" i="17" s="1"/>
  <c r="CW46" i="17" s="1"/>
  <c r="CY46" i="17" s="1"/>
  <c r="BW42" i="17"/>
  <c r="BY42" i="17" s="1"/>
  <c r="CA42" i="17" s="1"/>
  <c r="CC42" i="17" s="1"/>
  <c r="CE42" i="17" s="1"/>
  <c r="CG42" i="17" s="1"/>
  <c r="CI42" i="17" s="1"/>
  <c r="CK42" i="17" s="1"/>
  <c r="CM42" i="17" s="1"/>
  <c r="CO42" i="17" s="1"/>
  <c r="CQ42" i="17" s="1"/>
  <c r="CS42" i="17" s="1"/>
  <c r="BM33" i="17"/>
  <c r="BM34" i="17" s="1"/>
  <c r="BK11" i="17"/>
  <c r="CU58" i="17"/>
  <c r="CW58" i="17" s="1"/>
  <c r="CY58" i="17" s="1"/>
  <c r="DA58" i="17" s="1"/>
  <c r="DC58" i="17" s="1"/>
  <c r="DE58" i="17" s="1"/>
  <c r="DG58" i="17" s="1"/>
  <c r="DI58" i="17" s="1"/>
  <c r="DK58" i="17" s="1"/>
  <c r="DM58" i="17" s="1"/>
  <c r="DO58" i="17" s="1"/>
  <c r="DQ58" i="17" s="1"/>
  <c r="BS37" i="17"/>
  <c r="BS38" i="17" s="1"/>
  <c r="BQ11" i="17"/>
  <c r="BE11" i="17"/>
  <c r="BG29" i="17"/>
  <c r="BG30" i="17" s="1"/>
  <c r="CI50" i="17"/>
  <c r="CK50" i="17" s="1"/>
  <c r="CM50" i="17" s="1"/>
  <c r="CO50" i="17" s="1"/>
  <c r="CQ50" i="17" s="1"/>
  <c r="CS50" i="17" s="1"/>
  <c r="CU50" i="17" s="1"/>
  <c r="CW50" i="17" s="1"/>
  <c r="CY50" i="17" s="1"/>
  <c r="DA50" i="17" s="1"/>
  <c r="DC50" i="17" s="1"/>
  <c r="DE50" i="17" s="1"/>
  <c r="AA26" i="17" l="1"/>
  <c r="Y1" i="17"/>
  <c r="AE22" i="17"/>
  <c r="BO33" i="17"/>
  <c r="BM11" i="17"/>
  <c r="BU37" i="17"/>
  <c r="BU38" i="17" s="1"/>
  <c r="BS11" i="17"/>
  <c r="BG11" i="17"/>
  <c r="BI29" i="17"/>
  <c r="AC26" i="17" l="1"/>
  <c r="AA1" i="17"/>
  <c r="AG22" i="17"/>
  <c r="BI11" i="17"/>
  <c r="BK29" i="17"/>
  <c r="BI30" i="17"/>
  <c r="BW37" i="17"/>
  <c r="BY37" i="17" s="1"/>
  <c r="CA37" i="17" s="1"/>
  <c r="CC37" i="17" s="1"/>
  <c r="CE37" i="17" s="1"/>
  <c r="CG37" i="17" s="1"/>
  <c r="CI37" i="17" s="1"/>
  <c r="CK37" i="17" s="1"/>
  <c r="CM37" i="17" s="1"/>
  <c r="BU11" i="17"/>
  <c r="BO11" i="17"/>
  <c r="BQ33" i="17"/>
  <c r="BO34" i="17"/>
  <c r="AE26" i="17" l="1"/>
  <c r="AC1" i="17"/>
  <c r="BW38" i="17"/>
  <c r="BY38" i="17" s="1"/>
  <c r="CA38" i="17" s="1"/>
  <c r="CC38" i="17" s="1"/>
  <c r="CE38" i="17" s="1"/>
  <c r="CG38" i="17" s="1"/>
  <c r="CI38" i="17" s="1"/>
  <c r="CK38" i="17" s="1"/>
  <c r="CM38" i="17" s="1"/>
  <c r="BK30" i="17"/>
  <c r="AI22" i="17"/>
  <c r="BQ34" i="17"/>
  <c r="BS33" i="17"/>
  <c r="BQ10" i="17"/>
  <c r="BM29" i="17"/>
  <c r="BK10" i="17"/>
  <c r="AG26" i="17" l="1"/>
  <c r="AE1" i="17"/>
  <c r="BM30" i="17"/>
  <c r="BS34" i="17"/>
  <c r="AK22" i="17"/>
  <c r="BU33" i="17"/>
  <c r="BS10" i="17"/>
  <c r="BM10" i="17"/>
  <c r="BO29" i="17"/>
  <c r="AI26" i="17" l="1"/>
  <c r="AG1" i="17"/>
  <c r="AM22" i="17"/>
  <c r="BQ29" i="17"/>
  <c r="BO10" i="17"/>
  <c r="BW33" i="17"/>
  <c r="BY33" i="17" s="1"/>
  <c r="CA33" i="17" s="1"/>
  <c r="CC33" i="17" s="1"/>
  <c r="CE33" i="17" s="1"/>
  <c r="CG33" i="17" s="1"/>
  <c r="BU10" i="17"/>
  <c r="BU34" i="17"/>
  <c r="BO30" i="17"/>
  <c r="BQ30" i="17" l="1"/>
  <c r="AK26" i="17"/>
  <c r="AI1" i="17"/>
  <c r="AO22" i="17"/>
  <c r="BW34" i="17"/>
  <c r="BY34" i="17" s="1"/>
  <c r="CA34" i="17" s="1"/>
  <c r="CC34" i="17" s="1"/>
  <c r="CE34" i="17" s="1"/>
  <c r="CG34" i="17" s="1"/>
  <c r="BQ9" i="17"/>
  <c r="BS29" i="17"/>
  <c r="BS30" i="17" l="1"/>
  <c r="AM26" i="17"/>
  <c r="AK1" i="17"/>
  <c r="AQ22" i="17"/>
  <c r="BU29" i="17"/>
  <c r="BS9" i="17"/>
  <c r="AO26" i="17" l="1"/>
  <c r="AM1" i="17"/>
  <c r="AS21" i="17"/>
  <c r="BW29" i="17"/>
  <c r="BY29" i="17" s="1"/>
  <c r="CA29" i="17" s="1"/>
  <c r="BU9" i="17"/>
  <c r="BU30" i="17"/>
  <c r="AQ26" i="17" l="1"/>
  <c r="AO1" i="17"/>
  <c r="BW30" i="17"/>
  <c r="BY30" i="17" s="1"/>
  <c r="CA30" i="17" s="1"/>
  <c r="AS22" i="17"/>
  <c r="AS11" i="17"/>
  <c r="AU21" i="17"/>
  <c r="AS12" i="17" l="1"/>
  <c r="J31" i="10"/>
  <c r="J35" i="10" s="1"/>
  <c r="J5" i="10" s="1"/>
  <c r="J6" i="10" s="1"/>
  <c r="AS26" i="17"/>
  <c r="AU26" i="17" s="1"/>
  <c r="AW26" i="17" s="1"/>
  <c r="AQ1" i="17"/>
  <c r="AU22" i="17"/>
  <c r="AU11" i="17"/>
  <c r="AU12" i="17" s="1"/>
  <c r="AW21" i="17"/>
  <c r="AW27" i="17" l="1"/>
  <c r="AY25" i="17" s="1"/>
  <c r="AY26" i="17" s="1"/>
  <c r="AS1" i="17"/>
  <c r="AY21" i="17"/>
  <c r="AW11" i="17"/>
  <c r="AW12" i="17" s="1"/>
  <c r="AW22" i="17"/>
  <c r="BA25" i="17" l="1"/>
  <c r="AY11" i="17"/>
  <c r="AY22" i="17"/>
  <c r="AY10" i="17"/>
  <c r="BA21" i="17"/>
  <c r="AY12" i="17" l="1"/>
  <c r="BA11" i="17"/>
  <c r="BC25" i="17"/>
  <c r="BA26" i="17"/>
  <c r="BC21" i="17"/>
  <c r="BA10" i="17"/>
  <c r="BA22" i="17"/>
  <c r="BA12" i="17" l="1"/>
  <c r="BC26" i="17"/>
  <c r="BC11" i="17"/>
  <c r="BE25" i="17"/>
  <c r="BC22" i="17"/>
  <c r="BE21" i="17"/>
  <c r="BC10" i="17"/>
  <c r="BC12" i="17" l="1"/>
  <c r="BG25" i="17"/>
  <c r="BE10" i="17"/>
  <c r="BE26" i="17"/>
  <c r="BE9" i="17"/>
  <c r="BG21" i="17"/>
  <c r="BE22" i="17"/>
  <c r="BE12" i="17" l="1"/>
  <c r="BG26" i="17"/>
  <c r="BG10" i="17"/>
  <c r="BI25" i="17"/>
  <c r="BG22" i="17"/>
  <c r="BG9" i="17"/>
  <c r="BI21" i="17"/>
  <c r="BG12" i="17" l="1"/>
  <c r="BI10" i="17"/>
  <c r="BK25" i="17"/>
  <c r="BI26" i="17"/>
  <c r="BK21" i="17"/>
  <c r="BI9" i="17"/>
  <c r="BI22" i="17"/>
  <c r="BK9" i="17" l="1"/>
  <c r="BM25" i="17"/>
  <c r="BI12" i="17"/>
  <c r="BK26" i="17"/>
  <c r="BK22" i="17"/>
  <c r="BK8" i="17"/>
  <c r="BM21" i="17"/>
  <c r="BM26" i="17" l="1"/>
  <c r="BK12" i="17"/>
  <c r="BO25" i="17"/>
  <c r="BM9" i="17"/>
  <c r="BM8" i="17"/>
  <c r="BO21" i="17"/>
  <c r="BO8" i="17" s="1"/>
  <c r="BM22" i="17"/>
  <c r="BO26" i="17" l="1"/>
  <c r="BM12" i="17"/>
  <c r="BQ25" i="17"/>
  <c r="BO9" i="17"/>
  <c r="BO12" i="17" s="1"/>
  <c r="BO22" i="17"/>
  <c r="BQ8" i="17" l="1"/>
  <c r="BQ12" i="17" s="1"/>
  <c r="BS25" i="17"/>
  <c r="BQ26" i="17"/>
  <c r="BS26" i="17" l="1"/>
  <c r="BS8" i="17"/>
  <c r="BS12" i="17" s="1"/>
  <c r="BU25" i="17"/>
  <c r="BU8" i="17" s="1"/>
  <c r="BU12" i="17" s="1"/>
  <c r="BU26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Julie Loving</author>
  </authors>
  <commentList>
    <comment ref="J6" authorId="0" shapeId="0" xr:uid="{2E3DB955-134D-46C9-B074-5BFFA74197B1}">
      <text>
        <r>
          <rPr>
            <b/>
            <sz val="9"/>
            <color indexed="81"/>
            <rFont val="Tahoma"/>
            <family val="2"/>
          </rPr>
          <t>Julie Loving:</t>
        </r>
        <r>
          <rPr>
            <sz val="9"/>
            <color indexed="81"/>
            <rFont val="Tahoma"/>
            <family val="2"/>
          </rPr>
          <t xml:space="preserve">
top of history sheet</t>
        </r>
      </text>
    </comment>
    <comment ref="J12" authorId="0" shapeId="0" xr:uid="{6D636D5A-06B6-4278-84E0-B4D0D005207C}">
      <text>
        <r>
          <rPr>
            <b/>
            <sz val="9"/>
            <color indexed="81"/>
            <rFont val="Tahoma"/>
            <family val="2"/>
          </rPr>
          <t>Julie Loving:</t>
        </r>
        <r>
          <rPr>
            <sz val="9"/>
            <color indexed="81"/>
            <rFont val="Tahoma"/>
            <family val="2"/>
          </rPr>
          <t xml:space="preserve">
bottom of history sheet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Hartline</author>
    <author>Julie Loving</author>
  </authors>
  <commentList>
    <comment ref="S9" authorId="0" shapeId="0" xr:uid="{47A86CC9-D750-459E-BD49-C398B27A0C50}">
      <text>
        <r>
          <rPr>
            <b/>
            <sz val="9"/>
            <color indexed="81"/>
            <rFont val="Tahoma"/>
            <family val="2"/>
          </rPr>
          <t>Thomas Hartline:</t>
        </r>
        <r>
          <rPr>
            <sz val="9"/>
            <color indexed="81"/>
            <rFont val="Tahoma"/>
            <family val="2"/>
          </rPr>
          <t xml:space="preserve">
JAN Petrol invoice included here as unavailable at last filling.</t>
        </r>
      </text>
    </comment>
    <comment ref="S15" authorId="0" shapeId="0" xr:uid="{2FA3F2F6-D325-46BE-9922-FC44F8639572}">
      <text>
        <r>
          <rPr>
            <b/>
            <sz val="9"/>
            <color indexed="81"/>
            <rFont val="Tahoma"/>
            <family val="2"/>
          </rPr>
          <t>Thomas Hartline:</t>
        </r>
        <r>
          <rPr>
            <sz val="9"/>
            <color indexed="81"/>
            <rFont val="Tahoma"/>
            <family val="2"/>
          </rPr>
          <t xml:space="preserve">
TCE JAN invoice added here as unavailable at filing.
Also transport AUG 21 - JAN 22 appears double counted; corrected here.</t>
        </r>
      </text>
    </comment>
    <comment ref="AC23" authorId="0" shapeId="0" xr:uid="{A07EE887-E179-4C3F-82EF-C9823A80D85E}">
      <text>
        <r>
          <rPr>
            <b/>
            <sz val="9"/>
            <color indexed="81"/>
            <rFont val="Tahoma"/>
            <family val="2"/>
          </rPr>
          <t>Thomas Hartline:</t>
        </r>
        <r>
          <rPr>
            <sz val="9"/>
            <color indexed="81"/>
            <rFont val="Tahoma"/>
            <family val="2"/>
          </rPr>
          <t xml:space="preserve">
Applied new GCA one month too early.
14.57-10.9082 =
3.6618</t>
        </r>
      </text>
    </comment>
    <comment ref="K27" authorId="0" shapeId="0" xr:uid="{7E7ECCC2-D512-40B1-95AD-C3E2AFFF9F01}">
      <text>
        <r>
          <rPr>
            <sz val="9"/>
            <color indexed="81"/>
            <rFont val="Tahoma"/>
            <family val="2"/>
          </rPr>
          <t>Amount to be recovered or refunded to rate payer over next twelve months</t>
        </r>
      </text>
    </comment>
    <comment ref="Q27" authorId="0" shapeId="0" xr:uid="{2FAE06A6-E21C-48F4-A76A-50E33EE81762}">
      <text>
        <r>
          <rPr>
            <sz val="9"/>
            <color indexed="81"/>
            <rFont val="Tahoma"/>
            <family val="2"/>
          </rPr>
          <t>Amount to be recovered or refunded to rate payer over next twelve months</t>
        </r>
      </text>
    </comment>
    <comment ref="W27" authorId="0" shapeId="0" xr:uid="{D25366FF-3F5F-4824-AB5A-ACE08E8B92FD}">
      <text>
        <r>
          <rPr>
            <sz val="9"/>
            <color indexed="81"/>
            <rFont val="Tahoma"/>
            <family val="2"/>
          </rPr>
          <t>Amount to be recovered or refunded to rate payer over next twelve months</t>
        </r>
      </text>
    </comment>
    <comment ref="AC27" authorId="0" shapeId="0" xr:uid="{C1D6330C-3B60-4219-9E98-4595717C148A}">
      <text>
        <r>
          <rPr>
            <sz val="9"/>
            <color indexed="81"/>
            <rFont val="Tahoma"/>
            <family val="2"/>
          </rPr>
          <t>Amount to be recovered or refunded to rate payer over next twelve months</t>
        </r>
      </text>
    </comment>
    <comment ref="AI27" authorId="0" shapeId="0" xr:uid="{4B86A57F-FE35-486C-9C04-7294A65B3FDF}">
      <text>
        <r>
          <rPr>
            <sz val="9"/>
            <color indexed="81"/>
            <rFont val="Tahoma"/>
            <family val="2"/>
          </rPr>
          <t>Amount to be recovered or refunded to rate payer over next twelve months</t>
        </r>
      </text>
    </comment>
    <comment ref="AO27" authorId="0" shapeId="0" xr:uid="{979346B3-BFFA-4580-B977-3917FFCF1A91}">
      <text>
        <r>
          <rPr>
            <sz val="9"/>
            <color indexed="81"/>
            <rFont val="Tahoma"/>
            <family val="2"/>
          </rPr>
          <t>Amount to be recovered or refunded to rate payer over next twelve months</t>
        </r>
      </text>
    </comment>
    <comment ref="AU27" authorId="0" shapeId="0" xr:uid="{65BAB068-67B7-4C94-AF73-570BB7EC8B8E}">
      <text>
        <r>
          <rPr>
            <sz val="9"/>
            <color indexed="81"/>
            <rFont val="Tahoma"/>
            <family val="2"/>
          </rPr>
          <t>Amount to be recovered or refunded to rate payer over next twelve months</t>
        </r>
      </text>
    </comment>
    <comment ref="C34" authorId="0" shapeId="0" xr:uid="{4DA6D49C-6F77-4FD8-86EB-FCD3FF0AEB3A}">
      <text>
        <r>
          <rPr>
            <b/>
            <sz val="9"/>
            <color indexed="81"/>
            <rFont val="Tahoma"/>
            <family val="2"/>
          </rPr>
          <t>Thomas Hartline:</t>
        </r>
        <r>
          <rPr>
            <sz val="9"/>
            <color indexed="81"/>
            <rFont val="Tahoma"/>
            <family val="2"/>
          </rPr>
          <t xml:space="preserve">
From Byrds/Fentress Bill Edit List</t>
        </r>
      </text>
    </comment>
    <comment ref="M41" authorId="1" shapeId="0" xr:uid="{D485D866-80F6-49F9-A43D-9BCFAB058411}">
      <text>
        <r>
          <rPr>
            <b/>
            <sz val="9"/>
            <color indexed="81"/>
            <rFont val="Tahoma"/>
            <family val="2"/>
          </rPr>
          <t>Julie Loving:</t>
        </r>
        <r>
          <rPr>
            <sz val="9"/>
            <color indexed="81"/>
            <rFont val="Tahoma"/>
            <family val="2"/>
          </rPr>
          <t xml:space="preserve">
Nov and oct should be switched, but already in
</t>
        </r>
      </text>
    </comment>
    <comment ref="K48" authorId="0" shapeId="0" xr:uid="{E7331645-E7D2-4472-86A6-15D023324F06}">
      <text>
        <r>
          <rPr>
            <b/>
            <sz val="9"/>
            <color indexed="81"/>
            <rFont val="Tahoma"/>
            <family val="2"/>
          </rPr>
          <t>Thomas Hartline:</t>
        </r>
        <r>
          <rPr>
            <sz val="9"/>
            <color indexed="81"/>
            <rFont val="Tahoma"/>
            <family val="2"/>
          </rPr>
          <t xml:space="preserve">
Estimate - no invoice from Enbridge yet</t>
        </r>
      </text>
    </comment>
    <comment ref="AQ55" authorId="1" shapeId="0" xr:uid="{14380CEF-7B89-407F-A333-91F57BD62719}">
      <text>
        <r>
          <rPr>
            <b/>
            <sz val="9"/>
            <color indexed="81"/>
            <rFont val="Tahoma"/>
            <family val="2"/>
          </rPr>
          <t>Julie Loving:</t>
        </r>
        <r>
          <rPr>
            <sz val="9"/>
            <color indexed="81"/>
            <rFont val="Tahoma"/>
            <family val="2"/>
          </rPr>
          <t xml:space="preserve">
July Flow diversified invoice B&amp;H
19225.71</t>
        </r>
      </text>
    </comment>
    <comment ref="AS55" authorId="1" shapeId="0" xr:uid="{5CA7BD29-50FF-4CF7-9406-E41756CB1045}">
      <text>
        <r>
          <rPr>
            <b/>
            <sz val="9"/>
            <color indexed="81"/>
            <rFont val="Tahoma"/>
            <family val="2"/>
          </rPr>
          <t>Julie Loving:</t>
        </r>
        <r>
          <rPr>
            <sz val="9"/>
            <color indexed="81"/>
            <rFont val="Tahoma"/>
            <family val="2"/>
          </rPr>
          <t xml:space="preserve">
September Flow diversified invoice B&amp;H
2799.71</t>
        </r>
      </text>
    </comment>
    <comment ref="AQ60" authorId="1" shapeId="0" xr:uid="{22C11E1D-CBD6-4F4C-A555-42A8BF7BF39B}">
      <text>
        <r>
          <rPr>
            <b/>
            <sz val="9"/>
            <color indexed="81"/>
            <rFont val="Tahoma"/>
            <family val="2"/>
          </rPr>
          <t>Julie Loving:</t>
        </r>
        <r>
          <rPr>
            <sz val="9"/>
            <color indexed="81"/>
            <rFont val="Tahoma"/>
            <family val="2"/>
          </rPr>
          <t xml:space="preserve">
July Flow Johnson Co 1204.47</t>
        </r>
      </text>
    </comment>
    <comment ref="AS60" authorId="1" shapeId="0" xr:uid="{B61E3A2B-FF9A-4AFF-823F-C1648C6B7F95}">
      <text>
        <r>
          <rPr>
            <b/>
            <sz val="9"/>
            <color indexed="81"/>
            <rFont val="Tahoma"/>
            <family val="2"/>
          </rPr>
          <t>Julie Loving:</t>
        </r>
        <r>
          <rPr>
            <sz val="9"/>
            <color indexed="81"/>
            <rFont val="Tahoma"/>
            <family val="2"/>
          </rPr>
          <t xml:space="preserve">
September Flow Johnson Co 2112.05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Hartline</author>
  </authors>
  <commentList>
    <comment ref="K27" authorId="0" shapeId="0" xr:uid="{6B92B2D0-5DB1-4D55-825C-DCC9EAA6CE0F}">
      <text>
        <r>
          <rPr>
            <sz val="9"/>
            <color indexed="81"/>
            <rFont val="Tahoma"/>
            <family val="2"/>
          </rPr>
          <t>Amount to be recovered or refunded to rate payer over next twelve months</t>
        </r>
      </text>
    </comment>
    <comment ref="Q27" authorId="0" shapeId="0" xr:uid="{3FDB32F7-A28B-48D8-98D5-894C960D6E69}">
      <text>
        <r>
          <rPr>
            <sz val="9"/>
            <color indexed="81"/>
            <rFont val="Tahoma"/>
            <family val="2"/>
          </rPr>
          <t>Amount to be recovered or refunded to rate payer over next twelve months</t>
        </r>
      </text>
    </comment>
    <comment ref="W27" authorId="0" shapeId="0" xr:uid="{E6E10594-2E92-407E-B281-8CC86E40A03E}">
      <text>
        <r>
          <rPr>
            <sz val="9"/>
            <color indexed="81"/>
            <rFont val="Tahoma"/>
            <family val="2"/>
          </rPr>
          <t>Amount to be recovered or refunded to rate payer over next twelve months</t>
        </r>
      </text>
    </comment>
    <comment ref="AC27" authorId="0" shapeId="0" xr:uid="{ADF1377B-BC09-428C-99C9-7BCE97441762}">
      <text>
        <r>
          <rPr>
            <sz val="9"/>
            <color indexed="81"/>
            <rFont val="Tahoma"/>
            <family val="2"/>
          </rPr>
          <t>Amount to be recovered or refunded to rate payer over next twelve months</t>
        </r>
      </text>
    </comment>
    <comment ref="AI27" authorId="0" shapeId="0" xr:uid="{D1902380-7154-40F8-BC66-A4D9B7DCC18E}">
      <text>
        <r>
          <rPr>
            <sz val="9"/>
            <color indexed="81"/>
            <rFont val="Tahoma"/>
            <family val="2"/>
          </rPr>
          <t>Amount to be recovered or refunded to rate payer over next twelve months</t>
        </r>
      </text>
    </comment>
    <comment ref="C34" authorId="0" shapeId="0" xr:uid="{013C9047-9690-48A0-B37A-64C884588196}">
      <text>
        <r>
          <rPr>
            <b/>
            <sz val="9"/>
            <color indexed="81"/>
            <rFont val="Tahoma"/>
            <family val="2"/>
          </rPr>
          <t>Thomas Hartline:</t>
        </r>
        <r>
          <rPr>
            <sz val="9"/>
            <color indexed="81"/>
            <rFont val="Tahoma"/>
            <family val="2"/>
          </rPr>
          <t xml:space="preserve">
From Byrds/Fentress Bill Edit List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Hartline</author>
  </authors>
  <commentList>
    <comment ref="K20" authorId="0" shapeId="0" xr:uid="{2CB359F8-61B9-4BB6-A43D-8384E63E5EEF}">
      <text>
        <r>
          <rPr>
            <sz val="9"/>
            <color indexed="81"/>
            <rFont val="Tahoma"/>
            <family val="2"/>
          </rPr>
          <t>Balance divided by twelve months sales</t>
        </r>
      </text>
    </comment>
    <comment ref="I21" authorId="0" shapeId="0" xr:uid="{5E6A593C-8F70-446A-B4A4-840C4F71A6AA}">
      <text>
        <r>
          <rPr>
            <sz val="9"/>
            <color indexed="81"/>
            <rFont val="Tahoma"/>
            <family val="2"/>
          </rPr>
          <t>Balance from AA (SIV)</t>
        </r>
      </text>
    </comment>
    <comment ref="AM21" authorId="0" shapeId="0" xr:uid="{B56179AC-A5E0-4985-9FE2-57288E41D635}">
      <text>
        <r>
          <rPr>
            <sz val="9"/>
            <color indexed="81"/>
            <rFont val="Tahoma"/>
            <family val="2"/>
          </rPr>
          <t>Balance of expiring Actual Adjustment plus balance of expiring 3rd previous quarter Balance Adjustment</t>
        </r>
      </text>
    </comment>
    <comment ref="Q24" authorId="0" shapeId="0" xr:uid="{580941B0-E217-4150-A179-B67FC3CB4428}">
      <text>
        <r>
          <rPr>
            <sz val="9"/>
            <color indexed="81"/>
            <rFont val="Tahoma"/>
            <family val="2"/>
          </rPr>
          <t>Balance divided by twelve months sales</t>
        </r>
      </text>
    </comment>
    <comment ref="O25" authorId="0" shapeId="0" xr:uid="{8FEEFF9E-9DF5-413B-93E9-71F0D96776B3}">
      <text>
        <r>
          <rPr>
            <sz val="9"/>
            <color indexed="81"/>
            <rFont val="Tahoma"/>
            <family val="2"/>
          </rPr>
          <t>Balance from AA (SIV)</t>
        </r>
      </text>
    </comment>
    <comment ref="AS25" authorId="0" shapeId="0" xr:uid="{D794077A-6D1A-4713-9D09-E157B74DBB2B}">
      <text>
        <r>
          <rPr>
            <sz val="9"/>
            <color indexed="81"/>
            <rFont val="Tahoma"/>
            <family val="2"/>
          </rPr>
          <t>Balance of expiring Actual Adjustment plus balance of expiring 3rd previous quarter Balance Adjustment</t>
        </r>
      </text>
    </comment>
    <comment ref="W28" authorId="0" shapeId="0" xr:uid="{C0528834-CB03-4B07-8E31-0576D8EE91FF}">
      <text>
        <r>
          <rPr>
            <sz val="9"/>
            <color indexed="81"/>
            <rFont val="Tahoma"/>
            <family val="2"/>
          </rPr>
          <t>Balance divided by twelve months sales</t>
        </r>
      </text>
    </comment>
    <comment ref="U29" authorId="0" shapeId="0" xr:uid="{164B873F-65B4-4CF1-9A27-C83C9C288CF8}">
      <text>
        <r>
          <rPr>
            <sz val="9"/>
            <color indexed="81"/>
            <rFont val="Tahoma"/>
            <family val="2"/>
          </rPr>
          <t>Balance from AA (SIV)</t>
        </r>
      </text>
    </comment>
    <comment ref="AY29" authorId="0" shapeId="0" xr:uid="{A30B2501-4AB8-49AC-BCEE-9BDA9EAAC731}">
      <text>
        <r>
          <rPr>
            <sz val="9"/>
            <color indexed="81"/>
            <rFont val="Tahoma"/>
            <family val="2"/>
          </rPr>
          <t>Balance of expiring Actual Adjustment plus balance of expiring 3rd previous quarter Balance Adjustment</t>
        </r>
      </text>
    </comment>
    <comment ref="AC32" authorId="0" shapeId="0" xr:uid="{CE00C916-91FC-42F2-9871-8DFCBF911C6D}">
      <text>
        <r>
          <rPr>
            <sz val="9"/>
            <color indexed="81"/>
            <rFont val="Tahoma"/>
            <family val="2"/>
          </rPr>
          <t>Balance divided by twelve months sales</t>
        </r>
      </text>
    </comment>
    <comment ref="AA33" authorId="0" shapeId="0" xr:uid="{E4C5AF4D-6DCC-42FE-B61B-3A6DA0321B50}">
      <text>
        <r>
          <rPr>
            <sz val="9"/>
            <color indexed="81"/>
            <rFont val="Tahoma"/>
            <family val="2"/>
          </rPr>
          <t>Balance from AA (SIV)</t>
        </r>
      </text>
    </comment>
    <comment ref="BE33" authorId="0" shapeId="0" xr:uid="{D7877D2E-1554-4FF8-8783-B185FA0A3788}">
      <text>
        <r>
          <rPr>
            <sz val="9"/>
            <color indexed="81"/>
            <rFont val="Tahoma"/>
            <family val="2"/>
          </rPr>
          <t>Balance of expiring Actual Adjustment plus balance of expiring 3rd previous quarter Balance Adjustment</t>
        </r>
      </text>
    </comment>
    <comment ref="AI36" authorId="0" shapeId="0" xr:uid="{A753AF20-7763-4D7A-892A-A77A40C4CA81}">
      <text>
        <r>
          <rPr>
            <sz val="9"/>
            <color indexed="81"/>
            <rFont val="Tahoma"/>
            <family val="2"/>
          </rPr>
          <t>Balance divided by twelve months sales</t>
        </r>
      </text>
    </comment>
    <comment ref="AG37" authorId="0" shapeId="0" xr:uid="{9403BA71-2B80-4937-BDE0-F7CE0EEE9D91}">
      <text>
        <r>
          <rPr>
            <sz val="9"/>
            <color indexed="81"/>
            <rFont val="Tahoma"/>
            <family val="2"/>
          </rPr>
          <t>Balance from AA (SIV)</t>
        </r>
      </text>
    </comment>
    <comment ref="BK37" authorId="0" shapeId="0" xr:uid="{DA2212CC-B955-4B95-B73C-78066F219656}">
      <text>
        <r>
          <rPr>
            <sz val="9"/>
            <color indexed="81"/>
            <rFont val="Tahoma"/>
            <family val="2"/>
          </rPr>
          <t>Balance of expiring Actual Adjustment plus balance of expiring 3rd previous quarter Balance Adjustment</t>
        </r>
      </text>
    </comment>
    <comment ref="AO40" authorId="0" shapeId="0" xr:uid="{85DFA32B-3972-4196-A2AC-D6AADF2F6FB6}">
      <text>
        <r>
          <rPr>
            <sz val="9"/>
            <color indexed="81"/>
            <rFont val="Tahoma"/>
            <family val="2"/>
          </rPr>
          <t>Balance divided by twelve months sales</t>
        </r>
      </text>
    </comment>
    <comment ref="AM41" authorId="0" shapeId="0" xr:uid="{3D29DDE6-8E4F-4109-8CAF-5F358EF3542D}">
      <text>
        <r>
          <rPr>
            <sz val="9"/>
            <color indexed="81"/>
            <rFont val="Tahoma"/>
            <family val="2"/>
          </rPr>
          <t>Balance from AA (SIV)</t>
        </r>
      </text>
    </comment>
    <comment ref="BQ41" authorId="0" shapeId="0" xr:uid="{1EE49F84-D991-4532-9559-E42FA5219BEC}">
      <text>
        <r>
          <rPr>
            <sz val="9"/>
            <color indexed="81"/>
            <rFont val="Tahoma"/>
            <family val="2"/>
          </rPr>
          <t>Balance of expiring Actual Adjustment plus balance of expiring 3rd previous quarter Balance Adjustment</t>
        </r>
      </text>
    </comment>
    <comment ref="AU44" authorId="0" shapeId="0" xr:uid="{87AABD2D-2752-4FC8-A028-1D21D0DB4707}">
      <text>
        <r>
          <rPr>
            <sz val="9"/>
            <color indexed="81"/>
            <rFont val="Tahoma"/>
            <family val="2"/>
          </rPr>
          <t>Balance divided by twelve months sales</t>
        </r>
      </text>
    </comment>
    <comment ref="AS45" authorId="0" shapeId="0" xr:uid="{A686722C-9A53-4A74-80D2-A06D04BF3158}">
      <text>
        <r>
          <rPr>
            <sz val="9"/>
            <color indexed="81"/>
            <rFont val="Tahoma"/>
            <family val="2"/>
          </rPr>
          <t>Balance from AA (SIV)</t>
        </r>
      </text>
    </comment>
    <comment ref="BW45" authorId="0" shapeId="0" xr:uid="{E9B6863A-432E-4C8A-A1B9-D4FF4E857BC2}">
      <text>
        <r>
          <rPr>
            <sz val="9"/>
            <color indexed="81"/>
            <rFont val="Tahoma"/>
            <family val="2"/>
          </rPr>
          <t>Balance of expiring Actual Adjustment plus balance of expiring 3rd previous quarter Balance Adjustment</t>
        </r>
      </text>
    </comment>
    <comment ref="BA48" authorId="0" shapeId="0" xr:uid="{D225F38B-BF04-4CE6-A6EC-C27B0D1DCF62}">
      <text>
        <r>
          <rPr>
            <sz val="9"/>
            <color indexed="81"/>
            <rFont val="Tahoma"/>
            <family val="2"/>
          </rPr>
          <t>Balance divided by twelve months sales</t>
        </r>
      </text>
    </comment>
    <comment ref="AY49" authorId="0" shapeId="0" xr:uid="{96FF1602-52E1-41E4-8973-877FF7E193AD}">
      <text>
        <r>
          <rPr>
            <sz val="9"/>
            <color indexed="81"/>
            <rFont val="Tahoma"/>
            <family val="2"/>
          </rPr>
          <t>Balance from AA (SIV)</t>
        </r>
      </text>
    </comment>
    <comment ref="CC49" authorId="0" shapeId="0" xr:uid="{7636D446-04BE-445D-93A1-189E1835F3FF}">
      <text>
        <r>
          <rPr>
            <sz val="9"/>
            <color indexed="81"/>
            <rFont val="Tahoma"/>
            <family val="2"/>
          </rPr>
          <t>Balance of expiring Actual Adjustment plus balance of expiring 3rd previous quarter Balance Adjustment</t>
        </r>
      </text>
    </comment>
    <comment ref="BG52" authorId="0" shapeId="0" xr:uid="{C2F60FCE-5891-47EE-87E2-DB582175C44E}">
      <text>
        <r>
          <rPr>
            <sz val="9"/>
            <color indexed="81"/>
            <rFont val="Tahoma"/>
            <family val="2"/>
          </rPr>
          <t>Balance divided by twelve months sales</t>
        </r>
      </text>
    </comment>
    <comment ref="BE53" authorId="0" shapeId="0" xr:uid="{E9BE73D4-A17E-4A72-B756-8160D912F125}">
      <text>
        <r>
          <rPr>
            <sz val="9"/>
            <color indexed="81"/>
            <rFont val="Tahoma"/>
            <family val="2"/>
          </rPr>
          <t>Balance from AA (SIV)</t>
        </r>
      </text>
    </comment>
    <comment ref="CI53" authorId="0" shapeId="0" xr:uid="{04813A80-9A51-41F6-8601-6F27BDFCFD31}">
      <text>
        <r>
          <rPr>
            <sz val="9"/>
            <color indexed="81"/>
            <rFont val="Tahoma"/>
            <family val="2"/>
          </rPr>
          <t>Balance of expiring Actual Adjustment plus balance of expiring 3rd previous quarter Balance Adjustment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Hartline</author>
  </authors>
  <commentList>
    <comment ref="O21" authorId="0" shapeId="0" xr:uid="{077178F2-56D0-4EA7-8397-EC52ADA9816D}">
      <text>
        <r>
          <rPr>
            <sz val="9"/>
            <color indexed="81"/>
            <rFont val="Tahoma"/>
            <family val="2"/>
          </rPr>
          <t>Balance divided by twelve months sales</t>
        </r>
      </text>
    </comment>
    <comment ref="P21" authorId="0" shapeId="0" xr:uid="{DC8ABB97-FC57-4ADD-BE3A-E70E3B5BF993}">
      <text>
        <r>
          <rPr>
            <sz val="9"/>
            <color indexed="81"/>
            <rFont val="Tahoma"/>
            <family val="2"/>
          </rPr>
          <t>Check - does adjustment and balance have same sign</t>
        </r>
      </text>
    </comment>
    <comment ref="G22" authorId="0" shapeId="0" xr:uid="{A0101863-2049-45BA-9169-CB3909091B99}">
      <text>
        <r>
          <rPr>
            <sz val="9"/>
            <color indexed="81"/>
            <rFont val="Tahoma"/>
            <family val="2"/>
          </rPr>
          <t>Balance from AA (SIV)</t>
        </r>
      </text>
    </comment>
    <comment ref="AQ22" authorId="0" shapeId="0" xr:uid="{D5A9B998-4C9D-4F40-A9E8-2022DA91F471}">
      <text>
        <r>
          <rPr>
            <sz val="9"/>
            <color indexed="81"/>
            <rFont val="Tahoma"/>
            <family val="2"/>
          </rPr>
          <t>Balance of expiring Actual Adjustment plus balance of expiring 3rd previous quarter Balance Adjustment</t>
        </r>
      </text>
    </comment>
    <comment ref="U25" authorId="0" shapeId="0" xr:uid="{245C28D4-B365-4362-9756-17CD8752746E}">
      <text>
        <r>
          <rPr>
            <sz val="9"/>
            <color indexed="81"/>
            <rFont val="Tahoma"/>
            <family val="2"/>
          </rPr>
          <t>Balance divided by twelve months sales</t>
        </r>
      </text>
    </comment>
    <comment ref="V25" authorId="0" shapeId="0" xr:uid="{1712B202-3C89-4D83-82A4-406510DBAA71}">
      <text>
        <r>
          <rPr>
            <sz val="9"/>
            <color indexed="81"/>
            <rFont val="Tahoma"/>
            <family val="2"/>
          </rPr>
          <t>Check - does adjustment and balance have same sign</t>
        </r>
      </text>
    </comment>
    <comment ref="M26" authorId="0" shapeId="0" xr:uid="{110BD135-52DA-4AEC-964A-D9F2480C31FB}">
      <text>
        <r>
          <rPr>
            <sz val="9"/>
            <color indexed="81"/>
            <rFont val="Tahoma"/>
            <family val="2"/>
          </rPr>
          <t>Balance from AA (SIV)</t>
        </r>
      </text>
    </comment>
    <comment ref="AW26" authorId="0" shapeId="0" xr:uid="{FB3DFDA3-462C-4571-B341-778E2EFBBC22}">
      <text>
        <r>
          <rPr>
            <sz val="9"/>
            <color indexed="81"/>
            <rFont val="Tahoma"/>
            <family val="2"/>
          </rPr>
          <t>Balance of expiring Actual Adjustment plus balance of expiring 3rd previous quarter Balance Adjustment</t>
        </r>
      </text>
    </comment>
    <comment ref="AA29" authorId="0" shapeId="0" xr:uid="{D566A99F-F195-43A5-971D-D8973464400A}">
      <text>
        <r>
          <rPr>
            <sz val="9"/>
            <color indexed="81"/>
            <rFont val="Tahoma"/>
            <family val="2"/>
          </rPr>
          <t>Balance divided by twelve months sales</t>
        </r>
      </text>
    </comment>
    <comment ref="AB29" authorId="0" shapeId="0" xr:uid="{D00EE85D-7572-4430-BAE1-9645D19BFBD9}">
      <text>
        <r>
          <rPr>
            <sz val="9"/>
            <color indexed="81"/>
            <rFont val="Tahoma"/>
            <family val="2"/>
          </rPr>
          <t>Check - does adjustment and balance have same sign</t>
        </r>
      </text>
    </comment>
    <comment ref="S30" authorId="0" shapeId="0" xr:uid="{164E2220-0684-4C87-8832-EDAB0D67C23C}">
      <text>
        <r>
          <rPr>
            <sz val="9"/>
            <color indexed="81"/>
            <rFont val="Tahoma"/>
            <family val="2"/>
          </rPr>
          <t>Balance from AA (SIV)</t>
        </r>
      </text>
    </comment>
    <comment ref="BC30" authorId="0" shapeId="0" xr:uid="{8ED218CB-6657-4993-B666-40CF2D4FAE56}">
      <text>
        <r>
          <rPr>
            <sz val="9"/>
            <color indexed="81"/>
            <rFont val="Tahoma"/>
            <family val="2"/>
          </rPr>
          <t>Balance of expiring Actual Adjustment plus balance of expiring 3rd previous quarter Balance Adjustment</t>
        </r>
      </text>
    </comment>
    <comment ref="AG33" authorId="0" shapeId="0" xr:uid="{5F6ADDDD-1580-48F3-83F8-74DBF6C0032E}">
      <text>
        <r>
          <rPr>
            <sz val="9"/>
            <color indexed="81"/>
            <rFont val="Tahoma"/>
            <family val="2"/>
          </rPr>
          <t>Balance divided by twelve months sales</t>
        </r>
      </text>
    </comment>
    <comment ref="AH33" authorId="0" shapeId="0" xr:uid="{E6620434-892A-408E-B929-0DC43FCCBB6F}">
      <text>
        <r>
          <rPr>
            <sz val="9"/>
            <color indexed="81"/>
            <rFont val="Tahoma"/>
            <family val="2"/>
          </rPr>
          <t>Check - does adjustment and balance have same sign</t>
        </r>
      </text>
    </comment>
    <comment ref="Y34" authorId="0" shapeId="0" xr:uid="{FF766029-6CF5-412B-8A44-73BE85ED86E6}">
      <text>
        <r>
          <rPr>
            <sz val="9"/>
            <color indexed="81"/>
            <rFont val="Tahoma"/>
            <family val="2"/>
          </rPr>
          <t>Balance from AA (SIV)</t>
        </r>
      </text>
    </comment>
    <comment ref="BI34" authorId="0" shapeId="0" xr:uid="{FC8E0CD3-5AFA-4569-B6BB-5C2768A21888}">
      <text>
        <r>
          <rPr>
            <sz val="9"/>
            <color indexed="81"/>
            <rFont val="Tahoma"/>
            <family val="2"/>
          </rPr>
          <t>Balance of expiring Actual Adjustment plus balance of expiring 3rd previous quarter Balance Adjustment</t>
        </r>
      </text>
    </comment>
    <comment ref="AM37" authorId="0" shapeId="0" xr:uid="{3D750B93-99D4-41D1-A2B4-AC41DA1082FF}">
      <text>
        <r>
          <rPr>
            <sz val="9"/>
            <color indexed="81"/>
            <rFont val="Tahoma"/>
            <family val="2"/>
          </rPr>
          <t>Balance divided by twelve months sales</t>
        </r>
      </text>
    </comment>
    <comment ref="AN37" authorId="0" shapeId="0" xr:uid="{3CA97E9C-B696-4C26-A160-95FCFA310EA3}">
      <text>
        <r>
          <rPr>
            <sz val="9"/>
            <color indexed="81"/>
            <rFont val="Tahoma"/>
            <family val="2"/>
          </rPr>
          <t>Check - does adjustment and balance have same sign</t>
        </r>
      </text>
    </comment>
    <comment ref="AE38" authorId="0" shapeId="0" xr:uid="{A7C2C5B3-482F-4F46-A4C2-8E7BD2C22B55}">
      <text>
        <r>
          <rPr>
            <sz val="9"/>
            <color indexed="81"/>
            <rFont val="Tahoma"/>
            <family val="2"/>
          </rPr>
          <t>Balance from AA (SIV)</t>
        </r>
      </text>
    </comment>
    <comment ref="BO38" authorId="0" shapeId="0" xr:uid="{AB97BA02-F5C7-4F07-B698-6C2A68F00E8D}">
      <text>
        <r>
          <rPr>
            <sz val="9"/>
            <color indexed="81"/>
            <rFont val="Tahoma"/>
            <family val="2"/>
          </rPr>
          <t>Balance of expiring Actual Adjustment plus balance of expiring 3rd previous quarter Balance Adjustment</t>
        </r>
      </text>
    </comment>
    <comment ref="AS41" authorId="0" shapeId="0" xr:uid="{FCEAEB50-C3CA-4F24-BDE4-20B13043A581}">
      <text>
        <r>
          <rPr>
            <sz val="9"/>
            <color indexed="81"/>
            <rFont val="Tahoma"/>
            <family val="2"/>
          </rPr>
          <t>Balance divided by twelve months sales</t>
        </r>
      </text>
    </comment>
    <comment ref="AT41" authorId="0" shapeId="0" xr:uid="{1A2F4EC6-16A9-454F-AF59-8E901E976C4D}">
      <text>
        <r>
          <rPr>
            <sz val="9"/>
            <color indexed="81"/>
            <rFont val="Tahoma"/>
            <family val="2"/>
          </rPr>
          <t>Check - does adjustment and balance have same sign</t>
        </r>
      </text>
    </comment>
    <comment ref="AK42" authorId="0" shapeId="0" xr:uid="{24C6C402-8444-46AB-9B1D-0133F7FFF5A7}">
      <text>
        <r>
          <rPr>
            <sz val="9"/>
            <color indexed="81"/>
            <rFont val="Tahoma"/>
            <family val="2"/>
          </rPr>
          <t>Balance from AA (SIV)</t>
        </r>
      </text>
    </comment>
    <comment ref="BU42" authorId="0" shapeId="0" xr:uid="{AD6135CB-6640-414C-94B7-812D5F28F4CA}">
      <text>
        <r>
          <rPr>
            <sz val="9"/>
            <color indexed="81"/>
            <rFont val="Tahoma"/>
            <family val="2"/>
          </rPr>
          <t>Balance of expiring Actual Adjustment plus balance of expiring 3rd previous quarter Balance Adjustment</t>
        </r>
      </text>
    </comment>
    <comment ref="AY45" authorId="0" shapeId="0" xr:uid="{B95553F2-EDF7-4798-882F-D4AF6CBF6766}">
      <text>
        <r>
          <rPr>
            <sz val="9"/>
            <color indexed="81"/>
            <rFont val="Tahoma"/>
            <family val="2"/>
          </rPr>
          <t>Balance divided by twelve months sales</t>
        </r>
      </text>
    </comment>
    <comment ref="AZ45" authorId="0" shapeId="0" xr:uid="{8D93E3D6-08D2-4CCB-B862-08BAF14D300A}">
      <text>
        <r>
          <rPr>
            <sz val="9"/>
            <color indexed="81"/>
            <rFont val="Tahoma"/>
            <family val="2"/>
          </rPr>
          <t>Check - does adjustment and balance have same sign</t>
        </r>
      </text>
    </comment>
    <comment ref="AQ46" authorId="0" shapeId="0" xr:uid="{DDD5F151-8400-456F-A4C5-D5119509FD26}">
      <text>
        <r>
          <rPr>
            <sz val="9"/>
            <color indexed="81"/>
            <rFont val="Tahoma"/>
            <family val="2"/>
          </rPr>
          <t>Balance from AA (SIV)</t>
        </r>
      </text>
    </comment>
    <comment ref="CA46" authorId="0" shapeId="0" xr:uid="{5A69524C-BCB0-43BA-A20A-260B6D1C5274}">
      <text>
        <r>
          <rPr>
            <sz val="9"/>
            <color indexed="81"/>
            <rFont val="Tahoma"/>
            <family val="2"/>
          </rPr>
          <t>Balance of expiring Actual Adjustment plus balance of expiring 3rd previous quarter Balance Adjustment</t>
        </r>
      </text>
    </comment>
    <comment ref="BE49" authorId="0" shapeId="0" xr:uid="{1EE6A631-8EEE-4ACA-B29B-14F0F4CC40BB}">
      <text>
        <r>
          <rPr>
            <sz val="9"/>
            <color indexed="81"/>
            <rFont val="Tahoma"/>
            <family val="2"/>
          </rPr>
          <t>Balance divided by twelve months sales</t>
        </r>
      </text>
    </comment>
    <comment ref="BF49" authorId="0" shapeId="0" xr:uid="{0D040DF4-CE46-4383-A05D-26A668E754AC}">
      <text>
        <r>
          <rPr>
            <sz val="9"/>
            <color indexed="81"/>
            <rFont val="Tahoma"/>
            <family val="2"/>
          </rPr>
          <t>Check - does adjustment and balance have same sign</t>
        </r>
      </text>
    </comment>
    <comment ref="AW50" authorId="0" shapeId="0" xr:uid="{1F3C5AE0-E484-44A2-8666-27386E89DBB4}">
      <text>
        <r>
          <rPr>
            <sz val="9"/>
            <color indexed="81"/>
            <rFont val="Tahoma"/>
            <family val="2"/>
          </rPr>
          <t>Balance from AA (SIV)</t>
        </r>
      </text>
    </comment>
    <comment ref="CG50" authorId="0" shapeId="0" xr:uid="{724680D4-C883-445F-896D-83F56D6505F0}">
      <text>
        <r>
          <rPr>
            <sz val="9"/>
            <color indexed="81"/>
            <rFont val="Tahoma"/>
            <family val="2"/>
          </rPr>
          <t>Balance of expiring Actual Adjustment plus balance of expiring 3rd previous quarter Balance Adjustment</t>
        </r>
      </text>
    </comment>
    <comment ref="BK53" authorId="0" shapeId="0" xr:uid="{327987F6-AD0F-4024-9F91-CF25047688E9}">
      <text>
        <r>
          <rPr>
            <sz val="9"/>
            <color indexed="81"/>
            <rFont val="Tahoma"/>
            <family val="2"/>
          </rPr>
          <t>Balance divided by twelve months sales</t>
        </r>
      </text>
    </comment>
    <comment ref="BL53" authorId="0" shapeId="0" xr:uid="{127A9C33-CB41-4C61-A03D-B297D72C3C91}">
      <text>
        <r>
          <rPr>
            <sz val="9"/>
            <color indexed="81"/>
            <rFont val="Tahoma"/>
            <family val="2"/>
          </rPr>
          <t>Check - does adjustment and balance have same sign</t>
        </r>
      </text>
    </comment>
    <comment ref="BC54" authorId="0" shapeId="0" xr:uid="{1DE2185C-D24D-465F-8D60-5E516F506F6F}">
      <text>
        <r>
          <rPr>
            <sz val="9"/>
            <color indexed="81"/>
            <rFont val="Tahoma"/>
            <family val="2"/>
          </rPr>
          <t>Balance from AA (SIV)</t>
        </r>
      </text>
    </comment>
    <comment ref="CM54" authorId="0" shapeId="0" xr:uid="{16509052-4E09-461A-B4DB-7797DC9D64D1}">
      <text>
        <r>
          <rPr>
            <sz val="9"/>
            <color indexed="81"/>
            <rFont val="Tahoma"/>
            <family val="2"/>
          </rPr>
          <t>Balance of expiring Actual Adjustment plus balance of expiring 3rd previous quarter Balance Adjustment</t>
        </r>
      </text>
    </comment>
    <comment ref="BQ57" authorId="0" shapeId="0" xr:uid="{5097D7AA-7FF8-45B0-9575-728FDF02DC84}">
      <text>
        <r>
          <rPr>
            <sz val="9"/>
            <color indexed="81"/>
            <rFont val="Tahoma"/>
            <family val="2"/>
          </rPr>
          <t>Balance divided by twelve months sales</t>
        </r>
      </text>
    </comment>
    <comment ref="BR57" authorId="0" shapeId="0" xr:uid="{54ED5EBF-6D93-4DF3-BC82-D6596F02BA1C}">
      <text>
        <r>
          <rPr>
            <sz val="9"/>
            <color indexed="81"/>
            <rFont val="Tahoma"/>
            <family val="2"/>
          </rPr>
          <t>Check - does adjustment and balance have same sign</t>
        </r>
      </text>
    </comment>
    <comment ref="BI58" authorId="0" shapeId="0" xr:uid="{9DCFC27B-F17C-454F-B65F-858EC2EADA9E}">
      <text>
        <r>
          <rPr>
            <sz val="9"/>
            <color indexed="81"/>
            <rFont val="Tahoma"/>
            <family val="2"/>
          </rPr>
          <t>Balance from AA (SIV)</t>
        </r>
      </text>
    </comment>
    <comment ref="CS58" authorId="0" shapeId="0" xr:uid="{A5D8BEF0-F044-4F74-AFDD-8C1A9D92A382}">
      <text>
        <r>
          <rPr>
            <sz val="9"/>
            <color indexed="81"/>
            <rFont val="Tahoma"/>
            <family val="2"/>
          </rPr>
          <t>Balance of expiring Actual Adjustment plus balance of expiring 3rd previous quarter Balance Adjustment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Julie Loving</author>
  </authors>
  <commentList>
    <comment ref="C19" authorId="0" shapeId="0" xr:uid="{058CD9E1-0214-4330-9DA0-693985990542}">
      <text>
        <r>
          <rPr>
            <b/>
            <sz val="9"/>
            <color indexed="81"/>
            <rFont val="Tahoma"/>
            <family val="2"/>
          </rPr>
          <t>Julie Loving:</t>
        </r>
        <r>
          <rPr>
            <sz val="9"/>
            <color indexed="81"/>
            <rFont val="Tahoma"/>
            <family val="2"/>
          </rPr>
          <t xml:space="preserve">
Tank rental $3700  anything above that is LNG except February is two months of tank rental plus gas   </t>
        </r>
      </text>
    </comment>
  </commentList>
</comments>
</file>

<file path=xl/sharedStrings.xml><?xml version="1.0" encoding="utf-8"?>
<sst xmlns="http://schemas.openxmlformats.org/spreadsheetml/2006/main" count="502" uniqueCount="239">
  <si>
    <t>Sales in MCF</t>
  </si>
  <si>
    <t>Total</t>
  </si>
  <si>
    <t>Clinton County</t>
  </si>
  <si>
    <t>LTM</t>
  </si>
  <si>
    <t>Last 5-yr Ave</t>
  </si>
  <si>
    <t>Floyd County</t>
  </si>
  <si>
    <t>Johnson County</t>
  </si>
  <si>
    <t>Total L5YA</t>
  </si>
  <si>
    <t>Clinton</t>
  </si>
  <si>
    <t>Floyd</t>
  </si>
  <si>
    <t>Johnson</t>
  </si>
  <si>
    <t>Actual (usage month, billed on 7th of following)</t>
  </si>
  <si>
    <t>Usage beginning</t>
  </si>
  <si>
    <t>Supply</t>
  </si>
  <si>
    <t>Transportation</t>
  </si>
  <si>
    <t>Total cost</t>
  </si>
  <si>
    <t>Cost per MCF</t>
  </si>
  <si>
    <t>less EGC in effect</t>
  </si>
  <si>
    <t>Delta</t>
  </si>
  <si>
    <t>Monthly cost difference</t>
  </si>
  <si>
    <t>Total cost difference</t>
  </si>
  <si>
    <t>Allocation</t>
  </si>
  <si>
    <t>Byrds/Fentress sales CCF</t>
  </si>
  <si>
    <t>KY%</t>
  </si>
  <si>
    <t>Supply Cost Invoices</t>
  </si>
  <si>
    <t>Sub total</t>
  </si>
  <si>
    <t>Diversified Gas &amp; Oil</t>
  </si>
  <si>
    <t>Hall-Stephens-Hall</t>
  </si>
  <si>
    <t>EGC</t>
  </si>
  <si>
    <t>Sales</t>
  </si>
  <si>
    <t>B&amp;S Oil</t>
  </si>
  <si>
    <t>Period</t>
  </si>
  <si>
    <t>Filing date (on or about)</t>
  </si>
  <si>
    <t>Reporting Months</t>
  </si>
  <si>
    <t>Effective date (&amp; 1st forecast month)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</si>
  <si>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</si>
  <si>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</si>
  <si>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</si>
  <si>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</si>
  <si>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</si>
  <si>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</si>
  <si>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</si>
  <si>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</si>
  <si>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</si>
  <si>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X</t>
  </si>
  <si>
    <t>August</t>
  </si>
  <si>
    <t>September</t>
  </si>
  <si>
    <t>October</t>
  </si>
  <si>
    <t>Notes</t>
  </si>
  <si>
    <t>Updated</t>
  </si>
  <si>
    <t>BA</t>
  </si>
  <si>
    <t>Actual Adjustment</t>
  </si>
  <si>
    <t>RA</t>
  </si>
  <si>
    <t>Summary</t>
  </si>
  <si>
    <t>Cover page</t>
  </si>
  <si>
    <t>Modified notes</t>
  </si>
  <si>
    <t>Location</t>
  </si>
  <si>
    <t>LTM MCF</t>
  </si>
  <si>
    <t>Supplier</t>
  </si>
  <si>
    <t>MMBtu</t>
  </si>
  <si>
    <t>Heat Rate</t>
  </si>
  <si>
    <t>MCF</t>
  </si>
  <si>
    <t>Rate</t>
  </si>
  <si>
    <t>Petrol</t>
  </si>
  <si>
    <t>Sparta</t>
  </si>
  <si>
    <t>transport</t>
  </si>
  <si>
    <t>Enbridge pipeline</t>
  </si>
  <si>
    <t>Contract is substantially fixed</t>
  </si>
  <si>
    <t>B&amp;W pipeline</t>
  </si>
  <si>
    <t>FERC tariff per MCF</t>
  </si>
  <si>
    <t>B&amp;S Oil Company</t>
  </si>
  <si>
    <t>Estimated based on Sparta</t>
  </si>
  <si>
    <t>Purchases</t>
  </si>
  <si>
    <t>Line loss</t>
  </si>
  <si>
    <t>Total MCF</t>
  </si>
  <si>
    <t>$/MCF</t>
  </si>
  <si>
    <t>Total EGC</t>
  </si>
  <si>
    <t>+</t>
  </si>
  <si>
    <t xml:space="preserve">under charged </t>
  </si>
  <si>
    <t>-</t>
  </si>
  <si>
    <t xml:space="preserve">over charged </t>
  </si>
  <si>
    <t>-&gt;Actual</t>
  </si>
  <si>
    <t>Average-&gt;</t>
  </si>
  <si>
    <t>3rd Previous Qrtr BA</t>
  </si>
  <si>
    <t>2rd Previous Qrtr BA</t>
  </si>
  <si>
    <t>Previous Qrtr BA</t>
  </si>
  <si>
    <t>Current Qrt BA</t>
  </si>
  <si>
    <t>3rd Previous Qrtr AA</t>
  </si>
  <si>
    <t>2rd Previous Qrtr AA</t>
  </si>
  <si>
    <t>Previous Qrtr AA</t>
  </si>
  <si>
    <t>Current Qrt AA</t>
  </si>
  <si>
    <t>Third previous qrtr BA AA</t>
  </si>
  <si>
    <t>Second previous qrtr BA AA</t>
  </si>
  <si>
    <t>Previous qrtr BA AA</t>
  </si>
  <si>
    <t>Balance adjustment BA</t>
  </si>
  <si>
    <t>Third previous quarter AA</t>
  </si>
  <si>
    <t>Second previous quarter AA</t>
  </si>
  <si>
    <t>Previous quarter AA</t>
  </si>
  <si>
    <t>Actual adjustment AA</t>
  </si>
  <si>
    <t>Component</t>
  </si>
  <si>
    <t>Expected Gas Cost (EGC)</t>
  </si>
  <si>
    <t>Refund Adjustment (RA)</t>
  </si>
  <si>
    <t>Actual Adjustment (AA)</t>
  </si>
  <si>
    <t>Balance Adjustment(BA)</t>
  </si>
  <si>
    <t>=</t>
  </si>
  <si>
    <t>Gas Cost Recovery Rate</t>
  </si>
  <si>
    <t>A. Expected Gas Cost Calculation</t>
  </si>
  <si>
    <t>/</t>
  </si>
  <si>
    <t>Twelve months sales</t>
  </si>
  <si>
    <t>B. Refund Adjustment Calculation</t>
  </si>
  <si>
    <t>Refund Adjustment for reporting period</t>
  </si>
  <si>
    <t>Previous quarter RA</t>
  </si>
  <si>
    <t>Second previous quarter RA</t>
  </si>
  <si>
    <t>Third previous quarter RA</t>
  </si>
  <si>
    <t>Other cost adjustments</t>
  </si>
  <si>
    <t>Refund Adjustment</t>
  </si>
  <si>
    <t>NOT USED</t>
  </si>
  <si>
    <t>C. Actual Adjustment Calculation</t>
  </si>
  <si>
    <t>Actual Adjustment for reporting period</t>
  </si>
  <si>
    <t>D. Balance Adjustment Calculation</t>
  </si>
  <si>
    <t>Balance Adjustment for reporting period</t>
  </si>
  <si>
    <t>Previous quarter BA</t>
  </si>
  <si>
    <t>Second previous quarter BA</t>
  </si>
  <si>
    <t>Third previous quarter BA</t>
  </si>
  <si>
    <t>Balance Adjustment</t>
  </si>
  <si>
    <t>%KY</t>
  </si>
  <si>
    <t>DEM</t>
  </si>
  <si>
    <t>H-S-H</t>
  </si>
  <si>
    <t>Schedule III</t>
  </si>
  <si>
    <t>B&amp;H Rate Calculation as Required in Case No. 2015-00367</t>
  </si>
  <si>
    <t>Average of twice Peoples rate and Columbia rate</t>
  </si>
  <si>
    <t>a)</t>
  </si>
  <si>
    <t>B&amp;S Heat Rate</t>
  </si>
  <si>
    <t>Columbia's Most Recent GCA Case</t>
  </si>
  <si>
    <t>2021-00184</t>
  </si>
  <si>
    <t>b)</t>
  </si>
  <si>
    <t>Columbia IUS Rate</t>
  </si>
  <si>
    <t>c)</t>
  </si>
  <si>
    <t>Columbia Heat Rate</t>
  </si>
  <si>
    <t>d)</t>
  </si>
  <si>
    <t>Columbia Heat Rate Differential</t>
  </si>
  <si>
    <t>a / c</t>
  </si>
  <si>
    <t>e)</t>
  </si>
  <si>
    <t>Columbia Heat Adjusted Price</t>
  </si>
  <si>
    <t>b x d</t>
  </si>
  <si>
    <t>Peoples' Most Recent GCA Case</t>
  </si>
  <si>
    <t>2021-00134</t>
  </si>
  <si>
    <t>f)</t>
  </si>
  <si>
    <t>Peoples Expected Gas Cost</t>
  </si>
  <si>
    <t>Schedule I</t>
  </si>
  <si>
    <t>g)</t>
  </si>
  <si>
    <t>Peoples Purchase Volume Dth</t>
  </si>
  <si>
    <t>Schedule II</t>
  </si>
  <si>
    <t>h)</t>
  </si>
  <si>
    <t>Peoples Purchase Volume MCF</t>
  </si>
  <si>
    <t>i)</t>
  </si>
  <si>
    <t>Peoples Heat Rate</t>
  </si>
  <si>
    <t>g / h</t>
  </si>
  <si>
    <t>j)</t>
  </si>
  <si>
    <t>Peoples Heat Rate Differential</t>
  </si>
  <si>
    <t>a / i</t>
  </si>
  <si>
    <t>k)</t>
  </si>
  <si>
    <t>Peoples Heat Adjusted Price</t>
  </si>
  <si>
    <t>f x j</t>
  </si>
  <si>
    <t>Price Average</t>
  </si>
  <si>
    <t>Third previous quarter</t>
  </si>
  <si>
    <t>Second previous quarter</t>
  </si>
  <si>
    <t>Previous quarter</t>
  </si>
  <si>
    <t>Current quarter</t>
  </si>
  <si>
    <r>
      <rPr>
        <b/>
        <sz val="10"/>
        <rFont val="Arial"/>
        <family val="2"/>
      </rPr>
      <t xml:space="preserve">Future quarter </t>
    </r>
    <r>
      <rPr>
        <sz val="10"/>
        <rFont val="Arial"/>
        <family val="2"/>
      </rPr>
      <t>[not a part]</t>
    </r>
  </si>
  <si>
    <t>EGC submitted</t>
  </si>
  <si>
    <t>Supply sub total</t>
  </si>
  <si>
    <t>Transportation sub total</t>
  </si>
  <si>
    <t>Total sales in MCF</t>
  </si>
  <si>
    <t>/ specificed 12 mo sales</t>
  </si>
  <si>
    <t>Rolling 5-yr Average</t>
  </si>
  <si>
    <t>Albany sales in MCF</t>
  </si>
  <si>
    <t>Total Albany &amp; TN sales MCF</t>
  </si>
  <si>
    <t>Transportation Cost Invoices</t>
  </si>
  <si>
    <t>Enbridge</t>
  </si>
  <si>
    <t>B&amp;W Pipeline FERC tariff</t>
  </si>
  <si>
    <t>BradCo</t>
  </si>
  <si>
    <t>Combined</t>
  </si>
  <si>
    <t>n</t>
  </si>
  <si>
    <t>The Expected Gas Cost was not unified until September.</t>
  </si>
  <si>
    <t>Below is the data used to calculate blended EGC.</t>
  </si>
  <si>
    <t>2021-00308</t>
  </si>
  <si>
    <t>Not Used</t>
  </si>
  <si>
    <t>Petrol Johnson County</t>
  </si>
  <si>
    <t>TCE</t>
  </si>
  <si>
    <t>Diversified Engy Mrktg(B&amp;H)</t>
  </si>
  <si>
    <t>Diversified Engy Mrktg</t>
  </si>
  <si>
    <t>TC Energy/COLUMBIA GAS</t>
  </si>
  <si>
    <t>Residential</t>
  </si>
  <si>
    <t>Commercial</t>
  </si>
  <si>
    <t>Cumumlative</t>
  </si>
  <si>
    <t>Kinetrex</t>
  </si>
  <si>
    <t>LNG</t>
  </si>
  <si>
    <t>DTH</t>
  </si>
  <si>
    <t>CASE# 2022-00109</t>
  </si>
  <si>
    <t>CLINTON COUNTY</t>
  </si>
  <si>
    <t>Industrial</t>
  </si>
  <si>
    <t>Agricultural</t>
  </si>
  <si>
    <t>TOTAL</t>
  </si>
  <si>
    <t>FLOYD</t>
  </si>
  <si>
    <t>JOHNSON</t>
  </si>
  <si>
    <t>TOTAL PAST GCR COLLECTED</t>
  </si>
  <si>
    <t>PAST GCR</t>
  </si>
  <si>
    <t>Petrol ETGP</t>
  </si>
  <si>
    <t>SUBMIT INVOICES WITH GCR REPORTS</t>
  </si>
  <si>
    <t>2nd Previous quarter</t>
  </si>
  <si>
    <t>3rd Previous quarter</t>
  </si>
  <si>
    <t>Actual</t>
  </si>
  <si>
    <t>Average (5Y)</t>
  </si>
  <si>
    <t>Russmar</t>
  </si>
  <si>
    <t>PETROL J C</t>
  </si>
  <si>
    <t>First BA to be calculated next quarter</t>
  </si>
  <si>
    <t>Now have all four quarter of AAs</t>
  </si>
  <si>
    <t>Applied last GCA change to first billing after date of approval versus waiting for maturity of GCA to following month.</t>
  </si>
  <si>
    <t>SUBMIT USAGE REPORTS (BILL EDITS) WITH GCR REPORTS</t>
  </si>
  <si>
    <t>Review actual collections vs. billing figures input beginning 10/7/22</t>
  </si>
  <si>
    <t>Petrol (ETGP)</t>
  </si>
  <si>
    <t>LTM Petrol</t>
  </si>
  <si>
    <t>LTM Sparta</t>
  </si>
  <si>
    <t>LTM Clinton</t>
  </si>
  <si>
    <t>Petrol (TN&amp;KY)</t>
  </si>
  <si>
    <t>Sparta (TN&amp;KY)</t>
  </si>
  <si>
    <t>Total (KY only)</t>
  </si>
  <si>
    <t>LTM '22</t>
  </si>
  <si>
    <t>Floyd LTM '22</t>
  </si>
  <si>
    <t>LTM '23</t>
  </si>
  <si>
    <t>Johnson LTM '22</t>
  </si>
  <si>
    <t>KY LTM '22</t>
  </si>
  <si>
    <t>Anticipate the Johnson County Rider will expire soon.  We will send a letter as required when the time comes.</t>
  </si>
  <si>
    <t xml:space="preserve">Note </t>
  </si>
  <si>
    <t>First BA is calculated based on the residual from the first Actual Adjustment and divided by the 5 year average           Restate:</t>
  </si>
  <si>
    <r>
      <t xml:space="preserve">for </t>
    </r>
    <r>
      <rPr>
        <b/>
        <u/>
        <sz val="10"/>
        <rFont val="Arial"/>
        <family val="2"/>
      </rPr>
      <t>May</t>
    </r>
    <r>
      <rPr>
        <b/>
        <sz val="10"/>
        <rFont val="Arial"/>
        <family val="2"/>
      </rPr>
      <t xml:space="preserve"> 7, 2023 billing date</t>
    </r>
  </si>
  <si>
    <t>→</t>
  </si>
  <si>
    <t>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</si>
</sst>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[$-409]mmmmm;@"/>
    <numFmt numFmtId="166" formatCode="0.0%"/>
    <numFmt numFmtId="167" formatCode="_(* #,##0_);_(* \(#,##0\);_(* &quot;-&quot;??_);_(@_)"/>
    <numFmt numFmtId="168" formatCode="[$-409]mmm\-yy;@"/>
    <numFmt numFmtId="169" formatCode="[$-409]d\-mmm;@"/>
    <numFmt numFmtId="170" formatCode="_(* #,##0.0000_);_(* \(#,##0.0000\);_(* &quot;-&quot;??_);_(@_)"/>
    <numFmt numFmtId="171" formatCode="_(* #,##0.0000_);_(* \(#,##0.0000\);_(* &quot;-&quot;????_);_(@_)"/>
    <numFmt numFmtId="172" formatCode="0.0000"/>
    <numFmt numFmtId="173" formatCode="_(&quot;$&quot;* #,##0_);_(&quot;$&quot;* \(#,##0\);_(&quot;$&quot;* &quot;-&quot;??_);_(@_)"/>
    <numFmt numFmtId="174" formatCode="_(&quot;$&quot;* #,##0.0000_);_(&quot;$&quot;* \(#,##0.0000\);_(&quot;$&quot;* &quot;-&quot;??_);_(@_)"/>
    <numFmt numFmtId="175" formatCode="_(&quot;$&quot;* #,##0.0000_);_(&quot;$&quot;* \(#,##0.0000\);_(&quot;$&quot;* &quot;-&quot;????_);_(@_)"/>
    <numFmt numFmtId="176" formatCode="_(* #,##0.00_);_(* \(#,##0.00\);_(* &quot;-&quot;_);_(@_)"/>
    <numFmt numFmtId="177" formatCode="_(* #,##0_);_(* \(#,##0\);_(* &quot;-&quot;????_);_(@_)"/>
    <numFmt numFmtId="178" formatCode="&quot;$&quot;#,##0.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strike/>
      <sz val="10"/>
      <name val="Arial"/>
      <family val="2"/>
    </font>
    <font>
      <sz val="20"/>
      <color rgb="FFFF0000"/>
      <name val="Arial"/>
      <family val="2"/>
    </font>
    <font>
      <strike/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1"/>
      <color rgb="FF9C0006"/>
      <name val="Calibri"/>
      <family val="2"/>
      <scheme val="minor"/>
    </font>
    <font>
      <sz val="10"/>
      <name val="Calibri"/>
      <family val="2"/>
    </font>
    <font>
      <b/>
      <sz val="2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13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8" borderId="0" applyNumberFormat="0" applyBorder="0" applyAlignment="0" applyProtection="0"/>
  </cellStyleXfs>
  <cellXfs count="220">
    <xf numFmtId="0" fontId="0" fillId="0" borderId="0" xfId="0"/>
    <xf numFmtId="0" fontId="4" fillId="0" borderId="0" xfId="0" applyFont="1"/>
    <xf numFmtId="164" fontId="4" fillId="0" borderId="0" xfId="0" applyNumberFormat="1" applyFont="1"/>
    <xf numFmtId="164" fontId="0" fillId="0" borderId="0" xfId="0" applyNumberFormat="1"/>
    <xf numFmtId="165" fontId="0" fillId="0" borderId="0" xfId="0" applyNumberFormat="1"/>
    <xf numFmtId="164" fontId="4" fillId="0" borderId="0" xfId="0" applyNumberFormat="1" applyFont="1" applyAlignment="1">
      <alignment horizontal="center"/>
    </xf>
    <xf numFmtId="41" fontId="4" fillId="0" borderId="0" xfId="0" applyNumberFormat="1" applyFont="1"/>
    <xf numFmtId="41" fontId="0" fillId="0" borderId="0" xfId="0" applyNumberFormat="1"/>
    <xf numFmtId="166" fontId="0" fillId="0" borderId="0" xfId="2" applyNumberFormat="1" applyFont="1" applyBorder="1"/>
    <xf numFmtId="166" fontId="0" fillId="0" borderId="0" xfId="2" applyNumberFormat="1" applyFont="1" applyFill="1" applyBorder="1"/>
    <xf numFmtId="167" fontId="0" fillId="0" borderId="0" xfId="1" applyNumberFormat="1" applyFont="1" applyBorder="1"/>
    <xf numFmtId="0" fontId="0" fillId="0" borderId="1" xfId="0" applyBorder="1"/>
    <xf numFmtId="43" fontId="0" fillId="3" borderId="0" xfId="0" applyNumberFormat="1" applyFill="1"/>
    <xf numFmtId="0" fontId="4" fillId="0" borderId="0" xfId="0" applyFont="1" applyAlignment="1">
      <alignment horizontal="right"/>
    </xf>
    <xf numFmtId="43" fontId="0" fillId="0" borderId="0" xfId="0" applyNumberFormat="1"/>
    <xf numFmtId="170" fontId="0" fillId="3" borderId="0" xfId="0" applyNumberFormat="1" applyFill="1"/>
    <xf numFmtId="170" fontId="0" fillId="0" borderId="0" xfId="0" applyNumberFormat="1"/>
    <xf numFmtId="0" fontId="6" fillId="0" borderId="0" xfId="0" applyFont="1" applyAlignment="1">
      <alignment horizontal="right"/>
    </xf>
    <xf numFmtId="43" fontId="4" fillId="0" borderId="0" xfId="0" applyNumberFormat="1" applyFont="1"/>
    <xf numFmtId="0" fontId="4" fillId="0" borderId="0" xfId="3"/>
    <xf numFmtId="0" fontId="7" fillId="0" borderId="0" xfId="0" applyFont="1"/>
    <xf numFmtId="9" fontId="0" fillId="3" borderId="0" xfId="2" applyFont="1" applyFill="1"/>
    <xf numFmtId="0" fontId="7" fillId="0" borderId="0" xfId="3" applyFont="1"/>
    <xf numFmtId="43" fontId="8" fillId="0" borderId="0" xfId="0" applyNumberFormat="1" applyFont="1"/>
    <xf numFmtId="0" fontId="7" fillId="0" borderId="0" xfId="0" applyFont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0" fillId="0" borderId="0" xfId="0" applyAlignment="1">
      <alignment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3" xfId="0" applyFont="1" applyBorder="1" applyAlignment="1">
      <alignment horizontal="center"/>
    </xf>
    <xf numFmtId="0" fontId="0" fillId="0" borderId="2" xfId="0" applyBorder="1"/>
    <xf numFmtId="16" fontId="0" fillId="0" borderId="2" xfId="0" applyNumberFormat="1" applyBorder="1" applyAlignment="1">
      <alignment horizontal="center"/>
    </xf>
    <xf numFmtId="0" fontId="4" fillId="0" borderId="2" xfId="0" applyFont="1" applyBorder="1"/>
    <xf numFmtId="16" fontId="0" fillId="0" borderId="4" xfId="0" applyNumberForma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5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6" xfId="0" applyNumberForma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" fontId="4" fillId="0" borderId="0" xfId="0" applyNumberFormat="1" applyFont="1"/>
    <xf numFmtId="172" fontId="4" fillId="0" borderId="0" xfId="0" applyNumberFormat="1" applyFont="1"/>
    <xf numFmtId="3" fontId="4" fillId="0" borderId="0" xfId="0" applyNumberFormat="1" applyFont="1"/>
    <xf numFmtId="2" fontId="4" fillId="0" borderId="0" xfId="0" applyNumberFormat="1" applyFont="1"/>
    <xf numFmtId="1" fontId="6" fillId="0" borderId="0" xfId="0" applyNumberFormat="1" applyFont="1"/>
    <xf numFmtId="41" fontId="6" fillId="0" borderId="0" xfId="0" applyNumberFormat="1" applyFont="1"/>
    <xf numFmtId="3" fontId="6" fillId="0" borderId="0" xfId="0" applyNumberFormat="1" applyFont="1"/>
    <xf numFmtId="2" fontId="6" fillId="0" borderId="0" xfId="0" applyNumberFormat="1" applyFont="1"/>
    <xf numFmtId="43" fontId="6" fillId="0" borderId="0" xfId="0" applyNumberFormat="1" applyFont="1"/>
    <xf numFmtId="172" fontId="6" fillId="0" borderId="0" xfId="0" applyNumberFormat="1" applyFont="1"/>
    <xf numFmtId="171" fontId="4" fillId="0" borderId="0" xfId="0" applyNumberFormat="1" applyFont="1"/>
    <xf numFmtId="17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71" fontId="6" fillId="0" borderId="0" xfId="0" applyNumberFormat="1" applyFont="1"/>
    <xf numFmtId="166" fontId="4" fillId="0" borderId="0" xfId="2" applyNumberFormat="1" applyFont="1" applyFill="1" applyBorder="1"/>
    <xf numFmtId="43" fontId="4" fillId="0" borderId="9" xfId="0" applyNumberFormat="1" applyFont="1" applyBorder="1"/>
    <xf numFmtId="167" fontId="4" fillId="0" borderId="0" xfId="0" applyNumberFormat="1" applyFont="1"/>
    <xf numFmtId="170" fontId="4" fillId="0" borderId="0" xfId="0" applyNumberFormat="1" applyFont="1"/>
    <xf numFmtId="173" fontId="4" fillId="0" borderId="0" xfId="0" applyNumberFormat="1" applyFont="1"/>
    <xf numFmtId="174" fontId="4" fillId="0" borderId="0" xfId="5" applyNumberFormat="1" applyFont="1" applyFill="1" applyBorder="1"/>
    <xf numFmtId="44" fontId="6" fillId="0" borderId="0" xfId="0" applyNumberFormat="1" applyFont="1"/>
    <xf numFmtId="0" fontId="4" fillId="0" borderId="0" xfId="0" quotePrefix="1" applyFont="1"/>
    <xf numFmtId="0" fontId="4" fillId="0" borderId="6" xfId="0" quotePrefix="1" applyFont="1" applyBorder="1" applyAlignment="1">
      <alignment horizontal="right"/>
    </xf>
    <xf numFmtId="0" fontId="0" fillId="0" borderId="10" xfId="0" applyBorder="1"/>
    <xf numFmtId="0" fontId="4" fillId="0" borderId="10" xfId="0" applyFont="1" applyBorder="1"/>
    <xf numFmtId="0" fontId="4" fillId="0" borderId="0" xfId="0" quotePrefix="1" applyFont="1" applyAlignment="1">
      <alignment horizontal="right"/>
    </xf>
    <xf numFmtId="168" fontId="0" fillId="0" borderId="0" xfId="0" applyNumberFormat="1"/>
    <xf numFmtId="168" fontId="0" fillId="0" borderId="6" xfId="0" applyNumberFormat="1" applyBorder="1"/>
    <xf numFmtId="168" fontId="4" fillId="0" borderId="6" xfId="0" applyNumberFormat="1" applyFont="1" applyBorder="1"/>
    <xf numFmtId="168" fontId="0" fillId="0" borderId="10" xfId="0" applyNumberFormat="1" applyBorder="1"/>
    <xf numFmtId="168" fontId="4" fillId="0" borderId="0" xfId="0" applyNumberFormat="1" applyFont="1"/>
    <xf numFmtId="41" fontId="6" fillId="5" borderId="6" xfId="0" applyNumberFormat="1" applyFont="1" applyFill="1" applyBorder="1"/>
    <xf numFmtId="41" fontId="6" fillId="5" borderId="0" xfId="0" applyNumberFormat="1" applyFont="1" applyFill="1"/>
    <xf numFmtId="0" fontId="0" fillId="0" borderId="6" xfId="0" applyBorder="1"/>
    <xf numFmtId="170" fontId="0" fillId="0" borderId="6" xfId="0" applyNumberFormat="1" applyBorder="1"/>
    <xf numFmtId="170" fontId="0" fillId="0" borderId="4" xfId="0" applyNumberFormat="1" applyBorder="1"/>
    <xf numFmtId="170" fontId="0" fillId="0" borderId="2" xfId="0" applyNumberFormat="1" applyBorder="1"/>
    <xf numFmtId="170" fontId="0" fillId="0" borderId="8" xfId="0" applyNumberFormat="1" applyBorder="1"/>
    <xf numFmtId="170" fontId="0" fillId="5" borderId="0" xfId="0" applyNumberFormat="1" applyFill="1"/>
    <xf numFmtId="170" fontId="0" fillId="3" borderId="6" xfId="0" applyNumberFormat="1" applyFill="1" applyBorder="1"/>
    <xf numFmtId="170" fontId="0" fillId="0" borderId="10" xfId="0" applyNumberFormat="1" applyBorder="1"/>
    <xf numFmtId="43" fontId="0" fillId="5" borderId="6" xfId="0" applyNumberFormat="1" applyFill="1" applyBorder="1"/>
    <xf numFmtId="43" fontId="0" fillId="3" borderId="6" xfId="0" applyNumberFormat="1" applyFill="1" applyBorder="1"/>
    <xf numFmtId="43" fontId="0" fillId="0" borderId="10" xfId="0" applyNumberFormat="1" applyBorder="1"/>
    <xf numFmtId="43" fontId="0" fillId="6" borderId="6" xfId="0" applyNumberFormat="1" applyFill="1" applyBorder="1"/>
    <xf numFmtId="43" fontId="0" fillId="7" borderId="6" xfId="0" applyNumberFormat="1" applyFill="1" applyBorder="1"/>
    <xf numFmtId="43" fontId="0" fillId="0" borderId="6" xfId="0" applyNumberFormat="1" applyBorder="1"/>
    <xf numFmtId="170" fontId="4" fillId="0" borderId="6" xfId="0" applyNumberFormat="1" applyFont="1" applyBorder="1"/>
    <xf numFmtId="170" fontId="4" fillId="8" borderId="3" xfId="0" applyNumberFormat="1" applyFont="1" applyFill="1" applyBorder="1"/>
    <xf numFmtId="172" fontId="0" fillId="0" borderId="0" xfId="0" applyNumberFormat="1"/>
    <xf numFmtId="170" fontId="0" fillId="0" borderId="1" xfId="0" applyNumberFormat="1" applyBorder="1"/>
    <xf numFmtId="175" fontId="0" fillId="3" borderId="0" xfId="0" applyNumberFormat="1" applyFill="1"/>
    <xf numFmtId="0" fontId="0" fillId="0" borderId="11" xfId="0" applyBorder="1"/>
    <xf numFmtId="173" fontId="0" fillId="5" borderId="0" xfId="0" applyNumberFormat="1" applyFill="1"/>
    <xf numFmtId="3" fontId="0" fillId="5" borderId="1" xfId="0" applyNumberFormat="1" applyFill="1" applyBorder="1"/>
    <xf numFmtId="174" fontId="0" fillId="3" borderId="0" xfId="0" applyNumberFormat="1" applyFill="1"/>
    <xf numFmtId="171" fontId="0" fillId="5" borderId="0" xfId="0" applyNumberFormat="1" applyFill="1"/>
    <xf numFmtId="174" fontId="0" fillId="3" borderId="2" xfId="0" applyNumberFormat="1" applyFill="1" applyBorder="1"/>
    <xf numFmtId="41" fontId="5" fillId="0" borderId="0" xfId="0" applyNumberFormat="1" applyFont="1"/>
    <xf numFmtId="43" fontId="4" fillId="10" borderId="0" xfId="0" applyNumberFormat="1" applyFont="1" applyFill="1"/>
    <xf numFmtId="43" fontId="4" fillId="10" borderId="2" xfId="0" applyNumberFormat="1" applyFont="1" applyFill="1" applyBorder="1"/>
    <xf numFmtId="171" fontId="4" fillId="11" borderId="0" xfId="0" applyNumberFormat="1" applyFont="1" applyFill="1"/>
    <xf numFmtId="171" fontId="4" fillId="10" borderId="0" xfId="0" applyNumberFormat="1" applyFont="1" applyFill="1"/>
    <xf numFmtId="41" fontId="4" fillId="10" borderId="0" xfId="0" applyNumberFormat="1" applyFont="1" applyFill="1"/>
    <xf numFmtId="167" fontId="4" fillId="10" borderId="2" xfId="0" applyNumberFormat="1" applyFont="1" applyFill="1" applyBorder="1"/>
    <xf numFmtId="41" fontId="4" fillId="10" borderId="1" xfId="0" applyNumberFormat="1" applyFont="1" applyFill="1" applyBorder="1"/>
    <xf numFmtId="164" fontId="4" fillId="0" borderId="0" xfId="3" applyNumberFormat="1"/>
    <xf numFmtId="165" fontId="4" fillId="0" borderId="0" xfId="3" applyNumberFormat="1"/>
    <xf numFmtId="41" fontId="4" fillId="0" borderId="0" xfId="3" applyNumberFormat="1"/>
    <xf numFmtId="176" fontId="4" fillId="0" borderId="0" xfId="3" applyNumberFormat="1"/>
    <xf numFmtId="166" fontId="0" fillId="0" borderId="0" xfId="2" applyNumberFormat="1" applyFont="1" applyFill="1"/>
    <xf numFmtId="166" fontId="0" fillId="0" borderId="0" xfId="2" applyNumberFormat="1" applyFont="1"/>
    <xf numFmtId="166" fontId="4" fillId="0" borderId="0" xfId="2" applyNumberFormat="1" applyFont="1" applyFill="1"/>
    <xf numFmtId="0" fontId="4" fillId="0" borderId="0" xfId="3" applyAlignment="1">
      <alignment horizontal="right"/>
    </xf>
    <xf numFmtId="0" fontId="4" fillId="0" borderId="0" xfId="3" applyAlignment="1">
      <alignment horizontal="center"/>
    </xf>
    <xf numFmtId="171" fontId="4" fillId="0" borderId="0" xfId="3" applyNumberFormat="1"/>
    <xf numFmtId="0" fontId="4" fillId="0" borderId="1" xfId="3" applyBorder="1"/>
    <xf numFmtId="0" fontId="4" fillId="0" borderId="1" xfId="3" applyBorder="1" applyAlignment="1">
      <alignment horizontal="center"/>
    </xf>
    <xf numFmtId="171" fontId="4" fillId="0" borderId="1" xfId="3" applyNumberFormat="1" applyBorder="1"/>
    <xf numFmtId="175" fontId="4" fillId="0" borderId="0" xfId="3" applyNumberFormat="1"/>
    <xf numFmtId="0" fontId="4" fillId="0" borderId="0" xfId="3" quotePrefix="1" applyAlignment="1">
      <alignment horizontal="center"/>
    </xf>
    <xf numFmtId="177" fontId="4" fillId="0" borderId="0" xfId="3" applyNumberFormat="1"/>
    <xf numFmtId="175" fontId="4" fillId="0" borderId="2" xfId="3" applyNumberFormat="1" applyBorder="1"/>
    <xf numFmtId="0" fontId="4" fillId="2" borderId="0" xfId="3" applyFill="1"/>
    <xf numFmtId="0" fontId="4" fillId="0" borderId="2" xfId="3" applyBorder="1" applyAlignment="1">
      <alignment horizontal="center"/>
    </xf>
    <xf numFmtId="168" fontId="4" fillId="0" borderId="0" xfId="3" applyNumberFormat="1" applyAlignment="1">
      <alignment horizontal="center"/>
    </xf>
    <xf numFmtId="168" fontId="4" fillId="0" borderId="0" xfId="3" applyNumberFormat="1" applyAlignment="1">
      <alignment horizontal="right"/>
    </xf>
    <xf numFmtId="168" fontId="4" fillId="2" borderId="0" xfId="3" applyNumberFormat="1" applyFill="1" applyAlignment="1">
      <alignment horizontal="center"/>
    </xf>
    <xf numFmtId="169" fontId="4" fillId="0" borderId="0" xfId="3" applyNumberFormat="1" applyAlignment="1">
      <alignment horizontal="center"/>
    </xf>
    <xf numFmtId="43" fontId="4" fillId="3" borderId="0" xfId="3" applyNumberFormat="1" applyFill="1"/>
    <xf numFmtId="43" fontId="4" fillId="3" borderId="2" xfId="3" applyNumberFormat="1" applyFill="1" applyBorder="1"/>
    <xf numFmtId="43" fontId="4" fillId="0" borderId="0" xfId="3" applyNumberFormat="1"/>
    <xf numFmtId="169" fontId="4" fillId="0" borderId="11" xfId="3" applyNumberFormat="1" applyBorder="1" applyAlignment="1">
      <alignment horizontal="center"/>
    </xf>
    <xf numFmtId="167" fontId="4" fillId="4" borderId="0" xfId="3" applyNumberFormat="1" applyFill="1"/>
    <xf numFmtId="170" fontId="4" fillId="3" borderId="0" xfId="3" applyNumberFormat="1" applyFill="1"/>
    <xf numFmtId="170" fontId="4" fillId="0" borderId="0" xfId="3" applyNumberFormat="1"/>
    <xf numFmtId="170" fontId="4" fillId="9" borderId="1" xfId="3" applyNumberFormat="1" applyFill="1" applyBorder="1"/>
    <xf numFmtId="3" fontId="4" fillId="5" borderId="0" xfId="3" applyNumberFormat="1" applyFill="1"/>
    <xf numFmtId="0" fontId="6" fillId="0" borderId="0" xfId="3" applyFont="1" applyAlignment="1">
      <alignment horizontal="right"/>
    </xf>
    <xf numFmtId="170" fontId="6" fillId="8" borderId="0" xfId="3" applyNumberFormat="1" applyFont="1" applyFill="1"/>
    <xf numFmtId="170" fontId="6" fillId="0" borderId="0" xfId="3" applyNumberFormat="1" applyFont="1"/>
    <xf numFmtId="0" fontId="6" fillId="0" borderId="0" xfId="3" applyFont="1"/>
    <xf numFmtId="167" fontId="7" fillId="9" borderId="0" xfId="3" applyNumberFormat="1" applyFont="1" applyFill="1"/>
    <xf numFmtId="3" fontId="4" fillId="0" borderId="0" xfId="3" applyNumberFormat="1"/>
    <xf numFmtId="167" fontId="7" fillId="5" borderId="0" xfId="3" applyNumberFormat="1" applyFont="1" applyFill="1"/>
    <xf numFmtId="167" fontId="4" fillId="3" borderId="2" xfId="3" applyNumberFormat="1" applyFill="1" applyBorder="1"/>
    <xf numFmtId="167" fontId="7" fillId="0" borderId="0" xfId="3" applyNumberFormat="1" applyFont="1"/>
    <xf numFmtId="44" fontId="4" fillId="9" borderId="0" xfId="3" applyNumberFormat="1" applyFill="1"/>
    <xf numFmtId="43" fontId="8" fillId="0" borderId="0" xfId="3" applyNumberFormat="1" applyFont="1"/>
    <xf numFmtId="43" fontId="4" fillId="3" borderId="12" xfId="3" applyNumberFormat="1" applyFill="1" applyBorder="1"/>
    <xf numFmtId="0" fontId="4" fillId="0" borderId="0" xfId="3" applyAlignment="1">
      <alignment horizontal="left"/>
    </xf>
    <xf numFmtId="0" fontId="7" fillId="0" borderId="1" xfId="0" applyFont="1" applyBorder="1"/>
    <xf numFmtId="170" fontId="7" fillId="5" borderId="0" xfId="0" applyNumberFormat="1" applyFont="1" applyFill="1"/>
    <xf numFmtId="0" fontId="7" fillId="0" borderId="0" xfId="0" quotePrefix="1" applyFont="1"/>
    <xf numFmtId="170" fontId="7" fillId="0" borderId="1" xfId="0" applyNumberFormat="1" applyFont="1" applyBorder="1"/>
    <xf numFmtId="175" fontId="7" fillId="3" borderId="0" xfId="0" applyNumberFormat="1" applyFont="1" applyFill="1"/>
    <xf numFmtId="170" fontId="0" fillId="5" borderId="1" xfId="0" applyNumberFormat="1" applyFill="1" applyBorder="1"/>
    <xf numFmtId="44" fontId="4" fillId="11" borderId="0" xfId="3" applyNumberFormat="1" applyFill="1"/>
    <xf numFmtId="43" fontId="8" fillId="11" borderId="0" xfId="0" applyNumberFormat="1" applyFont="1" applyFill="1"/>
    <xf numFmtId="43" fontId="11" fillId="11" borderId="0" xfId="4" applyFont="1" applyFill="1"/>
    <xf numFmtId="170" fontId="4" fillId="11" borderId="1" xfId="3" applyNumberFormat="1" applyFill="1" applyBorder="1"/>
    <xf numFmtId="41" fontId="4" fillId="11" borderId="0" xfId="3" applyNumberFormat="1" applyFill="1"/>
    <xf numFmtId="166" fontId="4" fillId="0" borderId="0" xfId="2" applyNumberFormat="1"/>
    <xf numFmtId="170" fontId="4" fillId="12" borderId="1" xfId="3" applyNumberFormat="1" applyFill="1" applyBorder="1"/>
    <xf numFmtId="0" fontId="4" fillId="12" borderId="0" xfId="3" applyFill="1"/>
    <xf numFmtId="41" fontId="4" fillId="12" borderId="0" xfId="3" applyNumberFormat="1" applyFill="1"/>
    <xf numFmtId="41" fontId="4" fillId="12" borderId="2" xfId="3" applyNumberFormat="1" applyFill="1" applyBorder="1"/>
    <xf numFmtId="9" fontId="4" fillId="0" borderId="0" xfId="2"/>
    <xf numFmtId="41" fontId="4" fillId="5" borderId="0" xfId="0" applyNumberFormat="1" applyFont="1" applyFill="1"/>
    <xf numFmtId="171" fontId="4" fillId="10" borderId="0" xfId="3" applyNumberFormat="1" applyFill="1"/>
    <xf numFmtId="175" fontId="4" fillId="10" borderId="0" xfId="3" applyNumberFormat="1" applyFill="1"/>
    <xf numFmtId="175" fontId="4" fillId="11" borderId="0" xfId="3" applyNumberFormat="1" applyFill="1"/>
    <xf numFmtId="177" fontId="4" fillId="11" borderId="0" xfId="3" applyNumberFormat="1" applyFill="1"/>
    <xf numFmtId="175" fontId="4" fillId="10" borderId="2" xfId="3" applyNumberFormat="1" applyFill="1" applyBorder="1"/>
    <xf numFmtId="170" fontId="3" fillId="13" borderId="1" xfId="6" applyNumberFormat="1" applyBorder="1"/>
    <xf numFmtId="44" fontId="4" fillId="0" borderId="0" xfId="3" applyNumberFormat="1"/>
    <xf numFmtId="0" fontId="12" fillId="0" borderId="0" xfId="0" applyFont="1"/>
    <xf numFmtId="44" fontId="6" fillId="0" borderId="0" xfId="3" applyNumberFormat="1" applyFont="1"/>
    <xf numFmtId="39" fontId="4" fillId="11" borderId="0" xfId="3" applyNumberFormat="1" applyFill="1"/>
    <xf numFmtId="0" fontId="6" fillId="0" borderId="1" xfId="3" applyFont="1" applyBorder="1" applyAlignment="1">
      <alignment horizontal="center"/>
    </xf>
    <xf numFmtId="37" fontId="4" fillId="11" borderId="0" xfId="3" applyNumberFormat="1" applyFill="1"/>
    <xf numFmtId="0" fontId="12" fillId="0" borderId="0" xfId="3" applyFont="1"/>
    <xf numFmtId="0" fontId="0" fillId="0" borderId="0" xfId="0" applyAlignment="1">
      <alignment horizontal="right"/>
    </xf>
    <xf numFmtId="0" fontId="0" fillId="14" borderId="0" xfId="0" applyFill="1"/>
    <xf numFmtId="4" fontId="0" fillId="0" borderId="0" xfId="0" applyNumberFormat="1"/>
    <xf numFmtId="4" fontId="6" fillId="0" borderId="0" xfId="0" applyNumberFormat="1" applyFont="1"/>
    <xf numFmtId="4" fontId="0" fillId="14" borderId="0" xfId="0" applyNumberFormat="1" applyFill="1"/>
    <xf numFmtId="1" fontId="0" fillId="0" borderId="0" xfId="0" applyNumberFormat="1"/>
    <xf numFmtId="0" fontId="13" fillId="0" borderId="0" xfId="0" applyFont="1"/>
    <xf numFmtId="170" fontId="0" fillId="3" borderId="13" xfId="0" applyNumberFormat="1" applyFill="1" applyBorder="1"/>
    <xf numFmtId="0" fontId="0" fillId="15" borderId="0" xfId="0" applyFill="1"/>
    <xf numFmtId="43" fontId="0" fillId="5" borderId="0" xfId="0" applyNumberFormat="1" applyFill="1"/>
    <xf numFmtId="167" fontId="0" fillId="0" borderId="0" xfId="0" applyNumberFormat="1"/>
    <xf numFmtId="4" fontId="5" fillId="11" borderId="0" xfId="0" applyNumberFormat="1" applyFont="1" applyFill="1"/>
    <xf numFmtId="4" fontId="0" fillId="11" borderId="0" xfId="0" applyNumberFormat="1" applyFill="1"/>
    <xf numFmtId="4" fontId="6" fillId="10" borderId="0" xfId="0" applyNumberFormat="1" applyFont="1" applyFill="1"/>
    <xf numFmtId="4" fontId="0" fillId="10" borderId="0" xfId="0" applyNumberFormat="1" applyFill="1"/>
    <xf numFmtId="0" fontId="2" fillId="16" borderId="0" xfId="7"/>
    <xf numFmtId="41" fontId="2" fillId="16" borderId="0" xfId="7" applyNumberFormat="1"/>
    <xf numFmtId="0" fontId="14" fillId="16" borderId="0" xfId="7" applyFont="1"/>
    <xf numFmtId="0" fontId="3" fillId="13" borderId="0" xfId="6"/>
    <xf numFmtId="0" fontId="1" fillId="17" borderId="0" xfId="8"/>
    <xf numFmtId="168" fontId="1" fillId="17" borderId="0" xfId="8" applyNumberFormat="1" applyAlignment="1">
      <alignment horizontal="center"/>
    </xf>
    <xf numFmtId="166" fontId="4" fillId="0" borderId="0" xfId="3" applyNumberFormat="1"/>
    <xf numFmtId="178" fontId="3" fillId="13" borderId="0" xfId="6" applyNumberFormat="1"/>
    <xf numFmtId="44" fontId="16" fillId="18" borderId="0" xfId="9" applyNumberFormat="1"/>
    <xf numFmtId="14" fontId="0" fillId="0" borderId="0" xfId="0" applyNumberFormat="1"/>
    <xf numFmtId="0" fontId="4" fillId="19" borderId="0" xfId="3" applyFill="1"/>
    <xf numFmtId="41" fontId="4" fillId="19" borderId="0" xfId="3" applyNumberFormat="1" applyFill="1"/>
    <xf numFmtId="0" fontId="4" fillId="19" borderId="0" xfId="3" applyFill="1" applyAlignment="1">
      <alignment horizontal="right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right"/>
    </xf>
  </cellXfs>
  <cellStyles count="10">
    <cellStyle name="20% - Accent3" xfId="7" builtinId="38"/>
    <cellStyle name="40% - Accent3" xfId="8" builtinId="39"/>
    <cellStyle name="40% - Accent6" xfId="6" builtinId="51"/>
    <cellStyle name="Bad" xfId="9" builtinId="27"/>
    <cellStyle name="Comma" xfId="1" builtinId="3"/>
    <cellStyle name="Comma 2" xfId="4" xr:uid="{8604DFA5-D312-4E28-BCF3-322CE8851A21}"/>
    <cellStyle name="Currency 2" xfId="5" xr:uid="{6C8C2E4D-8C13-4506-98F2-011D561D4D7B}"/>
    <cellStyle name="Normal" xfId="0" builtinId="0"/>
    <cellStyle name="Normal 2" xfId="3" xr:uid="{89C10613-3759-47B0-8D66-7C9A2A83F396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23</xdr:row>
      <xdr:rowOff>0</xdr:rowOff>
    </xdr:from>
    <xdr:to>
      <xdr:col>21</xdr:col>
      <xdr:colOff>619352</xdr:colOff>
      <xdr:row>28</xdr:row>
      <xdr:rowOff>95383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BB7D00-2589-63C7-CC82-EE40F7ED6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58150" y="4210050"/>
          <a:ext cx="1629002" cy="952633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23</xdr:row>
      <xdr:rowOff>0</xdr:rowOff>
    </xdr:from>
    <xdr:to>
      <xdr:col>24</xdr:col>
      <xdr:colOff>266846</xdr:colOff>
      <xdr:row>28</xdr:row>
      <xdr:rowOff>28699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5A7B2E-F48E-5521-F858-E5160F61D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63150" y="4210050"/>
          <a:ext cx="1047896" cy="885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904A8-F055-42C6-BC21-5F74F8E42DCD}">
  <dimension ref="A2:Z43"/>
  <sheetViews>
    <sheetView topLeftCell="A16" zoomScaleNormal="100" workbookViewId="0">
      <selection activeCell="Z27" sqref="Z27"/>
    </sheetView>
  </sheetViews>
  <sheetFormatPr defaultRowHeight="12.75" x14ac:dyDescent="0.2"/>
  <cols>
    <col min="1" max="1" width="1.7109375" customWidth="1"/>
    <col min="2" max="2" width="11.7109375" customWidth="1"/>
    <col min="3" max="3" width="1.7109375" customWidth="1"/>
    <col min="4" max="4" width="11.7109375" customWidth="1"/>
    <col min="5" max="5" width="1.7109375" customWidth="1"/>
    <col min="6" max="6" width="11.7109375" customWidth="1"/>
    <col min="7" max="7" width="1.7109375" customWidth="1"/>
    <col min="8" max="8" width="11.7109375" customWidth="1"/>
    <col min="9" max="9" width="1.7109375" customWidth="1"/>
    <col min="10" max="10" width="11.7109375" customWidth="1"/>
    <col min="11" max="11" width="1.7109375" customWidth="1"/>
    <col min="12" max="12" width="11.7109375" customWidth="1"/>
    <col min="13" max="13" width="1.7109375" customWidth="1"/>
    <col min="14" max="14" width="11.7109375" customWidth="1"/>
    <col min="15" max="15" width="1.7109375" customWidth="1"/>
    <col min="16" max="16" width="11.7109375" customWidth="1"/>
    <col min="17" max="17" width="1.7109375" customWidth="1"/>
    <col min="18" max="18" width="11.7109375" customWidth="1"/>
    <col min="19" max="19" width="1.7109375" customWidth="1"/>
    <col min="20" max="20" width="11.7109375" customWidth="1"/>
    <col min="21" max="21" width="1.7109375" customWidth="1"/>
    <col min="22" max="22" width="11.7109375" customWidth="1"/>
    <col min="23" max="23" width="1.7109375" customWidth="1"/>
    <col min="24" max="24" width="11.7109375" customWidth="1"/>
    <col min="25" max="25" width="4.85546875" customWidth="1"/>
    <col min="26" max="26" width="11.7109375" customWidth="1"/>
    <col min="27" max="27" width="1.7109375" customWidth="1"/>
  </cols>
  <sheetData>
    <row r="2" spans="1:12" s="27" customFormat="1" ht="51" x14ac:dyDescent="0.2">
      <c r="B2" s="28" t="s">
        <v>31</v>
      </c>
      <c r="C2" s="29"/>
      <c r="D2" s="28" t="s">
        <v>32</v>
      </c>
      <c r="E2" s="29"/>
      <c r="F2" s="28" t="s">
        <v>33</v>
      </c>
      <c r="G2" s="29"/>
      <c r="H2" s="28" t="s">
        <v>34</v>
      </c>
    </row>
    <row r="3" spans="1:12" x14ac:dyDescent="0.2">
      <c r="B3" s="30" t="s">
        <v>44</v>
      </c>
      <c r="C3" s="31"/>
      <c r="D3" s="32">
        <v>40633</v>
      </c>
      <c r="E3" s="31"/>
      <c r="F3" s="33" t="s">
        <v>35</v>
      </c>
      <c r="G3" s="31"/>
      <c r="H3" s="34">
        <v>40664</v>
      </c>
      <c r="J3" s="44" t="s">
        <v>236</v>
      </c>
    </row>
    <row r="4" spans="1:12" x14ac:dyDescent="0.2">
      <c r="B4" s="35"/>
      <c r="D4" s="36"/>
      <c r="F4" s="1" t="s">
        <v>36</v>
      </c>
      <c r="H4" s="37"/>
    </row>
    <row r="5" spans="1:12" x14ac:dyDescent="0.2">
      <c r="B5" s="38"/>
      <c r="C5" s="11"/>
      <c r="D5" s="39"/>
      <c r="E5" s="11"/>
      <c r="F5" s="25" t="s">
        <v>37</v>
      </c>
      <c r="G5" s="11"/>
      <c r="H5" s="40"/>
    </row>
    <row r="6" spans="1:12" x14ac:dyDescent="0.2">
      <c r="B6" s="30"/>
      <c r="C6" s="31"/>
      <c r="D6" s="32">
        <v>40724</v>
      </c>
      <c r="E6" s="31"/>
      <c r="F6" s="33" t="s">
        <v>38</v>
      </c>
      <c r="G6" s="31"/>
      <c r="H6" s="34">
        <v>40756</v>
      </c>
    </row>
    <row r="7" spans="1:12" x14ac:dyDescent="0.2">
      <c r="B7" s="35"/>
      <c r="D7" s="36"/>
      <c r="F7" s="1" t="s">
        <v>39</v>
      </c>
      <c r="H7" s="37"/>
    </row>
    <row r="8" spans="1:12" x14ac:dyDescent="0.2">
      <c r="B8" s="38"/>
      <c r="C8" s="11"/>
      <c r="D8" s="39"/>
      <c r="E8" s="11"/>
      <c r="F8" s="25" t="s">
        <v>40</v>
      </c>
      <c r="G8" s="11"/>
      <c r="H8" s="40"/>
    </row>
    <row r="9" spans="1:12" x14ac:dyDescent="0.2">
      <c r="B9" s="30"/>
      <c r="C9" s="31"/>
      <c r="D9" s="32">
        <v>40816</v>
      </c>
      <c r="E9" s="31"/>
      <c r="F9" s="33" t="s">
        <v>41</v>
      </c>
      <c r="G9" s="31"/>
      <c r="H9" s="34">
        <v>40848</v>
      </c>
    </row>
    <row r="10" spans="1:12" x14ac:dyDescent="0.2">
      <c r="B10" s="35"/>
      <c r="D10" s="36"/>
      <c r="F10" s="1" t="s">
        <v>42</v>
      </c>
      <c r="H10" s="37"/>
    </row>
    <row r="11" spans="1:12" x14ac:dyDescent="0.2">
      <c r="B11" s="38"/>
      <c r="C11" s="11"/>
      <c r="D11" s="39"/>
      <c r="E11" s="11"/>
      <c r="F11" s="25" t="s">
        <v>43</v>
      </c>
      <c r="G11" s="11"/>
      <c r="H11" s="40"/>
    </row>
    <row r="12" spans="1:12" x14ac:dyDescent="0.2">
      <c r="B12" s="30"/>
      <c r="C12" s="31"/>
      <c r="D12" s="32">
        <v>40908</v>
      </c>
      <c r="E12" s="31"/>
      <c r="F12" s="33" t="s">
        <v>45</v>
      </c>
      <c r="G12" s="31"/>
      <c r="H12" s="34">
        <v>40575</v>
      </c>
      <c r="J12" s="1"/>
    </row>
    <row r="13" spans="1:12" x14ac:dyDescent="0.2">
      <c r="B13" s="41"/>
      <c r="D13" s="42"/>
      <c r="F13" s="1" t="s">
        <v>46</v>
      </c>
      <c r="H13" s="43"/>
    </row>
    <row r="14" spans="1:12" x14ac:dyDescent="0.2">
      <c r="B14" s="38"/>
      <c r="C14" s="11"/>
      <c r="D14" s="39"/>
      <c r="E14" s="11"/>
      <c r="F14" s="25" t="s">
        <v>47</v>
      </c>
      <c r="G14" s="11"/>
      <c r="H14" s="40"/>
    </row>
    <row r="16" spans="1:12" x14ac:dyDescent="0.2">
      <c r="A16" s="1" t="s">
        <v>48</v>
      </c>
      <c r="L16" s="217" t="s">
        <v>237</v>
      </c>
    </row>
    <row r="17" spans="2:26" x14ac:dyDescent="0.2">
      <c r="B17" s="1" t="s">
        <v>29</v>
      </c>
    </row>
    <row r="18" spans="2:26" x14ac:dyDescent="0.2">
      <c r="C18" s="1" t="s">
        <v>49</v>
      </c>
    </row>
    <row r="19" spans="2:26" x14ac:dyDescent="0.2">
      <c r="C19" s="1"/>
    </row>
    <row r="20" spans="2:26" x14ac:dyDescent="0.2">
      <c r="B20" t="s">
        <v>72</v>
      </c>
      <c r="C20" s="1"/>
    </row>
    <row r="21" spans="2:26" x14ac:dyDescent="0.2">
      <c r="C21" s="1" t="s">
        <v>49</v>
      </c>
    </row>
    <row r="22" spans="2:26" x14ac:dyDescent="0.2">
      <c r="C22" s="1"/>
    </row>
    <row r="23" spans="2:26" x14ac:dyDescent="0.2">
      <c r="B23" s="1" t="s">
        <v>50</v>
      </c>
      <c r="C23" s="1"/>
    </row>
    <row r="24" spans="2:26" x14ac:dyDescent="0.2">
      <c r="C24" s="1" t="s">
        <v>216</v>
      </c>
    </row>
    <row r="25" spans="2:26" x14ac:dyDescent="0.2">
      <c r="C25" s="1" t="s">
        <v>235</v>
      </c>
    </row>
    <row r="26" spans="2:26" ht="5.25" customHeight="1" x14ac:dyDescent="0.2">
      <c r="C26" s="1"/>
    </row>
    <row r="27" spans="2:26" ht="24" customHeight="1" x14ac:dyDescent="0.4">
      <c r="B27" s="1" t="s">
        <v>51</v>
      </c>
      <c r="R27" s="219" t="s">
        <v>237</v>
      </c>
      <c r="Z27" s="218" t="s">
        <v>238</v>
      </c>
    </row>
    <row r="28" spans="2:26" x14ac:dyDescent="0.2">
      <c r="C28" s="1" t="s">
        <v>217</v>
      </c>
    </row>
    <row r="29" spans="2:26" x14ac:dyDescent="0.2">
      <c r="C29" s="1" t="s">
        <v>218</v>
      </c>
    </row>
    <row r="30" spans="2:26" x14ac:dyDescent="0.2">
      <c r="C30" s="1"/>
    </row>
    <row r="31" spans="2:26" x14ac:dyDescent="0.2">
      <c r="B31" s="1" t="s">
        <v>52</v>
      </c>
    </row>
    <row r="32" spans="2:26" x14ac:dyDescent="0.2">
      <c r="B32" s="1"/>
      <c r="C32" t="s">
        <v>187</v>
      </c>
    </row>
    <row r="34" spans="2:3" x14ac:dyDescent="0.2">
      <c r="B34" s="1" t="s">
        <v>28</v>
      </c>
    </row>
    <row r="35" spans="2:3" x14ac:dyDescent="0.2">
      <c r="C35" s="1" t="s">
        <v>49</v>
      </c>
    </row>
    <row r="37" spans="2:3" x14ac:dyDescent="0.2">
      <c r="B37" s="1" t="s">
        <v>53</v>
      </c>
    </row>
    <row r="38" spans="2:3" x14ac:dyDescent="0.2">
      <c r="C38" s="1" t="s">
        <v>49</v>
      </c>
    </row>
    <row r="40" spans="2:3" x14ac:dyDescent="0.2">
      <c r="B40" s="1" t="s">
        <v>54</v>
      </c>
    </row>
    <row r="41" spans="2:3" x14ac:dyDescent="0.2">
      <c r="C41" s="1" t="s">
        <v>55</v>
      </c>
    </row>
    <row r="43" spans="2:3" x14ac:dyDescent="0.2">
      <c r="C43" s="1" t="s">
        <v>233</v>
      </c>
    </row>
  </sheetData>
  <pageMargins left="1" right="1" top="1.5" bottom="1.5" header="0.75" footer="0.5"/>
  <pageSetup orientation="portrait" r:id="rId1"/>
  <headerFooter>
    <oddHeader>&amp;L&amp;"Arial,Bold"Quarterly Report&amp;"Arial,Regular"
Gas cost recovery rate calculation&amp;R&amp;"Arial,Bold"Navitas KY NG, LLC</oddHeader>
    <oddFooter>&amp;CPage 1&amp;R&amp;D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84063-99F4-4899-B594-1EB0E985D140}">
  <dimension ref="A1:M41"/>
  <sheetViews>
    <sheetView zoomScale="90" zoomScaleNormal="90" workbookViewId="0">
      <selection activeCell="AB32" sqref="AB32"/>
    </sheetView>
  </sheetViews>
  <sheetFormatPr defaultRowHeight="12.75" x14ac:dyDescent="0.2"/>
  <cols>
    <col min="1" max="2" width="1.7109375" customWidth="1"/>
    <col min="3" max="3" width="20.7109375" customWidth="1"/>
    <col min="4" max="5" width="1.7109375" customWidth="1"/>
    <col min="6" max="6" width="12.7109375" customWidth="1"/>
    <col min="7" max="7" width="1.7109375" customWidth="1"/>
    <col min="8" max="8" width="12.7109375" customWidth="1"/>
    <col min="9" max="9" width="1.7109375" customWidth="1"/>
    <col min="10" max="10" width="12.7109375" customWidth="1"/>
    <col min="11" max="11" width="1.7109375" customWidth="1"/>
    <col min="12" max="12" width="17.140625" customWidth="1"/>
    <col min="13" max="13" width="1.7109375" customWidth="1"/>
    <col min="14" max="14" width="12.7109375" customWidth="1"/>
    <col min="15" max="15" width="1.7109375" customWidth="1"/>
    <col min="16" max="16" width="12.7109375" customWidth="1"/>
    <col min="17" max="17" width="1.7109375" customWidth="1"/>
    <col min="18" max="18" width="12.7109375" customWidth="1"/>
    <col min="19" max="19" width="1.7109375" customWidth="1"/>
    <col min="20" max="20" width="12.7109375" customWidth="1"/>
    <col min="21" max="21" width="1.7109375" customWidth="1"/>
    <col min="22" max="22" width="12.7109375" customWidth="1"/>
    <col min="23" max="23" width="1.7109375" customWidth="1"/>
    <col min="24" max="24" width="12.7109375" customWidth="1"/>
    <col min="25" max="25" width="1.7109375" customWidth="1"/>
  </cols>
  <sheetData>
    <row r="1" spans="1:13" x14ac:dyDescent="0.2">
      <c r="A1" s="25" t="s">
        <v>99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x14ac:dyDescent="0.2">
      <c r="B2" s="1" t="s">
        <v>100</v>
      </c>
      <c r="H2" s="13" t="s">
        <v>75</v>
      </c>
      <c r="J2" s="85">
        <f>J12</f>
        <v>8.9986902153088391</v>
      </c>
      <c r="L2" s="1"/>
    </row>
    <row r="3" spans="1:13" x14ac:dyDescent="0.2">
      <c r="A3" s="68" t="s">
        <v>77</v>
      </c>
      <c r="B3" s="1" t="s">
        <v>101</v>
      </c>
      <c r="H3" s="13" t="s">
        <v>75</v>
      </c>
      <c r="J3" s="85">
        <f>J20</f>
        <v>0</v>
      </c>
    </row>
    <row r="4" spans="1:13" ht="13.15" customHeight="1" x14ac:dyDescent="0.2">
      <c r="A4" s="68" t="s">
        <v>77</v>
      </c>
      <c r="B4" s="1" t="s">
        <v>102</v>
      </c>
      <c r="H4" s="13" t="s">
        <v>75</v>
      </c>
      <c r="J4" s="85">
        <f>J28</f>
        <v>-9.2631867381654076E-2</v>
      </c>
    </row>
    <row r="5" spans="1:13" x14ac:dyDescent="0.2">
      <c r="A5" s="68" t="s">
        <v>77</v>
      </c>
      <c r="B5" s="1" t="s">
        <v>103</v>
      </c>
      <c r="H5" s="13" t="s">
        <v>75</v>
      </c>
      <c r="J5" s="163">
        <f>J35</f>
        <v>7.8072894903028711E-2</v>
      </c>
    </row>
    <row r="6" spans="1:13" x14ac:dyDescent="0.2">
      <c r="A6" s="68" t="s">
        <v>104</v>
      </c>
      <c r="B6" s="1" t="s">
        <v>105</v>
      </c>
      <c r="H6" s="13" t="s">
        <v>75</v>
      </c>
      <c r="J6" s="98">
        <f>SUM(J2:J5)</f>
        <v>8.9841312428302142</v>
      </c>
      <c r="K6" s="1"/>
      <c r="L6" s="1"/>
    </row>
    <row r="7" spans="1:13" ht="6.6" customHeight="1" thickBot="1" x14ac:dyDescent="0.25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</row>
    <row r="8" spans="1:13" ht="6.6" customHeight="1" thickTop="1" x14ac:dyDescent="0.2"/>
    <row r="9" spans="1:13" x14ac:dyDescent="0.2">
      <c r="A9" s="25" t="s">
        <v>106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 x14ac:dyDescent="0.2">
      <c r="B10" s="1" t="s">
        <v>76</v>
      </c>
      <c r="J10" s="100">
        <f>'EGC (SII)'!L37</f>
        <v>691321.67618403677</v>
      </c>
    </row>
    <row r="11" spans="1:13" x14ac:dyDescent="0.2">
      <c r="A11" s="68" t="s">
        <v>107</v>
      </c>
      <c r="B11" s="1" t="s">
        <v>108</v>
      </c>
      <c r="H11" s="13" t="s">
        <v>61</v>
      </c>
      <c r="J11" s="101">
        <f>'EGC (SII)'!H29</f>
        <v>76824.699999999983</v>
      </c>
      <c r="L11" s="1"/>
    </row>
    <row r="12" spans="1:13" x14ac:dyDescent="0.2">
      <c r="C12" s="1" t="s">
        <v>28</v>
      </c>
      <c r="H12" s="13" t="s">
        <v>75</v>
      </c>
      <c r="J12" s="102">
        <f>J10/J11</f>
        <v>8.9986902153088391</v>
      </c>
      <c r="K12" s="1"/>
      <c r="L12" s="1"/>
    </row>
    <row r="13" spans="1:13" ht="13.15" customHeight="1" x14ac:dyDescent="0.2"/>
    <row r="14" spans="1:13" s="20" customFormat="1" ht="10.15" customHeight="1" x14ac:dyDescent="0.2">
      <c r="A14" s="158" t="s">
        <v>109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</row>
    <row r="15" spans="1:13" s="20" customFormat="1" ht="11.25" x14ac:dyDescent="0.2">
      <c r="B15" s="20" t="s">
        <v>110</v>
      </c>
      <c r="H15" s="24"/>
      <c r="J15" s="159"/>
    </row>
    <row r="16" spans="1:13" s="20" customFormat="1" ht="11.25" x14ac:dyDescent="0.2">
      <c r="A16" s="160" t="s">
        <v>77</v>
      </c>
      <c r="B16" s="20" t="s">
        <v>111</v>
      </c>
      <c r="H16" s="24"/>
      <c r="J16" s="159"/>
    </row>
    <row r="17" spans="1:13" s="20" customFormat="1" ht="11.25" x14ac:dyDescent="0.2">
      <c r="A17" s="160" t="s">
        <v>77</v>
      </c>
      <c r="B17" s="20" t="s">
        <v>112</v>
      </c>
      <c r="H17" s="24"/>
      <c r="J17" s="159"/>
    </row>
    <row r="18" spans="1:13" s="20" customFormat="1" ht="11.25" x14ac:dyDescent="0.2">
      <c r="A18" s="160" t="s">
        <v>77</v>
      </c>
      <c r="B18" s="20" t="s">
        <v>113</v>
      </c>
      <c r="H18" s="24"/>
      <c r="J18" s="159"/>
    </row>
    <row r="19" spans="1:13" s="20" customFormat="1" ht="11.25" x14ac:dyDescent="0.2">
      <c r="A19" s="160" t="s">
        <v>77</v>
      </c>
      <c r="B19" s="20" t="s">
        <v>114</v>
      </c>
      <c r="H19" s="24"/>
      <c r="J19" s="161"/>
    </row>
    <row r="20" spans="1:13" s="20" customFormat="1" ht="11.25" x14ac:dyDescent="0.2">
      <c r="A20" s="160" t="s">
        <v>104</v>
      </c>
      <c r="B20" s="20" t="s">
        <v>115</v>
      </c>
      <c r="H20" s="24"/>
      <c r="J20" s="162">
        <f>SUM(J15:J19)</f>
        <v>0</v>
      </c>
      <c r="L20" s="20" t="s">
        <v>116</v>
      </c>
    </row>
    <row r="21" spans="1:13" ht="13.15" customHeight="1" x14ac:dyDescent="0.2"/>
    <row r="22" spans="1:13" x14ac:dyDescent="0.2">
      <c r="A22" s="25" t="s">
        <v>117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x14ac:dyDescent="0.2">
      <c r="B23" s="1" t="s">
        <v>118</v>
      </c>
      <c r="H23" s="13" t="s">
        <v>75</v>
      </c>
      <c r="J23" s="85">
        <f>'Balance Adjustment (V)'!AS17</f>
        <v>-1.194731867381654</v>
      </c>
      <c r="K23" s="1"/>
      <c r="L23" s="1"/>
    </row>
    <row r="24" spans="1:13" x14ac:dyDescent="0.2">
      <c r="A24" s="68" t="s">
        <v>77</v>
      </c>
      <c r="B24" s="1" t="s">
        <v>97</v>
      </c>
      <c r="H24" s="13"/>
      <c r="J24" s="85">
        <f>'Balance Adjustment (V)'!AS16</f>
        <v>0.19839999999999999</v>
      </c>
    </row>
    <row r="25" spans="1:13" x14ac:dyDescent="0.2">
      <c r="A25" s="68" t="s">
        <v>77</v>
      </c>
      <c r="B25" s="1" t="s">
        <v>96</v>
      </c>
      <c r="H25" s="13"/>
      <c r="J25" s="85">
        <f>'Balance Adjustment (V)'!AS15</f>
        <v>0.439</v>
      </c>
    </row>
    <row r="26" spans="1:13" x14ac:dyDescent="0.2">
      <c r="A26" s="68" t="s">
        <v>77</v>
      </c>
      <c r="B26" s="1" t="s">
        <v>95</v>
      </c>
      <c r="H26" s="13"/>
      <c r="J26" s="85">
        <f>'Balance Adjustment (V)'!AS14</f>
        <v>0.4647</v>
      </c>
    </row>
    <row r="27" spans="1:13" x14ac:dyDescent="0.2">
      <c r="A27" s="68" t="s">
        <v>77</v>
      </c>
      <c r="B27" s="1" t="s">
        <v>114</v>
      </c>
      <c r="H27" s="13"/>
      <c r="J27" s="97"/>
    </row>
    <row r="28" spans="1:13" x14ac:dyDescent="0.2">
      <c r="A28" s="68" t="s">
        <v>104</v>
      </c>
      <c r="B28" s="1" t="s">
        <v>51</v>
      </c>
      <c r="H28" s="13" t="s">
        <v>75</v>
      </c>
      <c r="J28" s="98">
        <f>SUM(J23:J27)</f>
        <v>-9.2631867381654076E-2</v>
      </c>
      <c r="K28" s="1"/>
      <c r="L28" s="1"/>
    </row>
    <row r="29" spans="1:13" ht="13.15" customHeight="1" x14ac:dyDescent="0.2"/>
    <row r="30" spans="1:13" x14ac:dyDescent="0.2">
      <c r="A30" s="25" t="s">
        <v>119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3" x14ac:dyDescent="0.2">
      <c r="B31" t="s">
        <v>120</v>
      </c>
      <c r="H31" s="13"/>
      <c r="J31" s="103">
        <f>'Balance Adjustment (V)'!AS11</f>
        <v>7.8072894903028711E-2</v>
      </c>
      <c r="K31" s="1"/>
      <c r="L31" s="1"/>
    </row>
    <row r="32" spans="1:13" x14ac:dyDescent="0.2">
      <c r="A32" s="68" t="s">
        <v>77</v>
      </c>
      <c r="B32" s="1" t="s">
        <v>121</v>
      </c>
      <c r="H32" s="13"/>
      <c r="J32" s="103"/>
    </row>
    <row r="33" spans="1:12" x14ac:dyDescent="0.2">
      <c r="A33" s="68" t="s">
        <v>77</v>
      </c>
      <c r="B33" s="1" t="s">
        <v>122</v>
      </c>
      <c r="H33" s="13"/>
      <c r="J33" s="103"/>
    </row>
    <row r="34" spans="1:12" x14ac:dyDescent="0.2">
      <c r="A34" s="68" t="s">
        <v>77</v>
      </c>
      <c r="B34" s="1" t="s">
        <v>123</v>
      </c>
      <c r="H34" s="13"/>
      <c r="J34" s="103"/>
    </row>
    <row r="35" spans="1:12" x14ac:dyDescent="0.2">
      <c r="A35" s="68" t="s">
        <v>104</v>
      </c>
      <c r="B35" s="1" t="s">
        <v>124</v>
      </c>
      <c r="H35" s="13"/>
      <c r="J35" s="104">
        <f>SUM(J31:J34)</f>
        <v>7.8072894903028711E-2</v>
      </c>
      <c r="K35" s="1"/>
      <c r="L35" s="1"/>
    </row>
    <row r="39" spans="1:12" ht="25.5" x14ac:dyDescent="0.35">
      <c r="C39" s="195" t="s">
        <v>209</v>
      </c>
    </row>
    <row r="41" spans="1:12" ht="25.5" x14ac:dyDescent="0.35">
      <c r="C41" s="195" t="s">
        <v>219</v>
      </c>
    </row>
  </sheetData>
  <pageMargins left="0.5" right="0.5" top="1" bottom="1" header="0.5" footer="0.5"/>
  <pageSetup orientation="portrait" r:id="rId1"/>
  <headerFooter>
    <oddHeader>&amp;C&amp;"Arial,Bold"Schedule I&amp;"Arial,Regular"
Gas Cost Recovery Rate Summary&amp;R&amp;"Arial,Bold"Navitas KY NG, LLC</oddHeader>
    <oddFooter>&amp;CPage 2&amp;R&amp;D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DE327-B971-4054-B340-FDAB829470B7}">
  <sheetPr>
    <pageSetUpPr fitToPage="1"/>
  </sheetPr>
  <dimension ref="A1:V39"/>
  <sheetViews>
    <sheetView zoomScaleNormal="100" workbookViewId="0">
      <selection activeCell="J7" sqref="J7"/>
    </sheetView>
  </sheetViews>
  <sheetFormatPr defaultColWidth="9.140625" defaultRowHeight="12.75" x14ac:dyDescent="0.2"/>
  <cols>
    <col min="1" max="1" width="1.28515625" style="1" customWidth="1"/>
    <col min="2" max="2" width="18" style="1" bestFit="1" customWidth="1"/>
    <col min="3" max="3" width="1.28515625" style="1" customWidth="1"/>
    <col min="4" max="4" width="12.7109375" style="1" customWidth="1"/>
    <col min="5" max="5" width="1.28515625" style="1" customWidth="1"/>
    <col min="6" max="6" width="12.7109375" style="1" customWidth="1"/>
    <col min="7" max="7" width="1.28515625" style="1" customWidth="1"/>
    <col min="8" max="8" width="12.7109375" style="1" customWidth="1"/>
    <col min="9" max="9" width="1.28515625" style="1" customWidth="1"/>
    <col min="10" max="10" width="12.7109375" style="1" customWidth="1"/>
    <col min="11" max="11" width="1.28515625" style="1" customWidth="1"/>
    <col min="12" max="12" width="12.7109375" style="1" customWidth="1"/>
    <col min="13" max="13" width="1.28515625" style="1" customWidth="1"/>
    <col min="14" max="14" width="32.85546875" style="1" bestFit="1" customWidth="1"/>
    <col min="15" max="15" width="1.28515625" style="1" customWidth="1"/>
    <col min="16" max="16" width="12.7109375" style="1" customWidth="1"/>
    <col min="17" max="17" width="1.28515625" style="1" customWidth="1"/>
    <col min="18" max="18" width="13.28515625" style="1" bestFit="1" customWidth="1"/>
    <col min="19" max="19" width="1.28515625" style="1" customWidth="1"/>
    <col min="20" max="20" width="12.7109375" style="1" customWidth="1"/>
    <col min="21" max="21" width="1.7109375" style="1" customWidth="1"/>
    <col min="22" max="22" width="12.7109375" style="1" customWidth="1"/>
    <col min="23" max="23" width="1.7109375" style="1" customWidth="1"/>
    <col min="24" max="24" width="12.7109375" style="1" customWidth="1"/>
    <col min="25" max="25" width="1.7109375" style="1" customWidth="1"/>
    <col min="26" max="16384" width="9.140625" style="1"/>
  </cols>
  <sheetData>
    <row r="1" spans="1:17" s="44" customFormat="1" x14ac:dyDescent="0.2">
      <c r="A1" s="44" t="s">
        <v>56</v>
      </c>
      <c r="D1" s="45" t="s">
        <v>57</v>
      </c>
    </row>
    <row r="2" spans="1:17" x14ac:dyDescent="0.2">
      <c r="B2" s="26" t="s">
        <v>58</v>
      </c>
      <c r="C2" s="13"/>
      <c r="D2" s="26" t="s">
        <v>59</v>
      </c>
      <c r="E2" s="13"/>
      <c r="F2" s="26" t="s">
        <v>60</v>
      </c>
      <c r="G2" s="13"/>
      <c r="H2" s="26" t="s">
        <v>61</v>
      </c>
      <c r="I2" s="13"/>
      <c r="J2" s="26" t="s">
        <v>62</v>
      </c>
      <c r="K2" s="13"/>
      <c r="L2" s="26" t="s">
        <v>25</v>
      </c>
      <c r="N2" s="46" t="s">
        <v>48</v>
      </c>
    </row>
    <row r="3" spans="1:17" ht="7.15" customHeight="1" x14ac:dyDescent="0.2">
      <c r="F3" s="47"/>
      <c r="H3" s="48"/>
      <c r="J3" s="49"/>
      <c r="L3" s="50"/>
      <c r="N3" s="50"/>
      <c r="P3" s="18"/>
      <c r="Q3" s="18"/>
    </row>
    <row r="4" spans="1:17" s="44" customFormat="1" x14ac:dyDescent="0.2">
      <c r="A4" s="44" t="s">
        <v>2</v>
      </c>
      <c r="F4" s="51"/>
      <c r="H4" s="52"/>
      <c r="J4" s="53"/>
      <c r="L4" s="54"/>
      <c r="N4" s="54"/>
      <c r="P4" s="55"/>
      <c r="Q4" s="55"/>
    </row>
    <row r="5" spans="1:17" s="44" customFormat="1" ht="7.15" customHeight="1" x14ac:dyDescent="0.2">
      <c r="D5" s="52"/>
      <c r="F5" s="51"/>
      <c r="H5" s="56"/>
      <c r="J5" s="53"/>
      <c r="L5" s="55"/>
      <c r="N5" s="54"/>
      <c r="P5" s="55"/>
      <c r="Q5" s="55"/>
    </row>
    <row r="6" spans="1:17" x14ac:dyDescent="0.2">
      <c r="B6" s="1" t="s">
        <v>63</v>
      </c>
      <c r="D6" s="106">
        <f>F6*H6</f>
        <v>25962.208147635043</v>
      </c>
      <c r="F6" s="57">
        <v>1.2</v>
      </c>
      <c r="H6" s="175">
        <f>Purchases!AB16*Purchases!AB36</f>
        <v>21635.173456362536</v>
      </c>
      <c r="J6" s="57">
        <v>8.99</v>
      </c>
      <c r="L6" s="106">
        <f>J6*H6</f>
        <v>194500.2093726992</v>
      </c>
      <c r="N6" s="50"/>
      <c r="P6" s="18"/>
      <c r="Q6" s="18"/>
    </row>
    <row r="7" spans="1:17" x14ac:dyDescent="0.2">
      <c r="B7" s="1" t="s">
        <v>64</v>
      </c>
      <c r="D7" s="106">
        <f>F7*H7</f>
        <v>42038.258220171738</v>
      </c>
      <c r="F7" s="57">
        <f>F6</f>
        <v>1.2</v>
      </c>
      <c r="H7" s="175">
        <f>Purchases!AB31*Purchases!AB36</f>
        <v>35031.881850143116</v>
      </c>
      <c r="J7" s="57">
        <f>J6-2</f>
        <v>6.99</v>
      </c>
      <c r="L7" s="106">
        <f>J7*H7</f>
        <v>244872.85413250039</v>
      </c>
      <c r="N7" s="50"/>
      <c r="P7" s="18"/>
      <c r="Q7" s="18"/>
    </row>
    <row r="8" spans="1:17" x14ac:dyDescent="0.2">
      <c r="B8" s="1" t="s">
        <v>65</v>
      </c>
      <c r="D8" s="18"/>
      <c r="F8" s="57"/>
      <c r="H8" s="6"/>
      <c r="J8" s="57"/>
      <c r="L8" s="18"/>
      <c r="N8" s="50"/>
      <c r="P8" s="18"/>
      <c r="Q8" s="18"/>
    </row>
    <row r="9" spans="1:17" x14ac:dyDescent="0.2">
      <c r="B9" s="1" t="s">
        <v>66</v>
      </c>
      <c r="D9" s="58"/>
      <c r="F9" s="58">
        <v>1</v>
      </c>
      <c r="H9" s="6">
        <v>12</v>
      </c>
      <c r="J9" s="108">
        <v>2100</v>
      </c>
      <c r="L9" s="106">
        <f>J9*H9</f>
        <v>25200</v>
      </c>
      <c r="N9" s="50" t="s">
        <v>67</v>
      </c>
      <c r="P9" s="18"/>
      <c r="Q9" s="18"/>
    </row>
    <row r="10" spans="1:17" x14ac:dyDescent="0.2">
      <c r="B10" s="1" t="s">
        <v>68</v>
      </c>
      <c r="D10" s="59"/>
      <c r="F10" s="58">
        <v>1</v>
      </c>
      <c r="H10" s="110">
        <f>H6+H7</f>
        <v>56667.055306505652</v>
      </c>
      <c r="J10" s="108">
        <v>2.7172000000000001</v>
      </c>
      <c r="L10" s="106">
        <f>J10*H10</f>
        <v>153975.72267883716</v>
      </c>
      <c r="N10" s="50" t="s">
        <v>69</v>
      </c>
      <c r="P10" s="18"/>
      <c r="Q10" s="18"/>
    </row>
    <row r="11" spans="1:17" ht="7.15" customHeight="1" x14ac:dyDescent="0.2">
      <c r="F11" s="57"/>
      <c r="H11" s="6"/>
      <c r="J11" s="57"/>
      <c r="L11" s="18"/>
      <c r="N11" s="50"/>
      <c r="P11" s="18"/>
      <c r="Q11" s="18"/>
    </row>
    <row r="12" spans="1:17" x14ac:dyDescent="0.2">
      <c r="B12" s="13" t="s">
        <v>25</v>
      </c>
      <c r="D12" s="106">
        <f>D6+D7</f>
        <v>68000.466367806774</v>
      </c>
      <c r="F12" s="57"/>
      <c r="H12" s="6"/>
      <c r="J12" s="57"/>
      <c r="L12" s="111">
        <f>SUM(L6:L11)</f>
        <v>618548.78618403676</v>
      </c>
      <c r="N12" s="50"/>
      <c r="P12" s="18"/>
      <c r="Q12" s="18"/>
    </row>
    <row r="13" spans="1:17" x14ac:dyDescent="0.2">
      <c r="F13" s="57"/>
      <c r="H13" s="6"/>
      <c r="J13" s="57"/>
      <c r="L13" s="18"/>
      <c r="N13" s="50"/>
      <c r="P13" s="18"/>
      <c r="Q13" s="18"/>
    </row>
    <row r="14" spans="1:17" s="44" customFormat="1" x14ac:dyDescent="0.2">
      <c r="A14" s="44" t="s">
        <v>5</v>
      </c>
      <c r="F14" s="60"/>
      <c r="H14" s="52"/>
      <c r="J14" s="60"/>
      <c r="L14" s="55"/>
      <c r="P14" s="55"/>
      <c r="Q14" s="55"/>
    </row>
    <row r="15" spans="1:17" x14ac:dyDescent="0.2">
      <c r="B15" s="183" t="s">
        <v>70</v>
      </c>
      <c r="D15" s="106">
        <f>F15*H15</f>
        <v>0</v>
      </c>
      <c r="F15" s="57"/>
      <c r="H15" s="6">
        <v>0</v>
      </c>
      <c r="J15" s="57"/>
      <c r="L15" s="18"/>
      <c r="P15" s="18"/>
      <c r="Q15" s="18"/>
    </row>
    <row r="16" spans="1:17" x14ac:dyDescent="0.2">
      <c r="B16" s="1" t="s">
        <v>26</v>
      </c>
      <c r="D16" s="106">
        <f>F16*H16</f>
        <v>7861.2</v>
      </c>
      <c r="F16" s="57">
        <f>F6</f>
        <v>1.2</v>
      </c>
      <c r="H16" s="175">
        <f>Purchases!AB63</f>
        <v>6551</v>
      </c>
      <c r="J16" s="109">
        <f>(J$7/F$7)*F16</f>
        <v>6.99</v>
      </c>
      <c r="L16" s="106">
        <f>J16*H16</f>
        <v>45791.49</v>
      </c>
      <c r="N16" s="1" t="s">
        <v>71</v>
      </c>
      <c r="P16" s="18"/>
      <c r="Q16" s="18"/>
    </row>
    <row r="17" spans="1:18" ht="7.15" customHeight="1" x14ac:dyDescent="0.2">
      <c r="F17" s="57"/>
      <c r="H17" s="6"/>
      <c r="J17" s="57"/>
      <c r="L17" s="18"/>
    </row>
    <row r="18" spans="1:18" x14ac:dyDescent="0.2">
      <c r="B18" s="13" t="s">
        <v>25</v>
      </c>
      <c r="D18" s="106">
        <f>SUM(D15:D16)</f>
        <v>7861.2</v>
      </c>
      <c r="F18" s="57"/>
      <c r="H18" s="111">
        <f>SUM(H15:H17)</f>
        <v>6551</v>
      </c>
      <c r="J18" s="57"/>
      <c r="L18" s="107">
        <f>SUM(L15:L17)</f>
        <v>45791.49</v>
      </c>
      <c r="N18" s="50"/>
      <c r="P18" s="18"/>
      <c r="Q18" s="18"/>
    </row>
    <row r="19" spans="1:18" x14ac:dyDescent="0.2">
      <c r="F19" s="57"/>
      <c r="H19" s="6"/>
      <c r="I19" s="18"/>
      <c r="J19" s="57"/>
      <c r="L19" s="18"/>
      <c r="N19" s="18"/>
      <c r="O19" s="18"/>
      <c r="P19" s="18"/>
      <c r="Q19" s="18"/>
      <c r="R19" s="18"/>
    </row>
    <row r="20" spans="1:18" s="44" customFormat="1" x14ac:dyDescent="0.2">
      <c r="A20" s="44" t="s">
        <v>6</v>
      </c>
      <c r="F20" s="60"/>
      <c r="H20" s="52"/>
      <c r="I20" s="55"/>
      <c r="J20" s="60"/>
      <c r="L20" s="55"/>
      <c r="N20" s="55"/>
      <c r="O20" s="55"/>
      <c r="P20" s="55"/>
      <c r="Q20" s="55"/>
      <c r="R20" s="55"/>
    </row>
    <row r="21" spans="1:18" x14ac:dyDescent="0.2">
      <c r="B21" s="183" t="s">
        <v>27</v>
      </c>
      <c r="D21" s="106">
        <f>F21*H21</f>
        <v>0</v>
      </c>
      <c r="F21" s="57"/>
      <c r="H21" s="6">
        <v>0</v>
      </c>
      <c r="I21" s="18"/>
      <c r="J21" s="57"/>
      <c r="L21" s="18"/>
      <c r="N21" s="50"/>
      <c r="O21" s="18"/>
      <c r="P21" s="18"/>
      <c r="Q21" s="18"/>
      <c r="R21" s="18"/>
    </row>
    <row r="22" spans="1:18" x14ac:dyDescent="0.2">
      <c r="B22" s="1" t="s">
        <v>63</v>
      </c>
      <c r="D22" s="106">
        <f>F22*H22</f>
        <v>14988</v>
      </c>
      <c r="F22" s="57">
        <f>F6</f>
        <v>1.2</v>
      </c>
      <c r="H22" s="175">
        <f>Purchases!AB83</f>
        <v>12490</v>
      </c>
      <c r="I22" s="18"/>
      <c r="J22" s="109">
        <f>J6</f>
        <v>8.99</v>
      </c>
      <c r="L22" s="106"/>
      <c r="N22" s="50"/>
      <c r="O22" s="18"/>
      <c r="P22" s="18"/>
      <c r="Q22" s="18"/>
      <c r="R22" s="18"/>
    </row>
    <row r="23" spans="1:18" x14ac:dyDescent="0.2">
      <c r="B23" s="1" t="s">
        <v>26</v>
      </c>
      <c r="D23" s="106">
        <f>F23*H23</f>
        <v>4632</v>
      </c>
      <c r="F23" s="57">
        <f>F16</f>
        <v>1.2</v>
      </c>
      <c r="H23" s="175">
        <f>Purchases!AB91-H22</f>
        <v>3860</v>
      </c>
      <c r="I23" s="18"/>
      <c r="J23" s="109">
        <f>(J$7/F$7)*F23</f>
        <v>6.99</v>
      </c>
      <c r="L23" s="106">
        <f t="shared" ref="L23" si="0">J23*H23</f>
        <v>26981.4</v>
      </c>
      <c r="N23" s="1" t="s">
        <v>71</v>
      </c>
      <c r="O23" s="18"/>
      <c r="P23" s="18"/>
      <c r="Q23" s="18"/>
      <c r="R23" s="18"/>
    </row>
    <row r="24" spans="1:18" x14ac:dyDescent="0.2">
      <c r="D24" s="18"/>
      <c r="F24" s="57"/>
      <c r="H24" s="6"/>
      <c r="I24" s="18"/>
      <c r="J24" s="57"/>
      <c r="L24" s="18"/>
      <c r="O24" s="18"/>
      <c r="P24" s="18"/>
      <c r="Q24" s="18"/>
      <c r="R24" s="18"/>
    </row>
    <row r="25" spans="1:18" ht="7.15" customHeight="1" x14ac:dyDescent="0.2">
      <c r="H25" s="6"/>
      <c r="I25" s="18"/>
      <c r="J25" s="57"/>
      <c r="L25" s="18"/>
      <c r="N25" s="18"/>
      <c r="O25" s="18"/>
      <c r="P25" s="18"/>
      <c r="Q25" s="18"/>
      <c r="R25" s="18"/>
    </row>
    <row r="26" spans="1:18" x14ac:dyDescent="0.2">
      <c r="B26" s="13" t="s">
        <v>25</v>
      </c>
      <c r="D26" s="106">
        <f>SUM(D21:D24)</f>
        <v>19620</v>
      </c>
      <c r="F26" s="57"/>
      <c r="H26" s="111">
        <f>SUM(H21:H25)</f>
        <v>16350</v>
      </c>
      <c r="J26" s="57"/>
      <c r="L26" s="107">
        <f>SUM(L21:L25)</f>
        <v>26981.4</v>
      </c>
      <c r="N26" s="50"/>
      <c r="P26" s="18"/>
      <c r="Q26" s="18"/>
    </row>
    <row r="27" spans="1:18" ht="7.15" customHeight="1" x14ac:dyDescent="0.2">
      <c r="H27" s="6"/>
      <c r="I27" s="18"/>
      <c r="J27" s="57"/>
      <c r="N27" s="18"/>
      <c r="O27" s="18"/>
      <c r="P27" s="18"/>
      <c r="Q27" s="18"/>
      <c r="R27" s="18"/>
    </row>
    <row r="28" spans="1:18" x14ac:dyDescent="0.2">
      <c r="F28" s="1" t="s">
        <v>72</v>
      </c>
      <c r="H28" s="110">
        <f>H10+H18+H26</f>
        <v>79568.055306505645</v>
      </c>
      <c r="P28" s="13"/>
      <c r="R28" s="49"/>
    </row>
    <row r="29" spans="1:18" x14ac:dyDescent="0.2">
      <c r="F29" s="1" t="s">
        <v>29</v>
      </c>
      <c r="H29" s="112">
        <f>Sales!AB53</f>
        <v>76824.699999999983</v>
      </c>
      <c r="P29" s="13"/>
      <c r="R29" s="49"/>
    </row>
    <row r="30" spans="1:18" x14ac:dyDescent="0.2">
      <c r="F30" s="1" t="s">
        <v>73</v>
      </c>
      <c r="H30" s="110">
        <f>H28-H29</f>
        <v>2743.3553065056622</v>
      </c>
      <c r="P30" s="13"/>
      <c r="R30" s="49"/>
    </row>
    <row r="31" spans="1:18" x14ac:dyDescent="0.2">
      <c r="H31" s="61">
        <f>H30/H29</f>
        <v>3.570928759247563E-2</v>
      </c>
      <c r="P31" s="13"/>
      <c r="R31" s="49"/>
    </row>
    <row r="32" spans="1:18" ht="7.15" customHeight="1" thickBot="1" x14ac:dyDescent="0.25">
      <c r="H32" s="6"/>
      <c r="I32" s="18"/>
      <c r="J32" s="57"/>
      <c r="L32" s="62"/>
      <c r="N32" s="18"/>
      <c r="O32" s="18"/>
      <c r="P32" s="18"/>
      <c r="Q32" s="18"/>
      <c r="R32" s="18"/>
    </row>
    <row r="33" spans="4:22" x14ac:dyDescent="0.2">
      <c r="H33" s="6"/>
      <c r="I33" s="18"/>
      <c r="J33" s="13" t="s">
        <v>15</v>
      </c>
      <c r="L33" s="63">
        <f>L12+L18+L26</f>
        <v>691321.67618403677</v>
      </c>
      <c r="N33" s="18"/>
      <c r="O33" s="18"/>
      <c r="P33" s="18"/>
      <c r="Q33" s="18"/>
      <c r="R33" s="18"/>
    </row>
    <row r="34" spans="4:22" x14ac:dyDescent="0.2">
      <c r="D34" s="18">
        <f>D12+D18+D26</f>
        <v>95481.666367806771</v>
      </c>
      <c r="F34" s="1" t="s">
        <v>59</v>
      </c>
      <c r="J34" s="13" t="s">
        <v>74</v>
      </c>
      <c r="L34" s="63">
        <f>H28</f>
        <v>79568.055306505645</v>
      </c>
      <c r="M34" s="18"/>
      <c r="N34" s="18"/>
      <c r="O34" s="18"/>
      <c r="P34" s="18"/>
      <c r="Q34" s="18"/>
      <c r="R34" s="18"/>
      <c r="V34" s="18"/>
    </row>
    <row r="35" spans="4:22" x14ac:dyDescent="0.2">
      <c r="J35" s="13" t="s">
        <v>75</v>
      </c>
      <c r="L35" s="64">
        <f>L33/L34</f>
        <v>8.6884324811129687</v>
      </c>
      <c r="M35" s="18"/>
      <c r="N35" s="18"/>
      <c r="O35" s="18"/>
      <c r="P35" s="18"/>
      <c r="Q35" s="18"/>
      <c r="R35" s="18"/>
    </row>
    <row r="36" spans="4:22" x14ac:dyDescent="0.2">
      <c r="J36" s="13" t="s">
        <v>72</v>
      </c>
      <c r="L36" s="63">
        <f>L34</f>
        <v>79568.055306505645</v>
      </c>
      <c r="P36" s="13"/>
      <c r="R36" s="49"/>
    </row>
    <row r="37" spans="4:22" x14ac:dyDescent="0.2">
      <c r="J37" s="13" t="s">
        <v>76</v>
      </c>
      <c r="L37" s="65">
        <f>L35*L36</f>
        <v>691321.67618403677</v>
      </c>
      <c r="N37" s="13"/>
      <c r="P37" s="13"/>
      <c r="R37" s="66"/>
    </row>
    <row r="38" spans="4:22" x14ac:dyDescent="0.2">
      <c r="P38" s="13"/>
      <c r="R38" s="49"/>
    </row>
    <row r="39" spans="4:22" x14ac:dyDescent="0.2">
      <c r="P39" s="17"/>
      <c r="R39" s="67"/>
    </row>
  </sheetData>
  <pageMargins left="0.5" right="0.5" top="1" bottom="1" header="0.5" footer="0.5"/>
  <pageSetup scale="94" orientation="landscape" r:id="rId1"/>
  <headerFooter>
    <oddHeader>&amp;C&amp;"Arial,Bold"Schedule II&amp;"Arial,Regular"
Expected Gas Cost&amp;R&amp;"Arial,Bold"Navitas KY NG, LLC</oddHeader>
    <oddFooter>&amp;CPage 3&amp;R&amp;D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B3344-E76A-459E-B1E1-BD6179D0DCBB}">
  <sheetPr>
    <pageSetUpPr fitToPage="1"/>
  </sheetPr>
  <dimension ref="A1:AV76"/>
  <sheetViews>
    <sheetView zoomScale="90" zoomScaleNormal="90" workbookViewId="0">
      <pane xSplit="4" ySplit="4" topLeftCell="AE18" activePane="bottomRight" state="frozen"/>
      <selection pane="topRight" activeCell="E1" sqref="E1"/>
      <selection pane="bottomLeft" activeCell="A5" sqref="A5"/>
      <selection pane="bottomRight" activeCell="D74" sqref="D74"/>
    </sheetView>
  </sheetViews>
  <sheetFormatPr defaultColWidth="8.85546875" defaultRowHeight="15" x14ac:dyDescent="0.25"/>
  <cols>
    <col min="1" max="1" width="4.5703125" style="19" customWidth="1"/>
    <col min="2" max="2" width="1.7109375" style="19" customWidth="1"/>
    <col min="3" max="3" width="32.28515625" style="19" customWidth="1"/>
    <col min="4" max="4" width="23.5703125" style="19" customWidth="1"/>
    <col min="5" max="5" width="1.7109375" style="19" customWidth="1"/>
    <col min="6" max="6" width="0.85546875" style="19" customWidth="1"/>
    <col min="7" max="7" width="12.7109375" style="19" customWidth="1"/>
    <col min="8" max="8" width="1.7109375" style="19" customWidth="1"/>
    <col min="9" max="9" width="12.7109375" style="19" customWidth="1"/>
    <col min="10" max="10" width="1.7109375" style="19" customWidth="1"/>
    <col min="11" max="11" width="12.7109375" style="19" customWidth="1"/>
    <col min="12" max="12" width="0.85546875" style="19" customWidth="1"/>
    <col min="13" max="13" width="12.7109375" style="19" customWidth="1"/>
    <col min="14" max="14" width="1.7109375" style="19" customWidth="1"/>
    <col min="15" max="15" width="12.7109375" style="19" customWidth="1"/>
    <col min="16" max="16" width="1.7109375" style="19" customWidth="1"/>
    <col min="17" max="17" width="12.7109375" style="19" customWidth="1"/>
    <col min="18" max="18" width="0.85546875" style="208" customWidth="1"/>
    <col min="19" max="19" width="12.7109375" style="19" customWidth="1"/>
    <col min="20" max="20" width="1.7109375" style="19" customWidth="1"/>
    <col min="21" max="21" width="12.7109375" style="19" customWidth="1"/>
    <col min="22" max="22" width="1.7109375" style="19" customWidth="1"/>
    <col min="23" max="23" width="12.7109375" style="19" customWidth="1"/>
    <col min="24" max="24" width="0.85546875" style="208" customWidth="1"/>
    <col min="25" max="25" width="12.7109375" style="19" customWidth="1"/>
    <col min="26" max="26" width="1.7109375" style="19" customWidth="1"/>
    <col min="27" max="27" width="12.7109375" style="19" customWidth="1"/>
    <col min="28" max="28" width="1.7109375" style="19" customWidth="1"/>
    <col min="29" max="29" width="12.7109375" style="19" customWidth="1"/>
    <col min="30" max="30" width="0.85546875" style="208" customWidth="1"/>
    <col min="31" max="31" width="12.7109375" style="19" customWidth="1"/>
    <col min="32" max="32" width="1.7109375" style="19" customWidth="1"/>
    <col min="33" max="33" width="12.7109375" style="19" customWidth="1"/>
    <col min="34" max="34" width="1.7109375" style="19" customWidth="1"/>
    <col min="35" max="35" width="12.7109375" style="19" customWidth="1"/>
    <col min="36" max="36" width="1" style="208" customWidth="1"/>
    <col min="37" max="37" width="12.7109375" style="19" customWidth="1"/>
    <col min="38" max="38" width="1.7109375" style="19" customWidth="1"/>
    <col min="39" max="39" width="12.7109375" style="19" customWidth="1"/>
    <col min="40" max="40" width="1.7109375" style="19" customWidth="1"/>
    <col min="41" max="41" width="12.7109375" style="19" customWidth="1"/>
    <col min="42" max="42" width="1" style="208" customWidth="1"/>
    <col min="43" max="43" width="12.7109375" style="19" customWidth="1"/>
    <col min="44" max="44" width="1.7109375" style="19" customWidth="1"/>
    <col min="45" max="45" width="12.7109375" style="19" customWidth="1"/>
    <col min="46" max="46" width="1.7109375" style="19" customWidth="1"/>
    <col min="47" max="47" width="12.7109375" style="19" customWidth="1"/>
    <col min="48" max="48" width="1" style="208" customWidth="1"/>
    <col min="49" max="16384" width="8.85546875" style="19"/>
  </cols>
  <sheetData>
    <row r="1" spans="2:48" x14ac:dyDescent="0.25">
      <c r="F1" s="130"/>
      <c r="G1" s="123"/>
      <c r="H1" s="123"/>
      <c r="I1" s="124" t="s">
        <v>211</v>
      </c>
      <c r="J1" s="123"/>
      <c r="K1" s="123"/>
      <c r="L1" s="130"/>
      <c r="M1" s="123"/>
      <c r="N1" s="123"/>
      <c r="O1" s="124" t="s">
        <v>211</v>
      </c>
      <c r="P1" s="123"/>
      <c r="Q1" s="123"/>
      <c r="S1" s="123"/>
      <c r="T1" s="123"/>
      <c r="U1" s="124" t="s">
        <v>211</v>
      </c>
      <c r="V1" s="123"/>
      <c r="W1" s="123"/>
      <c r="Y1" s="123"/>
      <c r="Z1" s="123"/>
      <c r="AA1" s="124" t="s">
        <v>210</v>
      </c>
      <c r="AB1" s="123"/>
      <c r="AC1" s="123"/>
      <c r="AE1" s="123"/>
      <c r="AF1" s="123"/>
      <c r="AG1" s="186" t="s">
        <v>167</v>
      </c>
      <c r="AH1" s="123"/>
      <c r="AI1" s="123"/>
      <c r="AJ1" s="130"/>
      <c r="AK1" s="123"/>
      <c r="AL1" s="123"/>
      <c r="AM1" s="186" t="s">
        <v>168</v>
      </c>
      <c r="AN1" s="123"/>
      <c r="AO1" s="123"/>
      <c r="AQ1" s="123"/>
      <c r="AR1" s="123"/>
      <c r="AS1" s="124" t="s">
        <v>169</v>
      </c>
      <c r="AT1" s="123"/>
      <c r="AU1" s="123"/>
    </row>
    <row r="2" spans="2:48" x14ac:dyDescent="0.25">
      <c r="F2" s="130"/>
      <c r="G2" s="123"/>
      <c r="I2" s="124" t="s">
        <v>11</v>
      </c>
      <c r="J2" s="131"/>
      <c r="K2" s="123"/>
      <c r="L2" s="130"/>
      <c r="M2" s="123"/>
      <c r="O2" s="124" t="s">
        <v>11</v>
      </c>
      <c r="P2" s="131"/>
      <c r="Q2" s="123"/>
      <c r="S2" s="123"/>
      <c r="U2" s="124" t="s">
        <v>11</v>
      </c>
      <c r="V2" s="131"/>
      <c r="W2" s="123"/>
      <c r="Y2" s="123"/>
      <c r="AA2" s="124" t="s">
        <v>11</v>
      </c>
      <c r="AB2" s="131"/>
      <c r="AC2" s="123"/>
      <c r="AE2" s="123"/>
      <c r="AG2" s="124" t="s">
        <v>11</v>
      </c>
      <c r="AH2" s="131"/>
      <c r="AI2" s="123"/>
      <c r="AK2" s="123"/>
      <c r="AM2" s="124" t="s">
        <v>11</v>
      </c>
      <c r="AN2" s="131"/>
      <c r="AO2" s="123"/>
      <c r="AQ2" s="123"/>
      <c r="AS2" s="124" t="s">
        <v>11</v>
      </c>
      <c r="AT2" s="131"/>
      <c r="AU2" s="123"/>
    </row>
    <row r="3" spans="2:48" s="132" customFormat="1" x14ac:dyDescent="0.25">
      <c r="C3" s="133" t="s">
        <v>12</v>
      </c>
      <c r="F3" s="134"/>
      <c r="G3" s="132">
        <v>44409</v>
      </c>
      <c r="I3" s="132">
        <v>44440</v>
      </c>
      <c r="K3" s="132">
        <v>44470</v>
      </c>
      <c r="L3" s="134"/>
      <c r="M3" s="132">
        <v>44501</v>
      </c>
      <c r="O3" s="132">
        <v>44531</v>
      </c>
      <c r="Q3" s="132">
        <v>44562</v>
      </c>
      <c r="R3" s="209"/>
      <c r="S3" s="132">
        <v>44593</v>
      </c>
      <c r="U3" s="132">
        <v>44621</v>
      </c>
      <c r="W3" s="132">
        <v>44652</v>
      </c>
      <c r="X3" s="209"/>
      <c r="Y3" s="132">
        <v>44682</v>
      </c>
      <c r="AA3" s="132">
        <v>44713</v>
      </c>
      <c r="AC3" s="132">
        <v>44743</v>
      </c>
      <c r="AD3" s="209"/>
      <c r="AE3" s="132">
        <v>44774</v>
      </c>
      <c r="AG3" s="132">
        <v>44805</v>
      </c>
      <c r="AI3" s="132">
        <v>44835</v>
      </c>
      <c r="AJ3" s="209"/>
      <c r="AK3" s="132">
        <v>44866</v>
      </c>
      <c r="AM3" s="132">
        <v>44896</v>
      </c>
      <c r="AO3" s="132">
        <v>44927</v>
      </c>
      <c r="AP3" s="209"/>
      <c r="AQ3" s="132">
        <v>44958</v>
      </c>
      <c r="AS3" s="132">
        <v>44986</v>
      </c>
      <c r="AU3" s="132">
        <v>45017</v>
      </c>
      <c r="AV3" s="209"/>
    </row>
    <row r="4" spans="2:48" s="132" customFormat="1" x14ac:dyDescent="0.25">
      <c r="C4" s="133" t="s">
        <v>170</v>
      </c>
      <c r="F4" s="134"/>
      <c r="G4" s="135"/>
      <c r="I4" s="135">
        <v>44377</v>
      </c>
      <c r="K4" s="135">
        <v>44377</v>
      </c>
      <c r="L4" s="134"/>
      <c r="M4" s="135">
        <v>44469</v>
      </c>
      <c r="O4" s="135">
        <v>44469</v>
      </c>
      <c r="Q4" s="135">
        <v>44469</v>
      </c>
      <c r="R4" s="209"/>
      <c r="S4" s="135">
        <v>44561</v>
      </c>
      <c r="U4" s="135">
        <v>44561</v>
      </c>
      <c r="W4" s="135">
        <v>44561</v>
      </c>
      <c r="X4" s="209"/>
      <c r="Y4" s="135">
        <v>44651</v>
      </c>
      <c r="AA4" s="135">
        <v>44651</v>
      </c>
      <c r="AC4" s="135">
        <v>44651</v>
      </c>
      <c r="AD4" s="209"/>
      <c r="AE4" s="135">
        <v>44742</v>
      </c>
      <c r="AG4" s="135">
        <v>44742</v>
      </c>
      <c r="AI4" s="135">
        <v>44742</v>
      </c>
      <c r="AJ4" s="209"/>
      <c r="AK4" s="135">
        <v>44834</v>
      </c>
      <c r="AM4" s="135">
        <v>44834</v>
      </c>
      <c r="AO4" s="135">
        <v>44834</v>
      </c>
      <c r="AP4" s="209"/>
      <c r="AQ4" s="135">
        <v>44926</v>
      </c>
      <c r="AS4" s="135">
        <v>44926</v>
      </c>
      <c r="AU4" s="135">
        <v>44926</v>
      </c>
      <c r="AV4" s="209"/>
    </row>
    <row r="5" spans="2:48" s="132" customFormat="1" ht="9.75" customHeight="1" x14ac:dyDescent="0.25">
      <c r="C5" s="133"/>
      <c r="F5" s="134"/>
      <c r="G5" s="135"/>
      <c r="I5" s="135"/>
      <c r="K5" s="135"/>
      <c r="L5" s="134"/>
      <c r="M5" s="135"/>
      <c r="O5" s="135"/>
      <c r="Q5" s="135"/>
      <c r="R5" s="209"/>
      <c r="S5" s="135"/>
      <c r="U5" s="135"/>
      <c r="W5" s="135"/>
      <c r="X5" s="209"/>
      <c r="Y5" s="135"/>
      <c r="AA5" s="135"/>
      <c r="AC5" s="135"/>
      <c r="AD5" s="209"/>
      <c r="AE5" s="135"/>
      <c r="AG5" s="135"/>
      <c r="AI5" s="135"/>
      <c r="AJ5" s="209"/>
      <c r="AK5" s="135"/>
      <c r="AM5" s="135"/>
      <c r="AO5" s="135"/>
      <c r="AP5" s="209"/>
      <c r="AQ5" s="135"/>
      <c r="AS5" s="135"/>
      <c r="AU5" s="135"/>
      <c r="AV5" s="209"/>
    </row>
    <row r="6" spans="2:48" x14ac:dyDescent="0.25">
      <c r="B6" s="19" t="s">
        <v>13</v>
      </c>
      <c r="F6" s="130"/>
      <c r="L6" s="130"/>
    </row>
    <row r="7" spans="2:48" x14ac:dyDescent="0.25">
      <c r="C7" s="19" t="s">
        <v>2</v>
      </c>
      <c r="F7" s="130"/>
      <c r="G7" s="136">
        <f>G44</f>
        <v>11604.135910784218</v>
      </c>
      <c r="I7" s="136">
        <f>I44</f>
        <v>10335.52729805014</v>
      </c>
      <c r="J7" s="115"/>
      <c r="K7" s="136">
        <f>K44</f>
        <v>22621.183955376917</v>
      </c>
      <c r="L7" s="130"/>
      <c r="M7" s="136">
        <f>M44</f>
        <v>46832.032654119452</v>
      </c>
      <c r="O7" s="136">
        <f>O44</f>
        <v>35022.380241663639</v>
      </c>
      <c r="P7" s="115"/>
      <c r="Q7" s="136">
        <f>Q44</f>
        <v>77775.950518493206</v>
      </c>
      <c r="S7" s="136">
        <f>S44</f>
        <v>56443.710578383696</v>
      </c>
      <c r="U7" s="136">
        <f>U44</f>
        <v>76573.067373858488</v>
      </c>
      <c r="V7" s="115"/>
      <c r="W7" s="136">
        <f>W44</f>
        <v>53575.997125282724</v>
      </c>
      <c r="Y7" s="136">
        <f>Y44</f>
        <v>56372.844945886092</v>
      </c>
      <c r="AA7" s="136">
        <f>AA44</f>
        <v>22903.140537748495</v>
      </c>
      <c r="AB7" s="115"/>
      <c r="AC7" s="136">
        <f>AC44</f>
        <v>22559.854951041481</v>
      </c>
      <c r="AE7" s="136">
        <f>AE44</f>
        <v>22086.166816178888</v>
      </c>
      <c r="AG7" s="136">
        <f>AG44</f>
        <v>33265.803820472778</v>
      </c>
      <c r="AH7" s="115"/>
      <c r="AI7" s="136">
        <f>AI44</f>
        <v>42925.912430795601</v>
      </c>
      <c r="AK7" s="136">
        <f>AK44</f>
        <v>46812.341476352172</v>
      </c>
      <c r="AM7" s="136">
        <f>AM44</f>
        <v>78211.508277024826</v>
      </c>
      <c r="AN7" s="115"/>
      <c r="AO7" s="136">
        <f>AO44</f>
        <v>53362.881058231003</v>
      </c>
      <c r="AQ7" s="136">
        <f>AQ44</f>
        <v>25035.902024416911</v>
      </c>
      <c r="AS7" s="136" t="e">
        <f>AS44</f>
        <v>#DIV/0!</v>
      </c>
      <c r="AT7" s="115"/>
      <c r="AU7" s="136" t="e">
        <f>AU44</f>
        <v>#DIV/0!</v>
      </c>
    </row>
    <row r="8" spans="2:48" x14ac:dyDescent="0.25">
      <c r="C8" s="19" t="s">
        <v>5</v>
      </c>
      <c r="F8" s="130"/>
      <c r="G8" s="136">
        <f>(G54+G55)</f>
        <v>2565.3199999999997</v>
      </c>
      <c r="I8" s="136">
        <f>(I54+I55)</f>
        <v>2081.37</v>
      </c>
      <c r="J8" s="115"/>
      <c r="K8" s="136">
        <f>(K54+K55)</f>
        <v>3758.48</v>
      </c>
      <c r="L8" s="130"/>
      <c r="M8" s="136">
        <f>(M54+M55)</f>
        <v>15333.39</v>
      </c>
      <c r="O8" s="136">
        <f>(O54+O55)</f>
        <v>11227.57</v>
      </c>
      <c r="P8" s="115"/>
      <c r="Q8" s="136">
        <f>(Q54+Q55)</f>
        <v>12025.3</v>
      </c>
      <c r="S8" s="136">
        <f>S55</f>
        <v>11471.19</v>
      </c>
      <c r="U8" s="136">
        <f>U55</f>
        <v>6805.18</v>
      </c>
      <c r="V8" s="115"/>
      <c r="W8" s="136">
        <f>W55</f>
        <v>5582.38</v>
      </c>
      <c r="Y8" s="136">
        <f>Y55</f>
        <v>3258.9100000000003</v>
      </c>
      <c r="AA8" s="136">
        <f>AA55</f>
        <v>3022.94</v>
      </c>
      <c r="AB8" s="115"/>
      <c r="AC8" s="136">
        <f>AC55</f>
        <v>0</v>
      </c>
      <c r="AE8" s="136">
        <f>AE55</f>
        <v>1925.7</v>
      </c>
      <c r="AG8" s="136">
        <f>AG55</f>
        <v>0</v>
      </c>
      <c r="AH8" s="115"/>
      <c r="AI8" s="136">
        <f>AI55</f>
        <v>2799.71</v>
      </c>
      <c r="AK8" s="136">
        <f>AK55</f>
        <v>6365.56</v>
      </c>
      <c r="AM8" s="136">
        <f>AM55</f>
        <v>6570.81</v>
      </c>
      <c r="AN8" s="115"/>
      <c r="AO8" s="136">
        <f>AO55</f>
        <v>5433.04</v>
      </c>
      <c r="AQ8" s="136">
        <f>AQ55</f>
        <v>19225.71</v>
      </c>
      <c r="AS8" s="136">
        <f>AS55</f>
        <v>2799.71</v>
      </c>
      <c r="AT8" s="115"/>
      <c r="AU8" s="136">
        <f>AU55</f>
        <v>0</v>
      </c>
    </row>
    <row r="9" spans="2:48" x14ac:dyDescent="0.25">
      <c r="C9" s="19" t="s">
        <v>6</v>
      </c>
      <c r="F9" s="130"/>
      <c r="G9" s="136">
        <f>(G59+G60)</f>
        <v>1559.7600000000002</v>
      </c>
      <c r="I9" s="136">
        <f>(I59+I60)</f>
        <v>1499.7</v>
      </c>
      <c r="J9" s="115"/>
      <c r="K9" s="136">
        <f>(K59+K60)</f>
        <v>4763.63</v>
      </c>
      <c r="L9" s="130"/>
      <c r="M9" s="136">
        <f>(M59+M60)</f>
        <v>15480.68</v>
      </c>
      <c r="O9" s="136">
        <f>(O59+O60)</f>
        <v>14758.36</v>
      </c>
      <c r="P9" s="115"/>
      <c r="Q9" s="136">
        <f>(Q59+Q60)</f>
        <v>5392.91</v>
      </c>
      <c r="S9" s="136">
        <f>S55+S60+Q62</f>
        <v>25754.11</v>
      </c>
      <c r="U9" s="136">
        <f>U60+U62</f>
        <v>38337.620000000003</v>
      </c>
      <c r="V9" s="115"/>
      <c r="W9" s="136">
        <f>W60+W62</f>
        <v>4822.09</v>
      </c>
      <c r="Y9" s="136">
        <f>Y60+Y62</f>
        <v>4168.3100000000004</v>
      </c>
      <c r="AA9" s="136">
        <f>AA60+AA62</f>
        <v>3314.06</v>
      </c>
      <c r="AB9" s="115"/>
      <c r="AC9" s="136">
        <f>AC60+AC62</f>
        <v>2643.15</v>
      </c>
      <c r="AE9" s="136">
        <f>AE60+AE62</f>
        <v>4388.47</v>
      </c>
      <c r="AG9" s="136">
        <f>AG60+AG62</f>
        <v>6508.32</v>
      </c>
      <c r="AH9" s="115"/>
      <c r="AI9" s="136">
        <f>AI60+AI62</f>
        <v>7448.37</v>
      </c>
      <c r="AK9" s="136">
        <f>AK60+AK62</f>
        <v>5551.4</v>
      </c>
      <c r="AM9" s="136">
        <f>AM60+AM62</f>
        <v>15554.59</v>
      </c>
      <c r="AN9" s="115"/>
      <c r="AO9" s="136">
        <f>AO60+AO62</f>
        <v>6427.77</v>
      </c>
      <c r="AQ9" s="136">
        <f>AQ60+AQ62</f>
        <v>1946.47</v>
      </c>
      <c r="AS9" s="136">
        <f>AS60+AS62</f>
        <v>2112.0500000000002</v>
      </c>
      <c r="AT9" s="115"/>
      <c r="AU9" s="136">
        <f>AU60+AU62</f>
        <v>0</v>
      </c>
    </row>
    <row r="10" spans="2:48" x14ac:dyDescent="0.25">
      <c r="C10" s="120" t="s">
        <v>171</v>
      </c>
      <c r="F10" s="130"/>
      <c r="G10" s="137">
        <f>SUM(G7:G9)</f>
        <v>15729.215910784218</v>
      </c>
      <c r="I10" s="137">
        <f>SUM(I7:I9)</f>
        <v>13916.597298050139</v>
      </c>
      <c r="J10" s="115"/>
      <c r="K10" s="137">
        <f>SUM(K7:K9)</f>
        <v>31143.293955376917</v>
      </c>
      <c r="L10" s="130"/>
      <c r="M10" s="137">
        <f>SUM(M7:M9)</f>
        <v>77646.102654119459</v>
      </c>
      <c r="O10" s="137">
        <f>SUM(O7:O9)</f>
        <v>61008.310241663639</v>
      </c>
      <c r="P10" s="115"/>
      <c r="Q10" s="137">
        <f>SUM(Q7:Q9)</f>
        <v>95194.160518493212</v>
      </c>
      <c r="S10" s="137">
        <f>SUM(S7:S9)</f>
        <v>93669.010578383692</v>
      </c>
      <c r="U10" s="137">
        <f>SUM(U7:U9)</f>
        <v>121715.86737385849</v>
      </c>
      <c r="V10" s="115"/>
      <c r="W10" s="137">
        <f>SUM(W7:W9)</f>
        <v>63980.467125282725</v>
      </c>
      <c r="Y10" s="137">
        <f>SUM(Y7:Y9)</f>
        <v>63800.064945886093</v>
      </c>
      <c r="AA10" s="137">
        <f>SUM(AA7:AA9)</f>
        <v>29240.140537748495</v>
      </c>
      <c r="AB10" s="115"/>
      <c r="AC10" s="137">
        <f>SUM(AC7:AC9)</f>
        <v>25203.004951041483</v>
      </c>
      <c r="AE10" s="137">
        <f>SUM(AE7:AE9)</f>
        <v>28400.336816178889</v>
      </c>
      <c r="AG10" s="137">
        <f>SUM(AG7:AG9)</f>
        <v>39774.123820472778</v>
      </c>
      <c r="AH10" s="115"/>
      <c r="AI10" s="137">
        <f>SUM(AI7:AI9)</f>
        <v>53173.992430795603</v>
      </c>
      <c r="AK10" s="137">
        <f>SUM(AK7:AK9)</f>
        <v>58729.301476352171</v>
      </c>
      <c r="AM10" s="137">
        <f>SUM(AM7:AM9)</f>
        <v>100336.90827702482</v>
      </c>
      <c r="AN10" s="115"/>
      <c r="AO10" s="137">
        <f>SUM(AO7:AO9)</f>
        <v>65223.691058231008</v>
      </c>
      <c r="AQ10" s="137">
        <f>SUM(AQ7:AQ9)</f>
        <v>46208.082024416915</v>
      </c>
      <c r="AS10" s="137" t="e">
        <f>SUM(AS7:AS9)</f>
        <v>#DIV/0!</v>
      </c>
      <c r="AT10" s="115"/>
      <c r="AU10" s="137" t="e">
        <f>SUM(AU7:AU9)</f>
        <v>#DIV/0!</v>
      </c>
    </row>
    <row r="11" spans="2:48" s="132" customFormat="1" ht="9" customHeight="1" x14ac:dyDescent="0.25">
      <c r="C11" s="133"/>
      <c r="F11" s="134"/>
      <c r="G11" s="135"/>
      <c r="I11" s="135"/>
      <c r="K11" s="135"/>
      <c r="L11" s="134"/>
      <c r="M11" s="135"/>
      <c r="O11" s="135"/>
      <c r="Q11" s="135"/>
      <c r="R11" s="209"/>
      <c r="S11" s="135"/>
      <c r="U11" s="135"/>
      <c r="W11" s="135"/>
      <c r="X11" s="209"/>
      <c r="Y11" s="135"/>
      <c r="AA11" s="135"/>
      <c r="AC11" s="135"/>
      <c r="AD11" s="209"/>
      <c r="AE11" s="135"/>
      <c r="AG11" s="135"/>
      <c r="AI11" s="135"/>
      <c r="AJ11" s="209"/>
      <c r="AK11" s="135"/>
      <c r="AM11" s="135"/>
      <c r="AO11" s="135"/>
      <c r="AP11" s="209"/>
      <c r="AQ11" s="135"/>
      <c r="AS11" s="135"/>
      <c r="AU11" s="135"/>
      <c r="AV11" s="209"/>
    </row>
    <row r="12" spans="2:48" x14ac:dyDescent="0.25">
      <c r="B12" s="19" t="s">
        <v>14</v>
      </c>
      <c r="F12" s="130"/>
      <c r="G12" s="138"/>
      <c r="I12" s="138"/>
      <c r="K12" s="138"/>
      <c r="L12" s="130"/>
      <c r="M12" s="138"/>
      <c r="O12" s="138"/>
      <c r="Q12" s="138"/>
      <c r="S12" s="138"/>
      <c r="U12" s="138"/>
      <c r="W12" s="138"/>
      <c r="Y12" s="138"/>
      <c r="AA12" s="138"/>
      <c r="AC12" s="138"/>
      <c r="AE12" s="138"/>
      <c r="AG12" s="138"/>
      <c r="AI12" s="138"/>
      <c r="AK12" s="138"/>
      <c r="AM12" s="138"/>
      <c r="AO12" s="138"/>
      <c r="AQ12" s="138"/>
      <c r="AS12" s="138"/>
      <c r="AU12" s="138"/>
    </row>
    <row r="13" spans="2:48" x14ac:dyDescent="0.25">
      <c r="C13" s="19" t="s">
        <v>2</v>
      </c>
      <c r="F13" s="130"/>
      <c r="G13" s="136">
        <f>G51</f>
        <v>7501.536542691756</v>
      </c>
      <c r="I13" s="136">
        <f>I51</f>
        <v>6887.131173259053</v>
      </c>
      <c r="J13" s="115"/>
      <c r="K13" s="136">
        <f>K51</f>
        <v>11540.944193690428</v>
      </c>
      <c r="L13" s="130"/>
      <c r="M13" s="136">
        <f>M51</f>
        <v>13817.100216339544</v>
      </c>
      <c r="O13" s="136">
        <f>O51</f>
        <v>10336.76988636623</v>
      </c>
      <c r="P13" s="115"/>
      <c r="Q13" s="136">
        <f>Q51</f>
        <v>28256.060891705816</v>
      </c>
      <c r="S13" s="136">
        <f>S51</f>
        <v>19077.943575756646</v>
      </c>
      <c r="U13" s="136">
        <f>U51</f>
        <v>16511.761215927188</v>
      </c>
      <c r="V13" s="115"/>
      <c r="W13" s="136">
        <f>W51</f>
        <v>12845.395878771482</v>
      </c>
      <c r="Y13" s="136">
        <f>Y51</f>
        <v>8077.0324452467521</v>
      </c>
      <c r="AA13" s="136">
        <f>AA51</f>
        <v>6597.5020591914226</v>
      </c>
      <c r="AB13" s="115"/>
      <c r="AC13" s="136">
        <f>AC51</f>
        <v>7864.8317762221832</v>
      </c>
      <c r="AE13" s="136">
        <f>AE51</f>
        <v>5883.796038382111</v>
      </c>
      <c r="AG13" s="136">
        <f>AG51</f>
        <v>6873.7017466695388</v>
      </c>
      <c r="AH13" s="115"/>
      <c r="AI13" s="136">
        <f>AI51</f>
        <v>9347.7114399999991</v>
      </c>
      <c r="AK13" s="136">
        <f>AK51</f>
        <v>13242.167291545375</v>
      </c>
      <c r="AM13" s="136">
        <f>AM51</f>
        <v>20416.751341899548</v>
      </c>
      <c r="AN13" s="115"/>
      <c r="AO13" s="136">
        <f>AO51</f>
        <v>16822.535344204629</v>
      </c>
      <c r="AQ13" s="136">
        <f>AQ51</f>
        <v>13212.076879715743</v>
      </c>
      <c r="AS13" s="136" t="e">
        <f>AS51</f>
        <v>#DIV/0!</v>
      </c>
      <c r="AT13" s="115"/>
      <c r="AU13" s="136" t="e">
        <f>AU51</f>
        <v>#DIV/0!</v>
      </c>
    </row>
    <row r="14" spans="2:48" ht="12.75" customHeight="1" x14ac:dyDescent="0.25">
      <c r="C14" s="19" t="s">
        <v>5</v>
      </c>
      <c r="F14" s="130"/>
      <c r="G14" s="138"/>
      <c r="I14" s="138"/>
      <c r="J14" s="115"/>
      <c r="K14" s="138"/>
      <c r="M14" s="138"/>
      <c r="O14" s="138"/>
      <c r="P14" s="115"/>
      <c r="Q14" s="138"/>
      <c r="S14" s="138"/>
      <c r="U14" s="138"/>
      <c r="V14" s="115"/>
      <c r="W14" s="138"/>
      <c r="Y14" s="138"/>
      <c r="AA14" s="138"/>
      <c r="AB14" s="115"/>
      <c r="AC14" s="138"/>
      <c r="AE14" s="138"/>
      <c r="AG14" s="138"/>
      <c r="AH14" s="115"/>
      <c r="AI14" s="138"/>
      <c r="AK14" s="138"/>
      <c r="AM14" s="138"/>
      <c r="AN14" s="115"/>
      <c r="AO14" s="138"/>
      <c r="AQ14" s="138"/>
      <c r="AS14" s="138"/>
      <c r="AT14" s="115"/>
      <c r="AU14" s="138"/>
    </row>
    <row r="15" spans="2:48" ht="12.75" customHeight="1" x14ac:dyDescent="0.25">
      <c r="C15" s="19" t="s">
        <v>6</v>
      </c>
      <c r="F15" s="130"/>
      <c r="G15" s="136">
        <f>(G59+G60)</f>
        <v>1559.7600000000002</v>
      </c>
      <c r="I15" s="136">
        <f>(I59+I60)</f>
        <v>1499.7</v>
      </c>
      <c r="J15" s="115"/>
      <c r="K15" s="136">
        <f>(K59+K60)</f>
        <v>4763.63</v>
      </c>
      <c r="L15" s="130"/>
      <c r="M15" s="136">
        <f>(M59+M60)</f>
        <v>15480.68</v>
      </c>
      <c r="O15" s="136">
        <f>(O59+O60)</f>
        <v>14758.36</v>
      </c>
      <c r="P15" s="115"/>
      <c r="Q15" s="136">
        <f>(Q59+Q60)</f>
        <v>5392.91</v>
      </c>
      <c r="S15" s="136">
        <f>S63+SUM(M63:Q63)-SUM(G15:Q15)</f>
        <v>-40143.210000000006</v>
      </c>
      <c r="U15" s="136">
        <f>U63</f>
        <v>813.1</v>
      </c>
      <c r="V15" s="115"/>
      <c r="W15" s="136">
        <f>W63</f>
        <v>0</v>
      </c>
      <c r="Y15" s="136">
        <f>Y63</f>
        <v>0</v>
      </c>
      <c r="AA15" s="136">
        <f>AA63</f>
        <v>0</v>
      </c>
      <c r="AB15" s="115"/>
      <c r="AC15" s="136">
        <f>AC63</f>
        <v>0</v>
      </c>
      <c r="AE15" s="136">
        <f>AE63</f>
        <v>0</v>
      </c>
      <c r="AG15" s="136">
        <f>AG63</f>
        <v>0</v>
      </c>
      <c r="AH15" s="115"/>
      <c r="AI15" s="136">
        <f>AI63</f>
        <v>0</v>
      </c>
      <c r="AK15" s="136">
        <f>AK63</f>
        <v>0</v>
      </c>
      <c r="AM15" s="136">
        <f>AM63</f>
        <v>0</v>
      </c>
      <c r="AN15" s="115"/>
      <c r="AO15" s="136">
        <f>AO63</f>
        <v>0</v>
      </c>
      <c r="AQ15" s="136">
        <f>AQ63</f>
        <v>0</v>
      </c>
      <c r="AS15" s="136">
        <f>AS63</f>
        <v>0</v>
      </c>
      <c r="AT15" s="115"/>
      <c r="AU15" s="136">
        <f>AU63</f>
        <v>0</v>
      </c>
    </row>
    <row r="16" spans="2:48" ht="13.5" customHeight="1" x14ac:dyDescent="0.25">
      <c r="C16" s="120" t="s">
        <v>172</v>
      </c>
      <c r="F16" s="130"/>
      <c r="G16" s="137">
        <f>SUM(G13:G15)</f>
        <v>9061.2965426917563</v>
      </c>
      <c r="I16" s="137">
        <f>SUM(I13:I15)</f>
        <v>8386.8311732590537</v>
      </c>
      <c r="J16" s="115"/>
      <c r="K16" s="137">
        <f>SUM(K13:K15)</f>
        <v>16304.574193690427</v>
      </c>
      <c r="L16" s="130"/>
      <c r="M16" s="137">
        <f>SUM(M13:M15)</f>
        <v>29297.780216339546</v>
      </c>
      <c r="O16" s="137">
        <f>SUM(O13:O15)</f>
        <v>25095.12988636623</v>
      </c>
      <c r="P16" s="115"/>
      <c r="Q16" s="137">
        <f>SUM(Q13:Q15)</f>
        <v>33648.970891705816</v>
      </c>
      <c r="S16" s="137">
        <f>SUM(S13:S15)</f>
        <v>-21065.26642424336</v>
      </c>
      <c r="U16" s="137">
        <f>SUM(U13:U15)</f>
        <v>17324.861215927187</v>
      </c>
      <c r="V16" s="115"/>
      <c r="W16" s="137">
        <f>SUM(W13:W15)</f>
        <v>12845.395878771482</v>
      </c>
      <c r="Y16" s="137">
        <f>SUM(Y13:Y15)</f>
        <v>8077.0324452467521</v>
      </c>
      <c r="AA16" s="137">
        <f>SUM(AA13:AA15)</f>
        <v>6597.5020591914226</v>
      </c>
      <c r="AB16" s="115"/>
      <c r="AC16" s="137">
        <f>SUM(AC13:AC15)</f>
        <v>7864.8317762221832</v>
      </c>
      <c r="AE16" s="137">
        <f>SUM(AE13:AE15)</f>
        <v>5883.796038382111</v>
      </c>
      <c r="AG16" s="137">
        <f>SUM(AG13:AG15)</f>
        <v>6873.7017466695388</v>
      </c>
      <c r="AH16" s="115"/>
      <c r="AI16" s="137">
        <f>SUM(AI13:AI15)</f>
        <v>9347.7114399999991</v>
      </c>
      <c r="AK16" s="137">
        <f>SUM(AK13:AK15)</f>
        <v>13242.167291545375</v>
      </c>
      <c r="AM16" s="137">
        <f>SUM(AM13:AM15)</f>
        <v>20416.751341899548</v>
      </c>
      <c r="AN16" s="115"/>
      <c r="AO16" s="137">
        <f>SUM(AO13:AO15)</f>
        <v>16822.535344204629</v>
      </c>
      <c r="AQ16" s="137">
        <f>SUM(AQ13:AQ15)</f>
        <v>13212.076879715743</v>
      </c>
      <c r="AS16" s="137" t="e">
        <f>SUM(AS13:AS15)</f>
        <v>#DIV/0!</v>
      </c>
      <c r="AT16" s="115"/>
      <c r="AU16" s="137" t="e">
        <f>SUM(AU13:AU15)</f>
        <v>#DIV/0!</v>
      </c>
    </row>
    <row r="17" spans="1:48" s="132" customFormat="1" ht="10.5" customHeight="1" thickBot="1" x14ac:dyDescent="0.3">
      <c r="C17" s="133"/>
      <c r="F17" s="134"/>
      <c r="G17" s="139"/>
      <c r="I17" s="139"/>
      <c r="K17" s="139"/>
      <c r="L17" s="134"/>
      <c r="M17" s="139"/>
      <c r="O17" s="139"/>
      <c r="Q17" s="139"/>
      <c r="R17" s="209"/>
      <c r="S17" s="139"/>
      <c r="U17" s="139"/>
      <c r="W17" s="139"/>
      <c r="X17" s="209"/>
      <c r="Y17" s="139"/>
      <c r="AA17" s="139"/>
      <c r="AC17" s="139"/>
      <c r="AD17" s="209"/>
      <c r="AE17" s="139"/>
      <c r="AG17" s="139"/>
      <c r="AI17" s="139"/>
      <c r="AJ17" s="209"/>
      <c r="AK17" s="139"/>
      <c r="AM17" s="139"/>
      <c r="AO17" s="139"/>
      <c r="AP17" s="209"/>
      <c r="AQ17" s="139"/>
      <c r="AS17" s="139"/>
      <c r="AU17" s="139"/>
      <c r="AV17" s="209"/>
    </row>
    <row r="18" spans="1:48" ht="15.75" thickTop="1" x14ac:dyDescent="0.25">
      <c r="C18" s="120" t="s">
        <v>15</v>
      </c>
      <c r="F18" s="130"/>
      <c r="G18" s="136">
        <f>G16+G10</f>
        <v>24790.512453475974</v>
      </c>
      <c r="I18" s="136">
        <f>I16+I10</f>
        <v>22303.428471309191</v>
      </c>
      <c r="K18" s="136">
        <f>K16+K10</f>
        <v>47447.868149067348</v>
      </c>
      <c r="L18" s="130"/>
      <c r="M18" s="136">
        <f>M16+M10</f>
        <v>106943.882870459</v>
      </c>
      <c r="O18" s="136">
        <f>O16+O10</f>
        <v>86103.440128029877</v>
      </c>
      <c r="Q18" s="136">
        <f>Q16+Q10</f>
        <v>128843.13141019903</v>
      </c>
      <c r="S18" s="136">
        <f>S16+S10</f>
        <v>72603.744154140324</v>
      </c>
      <c r="U18" s="136">
        <f>U16+U10</f>
        <v>139040.72858978569</v>
      </c>
      <c r="W18" s="136">
        <f>W16+W10</f>
        <v>76825.863004054205</v>
      </c>
      <c r="Y18" s="136">
        <f>Y16+Y10</f>
        <v>71877.097391132847</v>
      </c>
      <c r="AA18" s="136">
        <f>AA16+AA10</f>
        <v>35837.642596939921</v>
      </c>
      <c r="AC18" s="136">
        <f>AC16+AC10</f>
        <v>33067.836727263668</v>
      </c>
      <c r="AE18" s="136">
        <f>AE16+AE10</f>
        <v>34284.132854561001</v>
      </c>
      <c r="AG18" s="136">
        <f>AG16+AG10</f>
        <v>46647.825567142318</v>
      </c>
      <c r="AI18" s="136">
        <f>AI16+AI10</f>
        <v>62521.703870795602</v>
      </c>
      <c r="AK18" s="136">
        <f>AK16+AK10</f>
        <v>71971.468767897546</v>
      </c>
      <c r="AM18" s="136">
        <f>AM16+AM10</f>
        <v>120753.65961892437</v>
      </c>
      <c r="AO18" s="136">
        <f>AO16+AO10</f>
        <v>82046.226402435641</v>
      </c>
      <c r="AQ18" s="136">
        <f>AQ16+AQ10</f>
        <v>59420.158904132659</v>
      </c>
      <c r="AS18" s="136" t="e">
        <f>AS16+AS10</f>
        <v>#DIV/0!</v>
      </c>
      <c r="AU18" s="136" t="e">
        <f>AU16+AU10</f>
        <v>#DIV/0!</v>
      </c>
    </row>
    <row r="19" spans="1:48" s="132" customFormat="1" ht="16.5" customHeight="1" x14ac:dyDescent="0.25">
      <c r="C19" s="133"/>
      <c r="F19" s="134"/>
      <c r="G19" s="135"/>
      <c r="I19" s="135"/>
      <c r="K19" s="135"/>
      <c r="L19" s="134"/>
      <c r="M19" s="135"/>
      <c r="O19" s="135"/>
      <c r="Q19" s="135"/>
      <c r="R19" s="209"/>
      <c r="S19" s="135"/>
      <c r="U19" s="135"/>
      <c r="W19" s="135"/>
      <c r="X19" s="209"/>
      <c r="Y19" s="135"/>
      <c r="AA19" s="135"/>
      <c r="AC19" s="135"/>
      <c r="AD19" s="209"/>
      <c r="AE19" s="135"/>
      <c r="AG19" s="135"/>
      <c r="AI19" s="135"/>
      <c r="AJ19" s="209"/>
      <c r="AK19" s="135"/>
      <c r="AM19" s="135"/>
      <c r="AO19" s="135"/>
      <c r="AP19" s="209"/>
      <c r="AQ19" s="135"/>
      <c r="AS19" s="135"/>
      <c r="AU19" s="135"/>
      <c r="AV19" s="209"/>
    </row>
    <row r="20" spans="1:48" x14ac:dyDescent="0.25">
      <c r="C20" s="19" t="s">
        <v>173</v>
      </c>
      <c r="F20" s="130"/>
      <c r="G20" s="140">
        <f>Sales!T49</f>
        <v>2667.8</v>
      </c>
      <c r="I20" s="140">
        <f>Sales!V49</f>
        <v>2471.6</v>
      </c>
      <c r="J20" s="115"/>
      <c r="K20" s="140">
        <f>Sales!X49</f>
        <v>4758.1000000000004</v>
      </c>
      <c r="L20" s="130"/>
      <c r="M20" s="140">
        <f>Sales!Z49</f>
        <v>8981</v>
      </c>
      <c r="O20" s="140">
        <f>Sales!AB49</f>
        <v>7429</v>
      </c>
      <c r="P20" s="115"/>
      <c r="Q20" s="140">
        <f>Sales!F50</f>
        <v>14891</v>
      </c>
      <c r="S20" s="140">
        <f>Sales!H50</f>
        <v>11254</v>
      </c>
      <c r="U20" s="140">
        <f>Sales!J50</f>
        <v>9196</v>
      </c>
      <c r="V20" s="115"/>
      <c r="W20" s="140">
        <f>Sales!L50</f>
        <v>5769</v>
      </c>
      <c r="Y20" s="140">
        <f>Sales!N50</f>
        <v>2820.4</v>
      </c>
      <c r="AA20" s="140">
        <f>Sales!P50</f>
        <v>2251.1999999999998</v>
      </c>
      <c r="AB20" s="115"/>
      <c r="AC20" s="140">
        <f>Sales!R50</f>
        <v>2856.1000000000004</v>
      </c>
      <c r="AE20" s="140">
        <f>Sales!T50</f>
        <v>1623.3999999999999</v>
      </c>
      <c r="AG20" s="140">
        <f>Sales!V50</f>
        <v>2114.6999999999998</v>
      </c>
      <c r="AH20" s="115"/>
      <c r="AI20" s="140">
        <f>Sales!X50</f>
        <v>4950.7</v>
      </c>
      <c r="AK20" s="140">
        <f>Sales!Z50</f>
        <v>7174.2999999999993</v>
      </c>
      <c r="AM20" s="140">
        <f>Sales!AB50</f>
        <v>11923.9</v>
      </c>
      <c r="AN20" s="115"/>
      <c r="AO20" s="140">
        <f>Sales!F51</f>
        <v>10363.900000000001</v>
      </c>
      <c r="AQ20" s="140">
        <f>Sales!H51</f>
        <v>13945.400000000001</v>
      </c>
      <c r="AS20" s="140">
        <f>Sales!AH50</f>
        <v>0</v>
      </c>
      <c r="AT20" s="115"/>
      <c r="AU20" s="140"/>
    </row>
    <row r="21" spans="1:48" s="132" customFormat="1" ht="15.75" customHeight="1" x14ac:dyDescent="0.25">
      <c r="C21" s="133"/>
      <c r="F21" s="134"/>
      <c r="G21" s="135"/>
      <c r="I21" s="135"/>
      <c r="K21" s="135"/>
      <c r="L21" s="134"/>
      <c r="M21" s="135"/>
      <c r="O21" s="135"/>
      <c r="Q21" s="135"/>
      <c r="R21" s="209"/>
      <c r="S21" s="135"/>
      <c r="U21" s="135"/>
      <c r="W21" s="135"/>
      <c r="X21" s="209"/>
      <c r="Y21" s="135"/>
      <c r="AA21" s="135"/>
      <c r="AC21" s="135"/>
      <c r="AD21" s="209"/>
      <c r="AE21" s="135"/>
      <c r="AG21" s="135"/>
      <c r="AI21" s="135"/>
      <c r="AJ21" s="209"/>
      <c r="AK21" s="135"/>
      <c r="AM21" s="135"/>
      <c r="AO21" s="135"/>
      <c r="AP21" s="209"/>
      <c r="AQ21" s="135"/>
      <c r="AS21" s="135"/>
      <c r="AU21" s="135"/>
      <c r="AV21" s="209"/>
    </row>
    <row r="22" spans="1:48" x14ac:dyDescent="0.25">
      <c r="A22" s="19" t="s">
        <v>16</v>
      </c>
      <c r="F22" s="130"/>
      <c r="G22" s="141">
        <f>G18/G20</f>
        <v>9.2924928605877408</v>
      </c>
      <c r="H22" s="142"/>
      <c r="I22" s="141">
        <f>I18/I20</f>
        <v>9.0238826959496645</v>
      </c>
      <c r="J22" s="142"/>
      <c r="K22" s="141">
        <f>K18/K20</f>
        <v>9.9720199552483866</v>
      </c>
      <c r="L22" s="130"/>
      <c r="M22" s="141">
        <f>M18/M20</f>
        <v>11.907792324959248</v>
      </c>
      <c r="N22" s="142"/>
      <c r="O22" s="141">
        <f>O18/O20</f>
        <v>11.590179045366789</v>
      </c>
      <c r="P22" s="142"/>
      <c r="Q22" s="141">
        <f>Q18/Q20</f>
        <v>8.6524163192666066</v>
      </c>
      <c r="S22" s="141">
        <f>S18/S20</f>
        <v>6.4513723257633133</v>
      </c>
      <c r="T22" s="142"/>
      <c r="U22" s="141">
        <f>U18/U20</f>
        <v>15.119696453869693</v>
      </c>
      <c r="V22" s="142"/>
      <c r="W22" s="141">
        <f>W18/W20</f>
        <v>13.317015601326782</v>
      </c>
      <c r="Y22" s="141">
        <f>Y18/Y20</f>
        <v>25.484717554649286</v>
      </c>
      <c r="Z22" s="142"/>
      <c r="AA22" s="141">
        <f>AA18/AA20</f>
        <v>15.919350833750855</v>
      </c>
      <c r="AB22" s="142"/>
      <c r="AC22" s="141">
        <f>AC18/AC20</f>
        <v>11.577968813159085</v>
      </c>
      <c r="AE22" s="141">
        <f>AE18/AE20</f>
        <v>21.118721728816684</v>
      </c>
      <c r="AF22" s="142"/>
      <c r="AG22" s="141">
        <f>AG18/AG20</f>
        <v>22.05883840125896</v>
      </c>
      <c r="AH22" s="142"/>
      <c r="AI22" s="141">
        <f>AI18/AI20</f>
        <v>12.628861347040944</v>
      </c>
      <c r="AK22" s="141">
        <f>AK18/AK20</f>
        <v>10.031845443861778</v>
      </c>
      <c r="AL22" s="142"/>
      <c r="AM22" s="141">
        <f>AM18/AM20</f>
        <v>10.127027199064431</v>
      </c>
      <c r="AN22" s="142"/>
      <c r="AO22" s="141">
        <f>AO18/AO20</f>
        <v>7.9165397584341441</v>
      </c>
      <c r="AQ22" s="141">
        <f>AQ18/AQ20</f>
        <v>4.2609146316443169</v>
      </c>
      <c r="AR22" s="142"/>
      <c r="AS22" s="141" t="e">
        <f>AS18/AS20</f>
        <v>#DIV/0!</v>
      </c>
      <c r="AT22" s="142"/>
      <c r="AU22" s="141" t="e">
        <f>AU18/AU20</f>
        <v>#DIV/0!</v>
      </c>
    </row>
    <row r="23" spans="1:48" x14ac:dyDescent="0.25">
      <c r="A23" s="19" t="s">
        <v>17</v>
      </c>
      <c r="F23" s="130"/>
      <c r="G23" s="170">
        <f>((G68*G73)+(G69*G74)+(G70*G75))/G76</f>
        <v>7.625015323487518</v>
      </c>
      <c r="H23" s="19" t="s">
        <v>183</v>
      </c>
      <c r="I23" s="167">
        <v>7.2892000000000001</v>
      </c>
      <c r="K23" s="167">
        <v>7.2892000000000001</v>
      </c>
      <c r="L23" s="130"/>
      <c r="M23" s="181">
        <v>7.2892000000000001</v>
      </c>
      <c r="N23" s="19" t="s">
        <v>183</v>
      </c>
      <c r="O23" s="181">
        <v>7.2892000000000001</v>
      </c>
      <c r="Q23" s="167">
        <v>7.2892000000000001</v>
      </c>
      <c r="S23" s="167">
        <v>8.7695000000000007</v>
      </c>
      <c r="U23" s="167">
        <v>8.7695000000000007</v>
      </c>
      <c r="W23" s="167">
        <v>8.7695000000000007</v>
      </c>
      <c r="Y23" s="167">
        <v>10</v>
      </c>
      <c r="AA23" s="167">
        <v>10</v>
      </c>
      <c r="AC23" s="167">
        <f>10+3.6618</f>
        <v>13.661799999999999</v>
      </c>
      <c r="AE23" s="167">
        <v>13.197100000000001</v>
      </c>
      <c r="AG23" s="167">
        <v>13.197100000000001</v>
      </c>
      <c r="AI23" s="167">
        <v>13.197100000000001</v>
      </c>
      <c r="AK23" s="167">
        <v>14.162800000000001</v>
      </c>
      <c r="AM23" s="167">
        <v>14.162800000000001</v>
      </c>
      <c r="AO23" s="167">
        <v>14.162800000000001</v>
      </c>
      <c r="AQ23" s="167">
        <v>9.8459000000000003</v>
      </c>
      <c r="AS23" s="167">
        <v>9.8459000000000003</v>
      </c>
      <c r="AU23" s="167">
        <v>9.8459000000000003</v>
      </c>
    </row>
    <row r="24" spans="1:48" x14ac:dyDescent="0.25">
      <c r="B24" s="19" t="s">
        <v>18</v>
      </c>
      <c r="F24" s="130"/>
      <c r="G24" s="136">
        <f>G22-G23</f>
        <v>1.6674775371002228</v>
      </c>
      <c r="I24" s="136">
        <f>I22-I23</f>
        <v>1.7346826959496644</v>
      </c>
      <c r="K24" s="136">
        <f>K22-K23</f>
        <v>2.6828199552483865</v>
      </c>
      <c r="L24" s="130"/>
      <c r="M24" s="136">
        <f>M22-M23</f>
        <v>4.6185923249592475</v>
      </c>
      <c r="O24" s="136">
        <f>O22-O23</f>
        <v>4.3009790453667884</v>
      </c>
      <c r="Q24" s="136">
        <f>Q22-Q23</f>
        <v>1.3632163192666065</v>
      </c>
      <c r="S24" s="136">
        <f>S22-S23</f>
        <v>-2.3181276742366874</v>
      </c>
      <c r="U24" s="136">
        <f>U22-U23</f>
        <v>6.3501964538696924</v>
      </c>
      <c r="W24" s="136">
        <f>W22-W23</f>
        <v>4.547515601326781</v>
      </c>
      <c r="Y24" s="136">
        <f>Y22-Y23</f>
        <v>15.484717554649286</v>
      </c>
      <c r="AA24" s="136">
        <f>AA22-AA23</f>
        <v>5.9193508337508547</v>
      </c>
      <c r="AC24" s="136">
        <f>AC22-AC23</f>
        <v>-2.0838311868409143</v>
      </c>
      <c r="AE24" s="136">
        <f>AE22-AE23</f>
        <v>7.9216217288166835</v>
      </c>
      <c r="AG24" s="136">
        <f>AG22-AG23</f>
        <v>8.8617384012589593</v>
      </c>
      <c r="AI24" s="136">
        <f>AI22-AI23</f>
        <v>-0.56823865295905662</v>
      </c>
      <c r="AK24" s="136">
        <f>AK22-AK23</f>
        <v>-4.1309545561382226</v>
      </c>
      <c r="AM24" s="136">
        <f>AM22-AM23</f>
        <v>-4.03577280093557</v>
      </c>
      <c r="AO24" s="136">
        <f>AO22-AO23</f>
        <v>-6.2462602415658566</v>
      </c>
      <c r="AQ24" s="136">
        <f>AQ22-AQ23</f>
        <v>-5.5849853683556834</v>
      </c>
      <c r="AS24" s="136" t="e">
        <f>AS22-AS23</f>
        <v>#DIV/0!</v>
      </c>
      <c r="AU24" s="136" t="e">
        <f>AU22-AU23</f>
        <v>#DIV/0!</v>
      </c>
    </row>
    <row r="25" spans="1:48" x14ac:dyDescent="0.25">
      <c r="C25" s="120" t="s">
        <v>19</v>
      </c>
      <c r="F25" s="130"/>
      <c r="G25" s="136">
        <f>G24*G20</f>
        <v>4448.4965734759744</v>
      </c>
      <c r="I25" s="136">
        <f>I24*I20</f>
        <v>4287.4417513091903</v>
      </c>
      <c r="K25" s="136">
        <f>K24*K20</f>
        <v>12765.125629067348</v>
      </c>
      <c r="L25" s="130"/>
      <c r="M25" s="136">
        <f>M24*M20</f>
        <v>41479.577670459003</v>
      </c>
      <c r="O25" s="136">
        <f>O24*O20</f>
        <v>31951.973328029871</v>
      </c>
      <c r="Q25" s="136">
        <f>Q24*Q20</f>
        <v>20299.654210199038</v>
      </c>
      <c r="S25" s="136">
        <f>S24*S20</f>
        <v>-26088.208845859681</v>
      </c>
      <c r="U25" s="136">
        <f>U24*U20</f>
        <v>58396.406589785693</v>
      </c>
      <c r="W25" s="136">
        <f>W24*W20</f>
        <v>26234.6175040542</v>
      </c>
      <c r="Y25" s="136">
        <f>Y24*Y20</f>
        <v>43673.097391132847</v>
      </c>
      <c r="AA25" s="136">
        <f>AA24*AA20</f>
        <v>13325.642596939922</v>
      </c>
      <c r="AC25" s="136">
        <f>AC24*AC20</f>
        <v>-5951.6302527363359</v>
      </c>
      <c r="AE25" s="136">
        <f>AE24*AE20</f>
        <v>12859.960714561003</v>
      </c>
      <c r="AG25" s="136">
        <f>AG24*AG20</f>
        <v>18739.91819714232</v>
      </c>
      <c r="AI25" s="136">
        <f>AI24*AI20</f>
        <v>-2813.1790992044016</v>
      </c>
      <c r="AK25" s="136">
        <f>AK24*AK20</f>
        <v>-29636.707272102449</v>
      </c>
      <c r="AM25" s="136">
        <f>AM24*AM20</f>
        <v>-48122.151301075639</v>
      </c>
      <c r="AO25" s="136">
        <f>AO24*AO20</f>
        <v>-64735.616517564391</v>
      </c>
      <c r="AQ25" s="136">
        <f>AQ24*AQ20</f>
        <v>-77884.854955867355</v>
      </c>
      <c r="AS25" s="136" t="e">
        <f>AS24*AS20</f>
        <v>#DIV/0!</v>
      </c>
      <c r="AU25" s="136" t="e">
        <f>AU24*AU20</f>
        <v>#DIV/0!</v>
      </c>
    </row>
    <row r="26" spans="1:48" x14ac:dyDescent="0.25">
      <c r="F26" s="130"/>
      <c r="G26" s="138">
        <f>SUM(G18:K18)/SUM(G20:K20)</f>
        <v>9.5520898281235187</v>
      </c>
      <c r="L26" s="130"/>
      <c r="M26" s="138">
        <f>SUM(M18:Q18)/SUM(M20:Q20)</f>
        <v>10.283711523871055</v>
      </c>
      <c r="S26" s="138">
        <f>SUM(S18:W18)/SUM(S20:W20)</f>
        <v>11.002339362598887</v>
      </c>
      <c r="Y26" s="138">
        <f>SUM(Y18:AC18)/SUM(Y20:AC20)</f>
        <v>17.758312841724134</v>
      </c>
      <c r="AE26" s="138">
        <f>SUM(AE18:AI18)/SUM(AE20:AI20)</f>
        <v>16.510181186412272</v>
      </c>
      <c r="AK26" s="138">
        <f>SUM(AK18:AO18)/SUM(AK20:AO20)</f>
        <v>9.3262650927550172</v>
      </c>
      <c r="AQ26" s="138" t="e">
        <f>SUM(AQ18:AU18)/SUM(AQ20:AU20)</f>
        <v>#DIV/0!</v>
      </c>
    </row>
    <row r="27" spans="1:48" x14ac:dyDescent="0.25">
      <c r="D27" s="120" t="s">
        <v>20</v>
      </c>
      <c r="F27" s="130"/>
      <c r="G27" s="138"/>
      <c r="I27" s="120"/>
      <c r="K27" s="136">
        <f>SUM(G25:K25)</f>
        <v>21501.063953852514</v>
      </c>
      <c r="L27" s="130"/>
      <c r="M27" s="138"/>
      <c r="O27" s="120"/>
      <c r="Q27" s="136">
        <f>SUM(M25:Q25)</f>
        <v>93731.205208687912</v>
      </c>
      <c r="S27" s="138"/>
      <c r="U27" s="120"/>
      <c r="W27" s="136">
        <f>SUM(S25:W25)</f>
        <v>58542.815247980208</v>
      </c>
      <c r="Y27" s="138"/>
      <c r="AA27" s="120"/>
      <c r="AC27" s="136">
        <f>SUM(Y25:AC25)</f>
        <v>51047.109735336431</v>
      </c>
      <c r="AE27" s="138"/>
      <c r="AG27" s="120"/>
      <c r="AI27" s="136">
        <f>SUM(AE25:AI25)</f>
        <v>28786.699812498922</v>
      </c>
      <c r="AK27" s="138"/>
      <c r="AM27" s="120"/>
      <c r="AO27" s="136">
        <f>SUM(AK25:AO25)</f>
        <v>-142494.47509074249</v>
      </c>
      <c r="AQ27" s="138"/>
      <c r="AS27" s="120"/>
      <c r="AU27" s="136" t="e">
        <f>SUM(AQ25:AU25)</f>
        <v>#DIV/0!</v>
      </c>
    </row>
    <row r="28" spans="1:48" x14ac:dyDescent="0.25">
      <c r="D28" s="120" t="s">
        <v>174</v>
      </c>
      <c r="F28" s="130"/>
      <c r="G28" s="138"/>
      <c r="I28" s="120" t="s">
        <v>175</v>
      </c>
      <c r="K28" s="144">
        <v>127512</v>
      </c>
      <c r="L28" s="130"/>
      <c r="M28" s="138"/>
      <c r="O28" s="120" t="s">
        <v>175</v>
      </c>
      <c r="Q28" s="144">
        <v>126736</v>
      </c>
      <c r="S28" s="138"/>
      <c r="U28" s="120" t="s">
        <v>175</v>
      </c>
      <c r="W28" s="144">
        <v>125993</v>
      </c>
      <c r="Y28" s="138"/>
      <c r="AA28" s="120" t="s">
        <v>175</v>
      </c>
      <c r="AC28" s="144">
        <v>123417</v>
      </c>
      <c r="AE28" s="138"/>
      <c r="AG28" s="120" t="s">
        <v>175</v>
      </c>
      <c r="AI28" s="144">
        <v>122894</v>
      </c>
      <c r="AK28" s="138"/>
      <c r="AM28" s="120" t="s">
        <v>175</v>
      </c>
      <c r="AO28" s="144">
        <v>119269</v>
      </c>
      <c r="AQ28" s="138"/>
      <c r="AS28" s="120" t="s">
        <v>175</v>
      </c>
      <c r="AU28" s="144"/>
    </row>
    <row r="29" spans="1:48" x14ac:dyDescent="0.25">
      <c r="D29" s="145" t="s">
        <v>51</v>
      </c>
      <c r="F29" s="130"/>
      <c r="G29" s="138"/>
      <c r="I29" s="145" t="s">
        <v>51</v>
      </c>
      <c r="K29" s="146">
        <f>(K27/K28)</f>
        <v>0.16861992560584504</v>
      </c>
      <c r="L29" s="130"/>
      <c r="M29" s="138"/>
      <c r="O29" s="145" t="s">
        <v>51</v>
      </c>
      <c r="Q29" s="146">
        <f>(Q27/Q28)</f>
        <v>0.73957837716740238</v>
      </c>
      <c r="S29" s="138"/>
      <c r="U29" s="145" t="s">
        <v>51</v>
      </c>
      <c r="W29" s="146">
        <f>(W27/W28)</f>
        <v>0.46465133180399076</v>
      </c>
      <c r="Y29" s="138"/>
      <c r="AA29" s="145" t="s">
        <v>51</v>
      </c>
      <c r="AC29" s="146">
        <f>(AC27/AC28)</f>
        <v>0.41361489693750803</v>
      </c>
      <c r="AE29" s="138"/>
      <c r="AG29" s="145" t="s">
        <v>51</v>
      </c>
      <c r="AI29" s="146">
        <f>(AI27/AI28)</f>
        <v>0.2342400752884512</v>
      </c>
      <c r="AK29" s="138"/>
      <c r="AM29" s="145" t="s">
        <v>51</v>
      </c>
      <c r="AO29" s="146">
        <f>(AO27/AO28)</f>
        <v>-1.194731867381654</v>
      </c>
      <c r="AQ29" s="138"/>
      <c r="AS29" s="145" t="s">
        <v>51</v>
      </c>
      <c r="AU29" s="146" t="e">
        <f>(AU27/AU28)</f>
        <v>#DIV/0!</v>
      </c>
    </row>
    <row r="30" spans="1:48" x14ac:dyDescent="0.25">
      <c r="D30" s="145"/>
      <c r="G30" s="138"/>
      <c r="I30" s="145"/>
      <c r="K30" s="147"/>
      <c r="M30" s="138"/>
      <c r="O30" s="145"/>
      <c r="Q30" s="147"/>
      <c r="S30" s="138"/>
      <c r="U30" s="145"/>
      <c r="W30" s="147"/>
      <c r="Y30" s="138"/>
      <c r="AA30" s="145"/>
      <c r="AC30" s="147"/>
      <c r="AE30" s="138"/>
      <c r="AG30" s="145"/>
      <c r="AI30" s="147"/>
      <c r="AK30" s="138"/>
      <c r="AM30" s="145"/>
      <c r="AO30" s="147"/>
      <c r="AQ30" s="138"/>
      <c r="AS30" s="145"/>
      <c r="AU30" s="147"/>
    </row>
    <row r="31" spans="1:48" x14ac:dyDescent="0.25">
      <c r="D31" s="145"/>
      <c r="G31" s="138"/>
      <c r="I31" s="145"/>
      <c r="K31" s="147"/>
      <c r="M31" s="138"/>
      <c r="O31" s="145"/>
      <c r="Q31" s="147"/>
      <c r="S31" s="138"/>
      <c r="U31" s="145"/>
      <c r="W31" s="147"/>
      <c r="Y31" s="138"/>
      <c r="AA31" s="145"/>
      <c r="AC31" s="147"/>
      <c r="AE31" s="138"/>
      <c r="AG31" s="145"/>
      <c r="AI31" s="147"/>
      <c r="AK31" s="138"/>
      <c r="AM31" s="145"/>
      <c r="AO31" s="147"/>
      <c r="AQ31" s="138"/>
      <c r="AS31" s="145"/>
      <c r="AU31" s="147"/>
    </row>
    <row r="32" spans="1:48" x14ac:dyDescent="0.25">
      <c r="A32" s="148" t="s">
        <v>2</v>
      </c>
      <c r="G32" s="138"/>
      <c r="I32" s="120"/>
      <c r="M32" s="138"/>
      <c r="O32" s="120"/>
      <c r="S32" s="138"/>
      <c r="U32" s="120"/>
      <c r="Y32" s="138"/>
      <c r="AA32" s="120"/>
      <c r="AE32" s="138"/>
      <c r="AG32" s="120"/>
      <c r="AK32" s="138"/>
      <c r="AM32" s="120"/>
      <c r="AQ32" s="138"/>
      <c r="AS32" s="120"/>
    </row>
    <row r="33" spans="1:48" x14ac:dyDescent="0.25">
      <c r="A33" s="19" t="s">
        <v>21</v>
      </c>
      <c r="G33" s="138"/>
      <c r="M33" s="138"/>
      <c r="S33" s="138"/>
      <c r="Y33" s="138"/>
      <c r="AE33" s="138"/>
      <c r="AK33" s="138"/>
      <c r="AQ33" s="138"/>
    </row>
    <row r="34" spans="1:48" x14ac:dyDescent="0.25">
      <c r="C34" s="19" t="s">
        <v>22</v>
      </c>
      <c r="F34" s="22"/>
      <c r="G34" s="168">
        <v>780</v>
      </c>
      <c r="H34" s="115"/>
      <c r="I34" s="168">
        <v>728</v>
      </c>
      <c r="J34" s="115"/>
      <c r="K34" s="168">
        <v>1509</v>
      </c>
      <c r="L34" s="22"/>
      <c r="M34" s="168">
        <v>7908</v>
      </c>
      <c r="N34" s="115"/>
      <c r="O34" s="168">
        <v>6936</v>
      </c>
      <c r="P34" s="115"/>
      <c r="Q34" s="168">
        <v>19590</v>
      </c>
      <c r="S34" s="187">
        <v>14449</v>
      </c>
      <c r="U34" s="187">
        <v>10786</v>
      </c>
      <c r="W34" s="187">
        <v>6749</v>
      </c>
      <c r="Y34" s="187">
        <v>1471</v>
      </c>
      <c r="AA34" s="185">
        <v>933</v>
      </c>
      <c r="AC34" s="185">
        <v>922</v>
      </c>
      <c r="AE34" s="185">
        <v>819</v>
      </c>
      <c r="AG34" s="185">
        <v>676</v>
      </c>
      <c r="AI34" s="185">
        <v>603</v>
      </c>
      <c r="AK34" s="185">
        <v>3478</v>
      </c>
      <c r="AM34" s="185">
        <v>8372</v>
      </c>
      <c r="AO34" s="185">
        <v>14897</v>
      </c>
      <c r="AQ34" s="185">
        <v>12297</v>
      </c>
      <c r="AS34" s="185"/>
      <c r="AU34" s="185"/>
    </row>
    <row r="35" spans="1:48" x14ac:dyDescent="0.25">
      <c r="C35" s="19" t="s">
        <v>176</v>
      </c>
      <c r="F35" s="22"/>
      <c r="G35" s="151">
        <f>Sales!T9</f>
        <v>2015.8</v>
      </c>
      <c r="H35" s="22"/>
      <c r="I35" s="151">
        <f>Sales!V9</f>
        <v>1794</v>
      </c>
      <c r="J35" s="22"/>
      <c r="K35" s="151">
        <f>Sales!X9</f>
        <v>3506.4</v>
      </c>
      <c r="L35" s="22"/>
      <c r="M35" s="151">
        <f>Sales!Z9</f>
        <v>4416.2</v>
      </c>
      <c r="N35" s="22"/>
      <c r="O35" s="151">
        <f>Sales!AB9</f>
        <v>3163</v>
      </c>
      <c r="P35" s="22"/>
      <c r="Q35" s="151">
        <f>Sales!F10</f>
        <v>9748</v>
      </c>
      <c r="S35" s="151">
        <f>Sales!H10</f>
        <v>6389</v>
      </c>
      <c r="T35" s="22"/>
      <c r="U35" s="151">
        <f>Sales!J10</f>
        <v>5426</v>
      </c>
      <c r="V35" s="22"/>
      <c r="W35" s="151">
        <f>Sales!L10</f>
        <v>4056</v>
      </c>
      <c r="Y35" s="151">
        <f>Sales!N10</f>
        <v>2246</v>
      </c>
      <c r="Z35" s="22"/>
      <c r="AA35" s="151">
        <f>Sales!P10</f>
        <v>1697.5</v>
      </c>
      <c r="AB35" s="22"/>
      <c r="AC35" s="151">
        <f>Sales!R10</f>
        <v>2154.6</v>
      </c>
      <c r="AE35" s="151">
        <f>Sales!T10</f>
        <v>1438.6</v>
      </c>
      <c r="AF35" s="22"/>
      <c r="AG35" s="151">
        <f>Sales!V10</f>
        <v>1789.5</v>
      </c>
      <c r="AH35" s="22"/>
      <c r="AI35" s="151">
        <f>Sales!X10</f>
        <v>3440.2</v>
      </c>
      <c r="AK35" s="151">
        <f>Sales!Z10</f>
        <v>4157.8999999999996</v>
      </c>
      <c r="AL35" s="22"/>
      <c r="AM35" s="151">
        <f>Sales!AB10</f>
        <v>6814.1</v>
      </c>
      <c r="AN35" s="22"/>
      <c r="AO35" s="151">
        <f>Sales!F11</f>
        <v>5578.7</v>
      </c>
      <c r="AQ35" s="151">
        <f>Sales!H11</f>
        <v>4258.3</v>
      </c>
      <c r="AR35" s="22"/>
      <c r="AS35" s="151">
        <f>Sales!J11</f>
        <v>0</v>
      </c>
      <c r="AT35" s="22"/>
      <c r="AU35" s="151">
        <f>Sales!L11</f>
        <v>0</v>
      </c>
    </row>
    <row r="36" spans="1:48" x14ac:dyDescent="0.25">
      <c r="C36" s="19" t="s">
        <v>177</v>
      </c>
      <c r="G36" s="152">
        <f>G35+((+G34)/10)</f>
        <v>2093.8000000000002</v>
      </c>
      <c r="I36" s="152">
        <f>I35+((+I34)/10)</f>
        <v>1866.8</v>
      </c>
      <c r="K36" s="152">
        <f>K35+((+K34)/10)</f>
        <v>3657.3</v>
      </c>
      <c r="M36" s="152">
        <f>M35+((+M34)/10)</f>
        <v>5207</v>
      </c>
      <c r="O36" s="152">
        <f>O35+((+O34)/10)</f>
        <v>3856.6</v>
      </c>
      <c r="Q36" s="152">
        <f>Q35+((+Q34)/10)</f>
        <v>11707</v>
      </c>
      <c r="S36" s="152">
        <f>S35+((+S34)/10)</f>
        <v>7833.9</v>
      </c>
      <c r="U36" s="152">
        <f>U35+((+U34)/10)</f>
        <v>6504.6</v>
      </c>
      <c r="W36" s="152">
        <f>W35+((+W34)/10)</f>
        <v>4730.8999999999996</v>
      </c>
      <c r="Y36" s="152">
        <f>Y35+((+Y34)/10)</f>
        <v>2393.1</v>
      </c>
      <c r="AA36" s="152">
        <f>AA35+((+AA34)/10)</f>
        <v>1790.8</v>
      </c>
      <c r="AC36" s="152">
        <f>AC35+((+AC34)/10)</f>
        <v>2246.7999999999997</v>
      </c>
      <c r="AE36" s="152">
        <f>AE35+((+AE34)/10)</f>
        <v>1520.5</v>
      </c>
      <c r="AG36" s="152">
        <f>AG35+((+AG34)/10)</f>
        <v>1857.1</v>
      </c>
      <c r="AI36" s="152">
        <f>AI35+((+AI34)/10)</f>
        <v>3500.5</v>
      </c>
      <c r="AK36" s="152">
        <f>AK35+((+AK34)/10)</f>
        <v>4505.7</v>
      </c>
      <c r="AM36" s="152">
        <f>AM35+((+AM34)/10)</f>
        <v>7651.3</v>
      </c>
      <c r="AO36" s="152">
        <f>AO35+((+AO34)/10)</f>
        <v>7068.4</v>
      </c>
      <c r="AQ36" s="152">
        <f>AQ35+((+AQ34)/10)</f>
        <v>5488</v>
      </c>
      <c r="AS36" s="152">
        <f>AS35+((+AS34)/10)</f>
        <v>0</v>
      </c>
      <c r="AU36" s="152">
        <f>AU35+((+AU34)/10)</f>
        <v>0</v>
      </c>
    </row>
    <row r="37" spans="1:48" x14ac:dyDescent="0.25">
      <c r="C37" s="19" t="s">
        <v>23</v>
      </c>
      <c r="G37" s="21">
        <f>G35/G36</f>
        <v>0.96274715827681712</v>
      </c>
      <c r="I37" s="21">
        <f>I35/I36</f>
        <v>0.96100278551532037</v>
      </c>
      <c r="K37" s="21">
        <f>K35/K36</f>
        <v>0.95874005413829877</v>
      </c>
      <c r="M37" s="21">
        <f>M35/M36</f>
        <v>0.84812752064528518</v>
      </c>
      <c r="O37" s="21">
        <f>O35/O36</f>
        <v>0.82015246590260849</v>
      </c>
      <c r="Q37" s="21">
        <f>Q35/Q36</f>
        <v>0.83266421798923718</v>
      </c>
      <c r="S37" s="21">
        <f>S35/S36</f>
        <v>0.81555802346213258</v>
      </c>
      <c r="U37" s="21">
        <f>U35/U36</f>
        <v>0.83417888878639723</v>
      </c>
      <c r="W37" s="21">
        <f>W35/W36</f>
        <v>0.85734215476970566</v>
      </c>
      <c r="Y37" s="21">
        <f>Y35/Y36</f>
        <v>0.93853161171701982</v>
      </c>
      <c r="AA37" s="21">
        <f>AA35/AA36</f>
        <v>0.94790037971856156</v>
      </c>
      <c r="AC37" s="21">
        <f>AC35/AC36</f>
        <v>0.95896385971158993</v>
      </c>
      <c r="AE37" s="21">
        <f>AE35/AE36</f>
        <v>0.94613613942781971</v>
      </c>
      <c r="AG37" s="21">
        <f>AG35/AG36</f>
        <v>0.96359915998061496</v>
      </c>
      <c r="AI37" s="21">
        <f>AI35/AI36</f>
        <v>0.98277388944436506</v>
      </c>
      <c r="AK37" s="21">
        <f>AK35/AK36</f>
        <v>0.92280888652151716</v>
      </c>
      <c r="AM37" s="21">
        <f>AM35/AM36</f>
        <v>0.89058068563512083</v>
      </c>
      <c r="AO37" s="21">
        <f>AO35/AO36</f>
        <v>0.78924509082677841</v>
      </c>
      <c r="AQ37" s="21">
        <f>AQ35/AQ36</f>
        <v>0.77592930029154528</v>
      </c>
      <c r="AS37" s="21" t="e">
        <f>AS35/AS36</f>
        <v>#DIV/0!</v>
      </c>
      <c r="AU37" s="21" t="e">
        <f>AU35/AU36</f>
        <v>#DIV/0!</v>
      </c>
    </row>
    <row r="38" spans="1:48" ht="6.75" customHeight="1" x14ac:dyDescent="0.25">
      <c r="G38" s="138"/>
      <c r="M38" s="138"/>
      <c r="S38" s="138"/>
      <c r="Y38" s="138"/>
    </row>
    <row r="39" spans="1:48" s="22" customFormat="1" ht="13.5" customHeight="1" x14ac:dyDescent="0.25">
      <c r="A39" s="19" t="s">
        <v>24</v>
      </c>
      <c r="G39" s="153"/>
      <c r="I39" s="153"/>
      <c r="K39" s="153"/>
      <c r="M39" s="153"/>
      <c r="O39" s="153"/>
      <c r="Q39" s="153"/>
      <c r="R39" s="208"/>
      <c r="S39" s="153"/>
      <c r="U39" s="153"/>
      <c r="W39" s="153"/>
      <c r="X39" s="208"/>
      <c r="Y39" s="153"/>
      <c r="AA39" s="153"/>
      <c r="AC39" s="153"/>
      <c r="AD39" s="208"/>
      <c r="AE39" s="153"/>
      <c r="AG39" s="153"/>
      <c r="AI39" s="153"/>
      <c r="AJ39" s="208"/>
      <c r="AK39" s="153"/>
      <c r="AM39" s="153"/>
      <c r="AO39" s="153"/>
      <c r="AP39" s="208"/>
      <c r="AQ39" s="153"/>
      <c r="AS39" s="153"/>
      <c r="AU39" s="153"/>
      <c r="AV39" s="208"/>
    </row>
    <row r="40" spans="1:48" x14ac:dyDescent="0.25">
      <c r="B40" s="19" t="s">
        <v>221</v>
      </c>
      <c r="G40" s="166">
        <v>5617.2</v>
      </c>
      <c r="H40" s="23"/>
      <c r="I40" s="166">
        <v>1315.44</v>
      </c>
      <c r="J40" s="23"/>
      <c r="K40" s="166">
        <v>3134.7</v>
      </c>
      <c r="M40" s="166">
        <v>38031.19</v>
      </c>
      <c r="N40" s="23"/>
      <c r="O40" s="166">
        <v>13636.6</v>
      </c>
      <c r="P40" s="23"/>
      <c r="Q40" s="166">
        <v>68452.86</v>
      </c>
      <c r="S40" s="164">
        <v>42987.7</v>
      </c>
      <c r="U40" s="164">
        <v>57431.34</v>
      </c>
      <c r="W40" s="164">
        <v>31942.799999999999</v>
      </c>
      <c r="Y40" s="164">
        <v>34655.980000000003</v>
      </c>
      <c r="AA40" s="164">
        <v>2367.1999999999998</v>
      </c>
      <c r="AC40" s="164">
        <v>941.6</v>
      </c>
      <c r="AE40" s="164">
        <v>942.41</v>
      </c>
      <c r="AG40" s="164">
        <v>351.85</v>
      </c>
      <c r="AI40" s="164">
        <v>3230.96</v>
      </c>
      <c r="AK40" s="164">
        <v>14068.1</v>
      </c>
      <c r="AM40" s="164">
        <v>50924.800000000003</v>
      </c>
      <c r="AO40" s="164">
        <v>30865.200000000001</v>
      </c>
      <c r="AQ40" s="164">
        <v>16230.1</v>
      </c>
      <c r="AS40" s="164"/>
      <c r="AU40" s="164"/>
    </row>
    <row r="41" spans="1:48" x14ac:dyDescent="0.25">
      <c r="B41" s="19" t="s">
        <v>64</v>
      </c>
      <c r="G41" s="166">
        <v>6435.95</v>
      </c>
      <c r="H41" s="23"/>
      <c r="I41" s="166">
        <v>9439.5</v>
      </c>
      <c r="J41" s="23"/>
      <c r="K41" s="166">
        <v>20460</v>
      </c>
      <c r="M41" s="166">
        <v>17186.96</v>
      </c>
      <c r="N41" s="23"/>
      <c r="O41" s="166">
        <v>29065.68</v>
      </c>
      <c r="P41" s="23"/>
      <c r="Q41" s="166">
        <v>24953.279999999999</v>
      </c>
      <c r="S41" s="164">
        <v>15400</v>
      </c>
      <c r="U41" s="164">
        <v>25038.2</v>
      </c>
      <c r="W41" s="164">
        <v>26848</v>
      </c>
      <c r="Y41" s="164">
        <v>21708.959999999999</v>
      </c>
      <c r="AA41" s="164">
        <v>18094.77</v>
      </c>
      <c r="AC41" s="164">
        <v>18883.64</v>
      </c>
      <c r="AE41" s="164">
        <v>18701.13</v>
      </c>
      <c r="AG41" s="164">
        <v>30470.6</v>
      </c>
      <c r="AI41" s="164">
        <v>36747.360000000001</v>
      </c>
      <c r="AK41" s="164">
        <v>32960</v>
      </c>
      <c r="AM41" s="164">
        <v>33196</v>
      </c>
      <c r="AO41" s="164">
        <v>36747.360000000001</v>
      </c>
      <c r="AQ41" s="164">
        <v>16035.6</v>
      </c>
      <c r="AS41" s="164"/>
      <c r="AU41" s="164"/>
    </row>
    <row r="42" spans="1:48" x14ac:dyDescent="0.25">
      <c r="B42" s="19" t="s">
        <v>196</v>
      </c>
      <c r="G42" s="166"/>
      <c r="H42" s="23"/>
      <c r="I42" s="166"/>
      <c r="J42" s="23"/>
      <c r="K42" s="166"/>
      <c r="M42" s="166"/>
      <c r="N42" s="23"/>
      <c r="O42" s="166"/>
      <c r="P42" s="23"/>
      <c r="Q42" s="166"/>
      <c r="S42" s="164">
        <v>10821</v>
      </c>
      <c r="T42"/>
      <c r="U42" s="164">
        <v>9325</v>
      </c>
      <c r="V42"/>
      <c r="W42" s="164">
        <v>3700</v>
      </c>
      <c r="Y42" s="164">
        <v>3700</v>
      </c>
      <c r="AA42" s="164">
        <v>3700</v>
      </c>
      <c r="AC42" s="164">
        <v>3700</v>
      </c>
      <c r="AE42" s="164">
        <v>3700</v>
      </c>
      <c r="AG42" s="164">
        <v>3700</v>
      </c>
      <c r="AI42" s="164">
        <v>3700</v>
      </c>
      <c r="AK42" s="164">
        <v>3700</v>
      </c>
      <c r="AM42" s="164">
        <v>3700</v>
      </c>
      <c r="AO42" s="212">
        <v>0</v>
      </c>
      <c r="AQ42" s="212">
        <v>0</v>
      </c>
      <c r="AR42"/>
      <c r="AS42" s="212"/>
      <c r="AT42"/>
      <c r="AU42" s="212"/>
    </row>
    <row r="43" spans="1:48" x14ac:dyDescent="0.25">
      <c r="C43" s="19" t="s">
        <v>25</v>
      </c>
      <c r="G43" s="156">
        <f>SUM(G40:G41)</f>
        <v>12053.15</v>
      </c>
      <c r="I43" s="156">
        <f>SUM(I40:I41)</f>
        <v>10754.94</v>
      </c>
      <c r="K43" s="156">
        <f>SUM(K40:K41)</f>
        <v>23594.7</v>
      </c>
      <c r="M43" s="156">
        <f>SUM(M40:M41)</f>
        <v>55218.15</v>
      </c>
      <c r="O43" s="156">
        <f>SUM(O40:O41)</f>
        <v>42702.28</v>
      </c>
      <c r="Q43" s="156">
        <f>SUM(Q40:Q41)</f>
        <v>93406.14</v>
      </c>
      <c r="S43" s="156">
        <f>SUM(S40:S42)</f>
        <v>69208.7</v>
      </c>
      <c r="U43" s="156">
        <f>SUM(U40:U42)</f>
        <v>91794.54</v>
      </c>
      <c r="W43" s="156">
        <f>SUM(W40:W42)</f>
        <v>62490.8</v>
      </c>
      <c r="Y43" s="156">
        <f>SUM(Y40:Y42)</f>
        <v>60064.94</v>
      </c>
      <c r="AA43" s="156">
        <f>SUM(AA40:AA42)</f>
        <v>24161.97</v>
      </c>
      <c r="AC43" s="156">
        <f>SUM(AC40:AC42)</f>
        <v>23525.239999999998</v>
      </c>
      <c r="AE43" s="156">
        <f>SUM(AE40:AE42)</f>
        <v>23343.54</v>
      </c>
      <c r="AG43" s="156">
        <f>SUM(AG40:AG42)</f>
        <v>34522.449999999997</v>
      </c>
      <c r="AI43" s="156">
        <f>SUM(AI40:AI42)</f>
        <v>43678.32</v>
      </c>
      <c r="AK43" s="156">
        <f>SUM(AK40:AK42)</f>
        <v>50728.1</v>
      </c>
      <c r="AM43" s="156">
        <f>SUM(AM40:AM42)</f>
        <v>87820.800000000003</v>
      </c>
      <c r="AO43" s="156">
        <f>SUM(AO40:AO42)</f>
        <v>67612.56</v>
      </c>
      <c r="AQ43" s="156">
        <f>SUM(AQ40:AQ42)</f>
        <v>32265.7</v>
      </c>
      <c r="AS43" s="156">
        <f>SUM(AS40:AS42)</f>
        <v>0</v>
      </c>
      <c r="AU43" s="156">
        <f>SUM(AU40:AU42)</f>
        <v>0</v>
      </c>
    </row>
    <row r="44" spans="1:48" x14ac:dyDescent="0.25">
      <c r="C44" s="120" t="s">
        <v>21</v>
      </c>
      <c r="G44" s="137">
        <f>G43*G37</f>
        <v>11604.135910784218</v>
      </c>
      <c r="I44" s="137">
        <f>I43*I37</f>
        <v>10335.52729805014</v>
      </c>
      <c r="K44" s="137">
        <f>K43*K37</f>
        <v>22621.183955376917</v>
      </c>
      <c r="M44" s="137">
        <f>M43*M37</f>
        <v>46832.032654119452</v>
      </c>
      <c r="O44" s="137">
        <f>O43*O37</f>
        <v>35022.380241663639</v>
      </c>
      <c r="Q44" s="137">
        <f>Q43*Q37</f>
        <v>77775.950518493206</v>
      </c>
      <c r="S44" s="137">
        <f>S43*S37</f>
        <v>56443.710578383696</v>
      </c>
      <c r="U44" s="137">
        <f>U43*U37</f>
        <v>76573.067373858488</v>
      </c>
      <c r="W44" s="137">
        <f>W43*W37</f>
        <v>53575.997125282724</v>
      </c>
      <c r="Y44" s="137">
        <f>Y43*Y37</f>
        <v>56372.844945886092</v>
      </c>
      <c r="AA44" s="137">
        <f>AA43*AA37</f>
        <v>22903.140537748495</v>
      </c>
      <c r="AC44" s="137">
        <f>AC43*AC37</f>
        <v>22559.854951041481</v>
      </c>
      <c r="AE44" s="137">
        <f>AE43*AE37</f>
        <v>22086.166816178888</v>
      </c>
      <c r="AG44" s="137">
        <f>AG43*AG37</f>
        <v>33265.803820472778</v>
      </c>
      <c r="AI44" s="137">
        <f>AI43*AI37</f>
        <v>42925.912430795601</v>
      </c>
      <c r="AK44" s="137">
        <f>AK43*AK37</f>
        <v>46812.341476352172</v>
      </c>
      <c r="AM44" s="137">
        <f>AM43*AM37</f>
        <v>78211.508277024826</v>
      </c>
      <c r="AO44" s="137">
        <f>AO43*AO37</f>
        <v>53362.881058231003</v>
      </c>
      <c r="AQ44" s="137">
        <f>AQ43*AQ37</f>
        <v>25035.902024416911</v>
      </c>
      <c r="AS44" s="137" t="e">
        <f>AS43*AS37</f>
        <v>#DIV/0!</v>
      </c>
      <c r="AU44" s="137" t="e">
        <f>AU43*AU37</f>
        <v>#DIV/0!</v>
      </c>
    </row>
    <row r="45" spans="1:48" ht="6.75" customHeight="1" x14ac:dyDescent="0.25">
      <c r="G45" s="138"/>
      <c r="M45" s="138"/>
      <c r="S45" s="138"/>
      <c r="Y45" s="138"/>
    </row>
    <row r="46" spans="1:48" x14ac:dyDescent="0.25">
      <c r="A46" s="19" t="s">
        <v>178</v>
      </c>
      <c r="G46" s="138"/>
      <c r="M46" s="138"/>
      <c r="S46" s="138"/>
      <c r="Y46" s="138"/>
    </row>
    <row r="47" spans="1:48" x14ac:dyDescent="0.25">
      <c r="B47" s="19" t="s">
        <v>214</v>
      </c>
      <c r="C47" s="157"/>
      <c r="G47" s="165"/>
      <c r="H47" s="23"/>
      <c r="I47" s="165"/>
      <c r="J47" s="23"/>
      <c r="K47" s="165"/>
      <c r="M47" s="165"/>
      <c r="N47" s="23"/>
      <c r="O47" s="165"/>
      <c r="P47" s="23"/>
      <c r="Q47" s="165"/>
      <c r="S47" s="164"/>
      <c r="U47" s="164"/>
      <c r="W47" s="164"/>
      <c r="Y47" s="164"/>
      <c r="AA47" s="164"/>
      <c r="AC47" s="164"/>
      <c r="AE47" s="164">
        <v>1000</v>
      </c>
      <c r="AG47" s="164">
        <v>1000</v>
      </c>
      <c r="AI47" s="164">
        <v>1000</v>
      </c>
      <c r="AK47" s="164">
        <v>1000</v>
      </c>
      <c r="AM47" s="164">
        <v>1000</v>
      </c>
      <c r="AO47" s="164">
        <v>1000</v>
      </c>
      <c r="AQ47" s="164">
        <v>1000</v>
      </c>
      <c r="AS47" s="164"/>
      <c r="AU47" s="164"/>
    </row>
    <row r="48" spans="1:48" x14ac:dyDescent="0.25">
      <c r="B48" s="19" t="s">
        <v>179</v>
      </c>
      <c r="C48" s="157"/>
      <c r="G48" s="165">
        <v>2102.5300000000002</v>
      </c>
      <c r="H48" s="23"/>
      <c r="I48" s="165">
        <v>2094.14</v>
      </c>
      <c r="J48" s="23"/>
      <c r="K48" s="165">
        <v>2100</v>
      </c>
      <c r="M48" s="165">
        <v>2142.84</v>
      </c>
      <c r="N48" s="23"/>
      <c r="O48" s="165">
        <v>2124.3200000000002</v>
      </c>
      <c r="P48" s="23"/>
      <c r="Q48" s="165">
        <v>2124.2600000000002</v>
      </c>
      <c r="S48" s="164">
        <v>2106.23</v>
      </c>
      <c r="U48" s="164">
        <v>2119.73</v>
      </c>
      <c r="W48" s="164">
        <v>2128.0100000000002</v>
      </c>
      <c r="Y48" s="164">
        <v>2103.5</v>
      </c>
      <c r="AA48" s="164">
        <v>2094.16</v>
      </c>
      <c r="AC48" s="164">
        <v>2096.38</v>
      </c>
      <c r="AE48" s="164">
        <v>2087.2600000000002</v>
      </c>
      <c r="AG48" s="164">
        <v>2087.25</v>
      </c>
      <c r="AI48" s="164"/>
      <c r="AK48" s="164">
        <v>2106.96</v>
      </c>
      <c r="AM48" s="164">
        <v>2135.1</v>
      </c>
      <c r="AO48" s="164">
        <v>2108.46</v>
      </c>
      <c r="AQ48" s="164">
        <v>2115.4299999999998</v>
      </c>
      <c r="AS48" s="164"/>
      <c r="AU48" s="164"/>
    </row>
    <row r="49" spans="1:47" x14ac:dyDescent="0.25">
      <c r="C49" s="120" t="s">
        <v>21</v>
      </c>
      <c r="G49" s="137">
        <f>G48*G37</f>
        <v>2024.2047826917565</v>
      </c>
      <c r="I49" s="137">
        <f>I48*I37</f>
        <v>2012.474373259053</v>
      </c>
      <c r="K49" s="137">
        <f>K48*K37</f>
        <v>2013.3541136904273</v>
      </c>
      <c r="M49" s="137">
        <f>M48*M37</f>
        <v>1817.401576339543</v>
      </c>
      <c r="O49" s="137">
        <f>O48*O37</f>
        <v>1742.2662863662295</v>
      </c>
      <c r="Q49" s="137">
        <f>Q48*Q37</f>
        <v>1768.7952917058171</v>
      </c>
      <c r="S49" s="137">
        <f>S48*S37</f>
        <v>1717.7527757566475</v>
      </c>
      <c r="U49" s="137">
        <f>U48*U37</f>
        <v>1768.2340159271898</v>
      </c>
      <c r="W49" s="137">
        <f>W48*W37</f>
        <v>1824.4326787714815</v>
      </c>
      <c r="Y49" s="137">
        <f>Y48*Y37</f>
        <v>1974.2012452467511</v>
      </c>
      <c r="AA49" s="137">
        <f>AA48*AA37</f>
        <v>1985.0550591914227</v>
      </c>
      <c r="AC49" s="137">
        <f>AC48*AC37</f>
        <v>2010.352656222183</v>
      </c>
      <c r="AE49" s="137">
        <f>AE48*AE37</f>
        <v>1974.8321183821113</v>
      </c>
      <c r="AG49" s="137">
        <f>AG48*AG37</f>
        <v>2011.2723466695386</v>
      </c>
      <c r="AI49" s="137">
        <f>AI48*AI37</f>
        <v>0</v>
      </c>
      <c r="AK49" s="137">
        <f>AK48*AK37</f>
        <v>1944.3214115453759</v>
      </c>
      <c r="AM49" s="137">
        <f>AM48*AM37</f>
        <v>1901.4788218995463</v>
      </c>
      <c r="AO49" s="137">
        <f>AO48*AO37</f>
        <v>1664.0917042046292</v>
      </c>
      <c r="AQ49" s="137">
        <f>AQ48*AQ37</f>
        <v>1641.4241197157435</v>
      </c>
      <c r="AS49" s="137" t="e">
        <f>AS48*AS37</f>
        <v>#DIV/0!</v>
      </c>
      <c r="AU49" s="137" t="e">
        <f>AU48*AU37</f>
        <v>#DIV/0!</v>
      </c>
    </row>
    <row r="50" spans="1:47" x14ac:dyDescent="0.25">
      <c r="B50" s="19" t="s">
        <v>180</v>
      </c>
      <c r="G50" s="136">
        <f>2.7172*G35</f>
        <v>5477.33176</v>
      </c>
      <c r="I50" s="136">
        <f>2.7172*I35</f>
        <v>4874.6567999999997</v>
      </c>
      <c r="K50" s="136">
        <f>2.7172*K35</f>
        <v>9527.5900799999999</v>
      </c>
      <c r="M50" s="136">
        <f>2.7172*M35</f>
        <v>11999.698640000001</v>
      </c>
      <c r="O50" s="136">
        <f>2.7172*O35</f>
        <v>8594.5036</v>
      </c>
      <c r="Q50" s="136">
        <f>2.7172*Q35</f>
        <v>26487.265599999999</v>
      </c>
      <c r="S50" s="136">
        <f>2.7172*S35</f>
        <v>17360.1908</v>
      </c>
      <c r="U50" s="136">
        <f>2.7172*U35</f>
        <v>14743.5272</v>
      </c>
      <c r="W50" s="136">
        <f>2.7172*W35</f>
        <v>11020.9632</v>
      </c>
      <c r="Y50" s="136">
        <f>2.7172*Y35</f>
        <v>6102.8312000000005</v>
      </c>
      <c r="AA50" s="136">
        <f>2.7172*AA35</f>
        <v>4612.4470000000001</v>
      </c>
      <c r="AC50" s="136">
        <f>2.7172*AC35</f>
        <v>5854.47912</v>
      </c>
      <c r="AE50" s="136">
        <f>2.7172*AE35</f>
        <v>3908.9639199999997</v>
      </c>
      <c r="AG50" s="136">
        <f>2.7172*AG35</f>
        <v>4862.4294</v>
      </c>
      <c r="AI50" s="136">
        <f>2.7172*AI35</f>
        <v>9347.7114399999991</v>
      </c>
      <c r="AK50" s="136">
        <f>2.7172*AK35</f>
        <v>11297.845879999999</v>
      </c>
      <c r="AM50" s="136">
        <f>2.7172*AM35</f>
        <v>18515.272520000002</v>
      </c>
      <c r="AO50" s="136">
        <f>2.7172*AO35</f>
        <v>15158.44364</v>
      </c>
      <c r="AQ50" s="136">
        <f>2.7172*AQ35</f>
        <v>11570.652760000001</v>
      </c>
      <c r="AS50" s="136">
        <f>2.7172*AS35</f>
        <v>0</v>
      </c>
      <c r="AU50" s="136">
        <f>2.7172*AU35</f>
        <v>0</v>
      </c>
    </row>
    <row r="51" spans="1:47" x14ac:dyDescent="0.25">
      <c r="C51" s="120"/>
      <c r="G51" s="137">
        <f>SUM(G49:G50)</f>
        <v>7501.536542691756</v>
      </c>
      <c r="I51" s="137">
        <f>SUM(I49:I50)</f>
        <v>6887.131173259053</v>
      </c>
      <c r="K51" s="137">
        <f>SUM(K49:K50)</f>
        <v>11540.944193690428</v>
      </c>
      <c r="M51" s="137">
        <f>SUM(M49:M50)</f>
        <v>13817.100216339544</v>
      </c>
      <c r="O51" s="137">
        <f>SUM(O49:O50)</f>
        <v>10336.76988636623</v>
      </c>
      <c r="Q51" s="137">
        <f>SUM(Q49:Q50)</f>
        <v>28256.060891705816</v>
      </c>
      <c r="S51" s="137">
        <f>SUM(S49:S50)</f>
        <v>19077.943575756646</v>
      </c>
      <c r="U51" s="137">
        <f>SUM(U49:U50)</f>
        <v>16511.761215927188</v>
      </c>
      <c r="W51" s="137">
        <f>SUM(W49:W50)</f>
        <v>12845.395878771482</v>
      </c>
      <c r="Y51" s="137">
        <f>SUM(Y49:Y50)</f>
        <v>8077.0324452467521</v>
      </c>
      <c r="AA51" s="137">
        <f>SUM(AA49:AA50)</f>
        <v>6597.5020591914226</v>
      </c>
      <c r="AC51" s="137">
        <f>SUM(AC49:AC50)</f>
        <v>7864.8317762221832</v>
      </c>
      <c r="AE51" s="137">
        <f>SUM(AE49:AE50)</f>
        <v>5883.796038382111</v>
      </c>
      <c r="AG51" s="137">
        <f>SUM(AG49:AG50)</f>
        <v>6873.7017466695388</v>
      </c>
      <c r="AI51" s="137">
        <f>SUM(AI49:AI50)</f>
        <v>9347.7114399999991</v>
      </c>
      <c r="AK51" s="137">
        <f>SUM(AK49:AK50)</f>
        <v>13242.167291545375</v>
      </c>
      <c r="AM51" s="137">
        <f>SUM(AM49:AM50)</f>
        <v>20416.751341899548</v>
      </c>
      <c r="AO51" s="137">
        <f>SUM(AO49:AO50)</f>
        <v>16822.535344204629</v>
      </c>
      <c r="AQ51" s="137">
        <f>SUM(AQ49:AQ50)</f>
        <v>13212.076879715743</v>
      </c>
      <c r="AS51" s="137" t="e">
        <f>SUM(AS49:AS50)</f>
        <v>#DIV/0!</v>
      </c>
      <c r="AU51" s="137" t="e">
        <f>SUM(AU49:AU50)</f>
        <v>#DIV/0!</v>
      </c>
    </row>
    <row r="53" spans="1:47" x14ac:dyDescent="0.25">
      <c r="A53" s="19" t="s">
        <v>5</v>
      </c>
    </row>
    <row r="54" spans="1:47" x14ac:dyDescent="0.25">
      <c r="B54" s="188" t="s">
        <v>70</v>
      </c>
      <c r="G54" s="164">
        <v>2519.9499999999998</v>
      </c>
      <c r="I54" s="164">
        <v>2081.37</v>
      </c>
      <c r="K54" s="164">
        <v>3758.48</v>
      </c>
      <c r="M54" s="164">
        <v>3559.57</v>
      </c>
      <c r="O54" s="182"/>
      <c r="Q54" s="182"/>
      <c r="S54"/>
      <c r="T54"/>
      <c r="U54"/>
      <c r="V54"/>
      <c r="W54"/>
      <c r="Y54"/>
      <c r="Z54"/>
      <c r="AA54"/>
      <c r="AB54"/>
      <c r="AC54"/>
      <c r="AE54"/>
      <c r="AF54"/>
      <c r="AG54"/>
      <c r="AH54"/>
      <c r="AI54"/>
      <c r="AK54"/>
      <c r="AL54"/>
      <c r="AM54"/>
      <c r="AN54"/>
      <c r="AO54"/>
      <c r="AQ54"/>
      <c r="AR54"/>
      <c r="AS54"/>
      <c r="AT54"/>
      <c r="AU54"/>
    </row>
    <row r="55" spans="1:47" x14ac:dyDescent="0.25">
      <c r="B55" s="19" t="s">
        <v>190</v>
      </c>
      <c r="G55" s="164">
        <v>45.37</v>
      </c>
      <c r="I55" s="164">
        <v>0</v>
      </c>
      <c r="K55" s="164">
        <v>0</v>
      </c>
      <c r="M55" s="164">
        <v>11773.82</v>
      </c>
      <c r="O55" s="164">
        <v>11227.57</v>
      </c>
      <c r="Q55" s="164">
        <v>12025.3</v>
      </c>
      <c r="S55" s="164">
        <v>11471.19</v>
      </c>
      <c r="U55" s="164">
        <v>6805.18</v>
      </c>
      <c r="W55" s="164">
        <v>5582.38</v>
      </c>
      <c r="Y55" s="164">
        <f>57.01+3201.9</f>
        <v>3258.9100000000003</v>
      </c>
      <c r="AA55" s="164">
        <v>3022.94</v>
      </c>
      <c r="AC55" s="207"/>
      <c r="AE55" s="164">
        <v>1925.7</v>
      </c>
      <c r="AG55" s="164"/>
      <c r="AI55" s="164">
        <v>2799.71</v>
      </c>
      <c r="AK55" s="211">
        <v>6365.56</v>
      </c>
      <c r="AM55" s="164">
        <v>6570.81</v>
      </c>
      <c r="AO55" s="164">
        <v>5433.04</v>
      </c>
      <c r="AQ55" s="211">
        <v>19225.71</v>
      </c>
      <c r="AS55" s="164">
        <v>2799.71</v>
      </c>
      <c r="AU55" s="164"/>
    </row>
    <row r="56" spans="1:47" ht="6.75" customHeight="1" x14ac:dyDescent="0.25">
      <c r="G56" s="138"/>
      <c r="M56" s="138"/>
      <c r="S56" s="138"/>
      <c r="Y56" s="138"/>
    </row>
    <row r="58" spans="1:47" x14ac:dyDescent="0.25">
      <c r="A58" s="19" t="s">
        <v>6</v>
      </c>
    </row>
    <row r="59" spans="1:47" x14ac:dyDescent="0.25">
      <c r="B59" s="188" t="s">
        <v>27</v>
      </c>
      <c r="G59" s="164">
        <v>841.32</v>
      </c>
      <c r="I59" s="164">
        <v>698.87</v>
      </c>
      <c r="K59" s="164">
        <v>3201.48</v>
      </c>
      <c r="M59" s="164">
        <v>10350.92</v>
      </c>
      <c r="O59" s="164">
        <v>10105.58</v>
      </c>
      <c r="Q59" s="182"/>
      <c r="S59"/>
      <c r="U59"/>
      <c r="W59"/>
      <c r="Y59"/>
      <c r="AA59"/>
      <c r="AC59"/>
      <c r="AE59"/>
      <c r="AG59"/>
      <c r="AI59"/>
      <c r="AK59"/>
      <c r="AM59"/>
      <c r="AO59"/>
      <c r="AQ59"/>
      <c r="AS59"/>
      <c r="AU59"/>
    </row>
    <row r="60" spans="1:47" x14ac:dyDescent="0.25">
      <c r="B60" s="19" t="s">
        <v>191</v>
      </c>
      <c r="G60" s="164">
        <v>718.44</v>
      </c>
      <c r="I60" s="164">
        <v>800.83</v>
      </c>
      <c r="K60" s="164">
        <v>1562.15</v>
      </c>
      <c r="M60" s="164">
        <v>5129.76</v>
      </c>
      <c r="O60" s="164">
        <v>4652.78</v>
      </c>
      <c r="Q60" s="164">
        <v>5392.91</v>
      </c>
      <c r="S60" s="164">
        <v>6690.56</v>
      </c>
      <c r="U60" s="164">
        <v>3505.62</v>
      </c>
      <c r="W60" s="164">
        <v>2683.09</v>
      </c>
      <c r="Y60" s="164">
        <v>1758.99</v>
      </c>
      <c r="AA60" s="164">
        <v>1800.56</v>
      </c>
      <c r="AC60" s="164">
        <v>0</v>
      </c>
      <c r="AE60" s="207">
        <v>1204.47</v>
      </c>
      <c r="AG60" s="164"/>
      <c r="AI60" s="164">
        <v>2112.0500000000002</v>
      </c>
      <c r="AK60" s="211">
        <v>3628</v>
      </c>
      <c r="AM60" s="164">
        <v>8123.89</v>
      </c>
      <c r="AO60" s="164">
        <v>5435.77</v>
      </c>
      <c r="AQ60" s="211">
        <v>1204.47</v>
      </c>
      <c r="AS60" s="164">
        <v>2112.0500000000002</v>
      </c>
      <c r="AU60" s="164"/>
    </row>
    <row r="61" spans="1:47" x14ac:dyDescent="0.25">
      <c r="B61" s="19" t="s">
        <v>26</v>
      </c>
      <c r="G61" s="164">
        <v>930.62</v>
      </c>
      <c r="I61" s="164">
        <v>947.21</v>
      </c>
      <c r="K61" s="164">
        <v>902.97</v>
      </c>
      <c r="M61" s="164">
        <v>773.41</v>
      </c>
      <c r="O61" s="164">
        <v>755.24</v>
      </c>
      <c r="Q61" s="184"/>
      <c r="S61" s="182"/>
      <c r="U61" s="182"/>
      <c r="W61" s="182"/>
      <c r="Y61" s="182"/>
      <c r="AA61" s="182"/>
      <c r="AC61" s="182"/>
      <c r="AE61" s="182"/>
      <c r="AG61" s="182"/>
      <c r="AI61" s="182"/>
      <c r="AK61" s="182"/>
      <c r="AM61" s="182"/>
      <c r="AO61" s="182"/>
      <c r="AQ61" s="182"/>
      <c r="AS61" s="182"/>
      <c r="AU61" s="182"/>
    </row>
    <row r="62" spans="1:47" x14ac:dyDescent="0.25">
      <c r="B62" s="19" t="s">
        <v>188</v>
      </c>
      <c r="C62" s="157"/>
      <c r="M62" s="182"/>
      <c r="O62" s="182"/>
      <c r="Q62" s="164">
        <v>7592.36</v>
      </c>
      <c r="S62" s="164">
        <v>12613.14</v>
      </c>
      <c r="U62" s="164">
        <v>34832</v>
      </c>
      <c r="W62" s="164">
        <v>2139</v>
      </c>
      <c r="Y62" s="164">
        <v>2409.3200000000002</v>
      </c>
      <c r="AA62" s="164">
        <v>1513.5</v>
      </c>
      <c r="AC62" s="164">
        <v>2643.15</v>
      </c>
      <c r="AE62" s="164">
        <v>3184</v>
      </c>
      <c r="AG62" s="164">
        <v>6508.32</v>
      </c>
      <c r="AI62" s="164">
        <v>5336.32</v>
      </c>
      <c r="AK62" s="164">
        <v>1923.4</v>
      </c>
      <c r="AM62" s="164">
        <v>7430.7</v>
      </c>
      <c r="AO62" s="164">
        <v>992</v>
      </c>
      <c r="AQ62" s="164">
        <v>742</v>
      </c>
      <c r="AS62" s="164"/>
      <c r="AU62" s="164"/>
    </row>
    <row r="63" spans="1:47" x14ac:dyDescent="0.25">
      <c r="B63" s="19" t="s">
        <v>192</v>
      </c>
      <c r="M63" s="164">
        <v>841.99</v>
      </c>
      <c r="O63" s="164">
        <v>118.48</v>
      </c>
      <c r="Q63" s="164">
        <v>837.35</v>
      </c>
      <c r="S63" s="164">
        <v>1514.01</v>
      </c>
      <c r="U63" s="164">
        <v>813.1</v>
      </c>
      <c r="W63" s="212"/>
      <c r="Y63" s="212"/>
      <c r="Z63"/>
      <c r="AA63" s="212"/>
      <c r="AB63"/>
      <c r="AC63" s="212"/>
      <c r="AE63" s="212"/>
      <c r="AF63"/>
      <c r="AG63" s="212"/>
      <c r="AH63"/>
      <c r="AI63" s="212"/>
      <c r="AK63" s="212"/>
      <c r="AL63"/>
      <c r="AM63" s="212"/>
      <c r="AN63"/>
      <c r="AO63" s="212"/>
      <c r="AQ63" s="212"/>
      <c r="AR63"/>
      <c r="AS63" s="212"/>
      <c r="AT63"/>
      <c r="AU63" s="212"/>
    </row>
    <row r="65" spans="1:13" x14ac:dyDescent="0.25">
      <c r="A65" s="19" t="s">
        <v>234</v>
      </c>
      <c r="C65" s="19" t="s">
        <v>184</v>
      </c>
    </row>
    <row r="66" spans="1:13" x14ac:dyDescent="0.25">
      <c r="C66" s="19" t="s">
        <v>185</v>
      </c>
    </row>
    <row r="67" spans="1:13" x14ac:dyDescent="0.25">
      <c r="C67" s="19" t="s">
        <v>28</v>
      </c>
    </row>
    <row r="68" spans="1:13" x14ac:dyDescent="0.25">
      <c r="C68" s="120" t="s">
        <v>8</v>
      </c>
      <c r="G68" s="171">
        <v>8.4405999999999999</v>
      </c>
      <c r="M68"/>
    </row>
    <row r="69" spans="1:13" x14ac:dyDescent="0.25">
      <c r="C69" s="120" t="s">
        <v>9</v>
      </c>
      <c r="G69" s="171">
        <v>5.2417999999999996</v>
      </c>
      <c r="M69"/>
    </row>
    <row r="70" spans="1:13" x14ac:dyDescent="0.25">
      <c r="C70" s="120" t="s">
        <v>10</v>
      </c>
      <c r="G70" s="171">
        <v>4.7462</v>
      </c>
      <c r="M70"/>
    </row>
    <row r="71" spans="1:13" x14ac:dyDescent="0.25">
      <c r="K71" s="19">
        <v>3</v>
      </c>
    </row>
    <row r="72" spans="1:13" x14ac:dyDescent="0.25">
      <c r="C72" s="19" t="s">
        <v>29</v>
      </c>
      <c r="K72" s="19">
        <v>19.28</v>
      </c>
    </row>
    <row r="73" spans="1:13" x14ac:dyDescent="0.25">
      <c r="C73" s="120" t="s">
        <v>8</v>
      </c>
      <c r="G73" s="172">
        <f>Sales!T9</f>
        <v>2015.8</v>
      </c>
      <c r="M73"/>
    </row>
    <row r="74" spans="1:13" x14ac:dyDescent="0.25">
      <c r="C74" s="120" t="s">
        <v>9</v>
      </c>
      <c r="G74" s="172">
        <f>Sales!T22</f>
        <v>470</v>
      </c>
      <c r="M74"/>
    </row>
    <row r="75" spans="1:13" x14ac:dyDescent="0.25">
      <c r="C75" s="120" t="s">
        <v>10</v>
      </c>
      <c r="G75" s="172">
        <f>Sales!T35</f>
        <v>182</v>
      </c>
      <c r="M75"/>
    </row>
    <row r="76" spans="1:13" x14ac:dyDescent="0.25">
      <c r="G76" s="173">
        <f>SUM(G73:G75)</f>
        <v>2667.8</v>
      </c>
      <c r="M76"/>
    </row>
  </sheetData>
  <pageMargins left="0.5" right="0.5" top="1" bottom="1" header="0.5" footer="0.5"/>
  <pageSetup scale="83" fitToWidth="0" orientation="landscape" r:id="rId1"/>
  <headerFooter>
    <oddHeader>&amp;C&amp;"Arial,Bold"Schedule IV&amp;"Arial,Regular"
Actual Adjustment&amp;R&amp;"Arial,Bold"Navitas KY NG, LLC</oddHeader>
    <oddFooter>&amp;L&amp;F&amp;C&amp;A&amp;R&amp;D&amp;T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6144-7539-412D-8696-5C176C985E7B}">
  <sheetPr>
    <pageSetUpPr fitToPage="1"/>
  </sheetPr>
  <dimension ref="A1:AJ67"/>
  <sheetViews>
    <sheetView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K45" sqref="K45"/>
    </sheetView>
  </sheetViews>
  <sheetFormatPr defaultColWidth="8.85546875" defaultRowHeight="12.75" x14ac:dyDescent="0.2"/>
  <cols>
    <col min="1" max="2" width="1.7109375" style="19" customWidth="1"/>
    <col min="3" max="3" width="20.7109375" style="19" customWidth="1"/>
    <col min="4" max="5" width="1.7109375" style="19" customWidth="1"/>
    <col min="6" max="6" width="0.85546875" style="19" customWidth="1"/>
    <col min="7" max="7" width="12.7109375" style="19" customWidth="1"/>
    <col min="8" max="8" width="1.7109375" style="19" customWidth="1"/>
    <col min="9" max="9" width="12.7109375" style="19" customWidth="1"/>
    <col min="10" max="10" width="1.7109375" style="19" customWidth="1"/>
    <col min="11" max="11" width="12.7109375" style="19" customWidth="1"/>
    <col min="12" max="12" width="0.85546875" style="19" customWidth="1"/>
    <col min="13" max="13" width="12.7109375" style="19" customWidth="1"/>
    <col min="14" max="14" width="1.7109375" style="19" customWidth="1"/>
    <col min="15" max="15" width="12.7109375" style="19" customWidth="1"/>
    <col min="16" max="16" width="1.7109375" style="19" customWidth="1"/>
    <col min="17" max="17" width="12.7109375" style="19" customWidth="1"/>
    <col min="18" max="18" width="0.85546875" style="19" customWidth="1"/>
    <col min="19" max="19" width="12.7109375" style="19" customWidth="1"/>
    <col min="20" max="20" width="1.7109375" style="19" customWidth="1"/>
    <col min="21" max="21" width="12.7109375" style="19" customWidth="1"/>
    <col min="22" max="22" width="1.7109375" style="19" customWidth="1"/>
    <col min="23" max="23" width="12.7109375" style="19" customWidth="1"/>
    <col min="24" max="24" width="0.85546875" style="19" customWidth="1"/>
    <col min="25" max="25" width="12.7109375" style="19" customWidth="1"/>
    <col min="26" max="26" width="1.7109375" style="19" customWidth="1"/>
    <col min="27" max="27" width="12.7109375" style="19" customWidth="1"/>
    <col min="28" max="28" width="1.7109375" style="19" customWidth="1"/>
    <col min="29" max="29" width="12.7109375" style="19" customWidth="1"/>
    <col min="30" max="30" width="0.85546875" style="19" customWidth="1"/>
    <col min="31" max="31" width="12.7109375" style="19" customWidth="1"/>
    <col min="32" max="32" width="1.7109375" style="19" customWidth="1"/>
    <col min="33" max="33" width="12.7109375" style="19" customWidth="1"/>
    <col min="34" max="34" width="1.7109375" style="19" customWidth="1"/>
    <col min="35" max="35" width="12.7109375" style="19" customWidth="1"/>
    <col min="36" max="36" width="0.85546875" style="19" customWidth="1"/>
    <col min="37" max="16384" width="8.85546875" style="19"/>
  </cols>
  <sheetData>
    <row r="1" spans="2:36" x14ac:dyDescent="0.2">
      <c r="F1" s="130"/>
      <c r="G1" s="123"/>
      <c r="H1" s="123"/>
      <c r="I1" s="124" t="s">
        <v>165</v>
      </c>
      <c r="J1" s="123"/>
      <c r="K1" s="123"/>
      <c r="L1" s="130"/>
      <c r="M1" s="123"/>
      <c r="N1" s="123"/>
      <c r="O1" s="124" t="s">
        <v>166</v>
      </c>
      <c r="P1" s="123"/>
      <c r="Q1" s="123"/>
      <c r="R1" s="130"/>
      <c r="S1" s="123"/>
      <c r="T1" s="123"/>
      <c r="U1" s="124" t="s">
        <v>167</v>
      </c>
      <c r="V1" s="123"/>
      <c r="W1" s="123"/>
      <c r="X1" s="130"/>
      <c r="Y1" s="123"/>
      <c r="Z1" s="123"/>
      <c r="AA1" s="124" t="s">
        <v>168</v>
      </c>
      <c r="AB1" s="123"/>
      <c r="AC1" s="123"/>
      <c r="AD1" s="130"/>
      <c r="AE1" s="123"/>
      <c r="AF1" s="123"/>
      <c r="AG1" s="124" t="s">
        <v>169</v>
      </c>
      <c r="AH1" s="123"/>
      <c r="AI1" s="123"/>
      <c r="AJ1" s="130"/>
    </row>
    <row r="2" spans="2:36" x14ac:dyDescent="0.2">
      <c r="F2" s="130"/>
      <c r="G2" s="123"/>
      <c r="I2" s="124" t="s">
        <v>11</v>
      </c>
      <c r="J2" s="131"/>
      <c r="K2" s="123"/>
      <c r="L2" s="130"/>
      <c r="M2" s="123"/>
      <c r="O2" s="124" t="s">
        <v>11</v>
      </c>
      <c r="P2" s="131"/>
      <c r="Q2" s="123"/>
      <c r="R2" s="130"/>
      <c r="S2" s="123"/>
      <c r="U2" s="124" t="s">
        <v>11</v>
      </c>
      <c r="V2" s="131"/>
      <c r="W2" s="123"/>
      <c r="X2" s="130"/>
      <c r="Y2" s="123"/>
      <c r="AA2" s="124" t="s">
        <v>11</v>
      </c>
      <c r="AB2" s="131"/>
      <c r="AC2" s="123"/>
      <c r="AD2" s="130"/>
      <c r="AE2" s="123"/>
      <c r="AG2" s="124" t="s">
        <v>11</v>
      </c>
      <c r="AH2" s="131"/>
      <c r="AI2" s="123"/>
      <c r="AJ2" s="130"/>
    </row>
    <row r="3" spans="2:36" s="132" customFormat="1" x14ac:dyDescent="0.2">
      <c r="C3" s="133" t="s">
        <v>12</v>
      </c>
      <c r="F3" s="134"/>
      <c r="G3" s="132">
        <v>44409</v>
      </c>
      <c r="I3" s="132">
        <v>44440</v>
      </c>
      <c r="K3" s="132">
        <v>44470</v>
      </c>
      <c r="L3" s="134"/>
      <c r="M3" s="132">
        <v>44501</v>
      </c>
      <c r="O3" s="132">
        <v>44531</v>
      </c>
      <c r="Q3" s="132">
        <v>44562</v>
      </c>
      <c r="R3" s="134"/>
      <c r="S3" s="132">
        <v>44593</v>
      </c>
      <c r="U3" s="132">
        <v>44621</v>
      </c>
      <c r="W3" s="132">
        <v>44652</v>
      </c>
      <c r="X3" s="134"/>
      <c r="Y3" s="132">
        <v>44682</v>
      </c>
      <c r="AA3" s="132">
        <v>44713</v>
      </c>
      <c r="AC3" s="132">
        <v>44743</v>
      </c>
      <c r="AD3" s="134"/>
      <c r="AE3" s="132">
        <v>44774</v>
      </c>
      <c r="AG3" s="132">
        <v>44805</v>
      </c>
      <c r="AI3" s="132">
        <v>44835</v>
      </c>
      <c r="AJ3" s="134"/>
    </row>
    <row r="4" spans="2:36" s="132" customFormat="1" x14ac:dyDescent="0.2">
      <c r="C4" s="133" t="s">
        <v>170</v>
      </c>
      <c r="F4" s="134"/>
      <c r="G4" s="135">
        <v>44377</v>
      </c>
      <c r="I4" s="135">
        <v>44377</v>
      </c>
      <c r="K4" s="135">
        <v>44377</v>
      </c>
      <c r="L4" s="134"/>
      <c r="M4" s="135">
        <v>44469</v>
      </c>
      <c r="O4" s="135">
        <v>44469</v>
      </c>
      <c r="Q4" s="135">
        <v>44469</v>
      </c>
      <c r="R4" s="134"/>
      <c r="S4" s="135">
        <v>44561</v>
      </c>
      <c r="U4" s="135">
        <v>44561</v>
      </c>
      <c r="W4" s="135">
        <v>44561</v>
      </c>
      <c r="X4" s="134"/>
      <c r="Y4" s="135">
        <v>44651</v>
      </c>
      <c r="AA4" s="135">
        <v>44651</v>
      </c>
      <c r="AC4" s="135">
        <v>44651</v>
      </c>
      <c r="AD4" s="134"/>
      <c r="AE4" s="135">
        <v>44742</v>
      </c>
      <c r="AG4" s="135">
        <v>44742</v>
      </c>
      <c r="AI4" s="135">
        <v>44742</v>
      </c>
      <c r="AJ4" s="134"/>
    </row>
    <row r="5" spans="2:36" s="132" customFormat="1" ht="7.15" customHeight="1" x14ac:dyDescent="0.2">
      <c r="C5" s="133"/>
      <c r="F5" s="134"/>
      <c r="G5" s="135"/>
      <c r="I5" s="135"/>
      <c r="K5" s="135"/>
      <c r="L5" s="134"/>
      <c r="M5" s="135"/>
      <c r="O5" s="135"/>
      <c r="Q5" s="135"/>
      <c r="R5" s="134"/>
      <c r="S5" s="135"/>
      <c r="U5" s="135"/>
      <c r="W5" s="135"/>
      <c r="X5" s="134"/>
      <c r="Y5" s="135"/>
      <c r="AA5" s="135"/>
      <c r="AC5" s="135"/>
      <c r="AD5" s="134"/>
      <c r="AE5" s="135"/>
      <c r="AG5" s="135"/>
      <c r="AI5" s="135"/>
      <c r="AJ5" s="134"/>
    </row>
    <row r="6" spans="2:36" x14ac:dyDescent="0.2">
      <c r="B6" s="19" t="s">
        <v>13</v>
      </c>
      <c r="F6" s="130"/>
      <c r="L6" s="130"/>
      <c r="R6" s="130"/>
      <c r="X6" s="130"/>
      <c r="AD6" s="130"/>
      <c r="AJ6" s="130"/>
    </row>
    <row r="7" spans="2:36" x14ac:dyDescent="0.2">
      <c r="C7" s="19" t="s">
        <v>2</v>
      </c>
      <c r="F7" s="130"/>
      <c r="G7" s="136">
        <f>G43</f>
        <v>21782.178217821784</v>
      </c>
      <c r="I7" s="136">
        <f>I43</f>
        <v>21782.178217821784</v>
      </c>
      <c r="J7" s="115"/>
      <c r="K7" s="136">
        <f>K43</f>
        <v>21782.178217821784</v>
      </c>
      <c r="L7" s="130"/>
      <c r="M7" s="136">
        <f>M43</f>
        <v>21782.178217821784</v>
      </c>
      <c r="O7" s="136">
        <f>O43</f>
        <v>21782.178217821784</v>
      </c>
      <c r="P7" s="115"/>
      <c r="Q7" s="136">
        <f>Q43</f>
        <v>21782.178217821784</v>
      </c>
      <c r="R7" s="130"/>
      <c r="S7" s="136">
        <f>S43</f>
        <v>21782.178217821784</v>
      </c>
      <c r="U7" s="136">
        <f>U43</f>
        <v>21782.178217821784</v>
      </c>
      <c r="V7" s="115"/>
      <c r="W7" s="136">
        <f>W43</f>
        <v>21782.178217821784</v>
      </c>
      <c r="X7" s="130"/>
      <c r="Y7" s="136">
        <f>Y43</f>
        <v>21782.178217821784</v>
      </c>
      <c r="AA7" s="136">
        <f>AA43</f>
        <v>21782.178217821784</v>
      </c>
      <c r="AB7" s="115"/>
      <c r="AC7" s="136">
        <f>AC43</f>
        <v>21782.178217821784</v>
      </c>
      <c r="AD7" s="130"/>
      <c r="AE7" s="136">
        <f>AE43</f>
        <v>21782.178217821784</v>
      </c>
      <c r="AG7" s="136">
        <f>AG43</f>
        <v>21782.178217821784</v>
      </c>
      <c r="AH7" s="115"/>
      <c r="AI7" s="136">
        <f>AI43</f>
        <v>21782.178217821784</v>
      </c>
      <c r="AJ7" s="130"/>
    </row>
    <row r="8" spans="2:36" x14ac:dyDescent="0.2">
      <c r="C8" s="19" t="s">
        <v>5</v>
      </c>
      <c r="F8" s="130"/>
      <c r="G8" s="136">
        <f>G55</f>
        <v>9000</v>
      </c>
      <c r="I8" s="136">
        <f>I55</f>
        <v>9000</v>
      </c>
      <c r="J8" s="115"/>
      <c r="K8" s="136">
        <f>K55</f>
        <v>9000</v>
      </c>
      <c r="L8" s="130"/>
      <c r="M8" s="136">
        <f>M55</f>
        <v>9000</v>
      </c>
      <c r="O8" s="136">
        <f>O55</f>
        <v>9000</v>
      </c>
      <c r="P8" s="115"/>
      <c r="Q8" s="136">
        <f>Q55</f>
        <v>9000</v>
      </c>
      <c r="R8" s="130"/>
      <c r="S8" s="136">
        <f>S55</f>
        <v>9000</v>
      </c>
      <c r="U8" s="136">
        <f>U55</f>
        <v>9000</v>
      </c>
      <c r="V8" s="115"/>
      <c r="W8" s="136">
        <f>W55</f>
        <v>9000</v>
      </c>
      <c r="X8" s="130"/>
      <c r="Y8" s="136">
        <f>Y55</f>
        <v>9000</v>
      </c>
      <c r="AA8" s="136">
        <f>AA55</f>
        <v>9000</v>
      </c>
      <c r="AB8" s="115"/>
      <c r="AC8" s="136">
        <f>AC55</f>
        <v>9000</v>
      </c>
      <c r="AD8" s="130"/>
      <c r="AE8" s="136">
        <f>AE55</f>
        <v>9000</v>
      </c>
      <c r="AG8" s="136">
        <f>AG55</f>
        <v>9000</v>
      </c>
      <c r="AH8" s="115"/>
      <c r="AI8" s="136">
        <f>AI55</f>
        <v>9000</v>
      </c>
      <c r="AJ8" s="130"/>
    </row>
    <row r="9" spans="2:36" x14ac:dyDescent="0.2">
      <c r="C9" s="19" t="s">
        <v>6</v>
      </c>
      <c r="F9" s="130"/>
      <c r="G9" s="136">
        <f>G65</f>
        <v>21000</v>
      </c>
      <c r="I9" s="136">
        <f>I65</f>
        <v>21000</v>
      </c>
      <c r="J9" s="115"/>
      <c r="K9" s="136">
        <f>K65</f>
        <v>21000</v>
      </c>
      <c r="L9" s="130"/>
      <c r="M9" s="136">
        <f>M65</f>
        <v>21000</v>
      </c>
      <c r="O9" s="136">
        <f>O65</f>
        <v>21000</v>
      </c>
      <c r="P9" s="115"/>
      <c r="Q9" s="136">
        <f>Q65</f>
        <v>21000</v>
      </c>
      <c r="R9" s="130"/>
      <c r="S9" s="136">
        <f>S65</f>
        <v>21000</v>
      </c>
      <c r="U9" s="136">
        <f>U65</f>
        <v>21000</v>
      </c>
      <c r="V9" s="115"/>
      <c r="W9" s="136">
        <f>W65</f>
        <v>21000</v>
      </c>
      <c r="X9" s="130"/>
      <c r="Y9" s="136">
        <f>Y65</f>
        <v>21000</v>
      </c>
      <c r="AA9" s="136">
        <f>AA65</f>
        <v>21000</v>
      </c>
      <c r="AB9" s="115"/>
      <c r="AC9" s="136">
        <f>AC65</f>
        <v>21000</v>
      </c>
      <c r="AD9" s="130"/>
      <c r="AE9" s="136">
        <f>AE65</f>
        <v>21000</v>
      </c>
      <c r="AG9" s="136">
        <f>AG65</f>
        <v>21000</v>
      </c>
      <c r="AH9" s="115"/>
      <c r="AI9" s="136">
        <f>AI65</f>
        <v>21000</v>
      </c>
      <c r="AJ9" s="130"/>
    </row>
    <row r="10" spans="2:36" x14ac:dyDescent="0.2">
      <c r="C10" s="120" t="s">
        <v>171</v>
      </c>
      <c r="F10" s="130"/>
      <c r="G10" s="137">
        <f>SUM(G7:G9)</f>
        <v>51782.178217821784</v>
      </c>
      <c r="I10" s="137">
        <f>SUM(I7:I9)</f>
        <v>51782.178217821784</v>
      </c>
      <c r="J10" s="115"/>
      <c r="K10" s="137">
        <f>SUM(K7:K9)</f>
        <v>51782.178217821784</v>
      </c>
      <c r="L10" s="130"/>
      <c r="M10" s="137">
        <f>SUM(M7:M9)</f>
        <v>51782.178217821784</v>
      </c>
      <c r="O10" s="137">
        <f>SUM(O7:O9)</f>
        <v>51782.178217821784</v>
      </c>
      <c r="P10" s="115"/>
      <c r="Q10" s="137">
        <f>SUM(Q7:Q9)</f>
        <v>51782.178217821784</v>
      </c>
      <c r="R10" s="130"/>
      <c r="S10" s="137">
        <f>SUM(S7:S9)</f>
        <v>51782.178217821784</v>
      </c>
      <c r="U10" s="137">
        <f>SUM(U7:U9)</f>
        <v>51782.178217821784</v>
      </c>
      <c r="V10" s="115"/>
      <c r="W10" s="137">
        <f>SUM(W7:W9)</f>
        <v>51782.178217821784</v>
      </c>
      <c r="X10" s="130"/>
      <c r="Y10" s="137">
        <f>SUM(Y7:Y9)</f>
        <v>51782.178217821784</v>
      </c>
      <c r="AA10" s="137">
        <f>SUM(AA7:AA9)</f>
        <v>51782.178217821784</v>
      </c>
      <c r="AB10" s="115"/>
      <c r="AC10" s="137">
        <f>SUM(AC7:AC9)</f>
        <v>51782.178217821784</v>
      </c>
      <c r="AD10" s="130"/>
      <c r="AE10" s="137">
        <f>SUM(AE7:AE9)</f>
        <v>51782.178217821784</v>
      </c>
      <c r="AG10" s="137">
        <f>SUM(AG7:AG9)</f>
        <v>51782.178217821784</v>
      </c>
      <c r="AH10" s="115"/>
      <c r="AI10" s="137">
        <f>SUM(AI7:AI9)</f>
        <v>51782.178217821784</v>
      </c>
      <c r="AJ10" s="130"/>
    </row>
    <row r="11" spans="2:36" s="132" customFormat="1" ht="7.15" customHeight="1" x14ac:dyDescent="0.2">
      <c r="C11" s="133"/>
      <c r="F11" s="134"/>
      <c r="G11" s="135"/>
      <c r="I11" s="135"/>
      <c r="K11" s="135"/>
      <c r="L11" s="134"/>
      <c r="M11" s="135"/>
      <c r="O11" s="135"/>
      <c r="Q11" s="135"/>
      <c r="R11" s="134"/>
      <c r="S11" s="135"/>
      <c r="U11" s="135"/>
      <c r="W11" s="135"/>
      <c r="X11" s="134"/>
      <c r="Y11" s="135"/>
      <c r="AA11" s="135"/>
      <c r="AC11" s="135"/>
      <c r="AD11" s="134"/>
      <c r="AE11" s="135"/>
      <c r="AG11" s="135"/>
      <c r="AI11" s="135"/>
      <c r="AJ11" s="134"/>
    </row>
    <row r="12" spans="2:36" x14ac:dyDescent="0.2">
      <c r="B12" s="19" t="s">
        <v>14</v>
      </c>
      <c r="F12" s="130"/>
      <c r="G12" s="138"/>
      <c r="I12" s="138"/>
      <c r="K12" s="138"/>
      <c r="L12" s="130"/>
      <c r="M12" s="138"/>
      <c r="O12" s="138"/>
      <c r="Q12" s="138"/>
      <c r="R12" s="130"/>
      <c r="S12" s="138"/>
      <c r="U12" s="138"/>
      <c r="W12" s="138"/>
      <c r="X12" s="130"/>
      <c r="Y12" s="138"/>
      <c r="AA12" s="138"/>
      <c r="AC12" s="138"/>
      <c r="AD12" s="130"/>
      <c r="AE12" s="138"/>
      <c r="AG12" s="138"/>
      <c r="AI12" s="138"/>
      <c r="AJ12" s="130"/>
    </row>
    <row r="13" spans="2:36" x14ac:dyDescent="0.2">
      <c r="C13" s="19" t="s">
        <v>2</v>
      </c>
      <c r="F13" s="130"/>
      <c r="G13" s="136">
        <f>G49</f>
        <v>30142.297029702971</v>
      </c>
      <c r="I13" s="136">
        <f>I49</f>
        <v>30142.297029702971</v>
      </c>
      <c r="J13" s="115"/>
      <c r="K13" s="136">
        <f>K49</f>
        <v>30142.297029702971</v>
      </c>
      <c r="L13" s="130"/>
      <c r="M13" s="136">
        <f>M49</f>
        <v>30142.297029702971</v>
      </c>
      <c r="O13" s="136">
        <f>O49</f>
        <v>30142.297029702971</v>
      </c>
      <c r="P13" s="115"/>
      <c r="Q13" s="136">
        <f>Q49</f>
        <v>30142.297029702971</v>
      </c>
      <c r="R13" s="130"/>
      <c r="S13" s="136">
        <f>S49</f>
        <v>30142.297029702971</v>
      </c>
      <c r="U13" s="136">
        <f>U49</f>
        <v>30142.297029702971</v>
      </c>
      <c r="V13" s="115"/>
      <c r="W13" s="136">
        <f>W49</f>
        <v>30142.297029702971</v>
      </c>
      <c r="X13" s="130"/>
      <c r="Y13" s="136">
        <f>Y49</f>
        <v>30142.297029702971</v>
      </c>
      <c r="AA13" s="136">
        <f>AA49</f>
        <v>30142.297029702971</v>
      </c>
      <c r="AB13" s="115"/>
      <c r="AC13" s="136">
        <f>AC49</f>
        <v>30142.297029702971</v>
      </c>
      <c r="AD13" s="130"/>
      <c r="AE13" s="136">
        <f>AE49</f>
        <v>30142.297029702971</v>
      </c>
      <c r="AG13" s="136">
        <f>AG49</f>
        <v>30142.297029702971</v>
      </c>
      <c r="AH13" s="115"/>
      <c r="AI13" s="136">
        <f>AI49</f>
        <v>30142.297029702971</v>
      </c>
      <c r="AJ13" s="130"/>
    </row>
    <row r="14" spans="2:36" x14ac:dyDescent="0.2">
      <c r="C14" s="19" t="s">
        <v>5</v>
      </c>
      <c r="F14" s="130"/>
      <c r="G14" s="136">
        <v>0</v>
      </c>
      <c r="I14" s="136">
        <v>0</v>
      </c>
      <c r="J14" s="115"/>
      <c r="K14" s="136">
        <v>0</v>
      </c>
      <c r="L14" s="130"/>
      <c r="M14" s="136">
        <v>0</v>
      </c>
      <c r="O14" s="136">
        <v>0</v>
      </c>
      <c r="P14" s="115"/>
      <c r="Q14" s="136">
        <v>0</v>
      </c>
      <c r="R14" s="130"/>
      <c r="S14" s="136">
        <v>0</v>
      </c>
      <c r="U14" s="136">
        <v>0</v>
      </c>
      <c r="V14" s="115"/>
      <c r="W14" s="136">
        <v>0</v>
      </c>
      <c r="X14" s="130"/>
      <c r="Y14" s="136">
        <v>0</v>
      </c>
      <c r="AA14" s="136">
        <v>0</v>
      </c>
      <c r="AB14" s="115"/>
      <c r="AC14" s="136">
        <v>0</v>
      </c>
      <c r="AD14" s="130"/>
      <c r="AE14" s="136">
        <v>0</v>
      </c>
      <c r="AG14" s="136">
        <v>0</v>
      </c>
      <c r="AH14" s="115"/>
      <c r="AI14" s="136">
        <v>0</v>
      </c>
      <c r="AJ14" s="130"/>
    </row>
    <row r="15" spans="2:36" x14ac:dyDescent="0.2">
      <c r="C15" s="19" t="s">
        <v>6</v>
      </c>
      <c r="F15" s="130"/>
      <c r="G15" s="136">
        <v>0</v>
      </c>
      <c r="I15" s="136">
        <v>0</v>
      </c>
      <c r="J15" s="115"/>
      <c r="K15" s="136">
        <v>0</v>
      </c>
      <c r="L15" s="130"/>
      <c r="M15" s="136">
        <v>0</v>
      </c>
      <c r="O15" s="136">
        <v>0</v>
      </c>
      <c r="P15" s="115"/>
      <c r="Q15" s="136">
        <v>0</v>
      </c>
      <c r="R15" s="130"/>
      <c r="S15" s="136">
        <v>0</v>
      </c>
      <c r="U15" s="136">
        <v>0</v>
      </c>
      <c r="V15" s="115"/>
      <c r="W15" s="136">
        <v>0</v>
      </c>
      <c r="X15" s="130"/>
      <c r="Y15" s="136">
        <v>0</v>
      </c>
      <c r="AA15" s="136">
        <v>0</v>
      </c>
      <c r="AB15" s="115"/>
      <c r="AC15" s="136">
        <v>0</v>
      </c>
      <c r="AD15" s="130"/>
      <c r="AE15" s="136">
        <v>0</v>
      </c>
      <c r="AG15" s="136">
        <v>0</v>
      </c>
      <c r="AH15" s="115"/>
      <c r="AI15" s="136">
        <v>0</v>
      </c>
      <c r="AJ15" s="130"/>
    </row>
    <row r="16" spans="2:36" x14ac:dyDescent="0.2">
      <c r="C16" s="120" t="s">
        <v>172</v>
      </c>
      <c r="F16" s="130"/>
      <c r="G16" s="137">
        <f>SUM(G13:G15)</f>
        <v>30142.297029702971</v>
      </c>
      <c r="I16" s="137">
        <f>SUM(I13:I15)</f>
        <v>30142.297029702971</v>
      </c>
      <c r="J16" s="115"/>
      <c r="K16" s="137">
        <f>SUM(K13:K15)</f>
        <v>30142.297029702971</v>
      </c>
      <c r="L16" s="130"/>
      <c r="M16" s="137">
        <f>SUM(M13:M15)</f>
        <v>30142.297029702971</v>
      </c>
      <c r="O16" s="137">
        <f>SUM(O13:O15)</f>
        <v>30142.297029702971</v>
      </c>
      <c r="P16" s="115"/>
      <c r="Q16" s="137">
        <f>SUM(Q13:Q15)</f>
        <v>30142.297029702971</v>
      </c>
      <c r="R16" s="130"/>
      <c r="S16" s="137">
        <f>SUM(S13:S15)</f>
        <v>30142.297029702971</v>
      </c>
      <c r="U16" s="137">
        <f>SUM(U13:U15)</f>
        <v>30142.297029702971</v>
      </c>
      <c r="V16" s="115"/>
      <c r="W16" s="137">
        <f>SUM(W13:W15)</f>
        <v>30142.297029702971</v>
      </c>
      <c r="X16" s="130"/>
      <c r="Y16" s="137">
        <f>SUM(Y13:Y15)</f>
        <v>30142.297029702971</v>
      </c>
      <c r="AA16" s="137">
        <f>SUM(AA13:AA15)</f>
        <v>30142.297029702971</v>
      </c>
      <c r="AB16" s="115"/>
      <c r="AC16" s="137">
        <f>SUM(AC13:AC15)</f>
        <v>30142.297029702971</v>
      </c>
      <c r="AD16" s="130"/>
      <c r="AE16" s="137">
        <f>SUM(AE13:AE15)</f>
        <v>30142.297029702971</v>
      </c>
      <c r="AG16" s="137">
        <f>SUM(AG13:AG15)</f>
        <v>30142.297029702971</v>
      </c>
      <c r="AH16" s="115"/>
      <c r="AI16" s="137">
        <f>SUM(AI13:AI15)</f>
        <v>30142.297029702971</v>
      </c>
      <c r="AJ16" s="130"/>
    </row>
    <row r="17" spans="1:36" s="132" customFormat="1" ht="7.15" customHeight="1" thickBot="1" x14ac:dyDescent="0.25">
      <c r="C17" s="133"/>
      <c r="F17" s="134"/>
      <c r="G17" s="139"/>
      <c r="I17" s="139"/>
      <c r="K17" s="139"/>
      <c r="L17" s="134"/>
      <c r="M17" s="139"/>
      <c r="O17" s="139"/>
      <c r="Q17" s="139"/>
      <c r="R17" s="134"/>
      <c r="S17" s="139"/>
      <c r="U17" s="139"/>
      <c r="W17" s="139"/>
      <c r="X17" s="134"/>
      <c r="Y17" s="139"/>
      <c r="AA17" s="139"/>
      <c r="AC17" s="139"/>
      <c r="AD17" s="134"/>
      <c r="AE17" s="139"/>
      <c r="AG17" s="139"/>
      <c r="AI17" s="139"/>
      <c r="AJ17" s="134"/>
    </row>
    <row r="18" spans="1:36" ht="13.5" thickTop="1" x14ac:dyDescent="0.2">
      <c r="C18" s="120" t="s">
        <v>15</v>
      </c>
      <c r="F18" s="130"/>
      <c r="G18" s="136">
        <f>SUM(G7:G15)</f>
        <v>133706.65346534655</v>
      </c>
      <c r="I18" s="136">
        <f>SUM(I7:I15)</f>
        <v>133706.65346534655</v>
      </c>
      <c r="K18" s="136">
        <f>SUM(K7:K15)</f>
        <v>133706.65346534655</v>
      </c>
      <c r="L18" s="130"/>
      <c r="M18" s="136">
        <f>SUM(M7:M15)</f>
        <v>133706.65346534655</v>
      </c>
      <c r="O18" s="136">
        <f>SUM(O7:O15)</f>
        <v>133706.65346534655</v>
      </c>
      <c r="Q18" s="136">
        <f>SUM(Q7:Q15)</f>
        <v>133706.65346534655</v>
      </c>
      <c r="R18" s="130"/>
      <c r="S18" s="136">
        <f>SUM(S7:S15)</f>
        <v>133706.65346534655</v>
      </c>
      <c r="U18" s="136">
        <f>SUM(U7:U15)</f>
        <v>133706.65346534655</v>
      </c>
      <c r="W18" s="136">
        <f>SUM(W7:W15)</f>
        <v>133706.65346534655</v>
      </c>
      <c r="X18" s="130"/>
      <c r="Y18" s="136">
        <f>SUM(Y7:Y15)</f>
        <v>133706.65346534655</v>
      </c>
      <c r="AA18" s="136">
        <f>SUM(AA7:AA15)</f>
        <v>133706.65346534655</v>
      </c>
      <c r="AC18" s="136">
        <f>SUM(AC7:AC15)</f>
        <v>133706.65346534655</v>
      </c>
      <c r="AD18" s="130"/>
      <c r="AE18" s="136">
        <f>SUM(AE7:AE15)</f>
        <v>133706.65346534655</v>
      </c>
      <c r="AG18" s="136">
        <f>SUM(AG7:AG15)</f>
        <v>133706.65346534655</v>
      </c>
      <c r="AI18" s="136">
        <f>SUM(AI7:AI15)</f>
        <v>133706.65346534655</v>
      </c>
      <c r="AJ18" s="130"/>
    </row>
    <row r="19" spans="1:36" s="132" customFormat="1" ht="7.15" customHeight="1" x14ac:dyDescent="0.2">
      <c r="C19" s="133"/>
      <c r="F19" s="134"/>
      <c r="G19" s="135"/>
      <c r="I19" s="135"/>
      <c r="K19" s="135"/>
      <c r="L19" s="134"/>
      <c r="M19" s="135"/>
      <c r="O19" s="135"/>
      <c r="Q19" s="135"/>
      <c r="R19" s="134"/>
      <c r="S19" s="135"/>
      <c r="U19" s="135"/>
      <c r="W19" s="135"/>
      <c r="X19" s="134"/>
      <c r="Y19" s="135"/>
      <c r="AA19" s="135"/>
      <c r="AC19" s="135"/>
      <c r="AD19" s="134"/>
      <c r="AE19" s="135"/>
      <c r="AG19" s="135"/>
      <c r="AI19" s="135"/>
      <c r="AJ19" s="134"/>
    </row>
    <row r="20" spans="1:36" x14ac:dyDescent="0.2">
      <c r="C20" s="19" t="s">
        <v>173</v>
      </c>
      <c r="F20" s="130"/>
      <c r="G20" s="140">
        <v>27000</v>
      </c>
      <c r="I20" s="140">
        <v>27000</v>
      </c>
      <c r="J20" s="115"/>
      <c r="K20" s="140">
        <v>27000</v>
      </c>
      <c r="L20" s="130"/>
      <c r="M20" s="140">
        <v>27000</v>
      </c>
      <c r="O20" s="140">
        <v>27000</v>
      </c>
      <c r="P20" s="115"/>
      <c r="Q20" s="140">
        <v>27000</v>
      </c>
      <c r="R20" s="130"/>
      <c r="S20" s="140">
        <v>27000</v>
      </c>
      <c r="U20" s="140">
        <v>27000</v>
      </c>
      <c r="V20" s="115"/>
      <c r="W20" s="140">
        <v>27000</v>
      </c>
      <c r="X20" s="130"/>
      <c r="Y20" s="140">
        <v>27000</v>
      </c>
      <c r="AA20" s="140">
        <v>27000</v>
      </c>
      <c r="AB20" s="115"/>
      <c r="AC20" s="140">
        <v>27000</v>
      </c>
      <c r="AD20" s="130"/>
      <c r="AE20" s="140">
        <v>27000</v>
      </c>
      <c r="AG20" s="140">
        <v>27000</v>
      </c>
      <c r="AH20" s="115"/>
      <c r="AI20" s="140">
        <v>27000</v>
      </c>
      <c r="AJ20" s="130"/>
    </row>
    <row r="21" spans="1:36" s="132" customFormat="1" ht="7.15" customHeight="1" x14ac:dyDescent="0.2">
      <c r="C21" s="133"/>
      <c r="F21" s="134"/>
      <c r="G21" s="135"/>
      <c r="I21" s="135"/>
      <c r="K21" s="135"/>
      <c r="L21" s="134"/>
      <c r="M21" s="135"/>
      <c r="O21" s="135"/>
      <c r="Q21" s="135"/>
      <c r="R21" s="134"/>
      <c r="S21" s="135"/>
      <c r="U21" s="135"/>
      <c r="W21" s="135"/>
      <c r="X21" s="134"/>
      <c r="Y21" s="135"/>
      <c r="AA21" s="135"/>
      <c r="AC21" s="135"/>
      <c r="AD21" s="134"/>
      <c r="AE21" s="135"/>
      <c r="AG21" s="135"/>
      <c r="AI21" s="135"/>
      <c r="AJ21" s="134"/>
    </row>
    <row r="22" spans="1:36" x14ac:dyDescent="0.2">
      <c r="A22" s="19" t="s">
        <v>16</v>
      </c>
      <c r="F22" s="130"/>
      <c r="G22" s="141">
        <f>G18/G20</f>
        <v>4.9520982764943167</v>
      </c>
      <c r="H22" s="142"/>
      <c r="I22" s="141">
        <f>I18/I20</f>
        <v>4.9520982764943167</v>
      </c>
      <c r="J22" s="142"/>
      <c r="K22" s="141">
        <f>K18/K20</f>
        <v>4.9520982764943167</v>
      </c>
      <c r="L22" s="130"/>
      <c r="M22" s="141">
        <f>M18/M20</f>
        <v>4.9520982764943167</v>
      </c>
      <c r="N22" s="142"/>
      <c r="O22" s="141">
        <f>O18/O20</f>
        <v>4.9520982764943167</v>
      </c>
      <c r="P22" s="142"/>
      <c r="Q22" s="141">
        <f>Q18/Q20</f>
        <v>4.9520982764943167</v>
      </c>
      <c r="R22" s="130"/>
      <c r="S22" s="141">
        <f>S18/S20</f>
        <v>4.9520982764943167</v>
      </c>
      <c r="T22" s="142"/>
      <c r="U22" s="141">
        <f>U18/U20</f>
        <v>4.9520982764943167</v>
      </c>
      <c r="V22" s="142"/>
      <c r="W22" s="141">
        <f>W18/W20</f>
        <v>4.9520982764943167</v>
      </c>
      <c r="X22" s="130"/>
      <c r="Y22" s="141">
        <f>Y18/Y20</f>
        <v>4.9520982764943167</v>
      </c>
      <c r="Z22" s="142"/>
      <c r="AA22" s="141">
        <f>AA18/AA20</f>
        <v>4.9520982764943167</v>
      </c>
      <c r="AB22" s="142"/>
      <c r="AC22" s="141">
        <f>AC18/AC20</f>
        <v>4.9520982764943167</v>
      </c>
      <c r="AD22" s="130"/>
      <c r="AE22" s="141">
        <f>AE18/AE20</f>
        <v>4.9520982764943167</v>
      </c>
      <c r="AF22" s="142"/>
      <c r="AG22" s="141">
        <f>AG18/AG20</f>
        <v>4.9520982764943167</v>
      </c>
      <c r="AH22" s="142"/>
      <c r="AI22" s="141">
        <f>AI18/AI20</f>
        <v>4.9520982764943167</v>
      </c>
      <c r="AJ22" s="130"/>
    </row>
    <row r="23" spans="1:36" x14ac:dyDescent="0.2">
      <c r="A23" s="19" t="s">
        <v>17</v>
      </c>
      <c r="F23" s="130"/>
      <c r="G23" s="143">
        <v>7.25</v>
      </c>
      <c r="I23" s="143">
        <v>7.25</v>
      </c>
      <c r="K23" s="143">
        <v>7.25</v>
      </c>
      <c r="L23" s="130"/>
      <c r="M23" s="143">
        <v>7.25</v>
      </c>
      <c r="O23" s="143">
        <v>7.25</v>
      </c>
      <c r="Q23" s="143">
        <v>7.25</v>
      </c>
      <c r="R23" s="130"/>
      <c r="S23" s="143">
        <v>7.25</v>
      </c>
      <c r="U23" s="143">
        <v>7.25</v>
      </c>
      <c r="W23" s="143">
        <v>7.25</v>
      </c>
      <c r="X23" s="130"/>
      <c r="Y23" s="143">
        <v>7.25</v>
      </c>
      <c r="AA23" s="143">
        <v>7.25</v>
      </c>
      <c r="AC23" s="143">
        <v>7.25</v>
      </c>
      <c r="AD23" s="130"/>
      <c r="AE23" s="143">
        <v>7.25</v>
      </c>
      <c r="AG23" s="143">
        <v>7.25</v>
      </c>
      <c r="AI23" s="143">
        <v>7.25</v>
      </c>
      <c r="AJ23" s="130"/>
    </row>
    <row r="24" spans="1:36" x14ac:dyDescent="0.2">
      <c r="B24" s="19" t="s">
        <v>18</v>
      </c>
      <c r="F24" s="130"/>
      <c r="G24" s="136">
        <f>G22-G23</f>
        <v>-2.2979017235056833</v>
      </c>
      <c r="I24" s="136">
        <f>I22-I23</f>
        <v>-2.2979017235056833</v>
      </c>
      <c r="K24" s="136">
        <f>K22-K23</f>
        <v>-2.2979017235056833</v>
      </c>
      <c r="L24" s="130"/>
      <c r="M24" s="136">
        <f>M22-M23</f>
        <v>-2.2979017235056833</v>
      </c>
      <c r="O24" s="136">
        <f>O22-O23</f>
        <v>-2.2979017235056833</v>
      </c>
      <c r="Q24" s="136">
        <f>Q22-Q23</f>
        <v>-2.2979017235056833</v>
      </c>
      <c r="R24" s="130"/>
      <c r="S24" s="136">
        <f>S22-S23</f>
        <v>-2.2979017235056833</v>
      </c>
      <c r="U24" s="136">
        <f>U22-U23</f>
        <v>-2.2979017235056833</v>
      </c>
      <c r="W24" s="136">
        <f>W22-W23</f>
        <v>-2.2979017235056833</v>
      </c>
      <c r="X24" s="130"/>
      <c r="Y24" s="136">
        <f>Y22-Y23</f>
        <v>-2.2979017235056833</v>
      </c>
      <c r="AA24" s="136">
        <f>AA22-AA23</f>
        <v>-2.2979017235056833</v>
      </c>
      <c r="AC24" s="136">
        <f>AC22-AC23</f>
        <v>-2.2979017235056833</v>
      </c>
      <c r="AD24" s="130"/>
      <c r="AE24" s="136">
        <f>AE22-AE23</f>
        <v>-2.2979017235056833</v>
      </c>
      <c r="AG24" s="136">
        <f>AG22-AG23</f>
        <v>-2.2979017235056833</v>
      </c>
      <c r="AI24" s="136">
        <f>AI22-AI23</f>
        <v>-2.2979017235056833</v>
      </c>
      <c r="AJ24" s="130"/>
    </row>
    <row r="25" spans="1:36" x14ac:dyDescent="0.2">
      <c r="C25" s="120" t="s">
        <v>19</v>
      </c>
      <c r="F25" s="130"/>
      <c r="G25" s="136">
        <f>G24*G20</f>
        <v>-62043.34653465345</v>
      </c>
      <c r="I25" s="136">
        <f>I24*I20</f>
        <v>-62043.34653465345</v>
      </c>
      <c r="K25" s="136">
        <f>K24*K20</f>
        <v>-62043.34653465345</v>
      </c>
      <c r="L25" s="130"/>
      <c r="M25" s="136">
        <f>M24*M20</f>
        <v>-62043.34653465345</v>
      </c>
      <c r="O25" s="136">
        <f>O24*O20</f>
        <v>-62043.34653465345</v>
      </c>
      <c r="Q25" s="136">
        <f>Q24*Q20</f>
        <v>-62043.34653465345</v>
      </c>
      <c r="R25" s="130"/>
      <c r="S25" s="136">
        <f>S24*S20</f>
        <v>-62043.34653465345</v>
      </c>
      <c r="U25" s="136">
        <f>U24*U20</f>
        <v>-62043.34653465345</v>
      </c>
      <c r="W25" s="136">
        <f>W24*W20</f>
        <v>-62043.34653465345</v>
      </c>
      <c r="X25" s="130"/>
      <c r="Y25" s="136">
        <f>Y24*Y20</f>
        <v>-62043.34653465345</v>
      </c>
      <c r="AA25" s="136">
        <f>AA24*AA20</f>
        <v>-62043.34653465345</v>
      </c>
      <c r="AC25" s="136">
        <f>AC24*AC20</f>
        <v>-62043.34653465345</v>
      </c>
      <c r="AD25" s="130"/>
      <c r="AE25" s="136">
        <f>AE24*AE20</f>
        <v>-62043.34653465345</v>
      </c>
      <c r="AG25" s="136">
        <f>AG24*AG20</f>
        <v>-62043.34653465345</v>
      </c>
      <c r="AI25" s="136">
        <f>AI24*AI20</f>
        <v>-62043.34653465345</v>
      </c>
      <c r="AJ25" s="130"/>
    </row>
    <row r="26" spans="1:36" x14ac:dyDescent="0.2">
      <c r="F26" s="130"/>
      <c r="G26" s="138">
        <f>SUM(G18:K18)/SUM(G20:K20)</f>
        <v>4.9520982764943167</v>
      </c>
      <c r="L26" s="130"/>
      <c r="M26" s="138">
        <f>SUM(M18:Q18)/SUM(M20:Q20)</f>
        <v>4.9520982764943167</v>
      </c>
      <c r="R26" s="130"/>
      <c r="S26" s="138">
        <f>SUM(S18:W18)/SUM(S20:W20)</f>
        <v>4.9520982764943167</v>
      </c>
      <c r="X26" s="130"/>
      <c r="Y26" s="138">
        <f>SUM(Y18:AC18)/SUM(Y20:AC20)</f>
        <v>4.9520982764943167</v>
      </c>
      <c r="AD26" s="130"/>
      <c r="AE26" s="138">
        <f>SUM(AE18:AI18)/SUM(AE20:AI20)</f>
        <v>4.9520982764943167</v>
      </c>
      <c r="AJ26" s="130"/>
    </row>
    <row r="27" spans="1:36" x14ac:dyDescent="0.2">
      <c r="D27" s="120" t="s">
        <v>20</v>
      </c>
      <c r="F27" s="130"/>
      <c r="G27" s="138"/>
      <c r="I27" s="120"/>
      <c r="K27" s="136">
        <f>SUM(G25:K25)</f>
        <v>-186130.03960396035</v>
      </c>
      <c r="L27" s="130"/>
      <c r="M27" s="138"/>
      <c r="O27" s="120"/>
      <c r="Q27" s="136">
        <f>SUM(M25:Q25)</f>
        <v>-186130.03960396035</v>
      </c>
      <c r="R27" s="130"/>
      <c r="S27" s="138"/>
      <c r="U27" s="120"/>
      <c r="W27" s="136">
        <f>SUM(S25:W25)</f>
        <v>-186130.03960396035</v>
      </c>
      <c r="X27" s="130"/>
      <c r="Y27" s="138"/>
      <c r="AA27" s="120"/>
      <c r="AC27" s="136">
        <f>SUM(Y25:AC25)</f>
        <v>-186130.03960396035</v>
      </c>
      <c r="AD27" s="130"/>
      <c r="AE27" s="138"/>
      <c r="AG27" s="120"/>
      <c r="AI27" s="136">
        <f>SUM(AE25:AI25)</f>
        <v>-186130.03960396035</v>
      </c>
      <c r="AJ27" s="130"/>
    </row>
    <row r="28" spans="1:36" x14ac:dyDescent="0.2">
      <c r="D28" s="120" t="s">
        <v>174</v>
      </c>
      <c r="F28" s="130"/>
      <c r="G28" s="138"/>
      <c r="I28" s="120" t="s">
        <v>175</v>
      </c>
      <c r="K28" s="144">
        <v>125000</v>
      </c>
      <c r="L28" s="130"/>
      <c r="M28" s="138"/>
      <c r="O28" s="120" t="s">
        <v>175</v>
      </c>
      <c r="Q28" s="144">
        <v>125000</v>
      </c>
      <c r="R28" s="130"/>
      <c r="S28" s="138"/>
      <c r="U28" s="120" t="s">
        <v>175</v>
      </c>
      <c r="W28" s="144">
        <v>125000</v>
      </c>
      <c r="X28" s="130"/>
      <c r="Y28" s="138"/>
      <c r="AA28" s="120" t="s">
        <v>175</v>
      </c>
      <c r="AC28" s="144">
        <v>125000</v>
      </c>
      <c r="AD28" s="130"/>
      <c r="AE28" s="138"/>
      <c r="AG28" s="120" t="s">
        <v>175</v>
      </c>
      <c r="AI28" s="144">
        <v>125000</v>
      </c>
      <c r="AJ28" s="130"/>
    </row>
    <row r="29" spans="1:36" x14ac:dyDescent="0.2">
      <c r="D29" s="145" t="s">
        <v>51</v>
      </c>
      <c r="F29" s="130"/>
      <c r="G29" s="138"/>
      <c r="I29" s="145" t="s">
        <v>51</v>
      </c>
      <c r="K29" s="146">
        <f>(K27/K28)</f>
        <v>-1.4890403168316828</v>
      </c>
      <c r="L29" s="130"/>
      <c r="M29" s="138"/>
      <c r="O29" s="145" t="s">
        <v>51</v>
      </c>
      <c r="Q29" s="146">
        <f>(Q27/Q28)</f>
        <v>-1.4890403168316828</v>
      </c>
      <c r="R29" s="130"/>
      <c r="S29" s="138"/>
      <c r="U29" s="145" t="s">
        <v>51</v>
      </c>
      <c r="W29" s="146">
        <f>(W27/W28)</f>
        <v>-1.4890403168316828</v>
      </c>
      <c r="X29" s="130"/>
      <c r="Y29" s="138"/>
      <c r="AA29" s="145" t="s">
        <v>51</v>
      </c>
      <c r="AC29" s="146">
        <f>(AC27/AC28)</f>
        <v>-1.4890403168316828</v>
      </c>
      <c r="AD29" s="130"/>
      <c r="AE29" s="138"/>
      <c r="AG29" s="145" t="s">
        <v>51</v>
      </c>
      <c r="AI29" s="146">
        <f>(AI27/AI28)</f>
        <v>-1.4890403168316828</v>
      </c>
      <c r="AJ29" s="130"/>
    </row>
    <row r="30" spans="1:36" x14ac:dyDescent="0.2">
      <c r="D30" s="145"/>
      <c r="G30" s="138"/>
      <c r="I30" s="145"/>
      <c r="K30" s="147"/>
      <c r="M30" s="138"/>
      <c r="O30" s="145"/>
      <c r="Q30" s="147"/>
      <c r="S30" s="138"/>
      <c r="U30" s="145"/>
      <c r="W30" s="147"/>
      <c r="Y30" s="138"/>
      <c r="AA30" s="145"/>
      <c r="AC30" s="147"/>
      <c r="AE30" s="138"/>
      <c r="AG30" s="145"/>
      <c r="AI30" s="147"/>
    </row>
    <row r="31" spans="1:36" x14ac:dyDescent="0.2">
      <c r="D31" s="145"/>
      <c r="G31" s="138"/>
      <c r="I31" s="145"/>
      <c r="K31" s="147"/>
      <c r="M31" s="138"/>
      <c r="O31" s="145"/>
      <c r="Q31" s="147"/>
      <c r="S31" s="138"/>
      <c r="U31" s="145"/>
      <c r="W31" s="147"/>
      <c r="Y31" s="138"/>
      <c r="AA31" s="145"/>
      <c r="AC31" s="147"/>
      <c r="AE31" s="138"/>
      <c r="AG31" s="145"/>
      <c r="AI31" s="147"/>
    </row>
    <row r="32" spans="1:36" x14ac:dyDescent="0.2">
      <c r="A32" s="148" t="s">
        <v>2</v>
      </c>
      <c r="G32" s="138"/>
      <c r="I32" s="120"/>
      <c r="M32" s="138"/>
      <c r="O32" s="120"/>
      <c r="S32" s="138"/>
      <c r="U32" s="120"/>
      <c r="Y32" s="138"/>
      <c r="AA32" s="120"/>
      <c r="AE32" s="138"/>
      <c r="AG32" s="120"/>
    </row>
    <row r="33" spans="1:36" x14ac:dyDescent="0.2">
      <c r="A33" s="19" t="s">
        <v>21</v>
      </c>
      <c r="G33" s="138"/>
      <c r="M33" s="138"/>
      <c r="S33" s="138"/>
      <c r="Y33" s="138"/>
      <c r="AE33" s="138"/>
    </row>
    <row r="34" spans="1:36" x14ac:dyDescent="0.2">
      <c r="C34" s="19" t="s">
        <v>22</v>
      </c>
      <c r="F34" s="22"/>
      <c r="G34" s="149">
        <v>1000</v>
      </c>
      <c r="H34" s="22"/>
      <c r="I34" s="149">
        <v>1000</v>
      </c>
      <c r="J34" s="22"/>
      <c r="K34" s="149">
        <v>1000</v>
      </c>
      <c r="L34" s="22"/>
      <c r="M34" s="149">
        <v>1000</v>
      </c>
      <c r="N34" s="22"/>
      <c r="O34" s="149">
        <v>1000</v>
      </c>
      <c r="P34" s="22"/>
      <c r="Q34" s="149">
        <v>1000</v>
      </c>
      <c r="R34" s="22"/>
      <c r="S34" s="149">
        <v>1000</v>
      </c>
      <c r="T34" s="22"/>
      <c r="U34" s="149">
        <v>1000</v>
      </c>
      <c r="V34" s="22"/>
      <c r="W34" s="149">
        <v>1000</v>
      </c>
      <c r="X34" s="22"/>
      <c r="Y34" s="149">
        <v>1000</v>
      </c>
      <c r="Z34" s="22"/>
      <c r="AA34" s="149">
        <v>1000</v>
      </c>
      <c r="AB34" s="150"/>
      <c r="AC34" s="149">
        <v>1000</v>
      </c>
      <c r="AD34" s="22"/>
      <c r="AE34" s="149">
        <v>1000</v>
      </c>
      <c r="AF34" s="22"/>
      <c r="AG34" s="149">
        <v>1000</v>
      </c>
      <c r="AH34" s="22"/>
      <c r="AI34" s="149">
        <v>1000</v>
      </c>
      <c r="AJ34" s="22"/>
    </row>
    <row r="35" spans="1:36" x14ac:dyDescent="0.2">
      <c r="C35" s="19" t="s">
        <v>176</v>
      </c>
      <c r="F35" s="22"/>
      <c r="G35" s="151">
        <v>10000</v>
      </c>
      <c r="H35" s="22"/>
      <c r="I35" s="151">
        <v>10000</v>
      </c>
      <c r="J35" s="22"/>
      <c r="K35" s="151">
        <v>10000</v>
      </c>
      <c r="L35" s="22"/>
      <c r="M35" s="151">
        <v>10000</v>
      </c>
      <c r="N35" s="22"/>
      <c r="O35" s="151">
        <v>10000</v>
      </c>
      <c r="P35" s="22"/>
      <c r="Q35" s="151">
        <v>10000</v>
      </c>
      <c r="R35" s="22"/>
      <c r="S35" s="151">
        <v>10000</v>
      </c>
      <c r="T35" s="22"/>
      <c r="U35" s="151">
        <v>10000</v>
      </c>
      <c r="V35" s="22"/>
      <c r="W35" s="151">
        <v>10000</v>
      </c>
      <c r="X35" s="22"/>
      <c r="Y35" s="151">
        <v>10000</v>
      </c>
      <c r="Z35" s="22"/>
      <c r="AA35" s="151">
        <v>10000</v>
      </c>
      <c r="AB35" s="150"/>
      <c r="AC35" s="151">
        <v>10000</v>
      </c>
      <c r="AD35" s="22"/>
      <c r="AE35" s="151">
        <v>10000</v>
      </c>
      <c r="AF35" s="22"/>
      <c r="AG35" s="151">
        <v>10000</v>
      </c>
      <c r="AH35" s="22"/>
      <c r="AI35" s="151">
        <v>10000</v>
      </c>
      <c r="AJ35" s="22"/>
    </row>
    <row r="36" spans="1:36" x14ac:dyDescent="0.2">
      <c r="C36" s="19" t="s">
        <v>177</v>
      </c>
      <c r="G36" s="152">
        <f>G35+((+G34)/10)</f>
        <v>10100</v>
      </c>
      <c r="I36" s="152">
        <f>I35+((+I34)/10)</f>
        <v>10100</v>
      </c>
      <c r="K36" s="152">
        <f>K35+((+K34)/10)</f>
        <v>10100</v>
      </c>
      <c r="M36" s="152">
        <f>M35+((+M34)/10)</f>
        <v>10100</v>
      </c>
      <c r="O36" s="152">
        <f>O35+((+O34)/10)</f>
        <v>10100</v>
      </c>
      <c r="Q36" s="152">
        <f>Q35+((+Q34)/10)</f>
        <v>10100</v>
      </c>
      <c r="S36" s="152">
        <f>S35+((+S34)/10)</f>
        <v>10100</v>
      </c>
      <c r="U36" s="152">
        <f>U35+((+U34)/10)</f>
        <v>10100</v>
      </c>
      <c r="W36" s="152">
        <f>W35+((+W34)/10)</f>
        <v>10100</v>
      </c>
      <c r="Y36" s="152">
        <f>Y35+((+Y34)/10)</f>
        <v>10100</v>
      </c>
      <c r="AA36" s="152">
        <f>AA35+((+AA34)/10)</f>
        <v>10100</v>
      </c>
      <c r="AC36" s="152">
        <f>AC35+((+AC34)/10)</f>
        <v>10100</v>
      </c>
      <c r="AE36" s="152">
        <f>AE35+((+AE34)/10)</f>
        <v>10100</v>
      </c>
      <c r="AG36" s="152">
        <f>AG35+((+AG34)/10)</f>
        <v>10100</v>
      </c>
      <c r="AI36" s="152">
        <f>AI35+((+AI34)/10)</f>
        <v>10100</v>
      </c>
    </row>
    <row r="37" spans="1:36" x14ac:dyDescent="0.2">
      <c r="C37" s="19" t="s">
        <v>23</v>
      </c>
      <c r="G37" s="21">
        <f>G35/G36</f>
        <v>0.99009900990099009</v>
      </c>
      <c r="I37" s="21">
        <f>I35/I36</f>
        <v>0.99009900990099009</v>
      </c>
      <c r="K37" s="21">
        <f>K35/K36</f>
        <v>0.99009900990099009</v>
      </c>
      <c r="M37" s="21">
        <f>M35/M36</f>
        <v>0.99009900990099009</v>
      </c>
      <c r="O37" s="21">
        <f>O35/O36</f>
        <v>0.99009900990099009</v>
      </c>
      <c r="Q37" s="21">
        <f>Q35/Q36</f>
        <v>0.99009900990099009</v>
      </c>
      <c r="S37" s="21">
        <f>S35/S36</f>
        <v>0.99009900990099009</v>
      </c>
      <c r="U37" s="21">
        <f>U35/U36</f>
        <v>0.99009900990099009</v>
      </c>
      <c r="W37" s="21">
        <f>W35/W36</f>
        <v>0.99009900990099009</v>
      </c>
      <c r="Y37" s="21">
        <f>Y35/Y36</f>
        <v>0.99009900990099009</v>
      </c>
      <c r="AA37" s="21">
        <f>AA35/AA36</f>
        <v>0.99009900990099009</v>
      </c>
      <c r="AC37" s="21">
        <f>AC35/AC36</f>
        <v>0.99009900990099009</v>
      </c>
      <c r="AE37" s="21">
        <f>AE35/AE36</f>
        <v>0.99009900990099009</v>
      </c>
      <c r="AG37" s="21">
        <f>AG35/AG36</f>
        <v>0.99009900990099009</v>
      </c>
      <c r="AI37" s="21">
        <f>AI35/AI36</f>
        <v>0.99009900990099009</v>
      </c>
    </row>
    <row r="38" spans="1:36" ht="6.75" customHeight="1" x14ac:dyDescent="0.2">
      <c r="G38" s="138"/>
      <c r="M38" s="138"/>
      <c r="S38" s="138"/>
      <c r="Y38" s="138"/>
      <c r="AE38" s="138"/>
    </row>
    <row r="39" spans="1:36" s="22" customFormat="1" ht="13.7" customHeight="1" x14ac:dyDescent="0.2">
      <c r="A39" s="19" t="s">
        <v>24</v>
      </c>
      <c r="G39" s="153"/>
      <c r="I39" s="153"/>
      <c r="K39" s="153"/>
      <c r="M39" s="153"/>
      <c r="O39" s="153"/>
      <c r="Q39" s="153"/>
      <c r="S39" s="153"/>
      <c r="U39" s="153"/>
      <c r="W39" s="153"/>
      <c r="Y39" s="153"/>
      <c r="AA39" s="153"/>
      <c r="AC39" s="153"/>
      <c r="AE39" s="153"/>
      <c r="AG39" s="153"/>
      <c r="AI39" s="153"/>
    </row>
    <row r="40" spans="1:36" x14ac:dyDescent="0.2">
      <c r="B40" s="19" t="s">
        <v>63</v>
      </c>
      <c r="G40" s="154">
        <v>2000</v>
      </c>
      <c r="I40" s="154">
        <v>2000</v>
      </c>
      <c r="K40" s="154">
        <v>2000</v>
      </c>
      <c r="M40" s="154">
        <v>2000</v>
      </c>
      <c r="O40" s="154">
        <v>2000</v>
      </c>
      <c r="Q40" s="154">
        <v>2000</v>
      </c>
      <c r="S40" s="154">
        <v>2000</v>
      </c>
      <c r="U40" s="154">
        <v>2000</v>
      </c>
      <c r="W40" s="154">
        <v>2000</v>
      </c>
      <c r="Y40" s="154">
        <v>2000</v>
      </c>
      <c r="AA40" s="154">
        <v>2000</v>
      </c>
      <c r="AB40" s="155"/>
      <c r="AC40" s="154">
        <v>2000</v>
      </c>
      <c r="AE40" s="154">
        <v>2000</v>
      </c>
      <c r="AG40" s="154">
        <v>2000</v>
      </c>
      <c r="AI40" s="154">
        <v>2000</v>
      </c>
    </row>
    <row r="41" spans="1:36" x14ac:dyDescent="0.2">
      <c r="B41" s="19" t="s">
        <v>64</v>
      </c>
      <c r="G41" s="154">
        <v>20000</v>
      </c>
      <c r="I41" s="154">
        <v>20000</v>
      </c>
      <c r="K41" s="154">
        <v>20000</v>
      </c>
      <c r="M41" s="154">
        <v>20000</v>
      </c>
      <c r="O41" s="154">
        <v>20000</v>
      </c>
      <c r="Q41" s="154">
        <v>20000</v>
      </c>
      <c r="S41" s="154">
        <v>20000</v>
      </c>
      <c r="U41" s="154">
        <v>20000</v>
      </c>
      <c r="W41" s="154">
        <v>20000</v>
      </c>
      <c r="Y41" s="154">
        <v>20000</v>
      </c>
      <c r="AA41" s="154">
        <v>20000</v>
      </c>
      <c r="AB41" s="155"/>
      <c r="AC41" s="154">
        <v>20000</v>
      </c>
      <c r="AE41" s="154">
        <v>20000</v>
      </c>
      <c r="AG41" s="154">
        <v>20000</v>
      </c>
      <c r="AI41" s="154">
        <v>20000</v>
      </c>
    </row>
    <row r="42" spans="1:36" x14ac:dyDescent="0.2">
      <c r="C42" s="19" t="s">
        <v>25</v>
      </c>
      <c r="G42" s="156">
        <f>SUM(G40:G41)</f>
        <v>22000</v>
      </c>
      <c r="I42" s="156">
        <f>SUM(I40:I41)</f>
        <v>22000</v>
      </c>
      <c r="K42" s="156">
        <f>SUM(K40:K41)</f>
        <v>22000</v>
      </c>
      <c r="M42" s="156">
        <f>SUM(M40:M41)</f>
        <v>22000</v>
      </c>
      <c r="O42" s="156">
        <f>SUM(O40:O41)</f>
        <v>22000</v>
      </c>
      <c r="Q42" s="156">
        <f>SUM(Q40:Q41)</f>
        <v>22000</v>
      </c>
      <c r="S42" s="156">
        <f>SUM(S40:S41)</f>
        <v>22000</v>
      </c>
      <c r="U42" s="156">
        <f>SUM(U40:U41)</f>
        <v>22000</v>
      </c>
      <c r="W42" s="156">
        <f>SUM(W40:W41)</f>
        <v>22000</v>
      </c>
      <c r="Y42" s="156">
        <f>SUM(Y40:Y41)</f>
        <v>22000</v>
      </c>
      <c r="AA42" s="156">
        <f>SUM(AA40:AA41)</f>
        <v>22000</v>
      </c>
      <c r="AC42" s="156">
        <f>SUM(AC40:AC41)</f>
        <v>22000</v>
      </c>
      <c r="AE42" s="156">
        <f>SUM(AE40:AE41)</f>
        <v>22000</v>
      </c>
      <c r="AG42" s="156">
        <f>SUM(AG40:AG41)</f>
        <v>22000</v>
      </c>
      <c r="AI42" s="156">
        <f>SUM(AI40:AI41)</f>
        <v>22000</v>
      </c>
    </row>
    <row r="43" spans="1:36" x14ac:dyDescent="0.2">
      <c r="C43" s="120" t="s">
        <v>21</v>
      </c>
      <c r="G43" s="137">
        <f>G42*G37</f>
        <v>21782.178217821784</v>
      </c>
      <c r="I43" s="137">
        <f>I42*I37</f>
        <v>21782.178217821784</v>
      </c>
      <c r="K43" s="137">
        <f>K42*K37</f>
        <v>21782.178217821784</v>
      </c>
      <c r="M43" s="137">
        <f>M42*M37</f>
        <v>21782.178217821784</v>
      </c>
      <c r="O43" s="137">
        <f>O42*O37</f>
        <v>21782.178217821784</v>
      </c>
      <c r="Q43" s="137">
        <f>Q42*Q37</f>
        <v>21782.178217821784</v>
      </c>
      <c r="S43" s="137">
        <f>S42*S37</f>
        <v>21782.178217821784</v>
      </c>
      <c r="U43" s="137">
        <f>U42*U37</f>
        <v>21782.178217821784</v>
      </c>
      <c r="W43" s="137">
        <f>W42*W37</f>
        <v>21782.178217821784</v>
      </c>
      <c r="Y43" s="137">
        <f>Y42*Y37</f>
        <v>21782.178217821784</v>
      </c>
      <c r="AA43" s="137">
        <f>AA42*AA37</f>
        <v>21782.178217821784</v>
      </c>
      <c r="AC43" s="137">
        <f>AC42*AC37</f>
        <v>21782.178217821784</v>
      </c>
      <c r="AE43" s="137">
        <f>AE42*AE37</f>
        <v>21782.178217821784</v>
      </c>
      <c r="AG43" s="137">
        <f>AG42*AG37</f>
        <v>21782.178217821784</v>
      </c>
      <c r="AI43" s="137">
        <f>AI42*AI37</f>
        <v>21782.178217821784</v>
      </c>
    </row>
    <row r="44" spans="1:36" ht="6.75" customHeight="1" x14ac:dyDescent="0.2">
      <c r="G44" s="138"/>
      <c r="M44" s="138"/>
      <c r="S44" s="138"/>
      <c r="Y44" s="138"/>
      <c r="AE44" s="138"/>
    </row>
    <row r="45" spans="1:36" x14ac:dyDescent="0.2">
      <c r="A45" s="19" t="s">
        <v>178</v>
      </c>
      <c r="G45" s="138"/>
      <c r="M45" s="138"/>
      <c r="S45" s="138"/>
      <c r="Y45" s="138"/>
      <c r="AE45" s="138"/>
    </row>
    <row r="46" spans="1:36" x14ac:dyDescent="0.2">
      <c r="B46" s="19" t="s">
        <v>179</v>
      </c>
      <c r="C46" s="157"/>
      <c r="G46" s="154">
        <v>3000</v>
      </c>
      <c r="I46" s="154">
        <v>3000</v>
      </c>
      <c r="K46" s="154">
        <v>3000</v>
      </c>
      <c r="M46" s="154">
        <v>3000</v>
      </c>
      <c r="O46" s="154">
        <v>3000</v>
      </c>
      <c r="Q46" s="154">
        <v>3000</v>
      </c>
      <c r="S46" s="154">
        <v>3000</v>
      </c>
      <c r="U46" s="154">
        <v>3000</v>
      </c>
      <c r="W46" s="154">
        <v>3000</v>
      </c>
      <c r="Y46" s="154">
        <v>3000</v>
      </c>
      <c r="Z46" s="155"/>
      <c r="AA46" s="154">
        <v>3000</v>
      </c>
      <c r="AC46" s="154">
        <v>3000</v>
      </c>
      <c r="AE46" s="154">
        <v>3000</v>
      </c>
      <c r="AG46" s="154">
        <v>3000</v>
      </c>
      <c r="AI46" s="154">
        <v>3000</v>
      </c>
    </row>
    <row r="47" spans="1:36" x14ac:dyDescent="0.2">
      <c r="C47" s="120" t="s">
        <v>21</v>
      </c>
      <c r="G47" s="137">
        <f>G46*G37</f>
        <v>2970.2970297029701</v>
      </c>
      <c r="I47" s="137">
        <f>I46*I37</f>
        <v>2970.2970297029701</v>
      </c>
      <c r="K47" s="137">
        <f>K46*K37</f>
        <v>2970.2970297029701</v>
      </c>
      <c r="M47" s="137">
        <f>M46*M37</f>
        <v>2970.2970297029701</v>
      </c>
      <c r="O47" s="137">
        <f>O46*O37</f>
        <v>2970.2970297029701</v>
      </c>
      <c r="Q47" s="137">
        <f>Q46*Q37</f>
        <v>2970.2970297029701</v>
      </c>
      <c r="S47" s="137">
        <f>S46*S37</f>
        <v>2970.2970297029701</v>
      </c>
      <c r="U47" s="137">
        <f>U46*U37</f>
        <v>2970.2970297029701</v>
      </c>
      <c r="W47" s="137">
        <f>W46*W37</f>
        <v>2970.2970297029701</v>
      </c>
      <c r="Y47" s="137">
        <f>Y46*Y37</f>
        <v>2970.2970297029701</v>
      </c>
      <c r="AA47" s="137">
        <f>AA46*AA37</f>
        <v>2970.2970297029701</v>
      </c>
      <c r="AC47" s="137">
        <f>AC46*AC37</f>
        <v>2970.2970297029701</v>
      </c>
      <c r="AE47" s="137">
        <f>AE46*AE37</f>
        <v>2970.2970297029701</v>
      </c>
      <c r="AG47" s="137">
        <f>AG46*AG37</f>
        <v>2970.2970297029701</v>
      </c>
      <c r="AI47" s="137">
        <f>AI46*AI37</f>
        <v>2970.2970297029701</v>
      </c>
    </row>
    <row r="48" spans="1:36" x14ac:dyDescent="0.2">
      <c r="B48" s="19" t="s">
        <v>180</v>
      </c>
      <c r="G48" s="136">
        <f>2.7172*G35</f>
        <v>27172</v>
      </c>
      <c r="I48" s="136">
        <f>2.7172*I35</f>
        <v>27172</v>
      </c>
      <c r="K48" s="136">
        <f>2.7172*K35</f>
        <v>27172</v>
      </c>
      <c r="M48" s="136">
        <f>2.7172*M35</f>
        <v>27172</v>
      </c>
      <c r="O48" s="136">
        <f>2.7172*O35</f>
        <v>27172</v>
      </c>
      <c r="Q48" s="136">
        <f>2.7172*Q35</f>
        <v>27172</v>
      </c>
      <c r="S48" s="136">
        <f>2.7172*S35</f>
        <v>27172</v>
      </c>
      <c r="U48" s="136">
        <f>2.7172*U35</f>
        <v>27172</v>
      </c>
      <c r="W48" s="136">
        <f>2.7172*W35</f>
        <v>27172</v>
      </c>
      <c r="Y48" s="136">
        <f>2.7172*Y35</f>
        <v>27172</v>
      </c>
      <c r="AA48" s="136">
        <f>2.7172*AA35</f>
        <v>27172</v>
      </c>
      <c r="AC48" s="136">
        <f>2.7172*AC35</f>
        <v>27172</v>
      </c>
      <c r="AE48" s="136">
        <f>2.7172*AE35</f>
        <v>27172</v>
      </c>
      <c r="AG48" s="136">
        <f>2.7172*AG35</f>
        <v>27172</v>
      </c>
      <c r="AI48" s="136">
        <f>2.7172*AI35</f>
        <v>27172</v>
      </c>
    </row>
    <row r="49" spans="1:35" x14ac:dyDescent="0.2">
      <c r="C49" s="120"/>
      <c r="G49" s="137">
        <f>SUM(G47:G48)</f>
        <v>30142.297029702971</v>
      </c>
      <c r="I49" s="137">
        <f>SUM(I47:I48)</f>
        <v>30142.297029702971</v>
      </c>
      <c r="K49" s="137">
        <f>SUM(K47:K48)</f>
        <v>30142.297029702971</v>
      </c>
      <c r="M49" s="137">
        <f>SUM(M47:M48)</f>
        <v>30142.297029702971</v>
      </c>
      <c r="O49" s="137">
        <f>SUM(O47:O48)</f>
        <v>30142.297029702971</v>
      </c>
      <c r="Q49" s="137">
        <f>SUM(Q47:Q48)</f>
        <v>30142.297029702971</v>
      </c>
      <c r="S49" s="137">
        <f>SUM(S47:S48)</f>
        <v>30142.297029702971</v>
      </c>
      <c r="U49" s="137">
        <f>SUM(U47:U48)</f>
        <v>30142.297029702971</v>
      </c>
      <c r="W49" s="137">
        <f>SUM(W47:W48)</f>
        <v>30142.297029702971</v>
      </c>
      <c r="Y49" s="137">
        <f>SUM(Y47:Y48)</f>
        <v>30142.297029702971</v>
      </c>
      <c r="AA49" s="137">
        <f>SUM(AA47:AA48)</f>
        <v>30142.297029702971</v>
      </c>
      <c r="AC49" s="137">
        <f>SUM(AC47:AC48)</f>
        <v>30142.297029702971</v>
      </c>
      <c r="AE49" s="137">
        <f>SUM(AE47:AE48)</f>
        <v>30142.297029702971</v>
      </c>
      <c r="AG49" s="137">
        <f>SUM(AG47:AG48)</f>
        <v>30142.297029702971</v>
      </c>
      <c r="AI49" s="137">
        <f>SUM(AI47:AI48)</f>
        <v>30142.297029702971</v>
      </c>
    </row>
    <row r="51" spans="1:35" x14ac:dyDescent="0.2">
      <c r="A51" s="19" t="s">
        <v>5</v>
      </c>
    </row>
    <row r="52" spans="1:35" x14ac:dyDescent="0.2">
      <c r="A52" s="19" t="s">
        <v>24</v>
      </c>
    </row>
    <row r="53" spans="1:35" x14ac:dyDescent="0.2">
      <c r="B53" s="19" t="s">
        <v>70</v>
      </c>
      <c r="G53" s="154">
        <v>4000</v>
      </c>
      <c r="I53" s="154">
        <v>4000</v>
      </c>
      <c r="K53" s="154">
        <v>4000</v>
      </c>
      <c r="M53" s="154">
        <v>4000</v>
      </c>
      <c r="O53" s="154">
        <v>4000</v>
      </c>
      <c r="Q53" s="154">
        <v>4000</v>
      </c>
      <c r="S53" s="154">
        <v>4000</v>
      </c>
      <c r="U53" s="154">
        <v>4000</v>
      </c>
      <c r="W53" s="154">
        <v>4000</v>
      </c>
      <c r="Y53" s="154">
        <v>4000</v>
      </c>
      <c r="AA53" s="154">
        <v>4000</v>
      </c>
      <c r="AC53" s="154">
        <v>4000</v>
      </c>
      <c r="AE53" s="154">
        <v>4000</v>
      </c>
      <c r="AG53" s="154">
        <v>4000</v>
      </c>
      <c r="AI53" s="154">
        <v>4000</v>
      </c>
    </row>
    <row r="54" spans="1:35" x14ac:dyDescent="0.2">
      <c r="B54" s="19" t="s">
        <v>26</v>
      </c>
      <c r="G54" s="154">
        <v>5000</v>
      </c>
      <c r="I54" s="154">
        <v>5000</v>
      </c>
      <c r="K54" s="154">
        <v>5000</v>
      </c>
      <c r="M54" s="154">
        <v>5000</v>
      </c>
      <c r="O54" s="154">
        <v>5000</v>
      </c>
      <c r="Q54" s="154">
        <v>5000</v>
      </c>
      <c r="S54" s="154">
        <v>5000</v>
      </c>
      <c r="U54" s="154">
        <v>5000</v>
      </c>
      <c r="W54" s="154">
        <v>5000</v>
      </c>
      <c r="Y54" s="154">
        <v>5000</v>
      </c>
      <c r="AA54" s="154">
        <v>5000</v>
      </c>
      <c r="AC54" s="154">
        <v>5000</v>
      </c>
      <c r="AE54" s="154">
        <v>5000</v>
      </c>
      <c r="AG54" s="154">
        <v>5000</v>
      </c>
      <c r="AI54" s="154">
        <v>5000</v>
      </c>
    </row>
    <row r="55" spans="1:35" x14ac:dyDescent="0.2">
      <c r="C55" s="19" t="s">
        <v>25</v>
      </c>
      <c r="G55" s="137">
        <f>SUM(G53:G54)</f>
        <v>9000</v>
      </c>
      <c r="I55" s="137">
        <f>SUM(I53:I54)</f>
        <v>9000</v>
      </c>
      <c r="K55" s="137">
        <f>SUM(K53:K54)</f>
        <v>9000</v>
      </c>
      <c r="M55" s="137">
        <f>SUM(M53:M54)</f>
        <v>9000</v>
      </c>
      <c r="O55" s="137">
        <f>SUM(O53:O54)</f>
        <v>9000</v>
      </c>
      <c r="Q55" s="137">
        <f>SUM(Q53:Q54)</f>
        <v>9000</v>
      </c>
      <c r="S55" s="137">
        <f>SUM(S53:S54)</f>
        <v>9000</v>
      </c>
      <c r="U55" s="137">
        <f>SUM(U53:U54)</f>
        <v>9000</v>
      </c>
      <c r="W55" s="137">
        <f>SUM(W53:W54)</f>
        <v>9000</v>
      </c>
      <c r="Y55" s="137">
        <f>SUM(Y53:Y54)</f>
        <v>9000</v>
      </c>
      <c r="AA55" s="137">
        <f>SUM(AA53:AA54)</f>
        <v>9000</v>
      </c>
      <c r="AC55" s="137">
        <f>SUM(AC53:AC54)</f>
        <v>9000</v>
      </c>
      <c r="AE55" s="137">
        <f>SUM(AE53:AE54)</f>
        <v>9000</v>
      </c>
      <c r="AG55" s="137">
        <f>SUM(AG53:AG54)</f>
        <v>9000</v>
      </c>
      <c r="AI55" s="137">
        <f>SUM(AI53:AI54)</f>
        <v>9000</v>
      </c>
    </row>
    <row r="56" spans="1:35" ht="6.75" customHeight="1" x14ac:dyDescent="0.2">
      <c r="G56" s="138"/>
      <c r="M56" s="138"/>
      <c r="S56" s="138"/>
      <c r="Y56" s="138"/>
      <c r="AE56" s="138"/>
    </row>
    <row r="57" spans="1:35" x14ac:dyDescent="0.2">
      <c r="A57" s="19" t="s">
        <v>178</v>
      </c>
    </row>
    <row r="60" spans="1:35" x14ac:dyDescent="0.2">
      <c r="A60" s="19" t="s">
        <v>6</v>
      </c>
    </row>
    <row r="61" spans="1:35" x14ac:dyDescent="0.2">
      <c r="A61" s="19" t="s">
        <v>24</v>
      </c>
    </row>
    <row r="62" spans="1:35" x14ac:dyDescent="0.2">
      <c r="B62" s="19" t="s">
        <v>27</v>
      </c>
      <c r="G62" s="154">
        <v>6000</v>
      </c>
      <c r="I62" s="154">
        <v>6000</v>
      </c>
      <c r="K62" s="154">
        <v>6000</v>
      </c>
      <c r="M62" s="154">
        <v>6000</v>
      </c>
      <c r="O62" s="154">
        <v>6000</v>
      </c>
      <c r="Q62" s="154">
        <v>6000</v>
      </c>
      <c r="S62" s="154">
        <v>6000</v>
      </c>
      <c r="U62" s="154">
        <v>6000</v>
      </c>
      <c r="W62" s="154">
        <v>6000</v>
      </c>
      <c r="Y62" s="154">
        <v>6000</v>
      </c>
      <c r="AA62" s="154">
        <v>6000</v>
      </c>
      <c r="AC62" s="154">
        <v>6000</v>
      </c>
      <c r="AE62" s="154">
        <v>6000</v>
      </c>
      <c r="AG62" s="154">
        <v>6000</v>
      </c>
      <c r="AI62" s="154">
        <v>6000</v>
      </c>
    </row>
    <row r="63" spans="1:35" x14ac:dyDescent="0.2">
      <c r="B63" s="19" t="s">
        <v>26</v>
      </c>
      <c r="G63" s="154">
        <v>7000</v>
      </c>
      <c r="I63" s="154">
        <v>7000</v>
      </c>
      <c r="K63" s="154">
        <v>7000</v>
      </c>
      <c r="M63" s="154">
        <v>7000</v>
      </c>
      <c r="O63" s="154">
        <v>7000</v>
      </c>
      <c r="Q63" s="154">
        <v>7000</v>
      </c>
      <c r="S63" s="154">
        <v>7000</v>
      </c>
      <c r="U63" s="154">
        <v>7000</v>
      </c>
      <c r="W63" s="154">
        <v>7000</v>
      </c>
      <c r="Y63" s="154">
        <v>7000</v>
      </c>
      <c r="AA63" s="154">
        <v>7000</v>
      </c>
      <c r="AC63" s="154">
        <v>7000</v>
      </c>
      <c r="AE63" s="154">
        <v>7000</v>
      </c>
      <c r="AG63" s="154">
        <v>7000</v>
      </c>
      <c r="AI63" s="154">
        <v>7000</v>
      </c>
    </row>
    <row r="64" spans="1:35" x14ac:dyDescent="0.2">
      <c r="B64" s="19" t="s">
        <v>181</v>
      </c>
      <c r="G64" s="154">
        <v>8000</v>
      </c>
      <c r="I64" s="154">
        <v>8000</v>
      </c>
      <c r="K64" s="154">
        <v>8000</v>
      </c>
      <c r="M64" s="154">
        <v>8000</v>
      </c>
      <c r="O64" s="154">
        <v>8000</v>
      </c>
      <c r="Q64" s="154">
        <v>8000</v>
      </c>
      <c r="S64" s="154">
        <v>8000</v>
      </c>
      <c r="U64" s="154">
        <v>8000</v>
      </c>
      <c r="W64" s="154">
        <v>8000</v>
      </c>
      <c r="Y64" s="154">
        <v>8000</v>
      </c>
      <c r="AA64" s="154">
        <v>8000</v>
      </c>
      <c r="AC64" s="154">
        <v>8000</v>
      </c>
      <c r="AE64" s="154">
        <v>8000</v>
      </c>
      <c r="AG64" s="154">
        <v>8000</v>
      </c>
      <c r="AI64" s="154">
        <v>8000</v>
      </c>
    </row>
    <row r="65" spans="1:35" x14ac:dyDescent="0.2">
      <c r="C65" s="19" t="s">
        <v>25</v>
      </c>
      <c r="G65" s="137">
        <f>SUM(G62:G64)</f>
        <v>21000</v>
      </c>
      <c r="I65" s="137">
        <f>SUM(I62:I64)</f>
        <v>21000</v>
      </c>
      <c r="K65" s="137">
        <f>SUM(K62:K64)</f>
        <v>21000</v>
      </c>
      <c r="M65" s="137">
        <f>SUM(M62:M64)</f>
        <v>21000</v>
      </c>
      <c r="O65" s="137">
        <f>SUM(O62:O64)</f>
        <v>21000</v>
      </c>
      <c r="Q65" s="137">
        <f>SUM(Q62:Q64)</f>
        <v>21000</v>
      </c>
      <c r="S65" s="137">
        <f>SUM(S62:S64)</f>
        <v>21000</v>
      </c>
      <c r="U65" s="137">
        <f>SUM(U62:U64)</f>
        <v>21000</v>
      </c>
      <c r="W65" s="137">
        <f>SUM(W62:W64)</f>
        <v>21000</v>
      </c>
      <c r="Y65" s="137">
        <f>SUM(Y62:Y64)</f>
        <v>21000</v>
      </c>
      <c r="AA65" s="137">
        <f>SUM(AA62:AA64)</f>
        <v>21000</v>
      </c>
      <c r="AC65" s="137">
        <f>SUM(AC62:AC64)</f>
        <v>21000</v>
      </c>
      <c r="AE65" s="137">
        <f>SUM(AE62:AE64)</f>
        <v>21000</v>
      </c>
      <c r="AG65" s="137">
        <f>SUM(AG62:AG64)</f>
        <v>21000</v>
      </c>
      <c r="AI65" s="137">
        <f>SUM(AI62:AI64)</f>
        <v>21000</v>
      </c>
    </row>
    <row r="66" spans="1:35" ht="6.75" customHeight="1" x14ac:dyDescent="0.2">
      <c r="G66" s="138"/>
      <c r="M66" s="138"/>
      <c r="S66" s="138"/>
      <c r="Y66" s="138"/>
      <c r="AE66" s="138"/>
    </row>
    <row r="67" spans="1:35" x14ac:dyDescent="0.2">
      <c r="A67" s="19" t="s">
        <v>178</v>
      </c>
    </row>
  </sheetData>
  <pageMargins left="0.5" right="0.5" top="1" bottom="1" header="0.5" footer="0.5"/>
  <pageSetup scale="83" fitToWidth="0" orientation="landscape" r:id="rId1"/>
  <headerFooter>
    <oddHeader>&amp;C&amp;"Arial,Bold"Schedule IV&amp;"Arial,Regular"
Actual Adjustment&amp;R&amp;"Arial,Bold"Navitas KY NG, LLC</oddHeader>
    <oddFooter>&amp;L&amp;F&amp;C&amp;A&amp;R&amp;D&amp;T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26795-E74C-4CDD-980D-A894710FBE78}">
  <sheetPr>
    <pageSetUpPr fitToPage="1"/>
  </sheetPr>
  <dimension ref="A1:DN54"/>
  <sheetViews>
    <sheetView zoomScale="75" zoomScaleNormal="75" workbookViewId="0">
      <pane xSplit="4" ySplit="18" topLeftCell="E19" activePane="bottomRight" state="frozen"/>
      <selection pane="topRight" activeCell="E1" sqref="E1"/>
      <selection pane="bottomLeft" activeCell="A19" sqref="A19"/>
      <selection pane="bottomRight" activeCell="W38" sqref="W38"/>
    </sheetView>
  </sheetViews>
  <sheetFormatPr defaultRowHeight="12.75" x14ac:dyDescent="0.2"/>
  <cols>
    <col min="1" max="2" width="1.7109375" customWidth="1"/>
    <col min="3" max="3" width="20.7109375" customWidth="1"/>
    <col min="4" max="5" width="1.7109375" customWidth="1"/>
    <col min="6" max="6" width="11.7109375" customWidth="1"/>
    <col min="7" max="7" width="1.7109375" customWidth="1"/>
    <col min="8" max="8" width="1.28515625" customWidth="1"/>
    <col min="9" max="9" width="12.28515625" bestFit="1" customWidth="1"/>
    <col min="10" max="10" width="1.28515625" customWidth="1"/>
    <col min="11" max="11" width="12.28515625" bestFit="1" customWidth="1"/>
    <col min="12" max="12" width="1.28515625" customWidth="1"/>
    <col min="13" max="13" width="11.7109375" customWidth="1"/>
    <col min="14" max="14" width="1.28515625" customWidth="1"/>
    <col min="15" max="15" width="11.7109375" customWidth="1"/>
    <col min="16" max="16" width="1.28515625" customWidth="1"/>
    <col min="17" max="17" width="11.7109375" customWidth="1"/>
    <col min="18" max="18" width="1.28515625" customWidth="1"/>
    <col min="19" max="19" width="11.7109375" customWidth="1"/>
    <col min="20" max="20" width="1.28515625" customWidth="1"/>
    <col min="21" max="21" width="11.7109375" customWidth="1"/>
    <col min="22" max="22" width="1.28515625" customWidth="1"/>
    <col min="23" max="23" width="11.7109375" customWidth="1"/>
    <col min="24" max="24" width="1.28515625" customWidth="1"/>
    <col min="25" max="25" width="11.7109375" customWidth="1"/>
    <col min="26" max="26" width="1.28515625" customWidth="1"/>
    <col min="27" max="27" width="11.7109375" customWidth="1"/>
    <col min="28" max="28" width="1.28515625" customWidth="1"/>
    <col min="29" max="29" width="11.7109375" customWidth="1"/>
    <col min="30" max="30" width="1.28515625" customWidth="1"/>
    <col min="31" max="31" width="11.7109375" customWidth="1"/>
    <col min="32" max="32" width="1.28515625" customWidth="1"/>
    <col min="33" max="33" width="11.7109375" customWidth="1"/>
    <col min="34" max="34" width="1.28515625" customWidth="1"/>
    <col min="35" max="35" width="11.7109375" customWidth="1"/>
    <col min="36" max="36" width="1.28515625" customWidth="1"/>
    <col min="37" max="37" width="11.7109375" customWidth="1"/>
    <col min="38" max="38" width="1.28515625" customWidth="1"/>
    <col min="39" max="39" width="11.7109375" customWidth="1"/>
    <col min="40" max="40" width="1.28515625" customWidth="1"/>
    <col min="41" max="41" width="11.7109375" customWidth="1"/>
    <col min="42" max="42" width="1.28515625" customWidth="1"/>
    <col min="43" max="43" width="11.7109375" customWidth="1"/>
    <col min="44" max="44" width="1.28515625" customWidth="1"/>
    <col min="45" max="45" width="11.7109375" customWidth="1"/>
    <col min="46" max="46" width="1.28515625" customWidth="1"/>
    <col min="47" max="47" width="11.7109375" customWidth="1"/>
    <col min="48" max="48" width="1.28515625" customWidth="1"/>
    <col min="49" max="49" width="11.7109375" customWidth="1"/>
    <col min="50" max="50" width="1.28515625" customWidth="1"/>
    <col min="51" max="51" width="11.7109375" customWidth="1"/>
    <col min="52" max="52" width="1.28515625" customWidth="1"/>
    <col min="53" max="53" width="11.7109375" customWidth="1"/>
    <col min="54" max="54" width="1.28515625" customWidth="1"/>
    <col min="55" max="55" width="11.7109375" customWidth="1"/>
    <col min="56" max="56" width="1.28515625" customWidth="1"/>
    <col min="57" max="57" width="11.7109375" customWidth="1"/>
    <col min="58" max="58" width="1.28515625" customWidth="1"/>
    <col min="59" max="59" width="11.7109375" customWidth="1"/>
    <col min="60" max="60" width="1.28515625" customWidth="1"/>
    <col min="61" max="61" width="11.7109375" customWidth="1"/>
    <col min="62" max="62" width="1.28515625" customWidth="1"/>
    <col min="63" max="63" width="11.7109375" customWidth="1"/>
    <col min="64" max="64" width="1.28515625" customWidth="1"/>
    <col min="65" max="65" width="11.7109375" customWidth="1"/>
    <col min="66" max="66" width="1.28515625" customWidth="1"/>
    <col min="67" max="67" width="11.7109375" customWidth="1"/>
    <col min="68" max="68" width="1.28515625" customWidth="1"/>
    <col min="69" max="69" width="11.7109375" customWidth="1"/>
    <col min="70" max="70" width="1.28515625" customWidth="1"/>
    <col min="71" max="71" width="11.7109375" customWidth="1"/>
    <col min="72" max="72" width="1.28515625" customWidth="1"/>
    <col min="73" max="73" width="11.7109375" customWidth="1"/>
    <col min="74" max="74" width="1.28515625" customWidth="1"/>
    <col min="75" max="75" width="11.7109375" customWidth="1"/>
    <col min="76" max="76" width="1.28515625" customWidth="1"/>
    <col min="77" max="77" width="11.7109375" customWidth="1"/>
    <col min="78" max="78" width="1.28515625" customWidth="1"/>
    <col min="79" max="79" width="11.7109375" customWidth="1"/>
    <col min="80" max="80" width="1.28515625" customWidth="1"/>
    <col min="81" max="81" width="11.7109375" customWidth="1"/>
    <col min="82" max="82" width="1.28515625" customWidth="1"/>
    <col min="83" max="83" width="11.7109375" customWidth="1"/>
    <col min="84" max="84" width="1.28515625" customWidth="1"/>
    <col min="85" max="85" width="11.7109375" customWidth="1"/>
    <col min="86" max="86" width="1.28515625" customWidth="1"/>
    <col min="87" max="87" width="11.7109375" customWidth="1"/>
    <col min="88" max="88" width="1.28515625" customWidth="1"/>
    <col min="89" max="89" width="11.7109375" customWidth="1"/>
    <col min="90" max="90" width="1.28515625" customWidth="1"/>
    <col min="91" max="91" width="11.7109375" customWidth="1"/>
    <col min="92" max="92" width="1.28515625" customWidth="1"/>
    <col min="93" max="93" width="11.7109375" customWidth="1"/>
    <col min="94" max="94" width="1.28515625" customWidth="1"/>
    <col min="95" max="95" width="11.7109375" customWidth="1"/>
    <col min="96" max="96" width="1.28515625" customWidth="1"/>
    <col min="97" max="97" width="11.7109375" customWidth="1"/>
    <col min="98" max="98" width="1.28515625" customWidth="1"/>
    <col min="99" max="99" width="11.7109375" customWidth="1"/>
    <col min="100" max="100" width="1.28515625" customWidth="1"/>
    <col min="101" max="101" width="11.7109375" customWidth="1"/>
    <col min="102" max="102" width="1.28515625" customWidth="1"/>
    <col min="103" max="103" width="11.7109375" customWidth="1"/>
    <col min="104" max="104" width="1.28515625" customWidth="1"/>
    <col min="105" max="105" width="11.7109375" customWidth="1"/>
    <col min="106" max="106" width="1.28515625" customWidth="1"/>
    <col min="107" max="107" width="11.7109375" customWidth="1"/>
    <col min="108" max="108" width="1.28515625" customWidth="1"/>
    <col min="109" max="109" width="11.7109375" customWidth="1"/>
    <col min="110" max="110" width="1.28515625" customWidth="1"/>
    <col min="111" max="111" width="11.7109375" customWidth="1"/>
    <col min="112" max="112" width="1.28515625" customWidth="1"/>
    <col min="113" max="113" width="11.7109375" customWidth="1"/>
    <col min="114" max="114" width="1.28515625" customWidth="1"/>
    <col min="115" max="115" width="11.7109375" customWidth="1"/>
    <col min="116" max="116" width="1.28515625" customWidth="1"/>
    <col min="117" max="117" width="11.7109375" customWidth="1"/>
    <col min="118" max="118" width="1.28515625" customWidth="1"/>
  </cols>
  <sheetData>
    <row r="1" spans="1:118" x14ac:dyDescent="0.2">
      <c r="F1" s="14"/>
      <c r="I1" s="14">
        <f>I21+I25+I29+I33+I37+I41+I45+I49+I53</f>
        <v>0</v>
      </c>
      <c r="K1" s="14">
        <f>K21+K25+K29+K33+K37+K41+K45+K49+K53</f>
        <v>0</v>
      </c>
      <c r="M1" s="14">
        <f>M21+M25+M29+M33+M37+M41+M45+M49+M53</f>
        <v>0</v>
      </c>
      <c r="O1" s="14">
        <f>O21+O25+O29+O33+O37+O41+O45+O49+O53</f>
        <v>0</v>
      </c>
      <c r="Q1" s="14">
        <f>Q21+Q25+Q29+Q33+Q37+Q41+Q45+Q49+Q53</f>
        <v>0</v>
      </c>
      <c r="S1" s="14">
        <f>S21+S25+S29+S33+S37+S41+S45+S49+S53</f>
        <v>0</v>
      </c>
      <c r="U1" s="14">
        <f>U21+U25+U29+U33+U37+U41+U45+U49+U53</f>
        <v>0</v>
      </c>
      <c r="W1" s="14">
        <f>W21+W25+W29+W33+W37+W41+W45+W49+W53</f>
        <v>0</v>
      </c>
      <c r="Y1" s="14">
        <f>Y21+Y25+Y29+Y33+Y37+Y41+Y45+Y49+Y53</f>
        <v>0</v>
      </c>
      <c r="AA1" s="14">
        <f>AA21+AA25+AA29+AA33+AA37+AA41+AA45+AA49+AA53</f>
        <v>0</v>
      </c>
      <c r="AC1" s="14">
        <f>AC21+AC25+AC29+AC33+AC37+AC41+AC45+AC49+AC53</f>
        <v>0</v>
      </c>
      <c r="AE1" s="14">
        <f>AE21+AE25+AE29+AE33+AE37+AE41+AE45+AE49+AE53</f>
        <v>0</v>
      </c>
      <c r="AG1" s="14">
        <f>AG21+AG25+AG29+AG33+AG37+AG41+AG45+AG49+AG53</f>
        <v>0</v>
      </c>
      <c r="AI1" s="14">
        <f>AI21+AI25+AI29+AI33+AI37+AI41+AI45+AI49+AI53</f>
        <v>0</v>
      </c>
      <c r="AK1" s="14">
        <f>AK21+AK25+AK29+AK33+AK37+AK41+AK45+AK49+AK53</f>
        <v>0</v>
      </c>
      <c r="AM1" s="14">
        <f>AM21+AM25+AM29+AM33+AM37+AM41+AM45+AM49+AM53</f>
        <v>0</v>
      </c>
      <c r="AO1" s="14" t="e">
        <f>AO21+AO25+AO29+AO33+AO37+AO41+AO45+AO49+AO53</f>
        <v>#DIV/0!</v>
      </c>
      <c r="AQ1" s="14" t="e">
        <f>AQ21+AQ25+AQ29+AQ33+AQ37+AQ41+AQ45+AQ49+AQ53</f>
        <v>#DIV/0!</v>
      </c>
      <c r="AS1" s="14" t="e">
        <f>AS21+AS25+AS29+AS33+AS37+AS41+AS45+AS49+AS53</f>
        <v>#DIV/0!</v>
      </c>
      <c r="AU1" s="14" t="e">
        <f>AU21+AU25+AU29+AU33+AU37+AU41+AU45+AU49+AU53</f>
        <v>#DIV/0!</v>
      </c>
      <c r="AW1" s="14" t="e">
        <f>AW21+AW25+AW29+AW33+AW37+AW41+AW45+AW49+AW53</f>
        <v>#DIV/0!</v>
      </c>
      <c r="AY1" s="14" t="e">
        <f>AY21+AY25+AY29+AY33+AY37+AY41+AY45+AY49+AY53</f>
        <v>#DIV/0!</v>
      </c>
      <c r="BA1" s="14" t="e">
        <f>BA21+BA25+BA29+BA33+BA37+BA41+BA45+BA49+BA53</f>
        <v>#DIV/0!</v>
      </c>
      <c r="BC1" s="14" t="e">
        <f>BC21+BC25+BC29+BC33+BC37+BC41+BC45+BC49+BC53</f>
        <v>#DIV/0!</v>
      </c>
      <c r="BE1" s="14" t="e">
        <f>BE21+BE25+BE29+BE33+BE37+BE41+BE45+BE49+BE53</f>
        <v>#DIV/0!</v>
      </c>
      <c r="BG1" s="14" t="e">
        <f>BG21+BG25+BG29+BG33+BG37+BG41+BG45+BG49+BG53</f>
        <v>#DIV/0!</v>
      </c>
      <c r="BI1" s="14" t="e">
        <f>BI21+BI25+BI29+BI33+BI37+BI41+BI45+BI49+BI53</f>
        <v>#DIV/0!</v>
      </c>
      <c r="BK1" s="14" t="e">
        <f>BK21+BK25+BK29+BK33+BK37+BK41+BK45+BK49+BK53</f>
        <v>#DIV/0!</v>
      </c>
      <c r="BM1" s="14"/>
      <c r="BO1" s="14"/>
      <c r="BQ1" s="14"/>
      <c r="BS1" s="14"/>
      <c r="BU1" s="14"/>
      <c r="BW1" s="14"/>
      <c r="BY1" s="14"/>
      <c r="CA1" s="14"/>
      <c r="CC1" s="14"/>
      <c r="CE1" s="14"/>
      <c r="CG1" s="14"/>
      <c r="CI1" s="14"/>
      <c r="CK1" s="14"/>
      <c r="CM1" s="14"/>
      <c r="CO1" s="14"/>
      <c r="CQ1" s="14"/>
      <c r="CS1" s="14"/>
      <c r="CU1" s="14"/>
      <c r="CW1" s="14"/>
      <c r="CY1" s="14"/>
      <c r="DA1" s="14"/>
      <c r="DC1" s="14"/>
      <c r="DE1" s="14"/>
      <c r="DG1" s="14"/>
      <c r="DI1" s="14"/>
      <c r="DK1" s="14"/>
      <c r="DM1" s="14"/>
    </row>
    <row r="2" spans="1:118" x14ac:dyDescent="0.2">
      <c r="B2" s="68" t="s">
        <v>77</v>
      </c>
      <c r="C2" s="1" t="s">
        <v>78</v>
      </c>
    </row>
    <row r="3" spans="1:118" x14ac:dyDescent="0.2">
      <c r="B3" s="68" t="s">
        <v>79</v>
      </c>
      <c r="C3" s="1" t="s">
        <v>80</v>
      </c>
      <c r="I3" s="69" t="s">
        <v>81</v>
      </c>
      <c r="J3" s="70"/>
      <c r="K3" s="71" t="s">
        <v>82</v>
      </c>
      <c r="O3" s="72"/>
      <c r="Q3" s="1"/>
      <c r="U3" s="72"/>
      <c r="W3" s="1"/>
      <c r="AC3" s="72"/>
      <c r="AE3" s="1"/>
    </row>
    <row r="4" spans="1:118" s="3" customFormat="1" x14ac:dyDescent="0.2">
      <c r="A4" s="2"/>
      <c r="H4" s="73"/>
      <c r="I4" s="74"/>
      <c r="J4" s="73"/>
      <c r="K4" s="73">
        <v>44620</v>
      </c>
      <c r="L4" s="73"/>
      <c r="M4" s="73">
        <v>44651</v>
      </c>
      <c r="N4" s="73"/>
      <c r="O4" s="74">
        <v>44681</v>
      </c>
      <c r="P4" s="73"/>
      <c r="Q4" s="73">
        <v>44712</v>
      </c>
      <c r="R4" s="73"/>
      <c r="S4" s="73">
        <v>44742</v>
      </c>
      <c r="T4" s="73"/>
      <c r="U4" s="74">
        <v>44773</v>
      </c>
      <c r="V4" s="73"/>
      <c r="W4" s="73">
        <v>44804</v>
      </c>
      <c r="X4" s="73"/>
      <c r="Y4" s="73">
        <v>44834</v>
      </c>
      <c r="Z4" s="73"/>
      <c r="AA4" s="74">
        <v>44865</v>
      </c>
      <c r="AB4" s="73"/>
      <c r="AC4" s="73">
        <v>44895</v>
      </c>
      <c r="AD4" s="73"/>
      <c r="AE4" s="73">
        <v>44926</v>
      </c>
      <c r="AF4" s="73"/>
      <c r="AG4" s="75">
        <v>44957</v>
      </c>
      <c r="AH4" s="73"/>
      <c r="AI4" s="73">
        <v>44985</v>
      </c>
      <c r="AJ4" s="73"/>
      <c r="AK4" s="73">
        <v>45016</v>
      </c>
      <c r="AL4" s="73"/>
      <c r="AM4" s="75">
        <v>45046</v>
      </c>
      <c r="AN4" s="73"/>
      <c r="AO4" s="73">
        <v>45076</v>
      </c>
      <c r="AP4" s="73"/>
      <c r="AQ4" s="73">
        <v>45107</v>
      </c>
      <c r="AR4" s="73"/>
      <c r="AS4" s="75">
        <v>45138</v>
      </c>
      <c r="AT4" s="73"/>
      <c r="AU4" s="73">
        <v>45169</v>
      </c>
      <c r="AV4" s="73"/>
      <c r="AW4" s="73">
        <v>45199</v>
      </c>
      <c r="AX4" s="73"/>
      <c r="AY4" s="75">
        <v>45230</v>
      </c>
      <c r="AZ4" s="73"/>
      <c r="BA4" s="73">
        <v>45260</v>
      </c>
      <c r="BB4" s="73"/>
      <c r="BC4" s="73">
        <v>45291</v>
      </c>
      <c r="BD4" s="73"/>
      <c r="BE4" s="75">
        <v>45322</v>
      </c>
      <c r="BF4" s="73"/>
      <c r="BG4" s="73">
        <v>45350</v>
      </c>
      <c r="BH4" s="73"/>
      <c r="BI4" s="73">
        <v>45382</v>
      </c>
      <c r="BJ4" s="73"/>
      <c r="BK4" s="75">
        <v>45412</v>
      </c>
      <c r="BL4" s="73"/>
      <c r="BM4" s="73">
        <v>45443</v>
      </c>
      <c r="BN4" s="73"/>
      <c r="BO4" s="73">
        <v>45473</v>
      </c>
      <c r="BP4" s="73"/>
      <c r="BQ4" s="75">
        <v>45504</v>
      </c>
      <c r="BR4" s="73"/>
      <c r="BS4" s="73">
        <v>45535</v>
      </c>
      <c r="BT4" s="73"/>
      <c r="BU4" s="73">
        <v>45565</v>
      </c>
      <c r="BV4" s="73"/>
      <c r="BW4" s="73">
        <v>45596</v>
      </c>
      <c r="BX4" s="76"/>
      <c r="BY4" s="73">
        <v>45626</v>
      </c>
      <c r="BZ4" s="73"/>
      <c r="CA4" s="73">
        <v>45657</v>
      </c>
      <c r="CB4" s="73"/>
      <c r="CC4" s="73">
        <v>45688</v>
      </c>
      <c r="CD4" s="76"/>
      <c r="CE4" s="73">
        <v>45716</v>
      </c>
      <c r="CF4" s="73"/>
      <c r="CG4" s="73">
        <v>45747</v>
      </c>
      <c r="CH4" s="73"/>
      <c r="CI4" s="73">
        <v>45777</v>
      </c>
      <c r="CJ4" s="76"/>
      <c r="CK4" s="73">
        <v>45808</v>
      </c>
      <c r="CL4" s="73"/>
      <c r="CM4" s="73">
        <v>45838</v>
      </c>
      <c r="CN4" s="73"/>
      <c r="CO4" s="73">
        <v>45869</v>
      </c>
      <c r="CP4" s="76"/>
      <c r="CQ4" s="73">
        <v>45900</v>
      </c>
      <c r="CR4" s="73"/>
      <c r="CS4" s="73">
        <v>45930</v>
      </c>
      <c r="CT4" s="73"/>
      <c r="CU4" s="73">
        <v>45961</v>
      </c>
      <c r="CV4" s="76"/>
      <c r="CW4" s="77">
        <v>45991</v>
      </c>
      <c r="CX4" s="73"/>
      <c r="CY4" s="73">
        <v>46022</v>
      </c>
      <c r="CZ4" s="73"/>
      <c r="DA4" s="73">
        <v>46053</v>
      </c>
      <c r="DB4" s="76"/>
      <c r="DC4" s="73">
        <v>46081</v>
      </c>
      <c r="DD4" s="73"/>
      <c r="DE4" s="73">
        <v>46112</v>
      </c>
      <c r="DF4" s="73"/>
      <c r="DG4" s="73">
        <v>46142</v>
      </c>
      <c r="DH4" s="76"/>
      <c r="DI4" s="73">
        <v>46173</v>
      </c>
      <c r="DJ4" s="73"/>
      <c r="DK4" s="73">
        <v>46203</v>
      </c>
      <c r="DL4" s="73"/>
      <c r="DM4" s="73">
        <v>46234</v>
      </c>
      <c r="DN4" s="76"/>
    </row>
    <row r="5" spans="1:118" x14ac:dyDescent="0.2">
      <c r="A5" s="1" t="s">
        <v>0</v>
      </c>
      <c r="I5" s="78"/>
      <c r="K5" s="78"/>
      <c r="M5" s="78"/>
      <c r="O5" s="78"/>
      <c r="Q5" s="78"/>
      <c r="S5" s="78"/>
      <c r="U5" s="78"/>
      <c r="W5" s="78"/>
      <c r="Y5" s="78"/>
      <c r="AA5" s="78"/>
      <c r="AC5" s="78"/>
      <c r="AE5" s="78"/>
      <c r="AG5" s="78"/>
      <c r="AI5" s="78"/>
      <c r="AK5" s="79"/>
      <c r="AM5" s="78"/>
      <c r="AO5" s="78"/>
      <c r="AQ5" s="78"/>
      <c r="AS5" s="78"/>
      <c r="AU5" s="79"/>
      <c r="AW5" s="79"/>
      <c r="AY5" s="78"/>
      <c r="BA5" s="79"/>
      <c r="BC5" s="79"/>
      <c r="BE5" s="78"/>
      <c r="BG5" s="79"/>
      <c r="BI5" s="79"/>
      <c r="BK5" s="78"/>
      <c r="BM5" s="79"/>
      <c r="BO5" s="79"/>
      <c r="BQ5" s="78"/>
      <c r="BS5" s="79"/>
      <c r="BU5" s="79"/>
      <c r="BW5" s="78"/>
      <c r="BY5" s="79"/>
      <c r="CA5" s="79"/>
      <c r="CC5" s="78"/>
      <c r="CE5" s="79"/>
      <c r="CG5" s="79"/>
      <c r="CI5" s="79"/>
      <c r="CJ5" s="70"/>
      <c r="CK5" s="79"/>
      <c r="CM5" s="79"/>
      <c r="CO5" s="79"/>
      <c r="CP5" s="70"/>
      <c r="CQ5" s="79"/>
      <c r="CS5" s="79"/>
      <c r="CU5" s="79"/>
      <c r="CV5" s="70"/>
      <c r="CW5" s="79"/>
      <c r="CY5" s="79"/>
      <c r="DA5" s="79"/>
      <c r="DB5" s="70"/>
      <c r="DC5" s="79"/>
      <c r="DE5" s="79"/>
      <c r="DG5" s="79"/>
      <c r="DH5" s="70"/>
      <c r="DI5" s="79"/>
      <c r="DK5" s="79"/>
      <c r="DM5" s="79"/>
      <c r="DN5" s="70"/>
    </row>
    <row r="6" spans="1:118" x14ac:dyDescent="0.2">
      <c r="A6" s="1"/>
      <c r="I6" s="80"/>
      <c r="O6" s="80"/>
      <c r="U6" s="80"/>
      <c r="AA6" s="80"/>
      <c r="AG6" s="80"/>
      <c r="AM6" s="80"/>
      <c r="AS6" s="80"/>
      <c r="AY6" s="80"/>
      <c r="BE6" s="80"/>
      <c r="BK6" s="80"/>
      <c r="BQ6" s="80"/>
      <c r="BW6" s="80"/>
      <c r="CC6" s="80"/>
      <c r="CJ6" s="70"/>
      <c r="CP6" s="70"/>
      <c r="CV6" s="70"/>
      <c r="DB6" s="70"/>
      <c r="DH6" s="70"/>
      <c r="DN6" s="70"/>
    </row>
    <row r="7" spans="1:118" x14ac:dyDescent="0.2">
      <c r="B7" s="1" t="s">
        <v>53</v>
      </c>
      <c r="I7" s="80"/>
      <c r="O7" s="80"/>
      <c r="U7" s="80"/>
      <c r="AA7" s="80"/>
      <c r="AG7" s="80"/>
      <c r="AM7" s="80"/>
      <c r="AS7" s="80"/>
      <c r="AY7" s="80"/>
      <c r="BE7" s="80"/>
      <c r="BK7" s="80"/>
      <c r="BQ7" s="80"/>
      <c r="BW7" s="80"/>
      <c r="CC7" s="80"/>
      <c r="CJ7" s="70"/>
      <c r="CP7" s="70"/>
      <c r="CV7" s="70"/>
      <c r="DB7" s="70"/>
      <c r="DH7" s="70"/>
      <c r="DN7" s="70"/>
    </row>
    <row r="8" spans="1:118" x14ac:dyDescent="0.2">
      <c r="C8" s="1" t="s">
        <v>83</v>
      </c>
      <c r="I8" s="81"/>
      <c r="K8" s="16"/>
      <c r="M8" s="16"/>
      <c r="O8" s="16"/>
      <c r="P8" s="70"/>
      <c r="Q8" s="16"/>
      <c r="S8" s="16"/>
      <c r="U8" s="81"/>
      <c r="W8" s="16"/>
      <c r="Y8" s="16"/>
      <c r="AA8" s="81"/>
      <c r="AC8" s="16"/>
      <c r="AE8" s="16"/>
      <c r="AG8" s="16"/>
      <c r="AH8" s="70"/>
      <c r="AI8" s="16"/>
      <c r="AK8" s="16"/>
      <c r="AM8" s="81"/>
      <c r="AO8" s="16"/>
      <c r="AQ8" s="16"/>
      <c r="AS8" s="81"/>
      <c r="AU8" s="16"/>
      <c r="AW8" s="16"/>
      <c r="AY8" s="81"/>
      <c r="BA8" s="16"/>
      <c r="BC8" s="16"/>
      <c r="BE8" s="81"/>
      <c r="BG8" s="16" t="e">
        <f>BG20</f>
        <v>#DIV/0!</v>
      </c>
      <c r="BI8" s="16" t="e">
        <f>BI20</f>
        <v>#DIV/0!</v>
      </c>
      <c r="BK8" s="81" t="e">
        <f>BK20</f>
        <v>#DIV/0!</v>
      </c>
      <c r="BM8" s="16"/>
      <c r="BO8" s="16"/>
      <c r="BQ8" s="81"/>
      <c r="BS8" s="16"/>
      <c r="BU8" s="16"/>
      <c r="BW8" s="81"/>
      <c r="BY8" s="16"/>
      <c r="CA8" s="16"/>
      <c r="CC8" s="81"/>
      <c r="CE8" s="16"/>
      <c r="CG8" s="16"/>
      <c r="CI8" s="16"/>
      <c r="CJ8" s="70"/>
      <c r="CK8" s="16"/>
      <c r="CM8" s="16"/>
      <c r="CO8" s="16"/>
      <c r="CP8" s="70"/>
      <c r="CQ8" s="16"/>
      <c r="CS8" s="16"/>
      <c r="CU8" s="16"/>
      <c r="CV8" s="70"/>
      <c r="CW8" s="16"/>
      <c r="CY8" s="16"/>
      <c r="DA8" s="16"/>
      <c r="DB8" s="70"/>
      <c r="DC8" s="16"/>
      <c r="DE8" s="16"/>
      <c r="DG8" s="16"/>
      <c r="DH8" s="70"/>
      <c r="DI8" s="16"/>
      <c r="DK8" s="16"/>
      <c r="DM8" s="16"/>
      <c r="DN8" s="70"/>
    </row>
    <row r="9" spans="1:118" x14ac:dyDescent="0.2">
      <c r="C9" s="1" t="s">
        <v>84</v>
      </c>
      <c r="I9" s="81"/>
      <c r="K9" s="16"/>
      <c r="M9" s="16"/>
      <c r="O9" s="16"/>
      <c r="P9" s="70"/>
      <c r="Q9" s="16"/>
      <c r="S9" s="16"/>
      <c r="U9" s="81"/>
      <c r="W9" s="16"/>
      <c r="Y9" s="16"/>
      <c r="AA9" s="81"/>
      <c r="AC9" s="16"/>
      <c r="AE9" s="16"/>
      <c r="AG9" s="16"/>
      <c r="AH9" s="70"/>
      <c r="AI9" s="16"/>
      <c r="AK9" s="16"/>
      <c r="AM9" s="81"/>
      <c r="AO9" s="16"/>
      <c r="AQ9" s="16"/>
      <c r="AS9" s="81"/>
      <c r="AU9" s="16"/>
      <c r="AW9" s="16"/>
      <c r="AY9" s="81"/>
      <c r="BA9" s="16" t="e">
        <f>BA20</f>
        <v>#DIV/0!</v>
      </c>
      <c r="BC9" s="16" t="e">
        <f>BC20</f>
        <v>#DIV/0!</v>
      </c>
      <c r="BE9" s="81" t="e">
        <f>BE20</f>
        <v>#DIV/0!</v>
      </c>
      <c r="BG9" s="16" t="e">
        <f>BG24</f>
        <v>#DIV/0!</v>
      </c>
      <c r="BI9" s="16" t="e">
        <f>BI24</f>
        <v>#DIV/0!</v>
      </c>
      <c r="BK9" s="81" t="e">
        <f>BK24</f>
        <v>#DIV/0!</v>
      </c>
      <c r="BQ9" s="80"/>
      <c r="BW9" s="80"/>
      <c r="CC9" s="80"/>
      <c r="CJ9" s="70"/>
      <c r="CP9" s="70"/>
      <c r="CV9" s="70"/>
      <c r="DB9" s="70"/>
      <c r="DH9" s="70"/>
      <c r="DN9" s="70"/>
    </row>
    <row r="10" spans="1:118" x14ac:dyDescent="0.2">
      <c r="C10" s="1" t="s">
        <v>85</v>
      </c>
      <c r="I10" s="81"/>
      <c r="K10" s="16"/>
      <c r="M10" s="16"/>
      <c r="O10" s="16"/>
      <c r="P10" s="70"/>
      <c r="Q10" s="16"/>
      <c r="S10" s="16"/>
      <c r="U10" s="81"/>
      <c r="W10" s="16"/>
      <c r="Y10" s="16"/>
      <c r="AA10" s="81"/>
      <c r="AC10" s="16"/>
      <c r="AE10" s="16"/>
      <c r="AG10" s="16"/>
      <c r="AH10" s="70"/>
      <c r="AI10" s="16"/>
      <c r="AK10" s="16"/>
      <c r="AM10" s="81"/>
      <c r="AO10" s="16"/>
      <c r="AQ10" s="16"/>
      <c r="AS10" s="81"/>
      <c r="AU10" s="16" t="e">
        <f>AU20</f>
        <v>#DIV/0!</v>
      </c>
      <c r="AW10" s="16" t="e">
        <f>AW20</f>
        <v>#DIV/0!</v>
      </c>
      <c r="AY10" s="81" t="e">
        <f>AY20</f>
        <v>#DIV/0!</v>
      </c>
      <c r="BA10" s="16" t="e">
        <f>BA24</f>
        <v>#DIV/0!</v>
      </c>
      <c r="BC10" s="16" t="e">
        <f>BC24</f>
        <v>#DIV/0!</v>
      </c>
      <c r="BE10" s="81" t="e">
        <f>BE24</f>
        <v>#DIV/0!</v>
      </c>
      <c r="BG10" s="16" t="e">
        <f>BG28</f>
        <v>#DIV/0!</v>
      </c>
      <c r="BI10" s="16" t="e">
        <f>BI28</f>
        <v>#DIV/0!</v>
      </c>
      <c r="BK10" s="81" t="e">
        <f>BK28</f>
        <v>#DIV/0!</v>
      </c>
      <c r="BQ10" s="80"/>
      <c r="BW10" s="80"/>
      <c r="CC10" s="80"/>
      <c r="CJ10" s="70"/>
      <c r="CP10" s="70"/>
      <c r="CV10" s="70"/>
      <c r="DB10" s="70"/>
      <c r="DH10" s="70"/>
      <c r="DN10" s="70"/>
    </row>
    <row r="11" spans="1:118" x14ac:dyDescent="0.2">
      <c r="C11" s="1" t="s">
        <v>86</v>
      </c>
      <c r="I11" s="81"/>
      <c r="K11" s="16"/>
      <c r="M11" s="16"/>
      <c r="O11" s="16"/>
      <c r="P11" s="70"/>
      <c r="Q11" s="16"/>
      <c r="S11" s="16"/>
      <c r="U11" s="81"/>
      <c r="W11" s="16"/>
      <c r="Y11" s="16"/>
      <c r="AA11" s="81"/>
      <c r="AC11" s="16"/>
      <c r="AE11" s="16"/>
      <c r="AG11" s="16"/>
      <c r="AH11" s="70"/>
      <c r="AI11" s="16"/>
      <c r="AK11" s="16"/>
      <c r="AM11" s="81"/>
      <c r="AO11" s="16" t="e">
        <f>AO20</f>
        <v>#DIV/0!</v>
      </c>
      <c r="AQ11" s="16" t="e">
        <f>AQ20</f>
        <v>#DIV/0!</v>
      </c>
      <c r="AS11" s="81" t="e">
        <f>AS20</f>
        <v>#DIV/0!</v>
      </c>
      <c r="AU11" s="16" t="e">
        <f>AU24</f>
        <v>#DIV/0!</v>
      </c>
      <c r="AW11" s="16" t="e">
        <f>AW24</f>
        <v>#DIV/0!</v>
      </c>
      <c r="AY11" s="81" t="e">
        <f>AY24</f>
        <v>#DIV/0!</v>
      </c>
      <c r="BA11" s="16" t="e">
        <f>BA28</f>
        <v>#DIV/0!</v>
      </c>
      <c r="BC11" s="16" t="e">
        <f>BC28</f>
        <v>#DIV/0!</v>
      </c>
      <c r="BE11" s="81" t="e">
        <f>BE28</f>
        <v>#DIV/0!</v>
      </c>
      <c r="BG11" s="16" t="e">
        <f>BG32</f>
        <v>#DIV/0!</v>
      </c>
      <c r="BI11" s="16" t="e">
        <f>BI32</f>
        <v>#DIV/0!</v>
      </c>
      <c r="BK11" s="81" t="e">
        <f>BK32</f>
        <v>#DIV/0!</v>
      </c>
      <c r="BQ11" s="80"/>
      <c r="BW11" s="80"/>
      <c r="CC11" s="80"/>
      <c r="CJ11" s="70"/>
      <c r="CP11" s="70"/>
      <c r="CV11" s="70"/>
      <c r="DB11" s="70"/>
      <c r="DH11" s="70"/>
      <c r="DN11" s="70"/>
    </row>
    <row r="12" spans="1:118" x14ac:dyDescent="0.2">
      <c r="I12" s="82">
        <f>SUM(I8:I11)</f>
        <v>0</v>
      </c>
      <c r="K12" s="83">
        <f>SUM(K8:K11)</f>
        <v>0</v>
      </c>
      <c r="M12" s="83">
        <f>SUM(M8:M11)</f>
        <v>0</v>
      </c>
      <c r="O12" s="83">
        <f>SUM(O8:O11)</f>
        <v>0</v>
      </c>
      <c r="P12" s="70"/>
      <c r="Q12" s="83">
        <f>SUM(Q8:Q11)</f>
        <v>0</v>
      </c>
      <c r="S12" s="83">
        <f>SUM(S8:S11)</f>
        <v>0</v>
      </c>
      <c r="U12" s="82">
        <f>SUM(U8:U11)</f>
        <v>0</v>
      </c>
      <c r="W12" s="83">
        <f>SUM(W8:W11)</f>
        <v>0</v>
      </c>
      <c r="Y12" s="83">
        <f>SUM(Y8:Y11)</f>
        <v>0</v>
      </c>
      <c r="AA12" s="82">
        <f>SUM(AA8:AA11)</f>
        <v>0</v>
      </c>
      <c r="AC12" s="83">
        <f>SUM(AC8:AC11)</f>
        <v>0</v>
      </c>
      <c r="AE12" s="83">
        <f>SUM(AE8:AE11)</f>
        <v>0</v>
      </c>
      <c r="AG12" s="83">
        <f>SUM(AG8:AG11)</f>
        <v>0</v>
      </c>
      <c r="AH12" s="70"/>
      <c r="AI12" s="83">
        <f>SUM(AI8:AI11)</f>
        <v>0</v>
      </c>
      <c r="AK12" s="83">
        <f>SUM(AK8:AK11)</f>
        <v>0</v>
      </c>
      <c r="AM12" s="82">
        <f>SUM(AM8:AM11)</f>
        <v>0</v>
      </c>
      <c r="AO12" s="83" t="e">
        <f>SUM(AO8:AO11)</f>
        <v>#DIV/0!</v>
      </c>
      <c r="AQ12" s="83" t="e">
        <f>SUM(AQ8:AQ11)</f>
        <v>#DIV/0!</v>
      </c>
      <c r="AS12" s="82" t="e">
        <f>SUM(AS8:AS11)</f>
        <v>#DIV/0!</v>
      </c>
      <c r="AU12" s="83" t="e">
        <f>SUM(AU8:AU11)</f>
        <v>#DIV/0!</v>
      </c>
      <c r="AW12" s="83" t="e">
        <f>SUM(AW8:AW11)</f>
        <v>#DIV/0!</v>
      </c>
      <c r="AY12" s="82" t="e">
        <f>SUM(AY8:AY11)</f>
        <v>#DIV/0!</v>
      </c>
      <c r="BA12" s="83" t="e">
        <f>SUM(BA8:BA11)</f>
        <v>#DIV/0!</v>
      </c>
      <c r="BC12" s="83" t="e">
        <f>SUM(BC8:BC11)</f>
        <v>#DIV/0!</v>
      </c>
      <c r="BE12" s="82" t="e">
        <f>SUM(BE8:BE11)</f>
        <v>#DIV/0!</v>
      </c>
      <c r="BG12" s="83" t="e">
        <f>SUM(BG8:BG11)</f>
        <v>#DIV/0!</v>
      </c>
      <c r="BI12" s="83" t="e">
        <f>SUM(BI8:BI11)</f>
        <v>#DIV/0!</v>
      </c>
      <c r="BK12" s="82" t="e">
        <f>SUM(BK8:BK11)</f>
        <v>#DIV/0!</v>
      </c>
      <c r="BQ12" s="80"/>
      <c r="BW12" s="80"/>
      <c r="CC12" s="80"/>
      <c r="CJ12" s="70"/>
      <c r="CP12" s="70"/>
      <c r="CV12" s="70"/>
      <c r="DB12" s="70"/>
      <c r="DH12" s="70"/>
      <c r="DN12" s="70"/>
    </row>
    <row r="13" spans="1:118" x14ac:dyDescent="0.2">
      <c r="I13" s="80"/>
      <c r="P13" s="70"/>
      <c r="U13" s="80"/>
      <c r="AA13" s="80"/>
      <c r="AH13" s="70"/>
      <c r="AM13" s="80"/>
      <c r="AS13" s="80"/>
      <c r="AY13" s="80"/>
      <c r="BE13" s="80"/>
      <c r="BK13" s="80"/>
      <c r="BQ13" s="80"/>
      <c r="BW13" s="80"/>
      <c r="CC13" s="80"/>
      <c r="CJ13" s="70"/>
      <c r="CP13" s="70"/>
      <c r="CV13" s="70"/>
      <c r="DB13" s="70"/>
      <c r="DH13" s="70"/>
      <c r="DN13" s="70"/>
    </row>
    <row r="14" spans="1:118" x14ac:dyDescent="0.2">
      <c r="C14" s="1" t="s">
        <v>87</v>
      </c>
      <c r="I14" s="81"/>
      <c r="K14" s="16"/>
      <c r="M14" s="16"/>
      <c r="O14" s="16"/>
      <c r="P14" s="70"/>
      <c r="Q14" s="16"/>
      <c r="S14" s="16"/>
      <c r="U14" s="81"/>
      <c r="W14" s="16"/>
      <c r="Y14" s="16"/>
      <c r="AA14" s="81"/>
      <c r="AC14" s="16">
        <f>AC20</f>
        <v>0</v>
      </c>
      <c r="AE14" s="16">
        <f>AE20</f>
        <v>0</v>
      </c>
      <c r="AG14" s="16">
        <f>AG20</f>
        <v>0</v>
      </c>
      <c r="AH14" s="70"/>
      <c r="AI14" s="16">
        <f>AI24</f>
        <v>0</v>
      </c>
      <c r="AK14" s="16">
        <f>AK24</f>
        <v>0</v>
      </c>
      <c r="AM14" s="81">
        <f>AM24</f>
        <v>0</v>
      </c>
      <c r="AO14" s="16">
        <f>AO28</f>
        <v>0</v>
      </c>
      <c r="AQ14" s="16">
        <f>AQ28</f>
        <v>0</v>
      </c>
      <c r="AS14" s="81">
        <f>AS28</f>
        <v>0</v>
      </c>
      <c r="AU14" s="16">
        <f>AU32</f>
        <v>0</v>
      </c>
      <c r="AW14" s="16">
        <f>AW32</f>
        <v>0</v>
      </c>
      <c r="AY14" s="81">
        <f>AY32</f>
        <v>0</v>
      </c>
      <c r="BA14" s="16">
        <f>BA36</f>
        <v>0</v>
      </c>
      <c r="BC14" s="16">
        <f>BC36</f>
        <v>0</v>
      </c>
      <c r="BE14" s="81">
        <f>BE36</f>
        <v>0</v>
      </c>
      <c r="BG14" s="16">
        <f>BG40</f>
        <v>0</v>
      </c>
      <c r="BI14" s="16">
        <f>BI40</f>
        <v>0</v>
      </c>
      <c r="BK14" s="81">
        <f>BK40</f>
        <v>0</v>
      </c>
      <c r="BQ14" s="80"/>
      <c r="BW14" s="80"/>
      <c r="CC14" s="80"/>
      <c r="CJ14" s="70"/>
      <c r="CP14" s="70"/>
      <c r="CV14" s="70"/>
      <c r="DB14" s="70"/>
      <c r="DH14" s="70"/>
      <c r="DN14" s="70"/>
    </row>
    <row r="15" spans="1:118" x14ac:dyDescent="0.2">
      <c r="C15" s="1" t="s">
        <v>88</v>
      </c>
      <c r="I15" s="81"/>
      <c r="K15" s="16"/>
      <c r="M15" s="16"/>
      <c r="O15" s="16"/>
      <c r="P15" s="70"/>
      <c r="Q15" s="16"/>
      <c r="S15" s="16"/>
      <c r="U15" s="81"/>
      <c r="W15" s="16">
        <f>W20</f>
        <v>0</v>
      </c>
      <c r="Y15" s="16">
        <f>Y20</f>
        <v>0</v>
      </c>
      <c r="AA15" s="81">
        <f>AA20</f>
        <v>0</v>
      </c>
      <c r="AC15" s="16">
        <f>AC24</f>
        <v>0</v>
      </c>
      <c r="AE15" s="16">
        <f>AE24</f>
        <v>0</v>
      </c>
      <c r="AG15" s="16">
        <f>AG24</f>
        <v>0</v>
      </c>
      <c r="AH15" s="70"/>
      <c r="AI15" s="16">
        <f>AI28</f>
        <v>0</v>
      </c>
      <c r="AK15" s="16">
        <f>AK28</f>
        <v>0</v>
      </c>
      <c r="AM15" s="81">
        <f>AM28</f>
        <v>0</v>
      </c>
      <c r="AO15" s="16">
        <f>AO32</f>
        <v>0</v>
      </c>
      <c r="AQ15" s="16">
        <f>AQ32</f>
        <v>0</v>
      </c>
      <c r="AS15" s="81">
        <f>AS32</f>
        <v>0</v>
      </c>
      <c r="AU15" s="16">
        <f>AU36</f>
        <v>0</v>
      </c>
      <c r="AW15" s="16">
        <f>AW36</f>
        <v>0</v>
      </c>
      <c r="AY15" s="81">
        <f>AY36</f>
        <v>0</v>
      </c>
      <c r="BA15" s="16">
        <f>BA40</f>
        <v>0</v>
      </c>
      <c r="BC15" s="16">
        <f>BC40</f>
        <v>0</v>
      </c>
      <c r="BE15" s="81">
        <f>BE40</f>
        <v>0</v>
      </c>
      <c r="BG15" s="16">
        <f>BG44</f>
        <v>0</v>
      </c>
      <c r="BI15" s="16">
        <f>BI44</f>
        <v>0</v>
      </c>
      <c r="BK15" s="81">
        <f>BK44</f>
        <v>0</v>
      </c>
      <c r="BQ15" s="80"/>
      <c r="BW15" s="80"/>
      <c r="CC15" s="80"/>
      <c r="CJ15" s="70"/>
      <c r="CP15" s="70"/>
      <c r="CV15" s="70"/>
      <c r="DB15" s="70"/>
      <c r="DH15" s="70"/>
      <c r="DN15" s="70"/>
    </row>
    <row r="16" spans="1:118" x14ac:dyDescent="0.2">
      <c r="C16" s="1" t="s">
        <v>89</v>
      </c>
      <c r="I16" s="81"/>
      <c r="K16" s="16"/>
      <c r="M16" s="16"/>
      <c r="O16" s="16"/>
      <c r="P16" s="70"/>
      <c r="Q16" s="16">
        <f>Q20</f>
        <v>0</v>
      </c>
      <c r="S16" s="16">
        <f>S20</f>
        <v>0</v>
      </c>
      <c r="U16" s="81">
        <f>U20</f>
        <v>0</v>
      </c>
      <c r="W16" s="16">
        <f>W24</f>
        <v>0</v>
      </c>
      <c r="Y16" s="16">
        <f>Y24</f>
        <v>0</v>
      </c>
      <c r="AA16" s="81">
        <f>AA24</f>
        <v>0</v>
      </c>
      <c r="AC16" s="16">
        <f>AC28</f>
        <v>0</v>
      </c>
      <c r="AE16" s="16">
        <f>AE28</f>
        <v>0</v>
      </c>
      <c r="AG16" s="16">
        <f>AG28</f>
        <v>0</v>
      </c>
      <c r="AH16" s="70"/>
      <c r="AI16" s="16">
        <f>AI32</f>
        <v>0</v>
      </c>
      <c r="AK16" s="16">
        <f>AK32</f>
        <v>0</v>
      </c>
      <c r="AM16" s="81">
        <f>AM32</f>
        <v>0</v>
      </c>
      <c r="AO16" s="16">
        <f>AO36</f>
        <v>0</v>
      </c>
      <c r="AQ16" s="16">
        <f>AQ36</f>
        <v>0</v>
      </c>
      <c r="AS16" s="81">
        <f>AS36</f>
        <v>0</v>
      </c>
      <c r="AU16" s="16">
        <f>AU40</f>
        <v>0</v>
      </c>
      <c r="AW16" s="16">
        <f>AW40</f>
        <v>0</v>
      </c>
      <c r="AY16" s="81">
        <f>AY40</f>
        <v>0</v>
      </c>
      <c r="BA16" s="16">
        <f>BA44</f>
        <v>0</v>
      </c>
      <c r="BC16" s="16">
        <f>BC44</f>
        <v>0</v>
      </c>
      <c r="BE16" s="81">
        <f>BE44</f>
        <v>0</v>
      </c>
      <c r="BG16" s="16">
        <f>BG48</f>
        <v>0</v>
      </c>
      <c r="BI16" s="16">
        <f>BI48</f>
        <v>0</v>
      </c>
      <c r="BK16" s="81">
        <f>BK48</f>
        <v>0</v>
      </c>
      <c r="BQ16" s="80"/>
      <c r="BW16" s="80"/>
      <c r="CC16" s="80"/>
      <c r="CJ16" s="70"/>
      <c r="CP16" s="70"/>
      <c r="CV16" s="70"/>
      <c r="DB16" s="70"/>
      <c r="DH16" s="70"/>
      <c r="DN16" s="70"/>
    </row>
    <row r="17" spans="3:118" x14ac:dyDescent="0.2">
      <c r="C17" s="1" t="s">
        <v>90</v>
      </c>
      <c r="I17" s="81"/>
      <c r="K17" s="16">
        <f>K20</f>
        <v>0</v>
      </c>
      <c r="M17" s="16">
        <f>M20</f>
        <v>0</v>
      </c>
      <c r="O17" s="16">
        <f>O20</f>
        <v>0</v>
      </c>
      <c r="P17" s="70"/>
      <c r="Q17" s="16">
        <f>Q24</f>
        <v>0</v>
      </c>
      <c r="S17" s="16">
        <f>S24</f>
        <v>0</v>
      </c>
      <c r="U17" s="81">
        <f>U24</f>
        <v>0</v>
      </c>
      <c r="W17" s="16">
        <f>W28</f>
        <v>0</v>
      </c>
      <c r="Y17" s="16">
        <f>Y28</f>
        <v>0</v>
      </c>
      <c r="AA17" s="84">
        <f>AA28</f>
        <v>0</v>
      </c>
      <c r="AC17" s="16">
        <f>AC32</f>
        <v>0</v>
      </c>
      <c r="AE17" s="16">
        <f>AE32</f>
        <v>0</v>
      </c>
      <c r="AG17" s="16">
        <f>AG32</f>
        <v>0</v>
      </c>
      <c r="AH17" s="70"/>
      <c r="AI17" s="16">
        <f>AI36</f>
        <v>0</v>
      </c>
      <c r="AK17" s="16">
        <f>AK36</f>
        <v>0</v>
      </c>
      <c r="AM17" s="81">
        <f>AM36</f>
        <v>0</v>
      </c>
      <c r="AO17" s="16">
        <f>AO40</f>
        <v>0</v>
      </c>
      <c r="AQ17" s="16">
        <f>AQ40</f>
        <v>0</v>
      </c>
      <c r="AS17" s="81">
        <f>AS40</f>
        <v>0</v>
      </c>
      <c r="AU17" s="16">
        <f>AU44</f>
        <v>0</v>
      </c>
      <c r="AW17" s="16">
        <f>AW44</f>
        <v>0</v>
      </c>
      <c r="AY17" s="81">
        <f>AY44</f>
        <v>0</v>
      </c>
      <c r="BA17" s="16">
        <f>BA48</f>
        <v>0</v>
      </c>
      <c r="BC17" s="16">
        <f>BC48</f>
        <v>0</v>
      </c>
      <c r="BE17" s="81">
        <f>BE48</f>
        <v>0</v>
      </c>
      <c r="BG17" s="16">
        <f>BG52</f>
        <v>0</v>
      </c>
      <c r="BI17" s="16">
        <f>BI52</f>
        <v>0</v>
      </c>
      <c r="BK17" s="81">
        <f>BK52</f>
        <v>0</v>
      </c>
      <c r="BQ17" s="80"/>
      <c r="BW17" s="80"/>
      <c r="CC17" s="80"/>
      <c r="CJ17" s="70"/>
      <c r="CP17" s="70"/>
      <c r="CV17" s="70"/>
      <c r="DB17" s="70"/>
      <c r="DH17" s="70"/>
      <c r="DN17" s="70"/>
    </row>
    <row r="18" spans="3:118" x14ac:dyDescent="0.2">
      <c r="I18" s="82">
        <f>SUM(I14:I17)</f>
        <v>0</v>
      </c>
      <c r="K18" s="83">
        <f>SUM(K14:K17)</f>
        <v>0</v>
      </c>
      <c r="M18" s="83">
        <f>SUM(M14:M17)</f>
        <v>0</v>
      </c>
      <c r="O18" s="83">
        <f>SUM(O14:O17)</f>
        <v>0</v>
      </c>
      <c r="P18" s="70"/>
      <c r="Q18" s="83">
        <f>SUM(Q14:Q17)</f>
        <v>0</v>
      </c>
      <c r="S18" s="83">
        <f>SUM(S14:S17)</f>
        <v>0</v>
      </c>
      <c r="U18" s="82">
        <f>SUM(U14:U17)</f>
        <v>0</v>
      </c>
      <c r="W18" s="83">
        <f>SUM(W14:W17)</f>
        <v>0</v>
      </c>
      <c r="Y18" s="83">
        <f>SUM(Y14:Y17)</f>
        <v>0</v>
      </c>
      <c r="AA18" s="82">
        <f>SUM(AA14:AA17)</f>
        <v>0</v>
      </c>
      <c r="AC18" s="83">
        <f>SUM(AC14:AC17)</f>
        <v>0</v>
      </c>
      <c r="AE18" s="83">
        <f>SUM(AE14:AE17)</f>
        <v>0</v>
      </c>
      <c r="AG18" s="83">
        <f>SUM(AG14:AG17)</f>
        <v>0</v>
      </c>
      <c r="AH18" s="70"/>
      <c r="AI18" s="83">
        <f>SUM(AI14:AI17)</f>
        <v>0</v>
      </c>
      <c r="AK18" s="83">
        <f>SUM(AK14:AK17)</f>
        <v>0</v>
      </c>
      <c r="AM18" s="82">
        <f>SUM(AM14:AM17)</f>
        <v>0</v>
      </c>
      <c r="AO18" s="83">
        <f>SUM(AO14:AO17)</f>
        <v>0</v>
      </c>
      <c r="AQ18" s="83">
        <f>SUM(AQ14:AQ17)</f>
        <v>0</v>
      </c>
      <c r="AS18" s="82">
        <f>SUM(AS14:AS17)</f>
        <v>0</v>
      </c>
      <c r="AU18" s="83">
        <f>SUM(AU14:AU17)</f>
        <v>0</v>
      </c>
      <c r="AW18" s="83">
        <f>SUM(AW14:AW17)</f>
        <v>0</v>
      </c>
      <c r="AY18" s="82">
        <f>SUM(AY14:AY17)</f>
        <v>0</v>
      </c>
      <c r="BA18" s="83">
        <f>SUM(BA14:BA16)</f>
        <v>0</v>
      </c>
      <c r="BC18" s="83">
        <f>SUM(BC14:BC16)</f>
        <v>0</v>
      </c>
      <c r="BE18" s="82">
        <f>SUM(BE14:BE16)</f>
        <v>0</v>
      </c>
      <c r="BG18" s="83">
        <f>SUM(BG14:BG16)</f>
        <v>0</v>
      </c>
      <c r="BI18" s="83">
        <f>SUM(BI14:BI16)</f>
        <v>0</v>
      </c>
      <c r="BK18" s="82">
        <f>SUM(BK14:BK16)</f>
        <v>0</v>
      </c>
      <c r="BQ18" s="80"/>
      <c r="BW18" s="80"/>
      <c r="CC18" s="80"/>
      <c r="CJ18" s="70"/>
      <c r="CP18" s="70"/>
      <c r="CV18" s="70"/>
      <c r="DB18" s="70"/>
      <c r="DH18" s="70"/>
      <c r="DN18" s="70"/>
    </row>
    <row r="19" spans="3:118" x14ac:dyDescent="0.2">
      <c r="I19" s="81"/>
      <c r="K19" s="16"/>
      <c r="M19" s="16"/>
      <c r="O19" s="16"/>
      <c r="P19" s="70"/>
      <c r="Q19" s="16"/>
      <c r="S19" s="16"/>
      <c r="U19" s="81"/>
      <c r="W19" s="16"/>
      <c r="Y19" s="16"/>
      <c r="AA19" s="81"/>
      <c r="AC19" s="16"/>
      <c r="AE19" s="16"/>
      <c r="AG19" s="16"/>
      <c r="AH19" s="70"/>
      <c r="AI19" s="16"/>
      <c r="AK19" s="16"/>
      <c r="AM19" s="81"/>
      <c r="AO19" s="16"/>
      <c r="AQ19" s="16"/>
      <c r="AS19" s="81"/>
      <c r="AU19" s="16"/>
      <c r="AW19" s="16"/>
      <c r="AY19" s="81"/>
      <c r="BA19" s="16"/>
      <c r="BC19" s="16"/>
      <c r="BE19" s="81"/>
      <c r="BG19" s="16"/>
      <c r="BK19" s="80"/>
      <c r="BQ19" s="80"/>
      <c r="BW19" s="80"/>
      <c r="CC19" s="80"/>
      <c r="CJ19" s="70"/>
      <c r="CP19" s="70"/>
      <c r="CV19" s="70"/>
      <c r="DB19" s="70"/>
      <c r="DH19" s="70"/>
      <c r="DN19" s="70"/>
    </row>
    <row r="20" spans="3:118" x14ac:dyDescent="0.2">
      <c r="I20" s="80"/>
      <c r="J20" s="70"/>
      <c r="K20" s="85"/>
      <c r="M20" s="15">
        <f>K20</f>
        <v>0</v>
      </c>
      <c r="N20" s="16"/>
      <c r="O20" s="86">
        <f>M20</f>
        <v>0</v>
      </c>
      <c r="P20" s="70"/>
      <c r="Q20" s="15">
        <f>O20</f>
        <v>0</v>
      </c>
      <c r="R20" s="16"/>
      <c r="S20" s="15">
        <f>Q20</f>
        <v>0</v>
      </c>
      <c r="T20" s="16"/>
      <c r="U20" s="86">
        <f>S20</f>
        <v>0</v>
      </c>
      <c r="V20" s="70"/>
      <c r="W20" s="15">
        <f>U20</f>
        <v>0</v>
      </c>
      <c r="X20" s="16"/>
      <c r="Y20" s="15">
        <f>W20</f>
        <v>0</v>
      </c>
      <c r="Z20" s="16"/>
      <c r="AA20" s="86">
        <f>Y20</f>
        <v>0</v>
      </c>
      <c r="AB20" s="70"/>
      <c r="AC20" s="15"/>
      <c r="AD20" s="16"/>
      <c r="AE20" s="15">
        <f>AC20</f>
        <v>0</v>
      </c>
      <c r="AF20" s="16"/>
      <c r="AG20" s="86">
        <f>AE20</f>
        <v>0</v>
      </c>
      <c r="AH20" s="87"/>
      <c r="AJ20" s="16"/>
      <c r="AK20" s="16"/>
      <c r="AL20" s="16"/>
      <c r="AM20" s="81"/>
      <c r="AN20" s="70"/>
      <c r="AO20" s="15" t="e">
        <f>AM22</f>
        <v>#DIV/0!</v>
      </c>
      <c r="AP20" s="16"/>
      <c r="AQ20" s="15" t="e">
        <f>AO20</f>
        <v>#DIV/0!</v>
      </c>
      <c r="AR20" s="16"/>
      <c r="AS20" s="86" t="e">
        <f>AQ20</f>
        <v>#DIV/0!</v>
      </c>
      <c r="AT20" s="70"/>
      <c r="AU20" s="15" t="e">
        <f>AS20</f>
        <v>#DIV/0!</v>
      </c>
      <c r="AV20" s="16"/>
      <c r="AW20" s="15" t="e">
        <f>AU20</f>
        <v>#DIV/0!</v>
      </c>
      <c r="AX20" s="16"/>
      <c r="AY20" s="86" t="e">
        <f>AW20</f>
        <v>#DIV/0!</v>
      </c>
      <c r="AZ20" s="70"/>
      <c r="BA20" s="15" t="e">
        <f>AY20</f>
        <v>#DIV/0!</v>
      </c>
      <c r="BB20" s="16"/>
      <c r="BC20" s="15" t="e">
        <f>BA20</f>
        <v>#DIV/0!</v>
      </c>
      <c r="BD20" s="16"/>
      <c r="BE20" s="86" t="e">
        <f>BC20</f>
        <v>#DIV/0!</v>
      </c>
      <c r="BF20" s="70"/>
      <c r="BG20" s="15" t="e">
        <f>BE20</f>
        <v>#DIV/0!</v>
      </c>
      <c r="BH20" s="16"/>
      <c r="BI20" s="15" t="e">
        <f>BG20</f>
        <v>#DIV/0!</v>
      </c>
      <c r="BJ20" s="16"/>
      <c r="BK20" s="86" t="e">
        <f>BI20</f>
        <v>#DIV/0!</v>
      </c>
      <c r="BM20" s="16"/>
      <c r="BN20" s="16"/>
      <c r="BO20" s="16"/>
      <c r="BP20" s="16"/>
      <c r="BQ20" s="81"/>
      <c r="BS20" s="16"/>
      <c r="BT20" s="16"/>
      <c r="BU20" s="16"/>
      <c r="BV20" s="16"/>
      <c r="BW20" s="81"/>
      <c r="BY20" s="16"/>
      <c r="BZ20" s="16"/>
      <c r="CA20" s="16"/>
      <c r="CB20" s="16"/>
      <c r="CC20" s="81"/>
      <c r="CE20" s="16"/>
      <c r="CF20" s="16"/>
      <c r="CG20" s="16"/>
      <c r="CH20" s="16"/>
      <c r="CI20" s="16"/>
      <c r="CJ20" s="70"/>
      <c r="CK20" s="16"/>
      <c r="CL20" s="16"/>
      <c r="CM20" s="16"/>
      <c r="CN20" s="16"/>
      <c r="CO20" s="16"/>
      <c r="CP20" s="70"/>
      <c r="CQ20" s="16"/>
      <c r="CR20" s="16"/>
      <c r="CS20" s="16"/>
      <c r="CT20" s="16"/>
      <c r="CU20" s="16"/>
      <c r="CV20" s="70"/>
      <c r="CW20" s="16"/>
      <c r="CX20" s="16"/>
      <c r="CY20" s="16"/>
      <c r="CZ20" s="16"/>
      <c r="DA20" s="16"/>
      <c r="DB20" s="70"/>
      <c r="DC20" s="16"/>
      <c r="DD20" s="16"/>
      <c r="DE20" s="16"/>
      <c r="DF20" s="16"/>
      <c r="DG20" s="16"/>
      <c r="DH20" s="70"/>
      <c r="DI20" s="16"/>
      <c r="DJ20" s="16"/>
      <c r="DK20" s="16"/>
      <c r="DL20" s="16"/>
      <c r="DM20" s="16"/>
      <c r="DN20" s="70"/>
    </row>
    <row r="21" spans="3:118" x14ac:dyDescent="0.2">
      <c r="C21" s="13" t="s">
        <v>91</v>
      </c>
      <c r="I21" s="88"/>
      <c r="J21" s="70"/>
      <c r="K21" s="12">
        <f>I21-(K$5*K20)</f>
        <v>0</v>
      </c>
      <c r="M21" s="12">
        <f>K21-(M$5*M20)</f>
        <v>0</v>
      </c>
      <c r="O21" s="89">
        <f>M21-(O$5*O20)</f>
        <v>0</v>
      </c>
      <c r="P21" s="70"/>
      <c r="Q21" s="12">
        <f>O21-(Q$5*Q20)</f>
        <v>0</v>
      </c>
      <c r="S21" s="12">
        <f>Q21-(S$5*S20)</f>
        <v>0</v>
      </c>
      <c r="U21" s="89">
        <f>S21-(U$5*U20)</f>
        <v>0</v>
      </c>
      <c r="V21" s="70"/>
      <c r="W21" s="12">
        <f>U21-(W$5*W20)</f>
        <v>0</v>
      </c>
      <c r="Y21" s="12">
        <f>W21-(Y$5*Y20)</f>
        <v>0</v>
      </c>
      <c r="AA21" s="89">
        <f>Y21-(AA$5*AA20)</f>
        <v>0</v>
      </c>
      <c r="AB21" s="70"/>
      <c r="AC21" s="12">
        <f>AA21-(AC$5*AC20)</f>
        <v>0</v>
      </c>
      <c r="AE21" s="12">
        <f>AC21-(AE$5*AE20)</f>
        <v>0</v>
      </c>
      <c r="AG21" s="89">
        <f>AE21-(AG$5*AG20)</f>
        <v>0</v>
      </c>
      <c r="AH21" s="90"/>
      <c r="AI21" s="14">
        <f>AG21</f>
        <v>0</v>
      </c>
      <c r="AJ21" s="14"/>
      <c r="AK21" s="14">
        <f>AI21</f>
        <v>0</v>
      </c>
      <c r="AL21" s="14"/>
      <c r="AM21" s="91">
        <f>AK21</f>
        <v>0</v>
      </c>
      <c r="AN21" s="70"/>
      <c r="AO21" s="12" t="e">
        <f>AM21-(AO$5*AO20)</f>
        <v>#DIV/0!</v>
      </c>
      <c r="AQ21" s="12" t="e">
        <f>AO21-(AQ$5*AQ20)</f>
        <v>#DIV/0!</v>
      </c>
      <c r="AS21" s="89" t="e">
        <f>AQ21-(AS$5*AS20)</f>
        <v>#DIV/0!</v>
      </c>
      <c r="AT21" s="70"/>
      <c r="AU21" s="12" t="e">
        <f>AS21-(AU$5*AU20)</f>
        <v>#DIV/0!</v>
      </c>
      <c r="AW21" s="12" t="e">
        <f>AU21-(AW$5*AW20)</f>
        <v>#DIV/0!</v>
      </c>
      <c r="AY21" s="89" t="e">
        <f>AW21-(AY$5*AY20)</f>
        <v>#DIV/0!</v>
      </c>
      <c r="AZ21" s="70"/>
      <c r="BA21" s="12" t="e">
        <f>AY21-(BA$5*BA20)</f>
        <v>#DIV/0!</v>
      </c>
      <c r="BC21" s="12" t="e">
        <f>BA21-(BC$5*BC20)</f>
        <v>#DIV/0!</v>
      </c>
      <c r="BE21" s="89" t="e">
        <f>BC21-(BE$5*BE20)</f>
        <v>#DIV/0!</v>
      </c>
      <c r="BF21" s="70"/>
      <c r="BG21" s="12" t="e">
        <f>BE21-(BG$5*BG20)</f>
        <v>#DIV/0!</v>
      </c>
      <c r="BI21" s="12" t="e">
        <f>BG21-(BI$5*BI20)</f>
        <v>#DIV/0!</v>
      </c>
      <c r="BK21" s="92" t="e">
        <f>BI21-(BK$5*BK20)</f>
        <v>#DIV/0!</v>
      </c>
      <c r="BM21" s="14"/>
      <c r="BO21" s="14"/>
      <c r="BQ21" s="93"/>
      <c r="BS21" s="14"/>
      <c r="BU21" s="14"/>
      <c r="BW21" s="93"/>
      <c r="BY21" s="14"/>
      <c r="CA21" s="14"/>
      <c r="CC21" s="93"/>
      <c r="CE21" s="14"/>
      <c r="CG21" s="14"/>
      <c r="CI21" s="14"/>
      <c r="CJ21" s="70"/>
      <c r="CK21" s="14"/>
      <c r="CM21" s="14"/>
      <c r="CO21" s="14"/>
      <c r="CP21" s="70"/>
      <c r="CQ21" s="14"/>
      <c r="CS21" s="14"/>
      <c r="CU21" s="14"/>
      <c r="CV21" s="70"/>
      <c r="CW21" s="14"/>
      <c r="CY21" s="14"/>
      <c r="DA21" s="14"/>
      <c r="DB21" s="70"/>
      <c r="DC21" s="14"/>
      <c r="DE21" s="14"/>
      <c r="DG21" s="14"/>
      <c r="DH21" s="70"/>
      <c r="DI21" s="14"/>
      <c r="DK21" s="14"/>
      <c r="DM21" s="14"/>
      <c r="DN21" s="70"/>
    </row>
    <row r="22" spans="3:118" x14ac:dyDescent="0.2">
      <c r="I22" s="80"/>
      <c r="J22" s="70"/>
      <c r="O22" s="80"/>
      <c r="P22" s="70"/>
      <c r="U22" s="80"/>
      <c r="V22" s="70"/>
      <c r="AA22" s="80"/>
      <c r="AB22" s="70"/>
      <c r="AG22" s="94"/>
      <c r="AM22" s="95" t="e">
        <f>(AM21/SUM(AO$5:BK$5))</f>
        <v>#DIV/0!</v>
      </c>
      <c r="AN22" s="70"/>
      <c r="AO22" s="1"/>
      <c r="AS22" s="80"/>
      <c r="AT22" s="70"/>
      <c r="AY22" s="80"/>
      <c r="AZ22" s="70"/>
      <c r="BE22" s="80"/>
      <c r="BF22" s="70"/>
      <c r="BK22" s="80"/>
      <c r="BQ22" s="80"/>
      <c r="BW22" s="80"/>
      <c r="CC22" s="80"/>
      <c r="CJ22" s="70"/>
      <c r="CP22" s="70"/>
      <c r="CV22" s="70"/>
      <c r="DB22" s="70"/>
      <c r="DH22" s="70"/>
      <c r="DN22" s="70"/>
    </row>
    <row r="23" spans="3:118" x14ac:dyDescent="0.2">
      <c r="J23" s="70"/>
      <c r="P23" s="70"/>
      <c r="V23" s="70"/>
      <c r="AB23" s="70"/>
      <c r="AH23" s="70"/>
      <c r="AN23" s="70"/>
      <c r="AT23" s="70"/>
      <c r="AZ23" s="70"/>
      <c r="BF23" s="70"/>
      <c r="BK23" s="80"/>
      <c r="BQ23" s="80"/>
      <c r="BW23" s="80"/>
      <c r="CC23" s="80"/>
      <c r="CJ23" s="70"/>
      <c r="CP23" s="70"/>
      <c r="CV23" s="70"/>
      <c r="DB23" s="70"/>
      <c r="DH23" s="70"/>
      <c r="DN23" s="70"/>
    </row>
    <row r="24" spans="3:118" x14ac:dyDescent="0.2">
      <c r="O24" s="80"/>
      <c r="P24" s="70"/>
      <c r="Q24" s="85"/>
      <c r="S24" s="15">
        <f>Q24</f>
        <v>0</v>
      </c>
      <c r="T24" s="16"/>
      <c r="U24" s="86">
        <f>S24</f>
        <v>0</v>
      </c>
      <c r="V24" s="70"/>
      <c r="W24" s="15">
        <f>U24</f>
        <v>0</v>
      </c>
      <c r="X24" s="16"/>
      <c r="Y24" s="15">
        <f>W24</f>
        <v>0</v>
      </c>
      <c r="Z24" s="16"/>
      <c r="AA24" s="86">
        <f>Y24</f>
        <v>0</v>
      </c>
      <c r="AB24" s="70"/>
      <c r="AC24" s="15"/>
      <c r="AD24" s="16"/>
      <c r="AE24" s="15">
        <f>AC24</f>
        <v>0</v>
      </c>
      <c r="AF24" s="16"/>
      <c r="AG24" s="86">
        <f>AE24</f>
        <v>0</v>
      </c>
      <c r="AH24" s="70"/>
      <c r="AI24" s="15">
        <f>AG24</f>
        <v>0</v>
      </c>
      <c r="AJ24" s="16"/>
      <c r="AK24" s="15">
        <f>AI24</f>
        <v>0</v>
      </c>
      <c r="AL24" s="16"/>
      <c r="AM24" s="86">
        <f>AK24</f>
        <v>0</v>
      </c>
      <c r="AN24" s="87"/>
      <c r="AP24" s="16"/>
      <c r="AQ24" s="16"/>
      <c r="AR24" s="16"/>
      <c r="AS24" s="81"/>
      <c r="AT24" s="70"/>
      <c r="AU24" s="15" t="e">
        <f>AS26</f>
        <v>#DIV/0!</v>
      </c>
      <c r="AV24" s="16"/>
      <c r="AW24" s="15" t="e">
        <f>AU24</f>
        <v>#DIV/0!</v>
      </c>
      <c r="AX24" s="16"/>
      <c r="AY24" s="86" t="e">
        <f>AW24</f>
        <v>#DIV/0!</v>
      </c>
      <c r="AZ24" s="70"/>
      <c r="BA24" s="15" t="e">
        <f>AY24</f>
        <v>#DIV/0!</v>
      </c>
      <c r="BB24" s="16"/>
      <c r="BC24" s="15" t="e">
        <f>BA24</f>
        <v>#DIV/0!</v>
      </c>
      <c r="BD24" s="16"/>
      <c r="BE24" s="86" t="e">
        <f>BC24</f>
        <v>#DIV/0!</v>
      </c>
      <c r="BF24" s="70"/>
      <c r="BG24" s="15" t="e">
        <f>BE24</f>
        <v>#DIV/0!</v>
      </c>
      <c r="BH24" s="16"/>
      <c r="BI24" s="15" t="e">
        <f>BG24</f>
        <v>#DIV/0!</v>
      </c>
      <c r="BJ24" s="16"/>
      <c r="BK24" s="86" t="e">
        <f>BI24</f>
        <v>#DIV/0!</v>
      </c>
      <c r="BL24" s="70"/>
      <c r="BM24" s="15" t="e">
        <f>BK24</f>
        <v>#DIV/0!</v>
      </c>
      <c r="BN24" s="16"/>
      <c r="BO24" s="15" t="e">
        <f>BM24</f>
        <v>#DIV/0!</v>
      </c>
      <c r="BP24" s="16"/>
      <c r="BQ24" s="86" t="e">
        <f>BO24</f>
        <v>#DIV/0!</v>
      </c>
      <c r="BS24" s="16"/>
      <c r="BT24" s="16"/>
      <c r="BU24" s="16"/>
      <c r="BV24" s="16"/>
      <c r="BW24" s="81"/>
      <c r="BY24" s="16"/>
      <c r="BZ24" s="16"/>
      <c r="CA24" s="16"/>
      <c r="CB24" s="16"/>
      <c r="CC24" s="81"/>
      <c r="CE24" s="16"/>
      <c r="CF24" s="16"/>
      <c r="CG24" s="16"/>
      <c r="CH24" s="16"/>
      <c r="CI24" s="16"/>
      <c r="CJ24" s="70"/>
      <c r="CK24" s="16"/>
      <c r="CL24" s="16"/>
      <c r="CM24" s="16"/>
      <c r="CN24" s="16"/>
      <c r="CO24" s="16"/>
      <c r="CP24" s="70"/>
      <c r="CQ24" s="16"/>
      <c r="CR24" s="16"/>
      <c r="CS24" s="16"/>
      <c r="CT24" s="16"/>
      <c r="CU24" s="16"/>
      <c r="CV24" s="70"/>
      <c r="CW24" s="16"/>
      <c r="CX24" s="16"/>
      <c r="CY24" s="16"/>
      <c r="CZ24" s="16"/>
      <c r="DA24" s="16"/>
      <c r="DB24" s="70"/>
      <c r="DC24" s="16"/>
      <c r="DD24" s="16"/>
      <c r="DE24" s="16"/>
      <c r="DF24" s="16"/>
      <c r="DG24" s="16"/>
      <c r="DH24" s="70"/>
      <c r="DI24" s="16"/>
      <c r="DJ24" s="16"/>
      <c r="DK24" s="16"/>
      <c r="DL24" s="16"/>
      <c r="DM24" s="16"/>
      <c r="DN24" s="70"/>
    </row>
    <row r="25" spans="3:118" x14ac:dyDescent="0.2">
      <c r="C25" s="13" t="s">
        <v>92</v>
      </c>
      <c r="O25" s="88"/>
      <c r="P25" s="70"/>
      <c r="Q25" s="12">
        <f>O25-(Q$5*Q24)</f>
        <v>0</v>
      </c>
      <c r="S25" s="12">
        <f>Q25-(S$5*S24)</f>
        <v>0</v>
      </c>
      <c r="U25" s="89">
        <f>S25-(U$5*U24)</f>
        <v>0</v>
      </c>
      <c r="V25" s="70"/>
      <c r="W25" s="12">
        <f>U25-(W$5*W24)</f>
        <v>0</v>
      </c>
      <c r="Y25" s="12">
        <f>W25-(Y$5*Y24)</f>
        <v>0</v>
      </c>
      <c r="AA25" s="89">
        <f>Y25-(AA$5*AA24)</f>
        <v>0</v>
      </c>
      <c r="AB25" s="70"/>
      <c r="AC25" s="12">
        <f>AA25-(AC$5*AC24)</f>
        <v>0</v>
      </c>
      <c r="AE25" s="12">
        <f>AC25-(AE$5*AE24)</f>
        <v>0</v>
      </c>
      <c r="AG25" s="89">
        <f>AE25-(AG$5*AG24)</f>
        <v>0</v>
      </c>
      <c r="AH25" s="70"/>
      <c r="AI25" s="12">
        <f>AG25-(AI$5*AI24)</f>
        <v>0</v>
      </c>
      <c r="AK25" s="12">
        <f>AI25-(AK$5*AK24)</f>
        <v>0</v>
      </c>
      <c r="AM25" s="89">
        <f>AK25-(AM$5*AM24)</f>
        <v>0</v>
      </c>
      <c r="AN25" s="90"/>
      <c r="AO25" s="14">
        <f>AM25</f>
        <v>0</v>
      </c>
      <c r="AP25" s="14"/>
      <c r="AQ25" s="14">
        <f>AO25</f>
        <v>0</v>
      </c>
      <c r="AR25" s="14"/>
      <c r="AS25" s="91">
        <f>AQ25</f>
        <v>0</v>
      </c>
      <c r="AT25" s="70"/>
      <c r="AU25" s="12" t="e">
        <f>AS25-(AU$5*AU24)</f>
        <v>#DIV/0!</v>
      </c>
      <c r="AW25" s="12" t="e">
        <f>AU25-(AW$5*AW24)</f>
        <v>#DIV/0!</v>
      </c>
      <c r="AY25" s="89" t="e">
        <f>AW25-(AY$5*AY24)</f>
        <v>#DIV/0!</v>
      </c>
      <c r="AZ25" s="70"/>
      <c r="BA25" s="12" t="e">
        <f>AY25-(BA$5*BA24)</f>
        <v>#DIV/0!</v>
      </c>
      <c r="BC25" s="12" t="e">
        <f>BA25-(BC$5*BC24)</f>
        <v>#DIV/0!</v>
      </c>
      <c r="BE25" s="89" t="e">
        <f>BC25-(BE$5*BE24)</f>
        <v>#DIV/0!</v>
      </c>
      <c r="BF25" s="70"/>
      <c r="BG25" s="12" t="e">
        <f>BE25-(BG$5*BG24)</f>
        <v>#DIV/0!</v>
      </c>
      <c r="BI25" s="12" t="e">
        <f>BG25-(BI$5*BI24)</f>
        <v>#DIV/0!</v>
      </c>
      <c r="BK25" s="89" t="e">
        <f>BI25-(BK$5*BK24)</f>
        <v>#DIV/0!</v>
      </c>
      <c r="BL25" s="70"/>
      <c r="BM25" s="12" t="e">
        <f>BK25-(BM$5*BM24)</f>
        <v>#DIV/0!</v>
      </c>
      <c r="BO25" s="12" t="e">
        <f>BM25-(BO$5*BO24)</f>
        <v>#DIV/0!</v>
      </c>
      <c r="BQ25" s="92" t="e">
        <f>BO25-(BQ$5*BQ24)</f>
        <v>#DIV/0!</v>
      </c>
      <c r="BS25" s="14"/>
      <c r="BU25" s="14"/>
      <c r="BW25" s="93"/>
      <c r="BY25" s="14"/>
      <c r="CA25" s="14"/>
      <c r="CC25" s="93"/>
      <c r="CE25" s="14"/>
      <c r="CG25" s="14"/>
      <c r="CI25" s="14"/>
      <c r="CJ25" s="70"/>
      <c r="CK25" s="14"/>
      <c r="CM25" s="14"/>
      <c r="CO25" s="14"/>
      <c r="CP25" s="70"/>
      <c r="CQ25" s="14"/>
      <c r="CS25" s="14"/>
      <c r="CU25" s="14"/>
      <c r="CV25" s="70"/>
      <c r="CW25" s="14"/>
      <c r="CY25" s="14"/>
      <c r="DA25" s="14"/>
      <c r="DB25" s="70"/>
      <c r="DC25" s="14"/>
      <c r="DE25" s="14"/>
      <c r="DG25" s="14"/>
      <c r="DH25" s="70"/>
      <c r="DI25" s="14"/>
      <c r="DK25" s="14"/>
      <c r="DM25" s="14"/>
      <c r="DN25" s="70"/>
    </row>
    <row r="26" spans="3:118" x14ac:dyDescent="0.2">
      <c r="O26" s="80"/>
      <c r="P26" s="70"/>
      <c r="Q26" s="96"/>
      <c r="U26" s="80"/>
      <c r="V26" s="70"/>
      <c r="W26" s="16"/>
      <c r="AA26" s="80"/>
      <c r="AB26" s="70"/>
      <c r="AG26" s="80"/>
      <c r="AH26" s="70"/>
      <c r="AM26" s="94"/>
      <c r="AS26" s="95" t="e">
        <f>(AS25/SUM(AU$5:BQ$5))</f>
        <v>#DIV/0!</v>
      </c>
      <c r="AT26" s="70"/>
      <c r="AU26" s="1"/>
      <c r="AY26" s="80"/>
      <c r="AZ26" s="70"/>
      <c r="BE26" s="80"/>
      <c r="BF26" s="70"/>
      <c r="BK26" s="80"/>
      <c r="BL26" s="70"/>
      <c r="BQ26" s="80"/>
      <c r="BW26" s="80"/>
      <c r="CC26" s="80"/>
      <c r="CJ26" s="70"/>
      <c r="CP26" s="70"/>
      <c r="CV26" s="70"/>
      <c r="DB26" s="70"/>
      <c r="DH26" s="70"/>
      <c r="DN26" s="70"/>
    </row>
    <row r="27" spans="3:118" x14ac:dyDescent="0.2">
      <c r="P27" s="70"/>
      <c r="Q27" s="96"/>
      <c r="V27" s="70"/>
      <c r="AB27" s="70"/>
      <c r="AH27" s="70"/>
      <c r="AN27" s="70"/>
      <c r="AT27" s="70"/>
      <c r="AZ27" s="70"/>
      <c r="BA27" s="1"/>
      <c r="BF27" s="70"/>
      <c r="BL27" s="70"/>
      <c r="BQ27" s="80"/>
      <c r="BW27" s="80"/>
      <c r="CC27" s="80"/>
      <c r="CJ27" s="70"/>
      <c r="CP27" s="70"/>
      <c r="CV27" s="70"/>
      <c r="DB27" s="70"/>
      <c r="DH27" s="70"/>
      <c r="DN27" s="70"/>
    </row>
    <row r="28" spans="3:118" x14ac:dyDescent="0.2">
      <c r="U28" s="80"/>
      <c r="V28" s="70"/>
      <c r="W28" s="85"/>
      <c r="Y28" s="15">
        <f>W28</f>
        <v>0</v>
      </c>
      <c r="Z28" s="16"/>
      <c r="AA28" s="86">
        <f>Y28</f>
        <v>0</v>
      </c>
      <c r="AB28" s="70"/>
      <c r="AC28" s="15">
        <f>AA28</f>
        <v>0</v>
      </c>
      <c r="AD28" s="16"/>
      <c r="AE28" s="15">
        <f>AC28</f>
        <v>0</v>
      </c>
      <c r="AF28" s="16"/>
      <c r="AG28" s="86">
        <f>AE28</f>
        <v>0</v>
      </c>
      <c r="AH28" s="70"/>
      <c r="AI28" s="15">
        <f>AG28</f>
        <v>0</v>
      </c>
      <c r="AJ28" s="16"/>
      <c r="AK28" s="15">
        <f>AI28</f>
        <v>0</v>
      </c>
      <c r="AL28" s="16"/>
      <c r="AM28" s="86">
        <f>AK28</f>
        <v>0</v>
      </c>
      <c r="AN28" s="70"/>
      <c r="AO28" s="15">
        <f>AM28</f>
        <v>0</v>
      </c>
      <c r="AP28" s="16"/>
      <c r="AQ28" s="15">
        <f>AO28</f>
        <v>0</v>
      </c>
      <c r="AR28" s="16"/>
      <c r="AS28" s="86">
        <f>AQ28</f>
        <v>0</v>
      </c>
      <c r="AT28" s="87"/>
      <c r="AU28" s="16"/>
      <c r="AV28" s="16"/>
      <c r="AW28" s="16"/>
      <c r="AX28" s="16"/>
      <c r="AY28" s="81"/>
      <c r="AZ28" s="70"/>
      <c r="BA28" s="15" t="e">
        <f>AY30</f>
        <v>#DIV/0!</v>
      </c>
      <c r="BB28" s="16"/>
      <c r="BC28" s="15" t="e">
        <f>BA28</f>
        <v>#DIV/0!</v>
      </c>
      <c r="BD28" s="16"/>
      <c r="BE28" s="86" t="e">
        <f>BC28</f>
        <v>#DIV/0!</v>
      </c>
      <c r="BF28" s="70"/>
      <c r="BG28" s="15" t="e">
        <f>BE28</f>
        <v>#DIV/0!</v>
      </c>
      <c r="BH28" s="16"/>
      <c r="BI28" s="15" t="e">
        <f>BG28</f>
        <v>#DIV/0!</v>
      </c>
      <c r="BJ28" s="16"/>
      <c r="BK28" s="86" t="e">
        <f>BI28</f>
        <v>#DIV/0!</v>
      </c>
      <c r="BL28" s="70"/>
      <c r="BM28" s="15" t="e">
        <f>BK28</f>
        <v>#DIV/0!</v>
      </c>
      <c r="BN28" s="16"/>
      <c r="BO28" s="15" t="e">
        <f>BM28</f>
        <v>#DIV/0!</v>
      </c>
      <c r="BP28" s="16"/>
      <c r="BQ28" s="86" t="e">
        <f>BO28</f>
        <v>#DIV/0!</v>
      </c>
      <c r="BR28" s="70"/>
      <c r="BS28" s="15" t="e">
        <f>BQ28</f>
        <v>#DIV/0!</v>
      </c>
      <c r="BT28" s="16"/>
      <c r="BU28" s="15" t="e">
        <f>BS28</f>
        <v>#DIV/0!</v>
      </c>
      <c r="BV28" s="16"/>
      <c r="BW28" s="86" t="e">
        <f>BU28</f>
        <v>#DIV/0!</v>
      </c>
      <c r="BY28" s="16"/>
      <c r="CA28" s="14"/>
      <c r="CC28" s="93"/>
      <c r="CE28" s="14"/>
      <c r="CG28" s="14"/>
      <c r="CI28" s="14"/>
      <c r="CJ28" s="70"/>
      <c r="CK28" s="14"/>
      <c r="CM28" s="14"/>
      <c r="CO28" s="14"/>
      <c r="CP28" s="70"/>
      <c r="CQ28" s="14"/>
      <c r="CS28" s="14"/>
      <c r="CU28" s="14"/>
      <c r="CV28" s="70"/>
      <c r="CW28" s="14"/>
      <c r="CY28" s="14"/>
      <c r="DA28" s="14"/>
      <c r="DB28" s="70"/>
      <c r="DC28" s="14"/>
      <c r="DE28" s="14"/>
      <c r="DG28" s="14"/>
      <c r="DH28" s="70"/>
      <c r="DI28" s="14"/>
      <c r="DK28" s="14"/>
      <c r="DM28" s="14"/>
      <c r="DN28" s="70"/>
    </row>
    <row r="29" spans="3:118" x14ac:dyDescent="0.2">
      <c r="C29" s="13" t="s">
        <v>93</v>
      </c>
      <c r="U29" s="88"/>
      <c r="V29" s="70"/>
      <c r="W29" s="12">
        <f>U29-(W$5*W28)</f>
        <v>0</v>
      </c>
      <c r="Y29" s="12">
        <f>W29-(Y$5*Y28)</f>
        <v>0</v>
      </c>
      <c r="AA29" s="89">
        <f>Y29-(AA$5*AA28)</f>
        <v>0</v>
      </c>
      <c r="AB29" s="70"/>
      <c r="AC29" s="12">
        <f>AA29-(AC$5*AC28)</f>
        <v>0</v>
      </c>
      <c r="AE29" s="12">
        <f>AC29-(AE$5*AE28)</f>
        <v>0</v>
      </c>
      <c r="AG29" s="89">
        <f>AE29-(AG$5*AG28)</f>
        <v>0</v>
      </c>
      <c r="AH29" s="70"/>
      <c r="AI29" s="12">
        <f>AG29-(AI$5*AI28)</f>
        <v>0</v>
      </c>
      <c r="AK29" s="12">
        <f>AI29-(AK$5*AK28)</f>
        <v>0</v>
      </c>
      <c r="AM29" s="89">
        <f>AK29-(AM$5*AM28)</f>
        <v>0</v>
      </c>
      <c r="AN29" s="70"/>
      <c r="AO29" s="12">
        <f>AM29-(AO$5*AO28)</f>
        <v>0</v>
      </c>
      <c r="AQ29" s="12">
        <f>AO29-(AQ$5*AQ28)</f>
        <v>0</v>
      </c>
      <c r="AS29" s="89">
        <f>AQ29-(AS$5*AS28)</f>
        <v>0</v>
      </c>
      <c r="AT29" s="90"/>
      <c r="AU29" s="14">
        <f>AS29</f>
        <v>0</v>
      </c>
      <c r="AV29" s="14"/>
      <c r="AW29" s="14">
        <f>AU29</f>
        <v>0</v>
      </c>
      <c r="AX29" s="14"/>
      <c r="AY29" s="91">
        <f>AW29</f>
        <v>0</v>
      </c>
      <c r="AZ29" s="70"/>
      <c r="BA29" s="12" t="e">
        <f>AY29-(BA$5*BA28)</f>
        <v>#DIV/0!</v>
      </c>
      <c r="BC29" s="12" t="e">
        <f>BA29-(BC$5*BC28)</f>
        <v>#DIV/0!</v>
      </c>
      <c r="BE29" s="89" t="e">
        <f>BC29-(BE$5*BE28)</f>
        <v>#DIV/0!</v>
      </c>
      <c r="BF29" s="70"/>
      <c r="BG29" s="12" t="e">
        <f>BE29-(BG$5*BG28)</f>
        <v>#DIV/0!</v>
      </c>
      <c r="BI29" s="12" t="e">
        <f>BG29-(BI$5*BI28)</f>
        <v>#DIV/0!</v>
      </c>
      <c r="BK29" s="89" t="e">
        <f>BI29-(BK$5*BK28)</f>
        <v>#DIV/0!</v>
      </c>
      <c r="BL29" s="70"/>
      <c r="BM29" s="12" t="e">
        <f>BK29-(BM$5*BM28)</f>
        <v>#DIV/0!</v>
      </c>
      <c r="BO29" s="12" t="e">
        <f>BM29-(BO$5*BO28)</f>
        <v>#DIV/0!</v>
      </c>
      <c r="BQ29" s="89" t="e">
        <f>BO29-(BQ$5*BQ28)</f>
        <v>#DIV/0!</v>
      </c>
      <c r="BR29" s="70"/>
      <c r="BS29" s="12" t="e">
        <f>BQ29-(BS$5*BS28)</f>
        <v>#DIV/0!</v>
      </c>
      <c r="BU29" s="12" t="e">
        <f>BS29-(BU$5*BU28)</f>
        <v>#DIV/0!</v>
      </c>
      <c r="BW29" s="92" t="e">
        <f>BU29-(BW$5*BW28)</f>
        <v>#DIV/0!</v>
      </c>
      <c r="BY29" s="14"/>
      <c r="CC29" s="80"/>
      <c r="CJ29" s="70"/>
      <c r="CP29" s="70"/>
      <c r="CV29" s="70"/>
      <c r="DB29" s="70"/>
      <c r="DH29" s="70"/>
      <c r="DN29" s="70"/>
    </row>
    <row r="30" spans="3:118" x14ac:dyDescent="0.2">
      <c r="U30" s="80"/>
      <c r="V30" s="70"/>
      <c r="AA30" s="80"/>
      <c r="AB30" s="70"/>
      <c r="AG30" s="80"/>
      <c r="AH30" s="70"/>
      <c r="AM30" s="80"/>
      <c r="AN30" s="70"/>
      <c r="AS30" s="94"/>
      <c r="AY30" s="95" t="e">
        <f>(AY29/SUM(BA$5:BW$5))</f>
        <v>#DIV/0!</v>
      </c>
      <c r="AZ30" s="70"/>
      <c r="BA30" s="1"/>
      <c r="BE30" s="80"/>
      <c r="BF30" s="70"/>
      <c r="BK30" s="80"/>
      <c r="BL30" s="70"/>
      <c r="BQ30" s="80"/>
      <c r="BR30" s="70"/>
      <c r="BW30" s="80"/>
      <c r="CC30" s="80"/>
      <c r="CJ30" s="70"/>
      <c r="CP30" s="70"/>
      <c r="CV30" s="70"/>
      <c r="DB30" s="70"/>
      <c r="DH30" s="70"/>
      <c r="DN30" s="70"/>
    </row>
    <row r="31" spans="3:118" x14ac:dyDescent="0.2">
      <c r="AB31" s="70"/>
      <c r="AH31" s="70"/>
      <c r="AN31" s="70"/>
      <c r="AT31" s="70"/>
      <c r="AZ31" s="70"/>
      <c r="BF31" s="70"/>
      <c r="BL31" s="70"/>
      <c r="BR31" s="70"/>
      <c r="BW31" s="80"/>
      <c r="CC31" s="80"/>
      <c r="CJ31" s="70"/>
      <c r="CP31" s="70"/>
      <c r="CV31" s="70"/>
      <c r="DB31" s="70"/>
      <c r="DH31" s="70"/>
      <c r="DN31" s="70"/>
    </row>
    <row r="32" spans="3:118" x14ac:dyDescent="0.2">
      <c r="AA32" s="80"/>
      <c r="AB32" s="70"/>
      <c r="AC32" s="85"/>
      <c r="AE32" s="15">
        <f>AC32</f>
        <v>0</v>
      </c>
      <c r="AF32" s="16"/>
      <c r="AG32" s="86">
        <f>AE32</f>
        <v>0</v>
      </c>
      <c r="AH32" s="70"/>
      <c r="AI32" s="15">
        <f>AG32</f>
        <v>0</v>
      </c>
      <c r="AJ32" s="16"/>
      <c r="AK32" s="15">
        <f>AI32</f>
        <v>0</v>
      </c>
      <c r="AL32" s="16"/>
      <c r="AM32" s="86">
        <f>AK32</f>
        <v>0</v>
      </c>
      <c r="AN32" s="70"/>
      <c r="AO32" s="15">
        <f>AM32</f>
        <v>0</v>
      </c>
      <c r="AP32" s="16"/>
      <c r="AQ32" s="15">
        <f>AO32</f>
        <v>0</v>
      </c>
      <c r="AR32" s="16"/>
      <c r="AS32" s="86">
        <f>AQ32</f>
        <v>0</v>
      </c>
      <c r="AT32" s="70"/>
      <c r="AU32" s="15">
        <f>AS32</f>
        <v>0</v>
      </c>
      <c r="AV32" s="16"/>
      <c r="AW32" s="15">
        <f>AU32</f>
        <v>0</v>
      </c>
      <c r="AX32" s="16"/>
      <c r="AY32" s="86">
        <f>AW32</f>
        <v>0</v>
      </c>
      <c r="AZ32" s="87"/>
      <c r="BA32" s="16"/>
      <c r="BB32" s="16"/>
      <c r="BC32" s="16"/>
      <c r="BD32" s="16"/>
      <c r="BE32" s="81"/>
      <c r="BF32" s="70"/>
      <c r="BG32" s="15" t="e">
        <f>BE34</f>
        <v>#DIV/0!</v>
      </c>
      <c r="BH32" s="16"/>
      <c r="BI32" s="15" t="e">
        <f>BG32</f>
        <v>#DIV/0!</v>
      </c>
      <c r="BJ32" s="16"/>
      <c r="BK32" s="86" t="e">
        <f>BI32</f>
        <v>#DIV/0!</v>
      </c>
      <c r="BL32" s="70"/>
      <c r="BM32" s="15" t="e">
        <f>BK32</f>
        <v>#DIV/0!</v>
      </c>
      <c r="BN32" s="16"/>
      <c r="BO32" s="15" t="e">
        <f>BM32</f>
        <v>#DIV/0!</v>
      </c>
      <c r="BP32" s="16"/>
      <c r="BQ32" s="86" t="e">
        <f>BO32</f>
        <v>#DIV/0!</v>
      </c>
      <c r="BR32" s="70"/>
      <c r="BS32" s="15" t="e">
        <f>BQ32</f>
        <v>#DIV/0!</v>
      </c>
      <c r="BT32" s="16"/>
      <c r="BU32" s="15" t="e">
        <f>BS32</f>
        <v>#DIV/0!</v>
      </c>
      <c r="BV32" s="16"/>
      <c r="BW32" s="86" t="e">
        <f>BU32</f>
        <v>#DIV/0!</v>
      </c>
      <c r="BX32" s="70"/>
      <c r="BY32" s="15" t="e">
        <f>BW32</f>
        <v>#DIV/0!</v>
      </c>
      <c r="BZ32" s="16"/>
      <c r="CA32" s="15" t="e">
        <f>BY32</f>
        <v>#DIV/0!</v>
      </c>
      <c r="CB32" s="16"/>
      <c r="CC32" s="86" t="e">
        <f>CA32</f>
        <v>#DIV/0!</v>
      </c>
      <c r="CE32" s="16"/>
      <c r="CF32" s="16"/>
      <c r="CG32" s="16"/>
      <c r="CH32" s="16"/>
      <c r="CI32" s="16"/>
      <c r="CJ32" s="70"/>
      <c r="CK32" s="16"/>
      <c r="CL32" s="16"/>
      <c r="CM32" s="16"/>
      <c r="CN32" s="16"/>
      <c r="CO32" s="16"/>
      <c r="CP32" s="70"/>
      <c r="CQ32" s="16"/>
      <c r="CR32" s="16"/>
      <c r="CS32" s="16"/>
      <c r="CT32" s="16"/>
      <c r="CU32" s="16"/>
      <c r="CV32" s="70"/>
      <c r="CW32" s="16"/>
      <c r="CX32" s="16"/>
      <c r="CY32" s="16"/>
      <c r="CZ32" s="16"/>
      <c r="DA32" s="16"/>
      <c r="DB32" s="70"/>
      <c r="DC32" s="16"/>
      <c r="DD32" s="16"/>
      <c r="DE32" s="16"/>
      <c r="DF32" s="16"/>
      <c r="DG32" s="16"/>
      <c r="DH32" s="70"/>
      <c r="DI32" s="16"/>
      <c r="DJ32" s="16"/>
      <c r="DK32" s="16"/>
      <c r="DL32" s="16"/>
      <c r="DM32" s="16"/>
      <c r="DN32" s="70"/>
    </row>
    <row r="33" spans="3:118" x14ac:dyDescent="0.2">
      <c r="C33" s="17" t="s">
        <v>94</v>
      </c>
      <c r="AA33" s="88"/>
      <c r="AB33" s="70"/>
      <c r="AC33" s="12">
        <f>AA33-(AC$5*AC32)</f>
        <v>0</v>
      </c>
      <c r="AE33" s="12">
        <f>AC33-(AE$5*AE32)</f>
        <v>0</v>
      </c>
      <c r="AG33" s="89">
        <f>AE33-(AG$5*AG32)</f>
        <v>0</v>
      </c>
      <c r="AH33" s="70"/>
      <c r="AI33" s="12">
        <f>AG33-(AI$5*AI32)</f>
        <v>0</v>
      </c>
      <c r="AK33" s="12">
        <f>AI33-(AK$5*AK32)</f>
        <v>0</v>
      </c>
      <c r="AM33" s="89">
        <f>AK33-(AM$5*AM32)</f>
        <v>0</v>
      </c>
      <c r="AN33" s="70"/>
      <c r="AO33" s="12">
        <f>AM33-(AO$5*AO32)</f>
        <v>0</v>
      </c>
      <c r="AQ33" s="12">
        <f>AO33-(AQ$5*AQ32)</f>
        <v>0</v>
      </c>
      <c r="AS33" s="89">
        <f>AQ33-(AS$5*AS32)</f>
        <v>0</v>
      </c>
      <c r="AT33" s="70"/>
      <c r="AU33" s="12">
        <f>AS33-(AU$5*AU32)</f>
        <v>0</v>
      </c>
      <c r="AW33" s="12">
        <f>AU33-(AW$5*AW32)</f>
        <v>0</v>
      </c>
      <c r="AY33" s="89">
        <f>AW33-(AY$5*AY32)</f>
        <v>0</v>
      </c>
      <c r="AZ33" s="90"/>
      <c r="BA33" s="14">
        <f>AY33</f>
        <v>0</v>
      </c>
      <c r="BB33" s="14"/>
      <c r="BC33" s="14">
        <f>BA33</f>
        <v>0</v>
      </c>
      <c r="BD33" s="14"/>
      <c r="BE33" s="91">
        <f>BC33</f>
        <v>0</v>
      </c>
      <c r="BF33" s="70"/>
      <c r="BG33" s="12" t="e">
        <f>BE33-(BG$5*BG32)</f>
        <v>#DIV/0!</v>
      </c>
      <c r="BI33" s="12" t="e">
        <f>BG33-(BI$5*BI32)</f>
        <v>#DIV/0!</v>
      </c>
      <c r="BK33" s="89" t="e">
        <f>BI33-(BK$5*BK32)</f>
        <v>#DIV/0!</v>
      </c>
      <c r="BL33" s="70"/>
      <c r="BM33" s="12" t="e">
        <f>BK33-(BM$5*BM32)</f>
        <v>#DIV/0!</v>
      </c>
      <c r="BO33" s="12" t="e">
        <f>BM33-(BO$5*BO32)</f>
        <v>#DIV/0!</v>
      </c>
      <c r="BQ33" s="89" t="e">
        <f>BO33-(BQ$5*BQ32)</f>
        <v>#DIV/0!</v>
      </c>
      <c r="BR33" s="70"/>
      <c r="BS33" s="12" t="e">
        <f>BQ33-(BS$5*BS32)</f>
        <v>#DIV/0!</v>
      </c>
      <c r="BU33" s="12" t="e">
        <f>BS33-(BU$5*BU32)</f>
        <v>#DIV/0!</v>
      </c>
      <c r="BW33" s="89" t="e">
        <f>BU33-(BW$5*BW32)</f>
        <v>#DIV/0!</v>
      </c>
      <c r="BX33" s="70"/>
      <c r="BY33" s="12" t="e">
        <f>BW33-(BY$5*BY32)</f>
        <v>#DIV/0!</v>
      </c>
      <c r="CA33" s="12" t="e">
        <f>BY33-(CA$5*CA32)</f>
        <v>#DIV/0!</v>
      </c>
      <c r="CC33" s="92" t="e">
        <f>CA33-(CC$5*CC32)</f>
        <v>#DIV/0!</v>
      </c>
      <c r="CE33" s="14"/>
      <c r="CG33" s="14"/>
      <c r="CI33" s="14"/>
      <c r="CJ33" s="70"/>
      <c r="CK33" s="14"/>
      <c r="CM33" s="14"/>
      <c r="CO33" s="14"/>
      <c r="CP33" s="70"/>
      <c r="CQ33" s="14"/>
      <c r="CS33" s="14"/>
      <c r="CU33" s="14"/>
      <c r="CV33" s="70"/>
      <c r="CW33" s="14"/>
      <c r="CY33" s="14"/>
      <c r="DA33" s="14"/>
      <c r="DB33" s="70"/>
      <c r="DC33" s="14"/>
      <c r="DE33" s="14"/>
      <c r="DG33" s="14"/>
      <c r="DH33" s="70"/>
      <c r="DI33" s="14"/>
      <c r="DK33" s="14"/>
      <c r="DM33" s="14"/>
      <c r="DN33" s="70"/>
    </row>
    <row r="34" spans="3:118" x14ac:dyDescent="0.2">
      <c r="AA34" s="80"/>
      <c r="AB34" s="70"/>
      <c r="AG34" s="80"/>
      <c r="AH34" s="70"/>
      <c r="AM34" s="80"/>
      <c r="AN34" s="70"/>
      <c r="AS34" s="80"/>
      <c r="AT34" s="70"/>
      <c r="AY34" s="94"/>
      <c r="BE34" s="95" t="e">
        <f>(BE33/SUM(BG$5:CC$5))</f>
        <v>#DIV/0!</v>
      </c>
      <c r="BF34" s="70"/>
      <c r="BG34" s="1"/>
      <c r="BK34" s="80"/>
      <c r="BL34" s="70"/>
      <c r="BQ34" s="80"/>
      <c r="BR34" s="70"/>
      <c r="BW34" s="80"/>
      <c r="BX34" s="70"/>
      <c r="CC34" s="80"/>
      <c r="CJ34" s="70"/>
      <c r="CP34" s="70"/>
      <c r="CV34" s="70"/>
      <c r="DB34" s="70"/>
      <c r="DH34" s="70"/>
      <c r="DN34" s="70"/>
    </row>
    <row r="35" spans="3:118" x14ac:dyDescent="0.2">
      <c r="AG35" s="80"/>
      <c r="AH35" s="70"/>
      <c r="AM35" s="80"/>
      <c r="AN35" s="70"/>
      <c r="AS35" s="80"/>
      <c r="AT35" s="70"/>
      <c r="AY35" s="94"/>
      <c r="BE35" s="94"/>
      <c r="BF35" s="70"/>
      <c r="BK35" s="80"/>
      <c r="BL35" s="70"/>
      <c r="BQ35" s="80"/>
      <c r="BR35" s="70"/>
      <c r="BW35" s="80"/>
      <c r="BX35" s="70"/>
      <c r="CC35" s="80"/>
      <c r="CI35" s="80"/>
      <c r="CO35" s="80"/>
      <c r="CU35" s="80"/>
      <c r="DA35" s="80"/>
      <c r="DG35" s="80"/>
      <c r="DM35" s="80"/>
    </row>
    <row r="36" spans="3:118" x14ac:dyDescent="0.2">
      <c r="AG36" s="80"/>
      <c r="AH36" s="70"/>
      <c r="AI36" s="85"/>
      <c r="AK36" s="15">
        <f>AI36</f>
        <v>0</v>
      </c>
      <c r="AL36" s="16"/>
      <c r="AM36" s="86">
        <f>AK36</f>
        <v>0</v>
      </c>
      <c r="AN36" s="70"/>
      <c r="AO36" s="15">
        <f>AM36</f>
        <v>0</v>
      </c>
      <c r="AP36" s="16"/>
      <c r="AQ36" s="15">
        <f>AO36</f>
        <v>0</v>
      </c>
      <c r="AR36" s="16"/>
      <c r="AS36" s="86">
        <f>AQ36</f>
        <v>0</v>
      </c>
      <c r="AT36" s="70"/>
      <c r="AU36" s="15">
        <f>AS36</f>
        <v>0</v>
      </c>
      <c r="AV36" s="16"/>
      <c r="AW36" s="15">
        <f>AU36</f>
        <v>0</v>
      </c>
      <c r="AX36" s="16"/>
      <c r="AY36" s="86">
        <f>AW36</f>
        <v>0</v>
      </c>
      <c r="AZ36" s="70"/>
      <c r="BA36" s="15">
        <f>AY36</f>
        <v>0</v>
      </c>
      <c r="BB36" s="16"/>
      <c r="BC36" s="15">
        <f>BA36</f>
        <v>0</v>
      </c>
      <c r="BD36" s="16"/>
      <c r="BE36" s="86">
        <f>BC36</f>
        <v>0</v>
      </c>
      <c r="BF36" s="87"/>
      <c r="BG36" s="16"/>
      <c r="BH36" s="16"/>
      <c r="BI36" s="16"/>
      <c r="BJ36" s="16"/>
      <c r="BK36" s="81"/>
      <c r="BL36" s="70"/>
      <c r="BM36" s="15" t="e">
        <f>BK38</f>
        <v>#DIV/0!</v>
      </c>
      <c r="BN36" s="16"/>
      <c r="BO36" s="15" t="e">
        <f>BM36</f>
        <v>#DIV/0!</v>
      </c>
      <c r="BP36" s="16"/>
      <c r="BQ36" s="86" t="e">
        <f>BO36</f>
        <v>#DIV/0!</v>
      </c>
      <c r="BR36" s="70"/>
      <c r="BS36" s="15" t="e">
        <f>BQ36</f>
        <v>#DIV/0!</v>
      </c>
      <c r="BT36" s="16"/>
      <c r="BU36" s="15" t="e">
        <f>BS36</f>
        <v>#DIV/0!</v>
      </c>
      <c r="BV36" s="16"/>
      <c r="BW36" s="86" t="e">
        <f>BU36</f>
        <v>#DIV/0!</v>
      </c>
      <c r="BX36" s="70"/>
      <c r="BY36" s="15" t="e">
        <f>BW36</f>
        <v>#DIV/0!</v>
      </c>
      <c r="BZ36" s="16"/>
      <c r="CA36" s="15" t="e">
        <f>BY36</f>
        <v>#DIV/0!</v>
      </c>
      <c r="CB36" s="16"/>
      <c r="CC36" s="86" t="e">
        <f>CA36</f>
        <v>#DIV/0!</v>
      </c>
      <c r="CD36" s="70"/>
      <c r="CE36" s="15" t="e">
        <f>CC36</f>
        <v>#DIV/0!</v>
      </c>
      <c r="CF36" s="16"/>
      <c r="CG36" s="15" t="e">
        <f>CE36</f>
        <v>#DIV/0!</v>
      </c>
      <c r="CH36" s="16"/>
      <c r="CI36" s="86" t="e">
        <f>CG36</f>
        <v>#DIV/0!</v>
      </c>
      <c r="CO36" s="80"/>
      <c r="CU36" s="80"/>
      <c r="DA36" s="80"/>
      <c r="DG36" s="80"/>
      <c r="DM36" s="80"/>
    </row>
    <row r="37" spans="3:118" x14ac:dyDescent="0.2">
      <c r="C37" s="13"/>
      <c r="AG37" s="88"/>
      <c r="AH37" s="70"/>
      <c r="AI37" s="12">
        <f>AG37-(AI$5*AI36)</f>
        <v>0</v>
      </c>
      <c r="AK37" s="12">
        <f>AI37-(AK$5*AK36)</f>
        <v>0</v>
      </c>
      <c r="AM37" s="89">
        <f>AK37-(AM$5*AM36)</f>
        <v>0</v>
      </c>
      <c r="AN37" s="70"/>
      <c r="AO37" s="12">
        <f>AM37-(AO$5*AO36)</f>
        <v>0</v>
      </c>
      <c r="AQ37" s="12">
        <f>AO37-(AQ$5*AQ36)</f>
        <v>0</v>
      </c>
      <c r="AS37" s="89">
        <f>AQ37-(AS$5*AS36)</f>
        <v>0</v>
      </c>
      <c r="AT37" s="70"/>
      <c r="AU37" s="12">
        <f>AS37-(AU$5*AU36)</f>
        <v>0</v>
      </c>
      <c r="AW37" s="12">
        <f>AU37-(AW$5*AW36)</f>
        <v>0</v>
      </c>
      <c r="AY37" s="89">
        <f>AW37-(AY$5*AY36)</f>
        <v>0</v>
      </c>
      <c r="AZ37" s="70"/>
      <c r="BA37" s="12">
        <f>AY37-(BA$5*BA36)</f>
        <v>0</v>
      </c>
      <c r="BC37" s="12">
        <f>BA37-(BC$5*BC36)</f>
        <v>0</v>
      </c>
      <c r="BE37" s="89">
        <f>BC37-(BE$5*BE36)</f>
        <v>0</v>
      </c>
      <c r="BF37" s="90"/>
      <c r="BG37" s="14">
        <f>BE37</f>
        <v>0</v>
      </c>
      <c r="BH37" s="14"/>
      <c r="BI37" s="14">
        <f>BG37</f>
        <v>0</v>
      </c>
      <c r="BJ37" s="14"/>
      <c r="BK37" s="91">
        <f>BI37</f>
        <v>0</v>
      </c>
      <c r="BL37" s="70"/>
      <c r="BM37" s="12" t="e">
        <f>BK37-(BM$5*BM36)</f>
        <v>#DIV/0!</v>
      </c>
      <c r="BO37" s="12" t="e">
        <f>BM37-(BO$5*BO36)</f>
        <v>#DIV/0!</v>
      </c>
      <c r="BQ37" s="89" t="e">
        <f>BO37-(BQ$5*BQ36)</f>
        <v>#DIV/0!</v>
      </c>
      <c r="BR37" s="70"/>
      <c r="BS37" s="12" t="e">
        <f>BQ37-(BS$5*BS36)</f>
        <v>#DIV/0!</v>
      </c>
      <c r="BU37" s="12" t="e">
        <f>BS37-(BU$5*BU36)</f>
        <v>#DIV/0!</v>
      </c>
      <c r="BW37" s="89" t="e">
        <f>BU37-(BW$5*BW36)</f>
        <v>#DIV/0!</v>
      </c>
      <c r="BX37" s="70"/>
      <c r="BY37" s="12" t="e">
        <f>BW37-(BY$5*BY36)</f>
        <v>#DIV/0!</v>
      </c>
      <c r="CA37" s="12" t="e">
        <f>BY37-(CA$5*CA36)</f>
        <v>#DIV/0!</v>
      </c>
      <c r="CC37" s="89" t="e">
        <f>CA37-(CC$5*CC36)</f>
        <v>#DIV/0!</v>
      </c>
      <c r="CD37" s="70"/>
      <c r="CE37" s="12" t="e">
        <f>CC37-(CE$5*CE36)</f>
        <v>#DIV/0!</v>
      </c>
      <c r="CG37" s="12" t="e">
        <f>CE37-(CG$5*CG36)</f>
        <v>#DIV/0!</v>
      </c>
      <c r="CI37" s="92" t="e">
        <f>CG37-(CI$5*CI36)</f>
        <v>#DIV/0!</v>
      </c>
      <c r="CO37" s="80"/>
      <c r="CU37" s="80"/>
      <c r="DA37" s="80"/>
      <c r="DG37" s="80"/>
      <c r="DM37" s="80"/>
    </row>
    <row r="38" spans="3:118" x14ac:dyDescent="0.2">
      <c r="C38" s="13"/>
      <c r="AG38" s="80"/>
      <c r="AH38" s="70"/>
      <c r="AM38" s="80"/>
      <c r="AN38" s="70"/>
      <c r="AS38" s="80"/>
      <c r="AT38" s="70"/>
      <c r="AY38" s="80"/>
      <c r="AZ38" s="70"/>
      <c r="BE38" s="94"/>
      <c r="BK38" s="95" t="e">
        <f>(BK37/SUM(BM$5:CI$5))</f>
        <v>#DIV/0!</v>
      </c>
      <c r="BL38" s="70"/>
      <c r="BQ38" s="80"/>
      <c r="BR38" s="70"/>
      <c r="BW38" s="80"/>
      <c r="BX38" s="70"/>
      <c r="CC38" s="80"/>
      <c r="CD38" s="70"/>
      <c r="CI38" s="80"/>
      <c r="CO38" s="80"/>
      <c r="CU38" s="80"/>
      <c r="DA38" s="80"/>
      <c r="DG38" s="80"/>
      <c r="DM38" s="80"/>
    </row>
    <row r="39" spans="3:118" x14ac:dyDescent="0.2">
      <c r="AM39" s="80"/>
      <c r="AN39" s="70"/>
      <c r="AS39" s="80"/>
      <c r="AT39" s="70"/>
      <c r="AY39" s="80"/>
      <c r="AZ39" s="70"/>
      <c r="BE39" s="94"/>
      <c r="BK39" s="94"/>
      <c r="BL39" s="70"/>
      <c r="BQ39" s="80"/>
      <c r="BR39" s="70"/>
      <c r="BW39" s="80"/>
      <c r="BX39" s="70"/>
      <c r="CC39" s="80"/>
      <c r="CD39" s="70"/>
      <c r="CI39" s="80"/>
      <c r="CO39" s="80"/>
      <c r="CU39" s="80"/>
      <c r="DA39" s="80"/>
      <c r="DG39" s="80"/>
      <c r="DM39" s="80"/>
    </row>
    <row r="40" spans="3:118" x14ac:dyDescent="0.2">
      <c r="AM40" s="80"/>
      <c r="AN40" s="70"/>
      <c r="AO40" s="85"/>
      <c r="AQ40" s="15">
        <f>AO40</f>
        <v>0</v>
      </c>
      <c r="AR40" s="16"/>
      <c r="AS40" s="86">
        <f>AQ40</f>
        <v>0</v>
      </c>
      <c r="AT40" s="70"/>
      <c r="AU40" s="15">
        <f>AS40</f>
        <v>0</v>
      </c>
      <c r="AV40" s="16"/>
      <c r="AW40" s="15">
        <f>AU40</f>
        <v>0</v>
      </c>
      <c r="AX40" s="16"/>
      <c r="AY40" s="86">
        <f>AW40</f>
        <v>0</v>
      </c>
      <c r="AZ40" s="70"/>
      <c r="BA40" s="15">
        <f>AY40</f>
        <v>0</v>
      </c>
      <c r="BB40" s="16"/>
      <c r="BC40" s="15">
        <f>BA40</f>
        <v>0</v>
      </c>
      <c r="BD40" s="16"/>
      <c r="BE40" s="86">
        <f>BC40</f>
        <v>0</v>
      </c>
      <c r="BF40" s="70"/>
      <c r="BG40" s="15">
        <f>BE40</f>
        <v>0</v>
      </c>
      <c r="BH40" s="16"/>
      <c r="BI40" s="15">
        <f>BG40</f>
        <v>0</v>
      </c>
      <c r="BJ40" s="16"/>
      <c r="BK40" s="86">
        <f>BI40</f>
        <v>0</v>
      </c>
      <c r="BL40" s="87"/>
      <c r="BM40" s="16"/>
      <c r="BN40" s="16"/>
      <c r="BO40" s="16"/>
      <c r="BP40" s="16"/>
      <c r="BQ40" s="81"/>
      <c r="BR40" s="70"/>
      <c r="BS40" s="15" t="e">
        <f>BQ42</f>
        <v>#DIV/0!</v>
      </c>
      <c r="BT40" s="16"/>
      <c r="BU40" s="15" t="e">
        <f>BS40</f>
        <v>#DIV/0!</v>
      </c>
      <c r="BV40" s="16"/>
      <c r="BW40" s="86" t="e">
        <f>BU40</f>
        <v>#DIV/0!</v>
      </c>
      <c r="BX40" s="70"/>
      <c r="BY40" s="15" t="e">
        <f>BW40</f>
        <v>#DIV/0!</v>
      </c>
      <c r="BZ40" s="16"/>
      <c r="CA40" s="15" t="e">
        <f>BY40</f>
        <v>#DIV/0!</v>
      </c>
      <c r="CB40" s="16"/>
      <c r="CC40" s="86" t="e">
        <f>CA40</f>
        <v>#DIV/0!</v>
      </c>
      <c r="CD40" s="70"/>
      <c r="CE40" s="15" t="e">
        <f>CC40</f>
        <v>#DIV/0!</v>
      </c>
      <c r="CF40" s="16"/>
      <c r="CG40" s="15" t="e">
        <f>CE40</f>
        <v>#DIV/0!</v>
      </c>
      <c r="CH40" s="16"/>
      <c r="CI40" s="86" t="e">
        <f>CG40</f>
        <v>#DIV/0!</v>
      </c>
      <c r="CJ40" s="70"/>
      <c r="CK40" s="15" t="e">
        <f>CI40</f>
        <v>#DIV/0!</v>
      </c>
      <c r="CL40" s="16"/>
      <c r="CM40" s="15" t="e">
        <f>CK40</f>
        <v>#DIV/0!</v>
      </c>
      <c r="CN40" s="16"/>
      <c r="CO40" s="86" t="e">
        <f>CM40</f>
        <v>#DIV/0!</v>
      </c>
      <c r="CU40" s="80"/>
      <c r="DA40" s="80"/>
      <c r="DG40" s="80"/>
      <c r="DM40" s="80"/>
    </row>
    <row r="41" spans="3:118" x14ac:dyDescent="0.2">
      <c r="C41" s="13" t="s">
        <v>95</v>
      </c>
      <c r="AM41" s="88"/>
      <c r="AN41" s="70"/>
      <c r="AO41" s="12">
        <f>AM41-(AO$5*AO40)</f>
        <v>0</v>
      </c>
      <c r="AQ41" s="12">
        <f>AO41-(AQ$5*AQ40)</f>
        <v>0</v>
      </c>
      <c r="AS41" s="89">
        <f>AQ41-(AS$5*AS40)</f>
        <v>0</v>
      </c>
      <c r="AT41" s="70"/>
      <c r="AU41" s="12">
        <f>AS41-(AU$5*AU40)</f>
        <v>0</v>
      </c>
      <c r="AW41" s="12">
        <f>AU41-(AW$5*AW40)</f>
        <v>0</v>
      </c>
      <c r="AY41" s="89">
        <f>AW41-(AY$5*AY40)</f>
        <v>0</v>
      </c>
      <c r="AZ41" s="70"/>
      <c r="BA41" s="12">
        <f>AY41-(BA$5*BA40)</f>
        <v>0</v>
      </c>
      <c r="BC41" s="12">
        <f>BA41-(BC$5*BC40)</f>
        <v>0</v>
      </c>
      <c r="BE41" s="89">
        <f>BC41-(BE$5*BE40)</f>
        <v>0</v>
      </c>
      <c r="BF41" s="70"/>
      <c r="BG41" s="12">
        <f>BE41-(BG$5*BG40)</f>
        <v>0</v>
      </c>
      <c r="BI41" s="12">
        <f>BG41-(BI$5*BI40)</f>
        <v>0</v>
      </c>
      <c r="BK41" s="89">
        <f>BI41-(BK$5*BK40)</f>
        <v>0</v>
      </c>
      <c r="BL41" s="90"/>
      <c r="BM41" s="14">
        <f>BK41</f>
        <v>0</v>
      </c>
      <c r="BN41" s="14"/>
      <c r="BO41" s="14">
        <f>BM41</f>
        <v>0</v>
      </c>
      <c r="BP41" s="14"/>
      <c r="BQ41" s="91" t="e">
        <f>BO41+BK20</f>
        <v>#DIV/0!</v>
      </c>
      <c r="BR41" s="70"/>
      <c r="BS41" s="12" t="e">
        <f>BQ41-(BS$5*BS40)</f>
        <v>#DIV/0!</v>
      </c>
      <c r="BU41" s="12" t="e">
        <f>BS41-(BU$5*BU40)</f>
        <v>#DIV/0!</v>
      </c>
      <c r="BW41" s="89" t="e">
        <f>BU41-(BW$5*BW40)</f>
        <v>#DIV/0!</v>
      </c>
      <c r="BX41" s="70"/>
      <c r="BY41" s="12" t="e">
        <f>BW41-(BY$5*BY40)</f>
        <v>#DIV/0!</v>
      </c>
      <c r="CA41" s="12" t="e">
        <f>BY41-(CA$5*CA40)</f>
        <v>#DIV/0!</v>
      </c>
      <c r="CC41" s="89" t="e">
        <f>CA41-(CC$5*CC40)</f>
        <v>#DIV/0!</v>
      </c>
      <c r="CD41" s="70"/>
      <c r="CE41" s="12" t="e">
        <f>CC41-(CE$5*CE40)</f>
        <v>#DIV/0!</v>
      </c>
      <c r="CG41" s="12" t="e">
        <f>CE41-(CG$5*CG40)</f>
        <v>#DIV/0!</v>
      </c>
      <c r="CI41" s="89" t="e">
        <f>CG41-(CI$5*CI40)</f>
        <v>#DIV/0!</v>
      </c>
      <c r="CJ41" s="70"/>
      <c r="CK41" s="12" t="e">
        <f>CI41-(CK$5*CK40)</f>
        <v>#DIV/0!</v>
      </c>
      <c r="CM41" s="12" t="e">
        <f>CK41-(CM$5*CM40)</f>
        <v>#DIV/0!</v>
      </c>
      <c r="CO41" s="92" t="e">
        <f>CM41-(CO$5*CO40)</f>
        <v>#DIV/0!</v>
      </c>
      <c r="CU41" s="80"/>
      <c r="DA41" s="80"/>
      <c r="DG41" s="80"/>
      <c r="DM41" s="80"/>
    </row>
    <row r="42" spans="3:118" x14ac:dyDescent="0.2">
      <c r="C42" s="13"/>
      <c r="AM42" s="80"/>
      <c r="AN42" s="70"/>
      <c r="AS42" s="80"/>
      <c r="AT42" s="70"/>
      <c r="AY42" s="80"/>
      <c r="AZ42" s="70"/>
      <c r="BE42" s="80"/>
      <c r="BF42" s="70"/>
      <c r="BK42" s="94"/>
      <c r="BQ42" s="95" t="e">
        <f>(BQ41/SUM(BS$5:CO$5))</f>
        <v>#DIV/0!</v>
      </c>
      <c r="BR42" s="70"/>
      <c r="BW42" s="80"/>
      <c r="BX42" s="70"/>
      <c r="CC42" s="80"/>
      <c r="CD42" s="70"/>
      <c r="CI42" s="80"/>
      <c r="CJ42" s="70"/>
      <c r="CO42" s="80"/>
      <c r="CU42" s="80"/>
      <c r="DA42" s="80"/>
      <c r="DG42" s="80"/>
      <c r="DM42" s="80"/>
    </row>
    <row r="43" spans="3:118" x14ac:dyDescent="0.2">
      <c r="AS43" s="80"/>
      <c r="AT43" s="70"/>
      <c r="AY43" s="80"/>
      <c r="AZ43" s="70"/>
      <c r="BE43" s="80"/>
      <c r="BF43" s="70"/>
      <c r="BK43" s="94"/>
      <c r="BQ43" s="94"/>
      <c r="BR43" s="70"/>
      <c r="BW43" s="80"/>
      <c r="BX43" s="70"/>
      <c r="CC43" s="80"/>
      <c r="CD43" s="70"/>
      <c r="CI43" s="80"/>
      <c r="CJ43" s="70"/>
      <c r="CO43" s="80"/>
      <c r="CU43" s="80"/>
      <c r="DA43" s="80"/>
      <c r="DG43" s="80"/>
      <c r="DM43" s="80"/>
    </row>
    <row r="44" spans="3:118" x14ac:dyDescent="0.2">
      <c r="AS44" s="80"/>
      <c r="AT44" s="70"/>
      <c r="AU44" s="85"/>
      <c r="AW44" s="15">
        <f>AU44</f>
        <v>0</v>
      </c>
      <c r="AX44" s="16"/>
      <c r="AY44" s="86">
        <f>AW44</f>
        <v>0</v>
      </c>
      <c r="AZ44" s="70"/>
      <c r="BA44" s="15">
        <f>AY44</f>
        <v>0</v>
      </c>
      <c r="BB44" s="16"/>
      <c r="BC44" s="15">
        <f>BA44</f>
        <v>0</v>
      </c>
      <c r="BD44" s="16"/>
      <c r="BE44" s="86">
        <f>BC44</f>
        <v>0</v>
      </c>
      <c r="BF44" s="70"/>
      <c r="BG44" s="15">
        <f>BE44</f>
        <v>0</v>
      </c>
      <c r="BH44" s="16"/>
      <c r="BI44" s="15">
        <f>BG44</f>
        <v>0</v>
      </c>
      <c r="BJ44" s="16"/>
      <c r="BK44" s="86">
        <f>BI44</f>
        <v>0</v>
      </c>
      <c r="BL44" s="70"/>
      <c r="BM44" s="15">
        <f>BK44</f>
        <v>0</v>
      </c>
      <c r="BN44" s="16"/>
      <c r="BO44" s="15">
        <f>BM44</f>
        <v>0</v>
      </c>
      <c r="BP44" s="16"/>
      <c r="BQ44" s="86">
        <f>BO44</f>
        <v>0</v>
      </c>
      <c r="BR44" s="87"/>
      <c r="BS44" s="16"/>
      <c r="BT44" s="16"/>
      <c r="BU44" s="16"/>
      <c r="BV44" s="16"/>
      <c r="BW44" s="81"/>
      <c r="BX44" s="70"/>
      <c r="BY44" s="15" t="e">
        <f>BW46</f>
        <v>#DIV/0!</v>
      </c>
      <c r="BZ44" s="16"/>
      <c r="CA44" s="15" t="e">
        <f>BY44</f>
        <v>#DIV/0!</v>
      </c>
      <c r="CB44" s="16"/>
      <c r="CC44" s="86" t="e">
        <f>CA44</f>
        <v>#DIV/0!</v>
      </c>
      <c r="CD44" s="70"/>
      <c r="CE44" s="15" t="e">
        <f>CC44</f>
        <v>#DIV/0!</v>
      </c>
      <c r="CF44" s="16"/>
      <c r="CG44" s="15" t="e">
        <f>CE44</f>
        <v>#DIV/0!</v>
      </c>
      <c r="CH44" s="16"/>
      <c r="CI44" s="86" t="e">
        <f>CG44</f>
        <v>#DIV/0!</v>
      </c>
      <c r="CJ44" s="70"/>
      <c r="CK44" s="15" t="e">
        <f>CI44</f>
        <v>#DIV/0!</v>
      </c>
      <c r="CL44" s="16"/>
      <c r="CM44" s="15" t="e">
        <f>CK44</f>
        <v>#DIV/0!</v>
      </c>
      <c r="CN44" s="16"/>
      <c r="CO44" s="86" t="e">
        <f>CM44</f>
        <v>#DIV/0!</v>
      </c>
      <c r="CP44" s="70"/>
      <c r="CQ44" s="15" t="e">
        <f>CO44</f>
        <v>#DIV/0!</v>
      </c>
      <c r="CR44" s="16"/>
      <c r="CS44" s="15" t="e">
        <f>CQ44</f>
        <v>#DIV/0!</v>
      </c>
      <c r="CT44" s="16"/>
      <c r="CU44" s="86" t="e">
        <f>CS44</f>
        <v>#DIV/0!</v>
      </c>
      <c r="DA44" s="80"/>
      <c r="DG44" s="80"/>
      <c r="DM44" s="80"/>
    </row>
    <row r="45" spans="3:118" x14ac:dyDescent="0.2">
      <c r="C45" s="13" t="s">
        <v>96</v>
      </c>
      <c r="AS45" s="88"/>
      <c r="AT45" s="70"/>
      <c r="AU45" s="12">
        <f>AS45-(AU$5*AU44)</f>
        <v>0</v>
      </c>
      <c r="AW45" s="12">
        <f>AU45-(AW$5*AW44)</f>
        <v>0</v>
      </c>
      <c r="AY45" s="89">
        <f>AW45-(AY$5*AY44)</f>
        <v>0</v>
      </c>
      <c r="AZ45" s="70"/>
      <c r="BA45" s="12">
        <f>AY45-(BA$5*BA44)</f>
        <v>0</v>
      </c>
      <c r="BC45" s="12">
        <f>BA45-(BC$5*BC44)</f>
        <v>0</v>
      </c>
      <c r="BE45" s="89">
        <f>BC45-(BE$5*BE44)</f>
        <v>0</v>
      </c>
      <c r="BF45" s="70"/>
      <c r="BG45" s="12">
        <f>BE45-(BG$5*BG44)</f>
        <v>0</v>
      </c>
      <c r="BI45" s="12">
        <f>BG45-(BI$5*BI44)</f>
        <v>0</v>
      </c>
      <c r="BK45" s="89">
        <f>BI45-(BK$5*BK44)</f>
        <v>0</v>
      </c>
      <c r="BL45" s="70"/>
      <c r="BM45" s="12">
        <f>BK45-(BM$5*BM44)</f>
        <v>0</v>
      </c>
      <c r="BO45" s="12">
        <f>BM45-(BO$5*BO44)</f>
        <v>0</v>
      </c>
      <c r="BQ45" s="89">
        <f>BO45-(BQ$5*BQ44)</f>
        <v>0</v>
      </c>
      <c r="BR45" s="90"/>
      <c r="BS45" s="14">
        <f>BQ45</f>
        <v>0</v>
      </c>
      <c r="BT45" s="14"/>
      <c r="BU45" s="14">
        <f>BS45</f>
        <v>0</v>
      </c>
      <c r="BV45" s="14"/>
      <c r="BW45" s="91" t="e">
        <f>BU45+BQ24</f>
        <v>#DIV/0!</v>
      </c>
      <c r="BX45" s="70"/>
      <c r="BY45" s="12" t="e">
        <f>BW45-(BY$5*BY44)</f>
        <v>#DIV/0!</v>
      </c>
      <c r="CA45" s="12" t="e">
        <f>BY45-(CA$5*CA44)</f>
        <v>#DIV/0!</v>
      </c>
      <c r="CC45" s="89" t="e">
        <f>CA45-(CC$5*CC44)</f>
        <v>#DIV/0!</v>
      </c>
      <c r="CD45" s="70"/>
      <c r="CE45" s="12" t="e">
        <f>CC45-(CE$5*CE44)</f>
        <v>#DIV/0!</v>
      </c>
      <c r="CG45" s="12" t="e">
        <f>CE45-(CG$5*CG44)</f>
        <v>#DIV/0!</v>
      </c>
      <c r="CI45" s="89" t="e">
        <f>CG45-(CI$5*CI44)</f>
        <v>#DIV/0!</v>
      </c>
      <c r="CJ45" s="70"/>
      <c r="CK45" s="12" t="e">
        <f>CI45-(CK$5*CK44)</f>
        <v>#DIV/0!</v>
      </c>
      <c r="CM45" s="12" t="e">
        <f>CK45-(CM$5*CM44)</f>
        <v>#DIV/0!</v>
      </c>
      <c r="CO45" s="89" t="e">
        <f>CM45-(CO$5*CO44)</f>
        <v>#DIV/0!</v>
      </c>
      <c r="CP45" s="70"/>
      <c r="CQ45" s="12" t="e">
        <f>CO45-(CQ$5*CQ44)</f>
        <v>#DIV/0!</v>
      </c>
      <c r="CS45" s="12" t="e">
        <f>CQ45-(CS$5*CS44)</f>
        <v>#DIV/0!</v>
      </c>
      <c r="CU45" s="92" t="e">
        <f>CS45-(CU$5*CU44)</f>
        <v>#DIV/0!</v>
      </c>
      <c r="DA45" s="80"/>
      <c r="DG45" s="80"/>
      <c r="DM45" s="80"/>
    </row>
    <row r="46" spans="3:118" x14ac:dyDescent="0.2">
      <c r="C46" s="13"/>
      <c r="AS46" s="80"/>
      <c r="AT46" s="70"/>
      <c r="AY46" s="80"/>
      <c r="AZ46" s="70"/>
      <c r="BE46" s="80"/>
      <c r="BF46" s="70"/>
      <c r="BK46" s="80"/>
      <c r="BL46" s="70"/>
      <c r="BQ46" s="94"/>
      <c r="BW46" s="95" t="e">
        <f>(BW45/SUM(BY$5:CU$5))</f>
        <v>#DIV/0!</v>
      </c>
      <c r="BX46" s="70"/>
      <c r="CC46" s="80"/>
      <c r="CD46" s="70"/>
      <c r="CI46" s="80"/>
      <c r="CJ46" s="70"/>
      <c r="CO46" s="80"/>
      <c r="CP46" s="70"/>
      <c r="CU46" s="80"/>
      <c r="DA46" s="80"/>
      <c r="DG46" s="80"/>
      <c r="DM46" s="80"/>
    </row>
    <row r="47" spans="3:118" x14ac:dyDescent="0.2">
      <c r="AY47" s="80"/>
      <c r="AZ47" s="70"/>
      <c r="BE47" s="80"/>
      <c r="BF47" s="70"/>
      <c r="BK47" s="80"/>
      <c r="BL47" s="70"/>
      <c r="BQ47" s="94"/>
      <c r="BW47" s="94"/>
      <c r="BX47" s="70"/>
      <c r="CC47" s="80"/>
      <c r="CD47" s="70"/>
      <c r="CI47" s="80"/>
      <c r="CJ47" s="70"/>
      <c r="CO47" s="80"/>
      <c r="CP47" s="70"/>
      <c r="CU47" s="80"/>
      <c r="DA47" s="80"/>
      <c r="DG47" s="80"/>
      <c r="DM47" s="80"/>
    </row>
    <row r="48" spans="3:118" x14ac:dyDescent="0.2">
      <c r="AX48" s="16"/>
      <c r="AY48" s="80"/>
      <c r="AZ48" s="70"/>
      <c r="BA48" s="85"/>
      <c r="BC48" s="15">
        <f>BA48</f>
        <v>0</v>
      </c>
      <c r="BD48" s="16"/>
      <c r="BE48" s="86">
        <f>BC48</f>
        <v>0</v>
      </c>
      <c r="BF48" s="70"/>
      <c r="BG48" s="15">
        <f>BE48</f>
        <v>0</v>
      </c>
      <c r="BH48" s="16"/>
      <c r="BI48" s="15">
        <f>BG48</f>
        <v>0</v>
      </c>
      <c r="BJ48" s="16"/>
      <c r="BK48" s="86">
        <f>BI48</f>
        <v>0</v>
      </c>
      <c r="BL48" s="70"/>
      <c r="BM48" s="15">
        <f>BK48</f>
        <v>0</v>
      </c>
      <c r="BN48" s="16"/>
      <c r="BO48" s="15">
        <f>BM48</f>
        <v>0</v>
      </c>
      <c r="BP48" s="16"/>
      <c r="BQ48" s="86">
        <f>BO48</f>
        <v>0</v>
      </c>
      <c r="BR48" s="70"/>
      <c r="BS48" s="15">
        <f>BQ48</f>
        <v>0</v>
      </c>
      <c r="BT48" s="16"/>
      <c r="BU48" s="15">
        <f>BS48</f>
        <v>0</v>
      </c>
      <c r="BV48" s="16"/>
      <c r="BW48" s="86">
        <f>BU48</f>
        <v>0</v>
      </c>
      <c r="BX48" s="87"/>
      <c r="BY48" s="16"/>
      <c r="BZ48" s="16"/>
      <c r="CA48" s="16"/>
      <c r="CB48" s="16"/>
      <c r="CC48" s="81"/>
      <c r="CD48" s="70"/>
      <c r="CE48" s="15" t="e">
        <f>CC50</f>
        <v>#DIV/0!</v>
      </c>
      <c r="CF48" s="16"/>
      <c r="CG48" s="15" t="e">
        <f>CE48</f>
        <v>#DIV/0!</v>
      </c>
      <c r="CH48" s="16"/>
      <c r="CI48" s="86" t="e">
        <f>CG48</f>
        <v>#DIV/0!</v>
      </c>
      <c r="CJ48" s="70"/>
      <c r="CK48" s="15" t="e">
        <f>CI48</f>
        <v>#DIV/0!</v>
      </c>
      <c r="CL48" s="16"/>
      <c r="CM48" s="15" t="e">
        <f>CK48</f>
        <v>#DIV/0!</v>
      </c>
      <c r="CN48" s="16"/>
      <c r="CO48" s="86" t="e">
        <f>CM48</f>
        <v>#DIV/0!</v>
      </c>
      <c r="CP48" s="70"/>
      <c r="CQ48" s="15" t="e">
        <f>CO48</f>
        <v>#DIV/0!</v>
      </c>
      <c r="CR48" s="16"/>
      <c r="CS48" s="15" t="e">
        <f>CQ48</f>
        <v>#DIV/0!</v>
      </c>
      <c r="CT48" s="16"/>
      <c r="CU48" s="86" t="e">
        <f>CS48</f>
        <v>#DIV/0!</v>
      </c>
      <c r="CV48" s="70"/>
      <c r="CW48" s="15" t="e">
        <f>CU48</f>
        <v>#DIV/0!</v>
      </c>
      <c r="CX48" s="16"/>
      <c r="CY48" s="15" t="e">
        <f>CW48</f>
        <v>#DIV/0!</v>
      </c>
      <c r="CZ48" s="16"/>
      <c r="DA48" s="86" t="e">
        <f>CY48</f>
        <v>#DIV/0!</v>
      </c>
      <c r="DG48" s="80"/>
      <c r="DM48" s="80"/>
    </row>
    <row r="49" spans="3:117" x14ac:dyDescent="0.2">
      <c r="C49" s="13" t="s">
        <v>97</v>
      </c>
      <c r="AY49" s="88"/>
      <c r="AZ49" s="70"/>
      <c r="BA49" s="12">
        <f>AY49-(BA$5*BA48)</f>
        <v>0</v>
      </c>
      <c r="BC49" s="12">
        <f>BA49-(BC$5*BC48)</f>
        <v>0</v>
      </c>
      <c r="BE49" s="89">
        <f>BC49-(BE$5*BE48)</f>
        <v>0</v>
      </c>
      <c r="BF49" s="70"/>
      <c r="BG49" s="12">
        <f>BE49-(BG$5*BG48)</f>
        <v>0</v>
      </c>
      <c r="BI49" s="12">
        <f>BG49-(BI$5*BI48)</f>
        <v>0</v>
      </c>
      <c r="BK49" s="89">
        <f>BI49-(BK$5*BK48)</f>
        <v>0</v>
      </c>
      <c r="BL49" s="70"/>
      <c r="BM49" s="12">
        <f>BK49-(BM$5*BM48)</f>
        <v>0</v>
      </c>
      <c r="BO49" s="12">
        <f>BM49-(BO$5*BO48)</f>
        <v>0</v>
      </c>
      <c r="BQ49" s="89">
        <f>BO49-(BQ$5*BQ48)</f>
        <v>0</v>
      </c>
      <c r="BR49" s="70"/>
      <c r="BS49" s="12">
        <f>BQ49-(BS$5*BS48)</f>
        <v>0</v>
      </c>
      <c r="BU49" s="12">
        <f>BS49-(BU$5*BU48)</f>
        <v>0</v>
      </c>
      <c r="BW49" s="89">
        <f>BU49-(BW$5*BW48)</f>
        <v>0</v>
      </c>
      <c r="BX49" s="90"/>
      <c r="BY49" s="14">
        <f>BW49</f>
        <v>0</v>
      </c>
      <c r="BZ49" s="14"/>
      <c r="CA49" s="14">
        <f>BY49</f>
        <v>0</v>
      </c>
      <c r="CB49" s="14"/>
      <c r="CC49" s="91" t="e">
        <f>CA49+BW28</f>
        <v>#DIV/0!</v>
      </c>
      <c r="CD49" s="70"/>
      <c r="CE49" s="12" t="e">
        <f>CC49-(CE$5*CE48)</f>
        <v>#DIV/0!</v>
      </c>
      <c r="CG49" s="12" t="e">
        <f>CE49-(CG$5*CG48)</f>
        <v>#DIV/0!</v>
      </c>
      <c r="CI49" s="89" t="e">
        <f>CG49-(CI$5*CI48)</f>
        <v>#DIV/0!</v>
      </c>
      <c r="CJ49" s="70"/>
      <c r="CK49" s="12" t="e">
        <f>CI49-(CK$5*CK48)</f>
        <v>#DIV/0!</v>
      </c>
      <c r="CM49" s="12" t="e">
        <f>CK49-(CM$5*CM48)</f>
        <v>#DIV/0!</v>
      </c>
      <c r="CO49" s="89" t="e">
        <f>CM49-(CO$5*CO48)</f>
        <v>#DIV/0!</v>
      </c>
      <c r="CP49" s="70"/>
      <c r="CQ49" s="12" t="e">
        <f>CO49-(CQ$5*CQ48)</f>
        <v>#DIV/0!</v>
      </c>
      <c r="CS49" s="12" t="e">
        <f>CQ49-(CS$5*CS48)</f>
        <v>#DIV/0!</v>
      </c>
      <c r="CU49" s="89" t="e">
        <f>CS49-(CU$5*CU48)</f>
        <v>#DIV/0!</v>
      </c>
      <c r="CV49" s="70"/>
      <c r="CW49" s="12" t="e">
        <f>CU49-(CW$5*CW48)</f>
        <v>#DIV/0!</v>
      </c>
      <c r="CY49" s="12" t="e">
        <f>CW49-(CY$5*CY48)</f>
        <v>#DIV/0!</v>
      </c>
      <c r="DA49" s="92" t="e">
        <f>CY49-(DA$5*DA48)</f>
        <v>#DIV/0!</v>
      </c>
      <c r="DG49" s="80"/>
      <c r="DM49" s="80"/>
    </row>
    <row r="50" spans="3:117" x14ac:dyDescent="0.2">
      <c r="AY50" s="80"/>
      <c r="AZ50" s="70"/>
      <c r="BE50" s="80"/>
      <c r="BF50" s="70"/>
      <c r="BK50" s="80"/>
      <c r="BL50" s="70"/>
      <c r="BQ50" s="80"/>
      <c r="BR50" s="70"/>
      <c r="BW50" s="94"/>
      <c r="CC50" s="95" t="e">
        <f>(CC49/SUM(CE$5:DA$5))</f>
        <v>#DIV/0!</v>
      </c>
      <c r="CD50" s="70"/>
      <c r="CI50" s="80"/>
      <c r="CJ50" s="70"/>
      <c r="CO50" s="80"/>
      <c r="CP50" s="70"/>
      <c r="CU50" s="80"/>
      <c r="CV50" s="70"/>
      <c r="DA50" s="80"/>
      <c r="DG50" s="80"/>
      <c r="DM50" s="80"/>
    </row>
    <row r="51" spans="3:117" x14ac:dyDescent="0.2">
      <c r="BE51" s="80"/>
      <c r="BF51" s="70"/>
      <c r="BK51" s="80"/>
      <c r="BL51" s="70"/>
      <c r="BQ51" s="80"/>
      <c r="BR51" s="70"/>
      <c r="BW51" s="94"/>
      <c r="CC51" s="94"/>
      <c r="CD51" s="70"/>
      <c r="CI51" s="80"/>
      <c r="CJ51" s="70"/>
      <c r="CO51" s="80"/>
      <c r="CP51" s="70"/>
      <c r="CU51" s="80"/>
      <c r="CV51" s="70"/>
      <c r="DA51" s="80"/>
      <c r="DG51" s="80"/>
      <c r="DM51" s="80"/>
    </row>
    <row r="52" spans="3:117" x14ac:dyDescent="0.2">
      <c r="BE52" s="80"/>
      <c r="BF52" s="70"/>
      <c r="BG52" s="85"/>
      <c r="BI52" s="15">
        <f>BG52</f>
        <v>0</v>
      </c>
      <c r="BJ52" s="16"/>
      <c r="BK52" s="86">
        <f>BI52</f>
        <v>0</v>
      </c>
      <c r="BL52" s="70"/>
      <c r="BM52" s="15">
        <f>BK52</f>
        <v>0</v>
      </c>
      <c r="BN52" s="16"/>
      <c r="BO52" s="15">
        <f>BM52</f>
        <v>0</v>
      </c>
      <c r="BP52" s="16"/>
      <c r="BQ52" s="86">
        <f>BO52</f>
        <v>0</v>
      </c>
      <c r="BR52" s="70"/>
      <c r="BS52" s="15">
        <f>BQ52</f>
        <v>0</v>
      </c>
      <c r="BT52" s="16"/>
      <c r="BU52" s="15">
        <f>BS52</f>
        <v>0</v>
      </c>
      <c r="BV52" s="16"/>
      <c r="BW52" s="86">
        <f>BU52</f>
        <v>0</v>
      </c>
      <c r="BX52" s="70"/>
      <c r="BY52" s="15">
        <f>BW52</f>
        <v>0</v>
      </c>
      <c r="BZ52" s="16"/>
      <c r="CA52" s="15">
        <f>BY52</f>
        <v>0</v>
      </c>
      <c r="CB52" s="16"/>
      <c r="CC52" s="86">
        <f>CA52</f>
        <v>0</v>
      </c>
      <c r="CD52" s="87"/>
      <c r="CE52" s="16"/>
      <c r="CF52" s="16"/>
      <c r="CG52" s="16"/>
      <c r="CH52" s="16"/>
      <c r="CI52" s="81"/>
      <c r="CJ52" s="70"/>
      <c r="CK52" s="15" t="e">
        <f>CI54</f>
        <v>#DIV/0!</v>
      </c>
      <c r="CL52" s="16"/>
      <c r="CM52" s="15" t="e">
        <f>CK52</f>
        <v>#DIV/0!</v>
      </c>
      <c r="CN52" s="16"/>
      <c r="CO52" s="86" t="e">
        <f>CM52</f>
        <v>#DIV/0!</v>
      </c>
      <c r="CP52" s="70"/>
      <c r="CQ52" s="15" t="e">
        <f>CO52</f>
        <v>#DIV/0!</v>
      </c>
      <c r="CR52" s="16"/>
      <c r="CS52" s="15" t="e">
        <f>CQ52</f>
        <v>#DIV/0!</v>
      </c>
      <c r="CT52" s="16"/>
      <c r="CU52" s="86" t="e">
        <f>CS52</f>
        <v>#DIV/0!</v>
      </c>
      <c r="CV52" s="70"/>
      <c r="CW52" s="15" t="e">
        <f>CU52</f>
        <v>#DIV/0!</v>
      </c>
      <c r="CX52" s="16"/>
      <c r="CY52" s="15" t="e">
        <f>CW52</f>
        <v>#DIV/0!</v>
      </c>
      <c r="CZ52" s="16"/>
      <c r="DA52" s="86" t="e">
        <f>CY52</f>
        <v>#DIV/0!</v>
      </c>
      <c r="DB52" s="70"/>
      <c r="DC52" s="15" t="e">
        <f>DA52</f>
        <v>#DIV/0!</v>
      </c>
      <c r="DD52" s="16"/>
      <c r="DE52" s="15" t="e">
        <f>DC52</f>
        <v>#DIV/0!</v>
      </c>
      <c r="DF52" s="16"/>
      <c r="DG52" s="86" t="e">
        <f>DE52</f>
        <v>#DIV/0!</v>
      </c>
      <c r="DM52" s="80"/>
    </row>
    <row r="53" spans="3:117" x14ac:dyDescent="0.2">
      <c r="C53" s="17" t="s">
        <v>98</v>
      </c>
      <c r="BE53" s="88"/>
      <c r="BF53" s="70"/>
      <c r="BG53" s="12">
        <f>BE53-(BG$5*BG52)</f>
        <v>0</v>
      </c>
      <c r="BI53" s="12">
        <f>BG53-(BI$5*BI52)</f>
        <v>0</v>
      </c>
      <c r="BK53" s="89">
        <f>BI53-(BK$5*BK52)</f>
        <v>0</v>
      </c>
      <c r="BL53" s="70"/>
      <c r="BM53" s="12">
        <f>BK53-(BM$5*BM52)</f>
        <v>0</v>
      </c>
      <c r="BO53" s="12">
        <f>BM53-(BO$5*BO52)</f>
        <v>0</v>
      </c>
      <c r="BQ53" s="89">
        <f>BO53-(BQ$5*BQ52)</f>
        <v>0</v>
      </c>
      <c r="BR53" s="70"/>
      <c r="BS53" s="12">
        <f>BQ53-(BS$5*BS52)</f>
        <v>0</v>
      </c>
      <c r="BU53" s="12">
        <f>BS53-(BU$5*BU52)</f>
        <v>0</v>
      </c>
      <c r="BW53" s="89">
        <f>BU53-(BW$5*BW52)</f>
        <v>0</v>
      </c>
      <c r="BX53" s="70"/>
      <c r="BY53" s="12">
        <f>BW53-(BY$5*BY52)</f>
        <v>0</v>
      </c>
      <c r="CA53" s="12">
        <f>BY53-(CA$5*CA52)</f>
        <v>0</v>
      </c>
      <c r="CC53" s="89">
        <f>CA53-(CC$5*CC52)</f>
        <v>0</v>
      </c>
      <c r="CD53" s="90"/>
      <c r="CE53" s="14">
        <f>CC53</f>
        <v>0</v>
      </c>
      <c r="CF53" s="14"/>
      <c r="CG53" s="14">
        <f>CE53</f>
        <v>0</v>
      </c>
      <c r="CH53" s="14"/>
      <c r="CI53" s="91" t="e">
        <f>CG53+CC32</f>
        <v>#DIV/0!</v>
      </c>
      <c r="CJ53" s="70"/>
      <c r="CK53" s="12" t="e">
        <f>CI53-(CK$5*CK52)</f>
        <v>#DIV/0!</v>
      </c>
      <c r="CM53" s="12" t="e">
        <f>CK53-(CM$5*CM52)</f>
        <v>#DIV/0!</v>
      </c>
      <c r="CO53" s="89" t="e">
        <f>CM53-(CO$5*CO52)</f>
        <v>#DIV/0!</v>
      </c>
      <c r="CP53" s="70"/>
      <c r="CQ53" s="12" t="e">
        <f>CO53-(CQ$5*CQ52)</f>
        <v>#DIV/0!</v>
      </c>
      <c r="CS53" s="12" t="e">
        <f>CQ53-(CS$5*CS52)</f>
        <v>#DIV/0!</v>
      </c>
      <c r="CU53" s="89" t="e">
        <f>CS53-(CU$5*CU52)</f>
        <v>#DIV/0!</v>
      </c>
      <c r="CV53" s="70"/>
      <c r="CW53" s="12" t="e">
        <f>CU53-(CW$5*CW52)</f>
        <v>#DIV/0!</v>
      </c>
      <c r="CY53" s="12" t="e">
        <f>CW53-(CY$5*CY52)</f>
        <v>#DIV/0!</v>
      </c>
      <c r="DA53" s="89" t="e">
        <f>CY53-(DA$5*DA52)</f>
        <v>#DIV/0!</v>
      </c>
      <c r="DB53" s="70"/>
      <c r="DC53" s="12" t="e">
        <f>DA53-(DC$5*DC52)</f>
        <v>#DIV/0!</v>
      </c>
      <c r="DE53" s="12" t="e">
        <f>DC53-(DE$5*DE52)</f>
        <v>#DIV/0!</v>
      </c>
      <c r="DG53" s="92" t="e">
        <f>DE53-(DG$5*DG52)</f>
        <v>#DIV/0!</v>
      </c>
      <c r="DM53" s="80"/>
    </row>
    <row r="54" spans="3:117" x14ac:dyDescent="0.2">
      <c r="BE54" s="80"/>
      <c r="BF54" s="70"/>
      <c r="BK54" s="80"/>
      <c r="BL54" s="70"/>
      <c r="BQ54" s="80"/>
      <c r="BR54" s="70"/>
      <c r="BW54" s="80"/>
      <c r="BX54" s="70"/>
      <c r="CC54" s="94"/>
      <c r="CI54" s="95" t="e">
        <f>(CI53/SUM(CK$5:DG$5))</f>
        <v>#DIV/0!</v>
      </c>
      <c r="CJ54" s="70"/>
      <c r="CO54" s="80"/>
      <c r="CP54" s="70"/>
      <c r="CU54" s="80"/>
      <c r="CV54" s="70"/>
      <c r="DA54" s="80"/>
      <c r="DB54" s="70"/>
      <c r="DG54" s="80"/>
      <c r="DM54" s="80"/>
    </row>
  </sheetData>
  <pageMargins left="0.5" right="0.5" top="1" bottom="1" header="0.5" footer="0.5"/>
  <pageSetup scale="47" fitToWidth="2" orientation="landscape" r:id="rId1"/>
  <headerFooter>
    <oddHeader>&amp;C&amp;"Arial,Bold"Schedule V&amp;"Arial,Regular"
Balance Adjustment&amp;R&amp;"Arial,Bold"Navitas KY NG, LLC</oddHeader>
    <oddFooter>&amp;C&amp;A&amp;R&amp;D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F1D19-7C61-4F38-B858-78711D1C95C2}">
  <sheetPr>
    <pageSetUpPr fitToPage="1"/>
  </sheetPr>
  <dimension ref="A1:DT59"/>
  <sheetViews>
    <sheetView tabSelected="1" zoomScale="75" zoomScaleNormal="75" workbookViewId="0">
      <pane xSplit="4" ySplit="19" topLeftCell="O20" activePane="bottomRight" state="frozen"/>
      <selection pane="topRight" activeCell="E1" sqref="E1"/>
      <selection pane="bottomLeft" activeCell="A20" sqref="A20"/>
      <selection pane="bottomRight" activeCell="AS17" sqref="AS17"/>
    </sheetView>
  </sheetViews>
  <sheetFormatPr defaultRowHeight="12.75" x14ac:dyDescent="0.2"/>
  <cols>
    <col min="1" max="2" width="1.7109375" customWidth="1"/>
    <col min="3" max="3" width="20.7109375" customWidth="1"/>
    <col min="4" max="6" width="1.7109375" customWidth="1"/>
    <col min="7" max="7" width="11.7109375" customWidth="1"/>
    <col min="8" max="8" width="1.28515625" customWidth="1"/>
    <col min="9" max="9" width="11.7109375" customWidth="1"/>
    <col min="10" max="10" width="1.28515625" customWidth="1"/>
    <col min="11" max="11" width="11.7109375" customWidth="1"/>
    <col min="12" max="12" width="1.28515625" customWidth="1"/>
    <col min="13" max="13" width="11.7109375" customWidth="1"/>
    <col min="14" max="14" width="1.28515625" customWidth="1"/>
    <col min="15" max="15" width="11.7109375" customWidth="1"/>
    <col min="16" max="16" width="1.28515625" customWidth="1"/>
    <col min="17" max="17" width="11.7109375" customWidth="1"/>
    <col min="18" max="18" width="1.28515625" customWidth="1"/>
    <col min="19" max="19" width="11.7109375" customWidth="1"/>
    <col min="20" max="20" width="1.28515625" customWidth="1"/>
    <col min="21" max="21" width="11.7109375" customWidth="1"/>
    <col min="22" max="22" width="1.28515625" customWidth="1"/>
    <col min="23" max="23" width="11.7109375" customWidth="1"/>
    <col min="24" max="24" width="1.28515625" customWidth="1"/>
    <col min="25" max="25" width="11.7109375" customWidth="1"/>
    <col min="26" max="26" width="1.28515625" customWidth="1"/>
    <col min="27" max="27" width="11.7109375" customWidth="1"/>
    <col min="28" max="28" width="1.28515625" customWidth="1"/>
    <col min="29" max="29" width="11.7109375" customWidth="1"/>
    <col min="30" max="30" width="1.28515625" customWidth="1"/>
    <col min="31" max="31" width="11.7109375" customWidth="1"/>
    <col min="32" max="32" width="1.28515625" customWidth="1"/>
    <col min="33" max="33" width="11.7109375" customWidth="1"/>
    <col min="34" max="34" width="1.28515625" customWidth="1"/>
    <col min="35" max="35" width="11.7109375" customWidth="1"/>
    <col min="36" max="36" width="1.28515625" customWidth="1"/>
    <col min="37" max="37" width="14" customWidth="1"/>
    <col min="38" max="38" width="1.28515625" customWidth="1"/>
    <col min="39" max="39" width="11.7109375" customWidth="1"/>
    <col min="40" max="40" width="1.28515625" customWidth="1"/>
    <col min="41" max="41" width="11.7109375" customWidth="1"/>
    <col min="42" max="42" width="1.28515625" customWidth="1"/>
    <col min="43" max="43" width="11.7109375" customWidth="1"/>
    <col min="44" max="44" width="1.28515625" customWidth="1"/>
    <col min="45" max="45" width="13.85546875" customWidth="1"/>
    <col min="46" max="46" width="1.28515625" customWidth="1"/>
    <col min="47" max="47" width="15" customWidth="1"/>
    <col min="48" max="48" width="1.28515625" customWidth="1"/>
    <col min="49" max="49" width="13.7109375" customWidth="1"/>
    <col min="50" max="50" width="1.28515625" customWidth="1"/>
    <col min="51" max="51" width="15.140625" customWidth="1"/>
    <col min="52" max="52" width="1.28515625" customWidth="1"/>
    <col min="53" max="53" width="13.5703125" customWidth="1"/>
    <col min="54" max="54" width="1.28515625" customWidth="1"/>
    <col min="55" max="55" width="14.5703125" customWidth="1"/>
    <col min="56" max="56" width="1.28515625" customWidth="1"/>
    <col min="57" max="57" width="11.7109375" customWidth="1"/>
    <col min="58" max="58" width="1.28515625" customWidth="1"/>
    <col min="59" max="59" width="11.7109375" customWidth="1"/>
    <col min="60" max="60" width="1.28515625" customWidth="1"/>
    <col min="61" max="61" width="11.7109375" customWidth="1"/>
    <col min="62" max="62" width="1.28515625" customWidth="1"/>
    <col min="63" max="63" width="11.7109375" customWidth="1"/>
    <col min="64" max="64" width="1.28515625" customWidth="1"/>
    <col min="65" max="65" width="11.7109375" customWidth="1"/>
    <col min="66" max="66" width="1.28515625" customWidth="1"/>
    <col min="67" max="67" width="11.7109375" customWidth="1"/>
    <col min="68" max="68" width="1.28515625" customWidth="1"/>
    <col min="69" max="69" width="11.7109375" customWidth="1"/>
    <col min="70" max="70" width="1.28515625" customWidth="1"/>
    <col min="71" max="71" width="11.7109375" customWidth="1"/>
    <col min="72" max="72" width="1.28515625" customWidth="1"/>
    <col min="73" max="73" width="11.7109375" customWidth="1"/>
    <col min="74" max="74" width="1.28515625" customWidth="1"/>
    <col min="75" max="75" width="11.7109375" customWidth="1"/>
    <col min="76" max="76" width="1.28515625" customWidth="1"/>
    <col min="77" max="77" width="11.7109375" customWidth="1"/>
    <col min="78" max="78" width="1.28515625" customWidth="1"/>
    <col min="79" max="79" width="11.7109375" customWidth="1"/>
    <col min="80" max="80" width="1.28515625" customWidth="1"/>
    <col min="81" max="81" width="11.7109375" customWidth="1"/>
    <col min="82" max="82" width="1.28515625" customWidth="1"/>
    <col min="83" max="83" width="11.7109375" customWidth="1"/>
    <col min="84" max="84" width="1.28515625" customWidth="1"/>
    <col min="85" max="85" width="11.7109375" customWidth="1"/>
    <col min="86" max="86" width="1.28515625" customWidth="1"/>
    <col min="87" max="87" width="11.7109375" customWidth="1"/>
    <col min="88" max="88" width="1.28515625" customWidth="1"/>
    <col min="89" max="89" width="11.7109375" customWidth="1"/>
    <col min="90" max="90" width="1.28515625" customWidth="1"/>
    <col min="91" max="91" width="11.7109375" customWidth="1"/>
    <col min="92" max="92" width="1.28515625" customWidth="1"/>
    <col min="93" max="93" width="11.7109375" customWidth="1"/>
    <col min="94" max="94" width="1.28515625" customWidth="1"/>
    <col min="95" max="95" width="11.7109375" customWidth="1"/>
    <col min="96" max="96" width="1.28515625" customWidth="1"/>
    <col min="97" max="97" width="11.7109375" customWidth="1"/>
    <col min="98" max="98" width="1.28515625" customWidth="1"/>
    <col min="99" max="99" width="11.7109375" customWidth="1"/>
    <col min="100" max="100" width="1.28515625" customWidth="1"/>
    <col min="101" max="101" width="11.7109375" customWidth="1"/>
    <col min="102" max="102" width="1.28515625" customWidth="1"/>
    <col min="103" max="103" width="12.28515625" bestFit="1" customWidth="1"/>
    <col min="104" max="104" width="1.28515625" customWidth="1"/>
    <col min="105" max="105" width="11.7109375" customWidth="1"/>
    <col min="106" max="106" width="1.28515625" customWidth="1"/>
    <col min="107" max="107" width="11.7109375" customWidth="1"/>
    <col min="108" max="108" width="1.28515625" customWidth="1"/>
    <col min="109" max="109" width="12.28515625" bestFit="1" customWidth="1"/>
    <col min="110" max="110" width="1.28515625" customWidth="1"/>
    <col min="111" max="111" width="12.28515625" bestFit="1" customWidth="1"/>
    <col min="112" max="112" width="1.28515625" customWidth="1"/>
    <col min="113" max="113" width="11.7109375" customWidth="1"/>
    <col min="114" max="114" width="1.28515625" customWidth="1"/>
    <col min="115" max="115" width="11.7109375" customWidth="1"/>
    <col min="116" max="116" width="1.28515625" customWidth="1"/>
    <col min="117" max="117" width="11.7109375" customWidth="1"/>
    <col min="118" max="118" width="1.28515625" customWidth="1"/>
    <col min="119" max="119" width="11.7109375" customWidth="1"/>
    <col min="120" max="120" width="1.28515625" customWidth="1"/>
    <col min="121" max="121" width="11.7109375" customWidth="1"/>
    <col min="122" max="122" width="1.28515625" customWidth="1"/>
  </cols>
  <sheetData>
    <row r="1" spans="1:124" x14ac:dyDescent="0.2">
      <c r="G1" s="14"/>
      <c r="I1" s="14"/>
      <c r="K1" s="14"/>
      <c r="M1" s="14"/>
      <c r="O1" s="199">
        <f>O22</f>
        <v>19603.639553852514</v>
      </c>
      <c r="P1" s="199"/>
      <c r="Q1" s="199">
        <f>Q22</f>
        <v>18053.193953852515</v>
      </c>
      <c r="R1" s="199"/>
      <c r="S1" s="199">
        <f>S22</f>
        <v>17080.540553852516</v>
      </c>
      <c r="U1" s="199">
        <f>U22+U26</f>
        <v>108250.25848254043</v>
      </c>
      <c r="W1" s="199">
        <f>W22+W26</f>
        <v>106205.71864254044</v>
      </c>
      <c r="Y1" s="199">
        <f>Y22+Y26</f>
        <v>103611.80862254044</v>
      </c>
      <c r="AA1" s="199">
        <f>AA22+AA26+AA30</f>
        <v>159925.85801052063</v>
      </c>
      <c r="AC1" s="199">
        <f>AC22+AC26+AC30</f>
        <v>157022.58638052063</v>
      </c>
      <c r="AE1" s="199">
        <f>AE22+AE26+AE30</f>
        <v>150225.77035052062</v>
      </c>
      <c r="AG1" s="199">
        <f>AG22+AG26+AG30+AG34</f>
        <v>188273.76591585705</v>
      </c>
      <c r="AI1" s="199">
        <f>AI22+AI26+AI30+AI34</f>
        <v>166668.85150585708</v>
      </c>
      <c r="AK1" s="199">
        <f>AK22+AK26+AK30+AK34</f>
        <v>147890.50109585706</v>
      </c>
      <c r="AM1" s="199">
        <f>AM22+AM26+AM30+AM34+AM38</f>
        <v>150993.95772835595</v>
      </c>
      <c r="AO1" s="199">
        <f>AO22+AO26+AO30+AO34+AO38</f>
        <v>123524.59705435597</v>
      </c>
      <c r="AQ1" s="199">
        <f>AQ22+AQ26+AQ30+AQ34+AQ38</f>
        <v>103267.99659235596</v>
      </c>
      <c r="AS1" s="199">
        <f>AS22+AS26+AS30+AS34+AS38+AS42</f>
        <v>-39114.869124185934</v>
      </c>
      <c r="AU1" s="14"/>
      <c r="AW1" s="14"/>
      <c r="AY1" s="14"/>
      <c r="BA1" s="14"/>
      <c r="BC1" s="14"/>
      <c r="BE1" s="14"/>
      <c r="BG1" s="14"/>
      <c r="BI1" s="14"/>
      <c r="BK1" s="14"/>
      <c r="BM1" s="14"/>
      <c r="BO1" s="14"/>
      <c r="BQ1" s="14"/>
      <c r="BS1" s="14"/>
      <c r="BU1" s="14"/>
      <c r="BW1" s="14"/>
      <c r="BY1" s="14"/>
      <c r="CA1" s="14"/>
      <c r="CC1" s="14"/>
      <c r="CE1" s="14"/>
      <c r="CG1" s="14"/>
      <c r="CI1" s="14"/>
      <c r="CK1" s="14"/>
      <c r="CM1" s="14"/>
      <c r="CO1" s="14"/>
      <c r="CQ1" s="14"/>
      <c r="CS1" s="14"/>
      <c r="CU1" s="14"/>
      <c r="CW1" s="14"/>
      <c r="CY1" s="14"/>
      <c r="DA1" s="14"/>
      <c r="DC1" s="14"/>
      <c r="DE1" s="14"/>
      <c r="DG1" s="14"/>
      <c r="DI1" s="14"/>
      <c r="DK1" s="14"/>
      <c r="DM1" s="14"/>
      <c r="DO1" s="14"/>
      <c r="DQ1" s="14"/>
    </row>
    <row r="2" spans="1:124" x14ac:dyDescent="0.2">
      <c r="B2" s="68" t="s">
        <v>77</v>
      </c>
      <c r="C2" s="1" t="s">
        <v>78</v>
      </c>
      <c r="CG2" s="14"/>
      <c r="CK2" s="45"/>
    </row>
    <row r="3" spans="1:124" x14ac:dyDescent="0.2">
      <c r="B3" s="68" t="s">
        <v>79</v>
      </c>
      <c r="C3" s="1" t="s">
        <v>80</v>
      </c>
      <c r="AK3" s="189" t="s">
        <v>212</v>
      </c>
      <c r="AM3" t="s">
        <v>213</v>
      </c>
      <c r="AO3" s="14"/>
      <c r="DK3" s="72"/>
      <c r="DM3" s="1"/>
      <c r="DQ3" s="72"/>
    </row>
    <row r="4" spans="1:124" s="3" customFormat="1" x14ac:dyDescent="0.2">
      <c r="A4" s="2"/>
      <c r="G4" s="73">
        <v>44500</v>
      </c>
      <c r="H4" s="73"/>
      <c r="I4" s="73">
        <v>44530</v>
      </c>
      <c r="J4" s="73"/>
      <c r="K4" s="73">
        <v>44561</v>
      </c>
      <c r="L4" s="73"/>
      <c r="M4" s="73">
        <v>44592</v>
      </c>
      <c r="N4" s="73"/>
      <c r="O4" s="73">
        <v>44620</v>
      </c>
      <c r="P4" s="73"/>
      <c r="Q4" s="73">
        <v>44651</v>
      </c>
      <c r="R4" s="73"/>
      <c r="S4" s="73">
        <v>44681</v>
      </c>
      <c r="T4" s="73"/>
      <c r="U4" s="73">
        <v>44712</v>
      </c>
      <c r="V4" s="73"/>
      <c r="W4" s="73">
        <v>44742</v>
      </c>
      <c r="X4" s="73"/>
      <c r="Y4" s="73">
        <v>44773</v>
      </c>
      <c r="Z4" s="73"/>
      <c r="AA4" s="73">
        <v>44804</v>
      </c>
      <c r="AB4" s="73"/>
      <c r="AC4" s="73">
        <v>44834</v>
      </c>
      <c r="AD4" s="73"/>
      <c r="AE4" s="73">
        <v>44865</v>
      </c>
      <c r="AF4" s="73"/>
      <c r="AG4" s="73">
        <v>44895</v>
      </c>
      <c r="AH4" s="73"/>
      <c r="AI4" s="73">
        <v>44926</v>
      </c>
      <c r="AJ4" s="73"/>
      <c r="AK4" s="73">
        <v>44957</v>
      </c>
      <c r="AL4" s="73"/>
      <c r="AM4" s="73">
        <v>44985</v>
      </c>
      <c r="AN4" s="73"/>
      <c r="AO4" s="73">
        <v>45016</v>
      </c>
      <c r="AP4" s="73"/>
      <c r="AQ4" s="73">
        <v>45046</v>
      </c>
      <c r="AR4" s="73"/>
      <c r="AS4" s="73">
        <v>45077</v>
      </c>
      <c r="AT4" s="73"/>
      <c r="AU4" s="73">
        <v>45107</v>
      </c>
      <c r="AV4" s="73"/>
      <c r="AW4" s="73">
        <v>45138</v>
      </c>
      <c r="AX4" s="73"/>
      <c r="AY4" s="73">
        <v>45169</v>
      </c>
      <c r="AZ4" s="73"/>
      <c r="BA4" s="73">
        <v>45199</v>
      </c>
      <c r="BB4" s="73"/>
      <c r="BC4" s="73">
        <v>45230</v>
      </c>
      <c r="BD4" s="73"/>
      <c r="BE4" s="73">
        <v>45260</v>
      </c>
      <c r="BF4" s="73"/>
      <c r="BG4" s="73">
        <v>45291</v>
      </c>
      <c r="BH4" s="73"/>
      <c r="BI4" s="73">
        <v>45322</v>
      </c>
      <c r="BJ4" s="73"/>
      <c r="BK4" s="73">
        <v>45342</v>
      </c>
      <c r="BL4" s="73"/>
      <c r="BM4" s="73">
        <v>45382</v>
      </c>
      <c r="BN4" s="73"/>
      <c r="BO4" s="73">
        <v>45412</v>
      </c>
      <c r="BP4" s="73"/>
      <c r="BQ4" s="73">
        <v>45443</v>
      </c>
      <c r="BR4" s="73"/>
      <c r="BS4" s="73">
        <v>45473</v>
      </c>
      <c r="BT4" s="73"/>
      <c r="BU4" s="73">
        <v>45504</v>
      </c>
      <c r="BV4" s="73"/>
      <c r="BW4" s="73">
        <v>45535</v>
      </c>
      <c r="BX4" s="73"/>
      <c r="BY4" s="73">
        <v>45565</v>
      </c>
      <c r="BZ4" s="73"/>
      <c r="CA4" s="73">
        <v>45596</v>
      </c>
      <c r="CB4" s="73"/>
      <c r="CC4" s="73">
        <v>45626</v>
      </c>
      <c r="CD4" s="73"/>
      <c r="CE4" s="73">
        <v>45657</v>
      </c>
      <c r="CF4" s="73"/>
      <c r="CG4" s="73">
        <v>45688</v>
      </c>
      <c r="CH4" s="73"/>
      <c r="CI4" s="73">
        <v>45716</v>
      </c>
      <c r="CJ4" s="73"/>
      <c r="CK4" s="73">
        <v>45747</v>
      </c>
      <c r="CL4" s="73"/>
      <c r="CM4" s="73">
        <v>45777</v>
      </c>
      <c r="CN4" s="73"/>
      <c r="CO4" s="73">
        <v>45808</v>
      </c>
      <c r="CP4" s="73"/>
      <c r="CQ4" s="73">
        <v>45838</v>
      </c>
      <c r="CR4" s="73"/>
      <c r="CS4" s="73">
        <v>45869</v>
      </c>
      <c r="CT4" s="73"/>
      <c r="CU4" s="73">
        <v>45900</v>
      </c>
      <c r="CV4" s="73"/>
      <c r="CW4" s="73">
        <v>45930</v>
      </c>
      <c r="CX4" s="73"/>
      <c r="CY4" s="73">
        <v>45961</v>
      </c>
      <c r="CZ4" s="73"/>
      <c r="DA4" s="73">
        <v>45991</v>
      </c>
      <c r="DB4" s="73"/>
      <c r="DC4" s="73">
        <v>46022</v>
      </c>
      <c r="DD4" s="73"/>
      <c r="DE4" s="73">
        <v>46053</v>
      </c>
      <c r="DF4" s="73"/>
      <c r="DG4" s="73">
        <v>46081</v>
      </c>
      <c r="DH4" s="73"/>
      <c r="DI4" s="73">
        <v>46112</v>
      </c>
      <c r="DJ4" s="73"/>
      <c r="DK4" s="73">
        <v>46142</v>
      </c>
      <c r="DL4" s="73"/>
      <c r="DM4" s="73">
        <v>46173</v>
      </c>
      <c r="DN4" s="73"/>
      <c r="DO4" s="73">
        <v>46203</v>
      </c>
      <c r="DP4" s="73"/>
      <c r="DQ4" s="73">
        <v>46234</v>
      </c>
      <c r="DR4" s="73"/>
      <c r="DS4" s="73"/>
      <c r="DT4" s="73"/>
    </row>
    <row r="5" spans="1:124" x14ac:dyDescent="0.2">
      <c r="A5" s="1" t="s">
        <v>0</v>
      </c>
      <c r="G5" s="52"/>
      <c r="I5" s="52"/>
      <c r="K5" s="52"/>
      <c r="M5" s="52"/>
      <c r="O5" s="79">
        <f>Sales!H50</f>
        <v>11254</v>
      </c>
      <c r="Q5" s="79">
        <f>Sales!J50</f>
        <v>9196</v>
      </c>
      <c r="S5" s="79">
        <f>Sales!L50</f>
        <v>5769</v>
      </c>
      <c r="U5" s="79">
        <f>Sales!N50</f>
        <v>2820.4</v>
      </c>
      <c r="W5" s="79">
        <f>Sales!P50</f>
        <v>2251.1999999999998</v>
      </c>
      <c r="Y5" s="79">
        <f>Sales!R50</f>
        <v>2856.1000000000004</v>
      </c>
      <c r="AA5" s="79">
        <f>Sales!T50</f>
        <v>1623.3999999999999</v>
      </c>
      <c r="AC5" s="79">
        <f>Sales!V50</f>
        <v>2114.6999999999998</v>
      </c>
      <c r="AE5" s="79">
        <f>Sales!X50</f>
        <v>4950.7</v>
      </c>
      <c r="AG5" s="79">
        <f>Sales!Z50</f>
        <v>7174.2999999999993</v>
      </c>
      <c r="AI5" s="79">
        <f>Sales!AB50</f>
        <v>11923.9</v>
      </c>
      <c r="AK5" s="79">
        <f>Sales!F51</f>
        <v>10363.900000000001</v>
      </c>
      <c r="AM5" s="79">
        <f>Sales!H42</f>
        <v>13945.400000000001</v>
      </c>
      <c r="AO5" s="79">
        <f>Sales!J42</f>
        <v>14915.220000000001</v>
      </c>
      <c r="AQ5" s="79">
        <f>Sales!L42</f>
        <v>10998.86</v>
      </c>
      <c r="AS5" s="79">
        <f>Sales!N42</f>
        <v>7666.0199999999995</v>
      </c>
      <c r="AU5" s="79">
        <f>Sales!P42</f>
        <v>5999.36</v>
      </c>
      <c r="AW5" s="79">
        <f>Sales!R42</f>
        <v>5222.7399999999989</v>
      </c>
      <c r="AY5" s="79">
        <f>Sales!T42</f>
        <v>4905.7</v>
      </c>
      <c r="BA5" s="79">
        <f>Sales!V42</f>
        <v>4641.12</v>
      </c>
      <c r="BC5" s="79">
        <f>Sales!X42</f>
        <v>6811.2</v>
      </c>
      <c r="BE5" s="79">
        <f>Sales!Z42</f>
        <v>13488.18</v>
      </c>
      <c r="BG5" s="79">
        <f>Sales!AB42</f>
        <v>15613.68</v>
      </c>
      <c r="BI5" s="79">
        <f>Sales!F42</f>
        <v>15061.68</v>
      </c>
      <c r="BK5" s="79">
        <f>Sales!H42</f>
        <v>13945.400000000001</v>
      </c>
      <c r="BM5" s="79">
        <f>Sales!J42</f>
        <v>14915.220000000001</v>
      </c>
      <c r="BO5" s="79">
        <f>Sales!L42</f>
        <v>10998.86</v>
      </c>
      <c r="BQ5" s="79">
        <f>Sales!N42</f>
        <v>7666.0199999999995</v>
      </c>
      <c r="BS5" s="79">
        <f>Sales!P42</f>
        <v>5999.36</v>
      </c>
      <c r="BU5" s="79">
        <f>Sales!R42</f>
        <v>5222.7399999999989</v>
      </c>
      <c r="BW5" s="79">
        <f>Sales!T42</f>
        <v>4905.7</v>
      </c>
      <c r="BY5" s="79">
        <f>Sales!V42</f>
        <v>4641.12</v>
      </c>
      <c r="CA5" s="79">
        <f>Sales!X42</f>
        <v>6811.2</v>
      </c>
      <c r="CC5" s="79">
        <f>Sales!Z42</f>
        <v>13488.18</v>
      </c>
      <c r="CE5" s="79">
        <f>Sales!AB42</f>
        <v>15613.68</v>
      </c>
      <c r="CG5" s="79">
        <f>Sales!F42</f>
        <v>15061.68</v>
      </c>
      <c r="CI5" s="79">
        <f>Sales!H42</f>
        <v>13945.400000000001</v>
      </c>
      <c r="CK5" s="79">
        <f>Sales!J42</f>
        <v>14915.220000000001</v>
      </c>
      <c r="CM5" s="79">
        <f>Sales!L42</f>
        <v>10998.86</v>
      </c>
      <c r="CO5" s="79">
        <f>Sales!N42</f>
        <v>7666.0199999999995</v>
      </c>
      <c r="CQ5" s="79">
        <f>Sales!P42</f>
        <v>5999.36</v>
      </c>
      <c r="CS5" s="79">
        <f>Sales!R42</f>
        <v>5222.7399999999989</v>
      </c>
      <c r="CU5" s="79">
        <f>Sales!T42</f>
        <v>4905.7</v>
      </c>
      <c r="CW5" s="79">
        <f>Sales!V42</f>
        <v>4641.12</v>
      </c>
      <c r="CY5" s="79">
        <f>Sales!X42</f>
        <v>6811.2</v>
      </c>
      <c r="DA5" s="79">
        <f>Sales!Z42</f>
        <v>13488.18</v>
      </c>
      <c r="DC5" s="79">
        <f>Sales!AB42</f>
        <v>15613.68</v>
      </c>
      <c r="DE5" s="79">
        <f>Sales!F42</f>
        <v>15061.68</v>
      </c>
      <c r="DG5" s="79">
        <f>Sales!H42</f>
        <v>13945.400000000001</v>
      </c>
      <c r="DI5" s="79">
        <f>Sales!J42</f>
        <v>14915.220000000001</v>
      </c>
      <c r="DK5" s="79">
        <f>Sales!L42</f>
        <v>10998.86</v>
      </c>
      <c r="DM5" s="79">
        <f>Sales!N42</f>
        <v>7666.0199999999995</v>
      </c>
      <c r="DO5" s="79">
        <f>Sales!P42</f>
        <v>5999.36</v>
      </c>
      <c r="DQ5" s="79">
        <f>Sales!R42</f>
        <v>5222.7399999999989</v>
      </c>
    </row>
    <row r="6" spans="1:124" x14ac:dyDescent="0.2">
      <c r="A6" s="1"/>
      <c r="S6" s="80"/>
      <c r="Y6" s="80"/>
      <c r="AE6" s="80"/>
      <c r="AK6" s="80"/>
      <c r="AQ6" s="80"/>
      <c r="AX6" s="70"/>
      <c r="BC6" s="80"/>
      <c r="BI6" s="80"/>
      <c r="BO6" s="80"/>
      <c r="BU6" s="80"/>
      <c r="CA6" s="80"/>
      <c r="CG6" s="80"/>
      <c r="CM6" s="80"/>
      <c r="CS6" s="80"/>
      <c r="CT6" s="70"/>
      <c r="CY6" s="80"/>
      <c r="DE6" s="80"/>
      <c r="DK6" s="80"/>
      <c r="DQ6" s="80"/>
    </row>
    <row r="7" spans="1:124" x14ac:dyDescent="0.2">
      <c r="B7" s="1" t="s">
        <v>53</v>
      </c>
      <c r="S7" s="80"/>
      <c r="Y7" s="80"/>
      <c r="AE7" s="80"/>
      <c r="AK7" s="80"/>
      <c r="AQ7" s="80"/>
      <c r="AX7" s="70"/>
      <c r="BC7" s="80"/>
      <c r="BI7" s="80"/>
      <c r="BO7" s="80"/>
      <c r="BU7" s="80"/>
      <c r="CA7" s="80"/>
      <c r="CG7" s="80"/>
      <c r="CN7" s="70"/>
      <c r="CS7" s="80"/>
      <c r="CT7" s="70"/>
      <c r="CY7" s="80"/>
      <c r="DE7" s="80"/>
      <c r="DK7" s="80"/>
      <c r="DQ7" s="80"/>
    </row>
    <row r="8" spans="1:124" x14ac:dyDescent="0.2">
      <c r="C8" s="1" t="s">
        <v>83</v>
      </c>
      <c r="G8" s="16"/>
      <c r="I8" s="16"/>
      <c r="K8" s="16"/>
      <c r="M8" s="16"/>
      <c r="O8" s="16"/>
      <c r="Q8" s="16"/>
      <c r="S8" s="16"/>
      <c r="T8" s="70"/>
      <c r="U8" s="16"/>
      <c r="W8" s="16"/>
      <c r="Y8" s="16"/>
      <c r="Z8" s="70"/>
      <c r="AA8" s="16"/>
      <c r="AC8" s="16"/>
      <c r="AE8" s="16"/>
      <c r="AF8" s="70"/>
      <c r="AG8" s="16"/>
      <c r="AI8" s="16"/>
      <c r="AK8" s="16"/>
      <c r="AL8" s="70"/>
      <c r="AM8" s="16"/>
      <c r="AO8" s="16"/>
      <c r="AQ8" s="16"/>
      <c r="AR8" s="70"/>
      <c r="AS8" s="16"/>
      <c r="AU8" s="16"/>
      <c r="AW8" s="16"/>
      <c r="AX8" s="70"/>
      <c r="AY8" s="16"/>
      <c r="BA8" s="16"/>
      <c r="BC8" s="16"/>
      <c r="BD8" s="70"/>
      <c r="BE8" s="16"/>
      <c r="BG8" s="16"/>
      <c r="BI8" s="16"/>
      <c r="BJ8" s="70"/>
      <c r="BK8" s="16">
        <f>BK21</f>
        <v>7.8072894903028711E-2</v>
      </c>
      <c r="BM8" s="16">
        <f>BM21</f>
        <v>7.8072894903028711E-2</v>
      </c>
      <c r="BO8" s="16">
        <f>BO21</f>
        <v>7.8072894903028711E-2</v>
      </c>
      <c r="BP8" s="70"/>
      <c r="BQ8" s="16">
        <f>BQ25</f>
        <v>0.25296900926180665</v>
      </c>
      <c r="BS8" s="16">
        <f>BS25</f>
        <v>0.25296900926180665</v>
      </c>
      <c r="BU8" s="16">
        <f>BU25</f>
        <v>0.25296900926180665</v>
      </c>
      <c r="BW8" s="16"/>
      <c r="BY8" s="16"/>
      <c r="CA8" s="16"/>
      <c r="CB8" s="70"/>
      <c r="CC8" s="16"/>
      <c r="CE8" s="16"/>
      <c r="CG8" s="16"/>
      <c r="CH8" s="70"/>
      <c r="CI8" s="16"/>
      <c r="CK8" s="16"/>
      <c r="CM8" s="16"/>
      <c r="CN8" s="70"/>
      <c r="CO8" s="16"/>
      <c r="CQ8" s="16"/>
      <c r="CS8" s="81"/>
      <c r="CT8" s="70"/>
      <c r="CU8" s="16"/>
      <c r="CV8" s="16"/>
      <c r="CW8" s="16"/>
      <c r="CY8" s="81"/>
      <c r="DA8" s="16"/>
      <c r="DC8" s="16"/>
      <c r="DE8" s="81"/>
      <c r="DG8" s="16"/>
      <c r="DI8" s="16"/>
      <c r="DK8" s="16"/>
      <c r="DL8" s="70"/>
      <c r="DM8" s="16"/>
      <c r="DO8" s="16"/>
      <c r="DQ8" s="81"/>
    </row>
    <row r="9" spans="1:124" x14ac:dyDescent="0.2">
      <c r="C9" s="1" t="s">
        <v>84</v>
      </c>
      <c r="G9" s="16"/>
      <c r="I9" s="16"/>
      <c r="K9" s="16"/>
      <c r="M9" s="16"/>
      <c r="O9" s="16"/>
      <c r="Q9" s="16"/>
      <c r="S9" s="16"/>
      <c r="T9" s="70"/>
      <c r="U9" s="16"/>
      <c r="W9" s="16"/>
      <c r="Y9" s="16"/>
      <c r="Z9" s="70"/>
      <c r="AA9" s="16"/>
      <c r="AC9" s="16"/>
      <c r="AE9" s="16"/>
      <c r="AF9" s="70"/>
      <c r="AG9" s="16"/>
      <c r="AI9" s="16"/>
      <c r="AK9" s="16"/>
      <c r="AL9" s="70"/>
      <c r="AM9" s="16"/>
      <c r="AO9" s="16"/>
      <c r="AQ9" s="16"/>
      <c r="AR9" s="70"/>
      <c r="AS9" s="16"/>
      <c r="AU9" s="16"/>
      <c r="AW9" s="16"/>
      <c r="AX9" s="70"/>
      <c r="AY9" s="16"/>
      <c r="BA9" s="16"/>
      <c r="BC9" s="16"/>
      <c r="BD9" s="70"/>
      <c r="BE9" s="16">
        <f>BE21</f>
        <v>7.8072894903028711E-2</v>
      </c>
      <c r="BG9" s="16">
        <f>BG21</f>
        <v>7.8072894903028711E-2</v>
      </c>
      <c r="BI9" s="16">
        <f>BI21</f>
        <v>7.8072894903028711E-2</v>
      </c>
      <c r="BJ9" s="70"/>
      <c r="BK9" s="16">
        <f>BK25</f>
        <v>0.25296900926180665</v>
      </c>
      <c r="BM9" s="16">
        <f>BM25</f>
        <v>0.25296900926180665</v>
      </c>
      <c r="BO9" s="16">
        <f>BO25</f>
        <v>0.25296900926180665</v>
      </c>
      <c r="BP9" s="70"/>
      <c r="BQ9" s="16">
        <f>BQ29</f>
        <v>0.11330743251633696</v>
      </c>
      <c r="BS9" s="16">
        <f>BS29</f>
        <v>0.11330743251633696</v>
      </c>
      <c r="BU9" s="16">
        <f>BU29</f>
        <v>0.11330743251633696</v>
      </c>
      <c r="BW9" s="16"/>
      <c r="BY9" s="16"/>
      <c r="CA9" s="16"/>
      <c r="CB9" s="70"/>
      <c r="CC9" s="16"/>
      <c r="CE9" s="16"/>
      <c r="CG9" s="16"/>
      <c r="CH9" s="70"/>
      <c r="CI9" s="16"/>
      <c r="CK9" s="16"/>
      <c r="CM9" s="16"/>
      <c r="CN9" s="70"/>
      <c r="CO9" s="16"/>
      <c r="CQ9" s="16"/>
      <c r="CS9" s="81"/>
      <c r="CT9" s="70"/>
      <c r="CU9" s="16"/>
      <c r="CV9" s="16"/>
      <c r="CW9" s="16"/>
      <c r="CY9" s="81"/>
      <c r="DA9" s="16"/>
      <c r="DC9" s="16"/>
      <c r="DE9" s="81"/>
      <c r="DG9" s="16"/>
      <c r="DI9" s="16"/>
      <c r="DK9" s="16"/>
      <c r="DL9" s="70"/>
      <c r="DM9" s="16"/>
      <c r="DO9" s="16"/>
      <c r="DQ9" s="81"/>
    </row>
    <row r="10" spans="1:124" x14ac:dyDescent="0.2">
      <c r="C10" s="1" t="s">
        <v>85</v>
      </c>
      <c r="G10" s="16"/>
      <c r="I10" s="16"/>
      <c r="K10" s="16"/>
      <c r="M10" s="16"/>
      <c r="O10" s="16"/>
      <c r="Q10" s="16"/>
      <c r="S10" s="16"/>
      <c r="T10" s="70"/>
      <c r="U10" s="16"/>
      <c r="W10" s="16"/>
      <c r="Y10" s="16"/>
      <c r="Z10" s="70"/>
      <c r="AA10" s="16"/>
      <c r="AC10" s="16"/>
      <c r="AE10" s="16"/>
      <c r="AF10" s="70"/>
      <c r="AG10" s="16"/>
      <c r="AI10" s="16"/>
      <c r="AK10" s="16"/>
      <c r="AL10" s="70"/>
      <c r="AM10" s="16"/>
      <c r="AO10" s="16"/>
      <c r="AQ10" s="16"/>
      <c r="AR10" s="70"/>
      <c r="AS10" s="16"/>
      <c r="AU10" s="16"/>
      <c r="AW10" s="16"/>
      <c r="AX10" s="70"/>
      <c r="AY10" s="16">
        <f>AY21</f>
        <v>7.8072894903028711E-2</v>
      </c>
      <c r="BA10" s="16">
        <f>BA21</f>
        <v>7.8072894903028711E-2</v>
      </c>
      <c r="BC10" s="16">
        <f>BC21</f>
        <v>7.8072894903028711E-2</v>
      </c>
      <c r="BD10" s="70"/>
      <c r="BE10" s="16">
        <f>BE25</f>
        <v>0.25296900926180665</v>
      </c>
      <c r="BG10" s="16">
        <f>BG25</f>
        <v>0.25296900926180665</v>
      </c>
      <c r="BI10" s="16">
        <f>BI25</f>
        <v>0.25296900926180665</v>
      </c>
      <c r="BJ10" s="70"/>
      <c r="BK10" s="16">
        <f>BK29</f>
        <v>0.11330743251633696</v>
      </c>
      <c r="BM10" s="16">
        <f>BM29</f>
        <v>0.11330743251633696</v>
      </c>
      <c r="BO10" s="16">
        <f>BO29</f>
        <v>0.11330743251633696</v>
      </c>
      <c r="BP10" s="70"/>
      <c r="BQ10" s="16">
        <f>BQ33</f>
        <v>4.3111569288627798E-2</v>
      </c>
      <c r="BS10" s="16">
        <f>BS33</f>
        <v>4.3111569288627798E-2</v>
      </c>
      <c r="BU10" s="16">
        <f>BU33</f>
        <v>4.3111569288627798E-2</v>
      </c>
      <c r="BW10" s="16"/>
      <c r="BY10" s="16"/>
      <c r="CA10" s="16"/>
      <c r="CB10" s="70"/>
      <c r="CC10" s="16"/>
      <c r="CE10" s="16"/>
      <c r="CG10" s="16"/>
      <c r="CH10" s="70"/>
      <c r="CI10" s="16"/>
      <c r="CK10" s="16"/>
      <c r="CM10" s="16"/>
      <c r="CN10" s="70"/>
      <c r="CO10" s="16"/>
      <c r="CQ10" s="16"/>
      <c r="CS10" s="81"/>
      <c r="CT10" s="70"/>
      <c r="CU10" s="16"/>
      <c r="CV10" s="16"/>
      <c r="CW10" s="16"/>
      <c r="CY10" s="81"/>
      <c r="DA10" s="16"/>
      <c r="DC10" s="16"/>
      <c r="DE10" s="81"/>
      <c r="DG10" s="16"/>
      <c r="DI10" s="16"/>
      <c r="DK10" s="16"/>
      <c r="DL10" s="70"/>
      <c r="DM10" s="16"/>
      <c r="DO10" s="16"/>
      <c r="DQ10" s="81"/>
    </row>
    <row r="11" spans="1:124" x14ac:dyDescent="0.2">
      <c r="C11" s="1" t="s">
        <v>86</v>
      </c>
      <c r="G11" s="16"/>
      <c r="I11" s="16"/>
      <c r="K11" s="16"/>
      <c r="M11" s="16"/>
      <c r="O11" s="16"/>
      <c r="Q11" s="16"/>
      <c r="S11" s="16"/>
      <c r="T11" s="70"/>
      <c r="U11" s="16"/>
      <c r="W11" s="16"/>
      <c r="Y11" s="16"/>
      <c r="Z11" s="70"/>
      <c r="AA11" s="16"/>
      <c r="AC11" s="16"/>
      <c r="AE11" s="16"/>
      <c r="AF11" s="70"/>
      <c r="AG11" s="16"/>
      <c r="AI11" s="16"/>
      <c r="AK11" s="16"/>
      <c r="AL11" s="70"/>
      <c r="AM11" s="16"/>
      <c r="AO11" s="16"/>
      <c r="AQ11" s="16"/>
      <c r="AR11" s="70"/>
      <c r="AS11" s="16">
        <f>AS21</f>
        <v>7.8072894903028711E-2</v>
      </c>
      <c r="AU11" s="16">
        <f>AU21</f>
        <v>7.8072894903028711E-2</v>
      </c>
      <c r="AW11" s="16">
        <f>AW21</f>
        <v>7.8072894903028711E-2</v>
      </c>
      <c r="AX11" s="70"/>
      <c r="AY11" s="16">
        <f>AY25</f>
        <v>0.25296900926180665</v>
      </c>
      <c r="BA11" s="16">
        <f>BA25</f>
        <v>0.25296900926180665</v>
      </c>
      <c r="BC11" s="16">
        <f>BC25</f>
        <v>0.25296900926180665</v>
      </c>
      <c r="BD11" s="70"/>
      <c r="BE11" s="16">
        <f>BE29</f>
        <v>0.11330743251633696</v>
      </c>
      <c r="BG11" s="16">
        <f>BG29</f>
        <v>0.11330743251633696</v>
      </c>
      <c r="BI11" s="16">
        <f>BI29</f>
        <v>0.11330743251633696</v>
      </c>
      <c r="BJ11" s="70"/>
      <c r="BK11" s="16">
        <f>BK33</f>
        <v>4.3111569288627798E-2</v>
      </c>
      <c r="BM11" s="16">
        <f>BM33</f>
        <v>4.3111569288627798E-2</v>
      </c>
      <c r="BO11" s="16">
        <f>BO33</f>
        <v>4.3111569288627798E-2</v>
      </c>
      <c r="BP11" s="70"/>
      <c r="BQ11" s="16">
        <f>BQ37</f>
        <v>4.2959122613917301E-2</v>
      </c>
      <c r="BS11" s="16">
        <f>BS37</f>
        <v>4.2959122613917301E-2</v>
      </c>
      <c r="BU11" s="16">
        <f>BU37</f>
        <v>4.2959122613917301E-2</v>
      </c>
      <c r="BW11" s="16"/>
      <c r="BY11" s="16"/>
      <c r="CA11" s="16"/>
      <c r="CB11" s="70"/>
      <c r="CC11" s="16"/>
      <c r="CE11" s="16"/>
      <c r="CG11" s="16"/>
      <c r="CH11" s="70"/>
      <c r="CI11" s="16"/>
      <c r="CK11" s="16"/>
      <c r="CM11" s="16"/>
      <c r="CN11" s="70"/>
      <c r="CO11" s="16"/>
      <c r="CQ11" s="16"/>
      <c r="CS11" s="81"/>
      <c r="CT11" s="70"/>
      <c r="CU11" s="16"/>
      <c r="CW11" s="16"/>
      <c r="CY11" s="81"/>
      <c r="DA11" s="16"/>
      <c r="DC11" s="16"/>
      <c r="DE11" s="81"/>
      <c r="DG11" s="16"/>
      <c r="DI11" s="16"/>
      <c r="DK11" s="16"/>
      <c r="DL11" s="70"/>
      <c r="DM11" s="16"/>
      <c r="DO11" s="16"/>
      <c r="DQ11" s="81"/>
    </row>
    <row r="12" spans="1:124" x14ac:dyDescent="0.2">
      <c r="G12" s="16"/>
      <c r="I12" s="16"/>
      <c r="K12" s="16"/>
      <c r="M12" s="16"/>
      <c r="O12" s="83"/>
      <c r="Q12" s="83"/>
      <c r="S12" s="83"/>
      <c r="T12" s="70"/>
      <c r="U12" s="83"/>
      <c r="W12" s="83"/>
      <c r="Y12" s="83"/>
      <c r="Z12" s="70"/>
      <c r="AA12" s="83"/>
      <c r="AC12" s="83"/>
      <c r="AE12" s="83"/>
      <c r="AF12" s="70"/>
      <c r="AG12" s="83"/>
      <c r="AI12" s="83"/>
      <c r="AK12" s="83"/>
      <c r="AL12" s="70"/>
      <c r="AM12" s="83"/>
      <c r="AO12" s="83"/>
      <c r="AQ12" s="83"/>
      <c r="AR12" s="70"/>
      <c r="AS12" s="83">
        <f>SUM(AS11)</f>
        <v>7.8072894903028711E-2</v>
      </c>
      <c r="AU12" s="83">
        <f>SUM(AU11)</f>
        <v>7.8072894903028711E-2</v>
      </c>
      <c r="AW12" s="83">
        <f>SUM(AW11)</f>
        <v>7.8072894903028711E-2</v>
      </c>
      <c r="AX12" s="70"/>
      <c r="AY12" s="83">
        <f>SUM(AY10:AY11)</f>
        <v>0.33104190416483537</v>
      </c>
      <c r="BA12" s="83">
        <f>SUM(BA10:BA11)</f>
        <v>0.33104190416483537</v>
      </c>
      <c r="BC12" s="83">
        <f>SUM(BC10:BC11)</f>
        <v>0.33104190416483537</v>
      </c>
      <c r="BD12" s="70"/>
      <c r="BE12" s="83">
        <f>SUM(BE9:BE11)</f>
        <v>0.44434933668117232</v>
      </c>
      <c r="BG12" s="83">
        <f>SUM(BG9:BG11)</f>
        <v>0.44434933668117232</v>
      </c>
      <c r="BI12" s="83">
        <f>SUM(BI9:BI11)</f>
        <v>0.44434933668117232</v>
      </c>
      <c r="BJ12" s="70"/>
      <c r="BK12" s="83">
        <f>SUM(BK8:BK11)</f>
        <v>0.48746090596980013</v>
      </c>
      <c r="BM12" s="83">
        <f>SUM(BM8:BM11)</f>
        <v>0.48746090596980013</v>
      </c>
      <c r="BO12" s="83">
        <f>SUM(BO8:BO11)</f>
        <v>0.48746090596980013</v>
      </c>
      <c r="BP12" s="70"/>
      <c r="BQ12" s="83">
        <f>SUM(BQ8:BQ11)</f>
        <v>0.45234713368068874</v>
      </c>
      <c r="BS12" s="83">
        <f>SUM(BS8:BS11)</f>
        <v>0.45234713368068874</v>
      </c>
      <c r="BU12" s="83">
        <f>SUM(BU8:BU11)</f>
        <v>0.45234713368068874</v>
      </c>
      <c r="BW12" s="83"/>
      <c r="BY12" s="83"/>
      <c r="CA12" s="83"/>
      <c r="CB12" s="70"/>
      <c r="CC12" s="83"/>
      <c r="CE12" s="83"/>
      <c r="CG12" s="83"/>
      <c r="CH12" s="70"/>
      <c r="CI12" s="83"/>
      <c r="CK12" s="83"/>
      <c r="CM12" s="83"/>
      <c r="CN12" s="70"/>
      <c r="CO12" s="83"/>
      <c r="CQ12" s="83"/>
      <c r="CS12" s="82"/>
      <c r="CT12" s="70"/>
      <c r="CU12" s="83"/>
      <c r="CW12" s="83"/>
      <c r="CY12" s="82"/>
      <c r="DA12" s="83"/>
      <c r="DC12" s="83"/>
      <c r="DE12" s="82"/>
      <c r="DG12" s="83"/>
      <c r="DI12" s="83"/>
      <c r="DK12" s="83"/>
      <c r="DL12" s="70"/>
      <c r="DM12" s="83"/>
      <c r="DO12" s="83"/>
      <c r="DQ12" s="82"/>
    </row>
    <row r="13" spans="1:124" x14ac:dyDescent="0.2">
      <c r="T13" s="70"/>
      <c r="Z13" s="70"/>
      <c r="AF13" s="70"/>
      <c r="AL13" s="70"/>
      <c r="AR13" s="70"/>
      <c r="AX13" s="70"/>
      <c r="BD13" s="70"/>
      <c r="BJ13" s="70"/>
      <c r="BP13" s="70"/>
      <c r="CB13" s="70"/>
      <c r="CH13" s="70"/>
      <c r="CN13" s="70"/>
      <c r="CS13" s="80"/>
      <c r="CT13" s="70"/>
      <c r="CY13" s="80"/>
      <c r="DE13" s="80"/>
      <c r="DL13" s="70"/>
      <c r="DQ13" s="80"/>
    </row>
    <row r="14" spans="1:124" x14ac:dyDescent="0.2">
      <c r="C14" s="1" t="s">
        <v>87</v>
      </c>
      <c r="G14" s="16"/>
      <c r="I14" s="16"/>
      <c r="K14" s="16"/>
      <c r="M14" s="16"/>
      <c r="O14" s="16"/>
      <c r="Q14" s="16"/>
      <c r="S14" s="16"/>
      <c r="T14" s="70"/>
      <c r="U14" s="16"/>
      <c r="W14" s="16"/>
      <c r="Y14" s="16"/>
      <c r="Z14" s="70"/>
      <c r="AA14" s="16"/>
      <c r="AC14" s="16"/>
      <c r="AE14" s="16"/>
      <c r="AF14" s="70"/>
      <c r="AG14" s="16">
        <f>AG21</f>
        <v>0.1686</v>
      </c>
      <c r="AI14" s="16">
        <f>AI21</f>
        <v>0.1686</v>
      </c>
      <c r="AK14" s="16">
        <f>AK21</f>
        <v>0.1686</v>
      </c>
      <c r="AL14" s="70"/>
      <c r="AM14" s="16">
        <f>AM25</f>
        <v>0.73960000000000004</v>
      </c>
      <c r="AO14" s="16">
        <f>AO25</f>
        <v>0.73960000000000004</v>
      </c>
      <c r="AQ14" s="16">
        <f>AQ25</f>
        <v>0.73960000000000004</v>
      </c>
      <c r="AR14" s="70"/>
      <c r="AS14" s="16">
        <f>AS29</f>
        <v>0.4647</v>
      </c>
      <c r="AU14" s="16">
        <f>AU29</f>
        <v>0.4647</v>
      </c>
      <c r="AW14" s="16">
        <f>AW29</f>
        <v>0.4647</v>
      </c>
      <c r="AX14" s="70"/>
      <c r="AY14" s="16">
        <f>AY33</f>
        <v>0.439</v>
      </c>
      <c r="BA14" s="16">
        <f>BA33</f>
        <v>0.439</v>
      </c>
      <c r="BC14" s="16">
        <f>BC33</f>
        <v>0.439</v>
      </c>
      <c r="BD14" s="70"/>
      <c r="BE14" s="16">
        <f>BE37</f>
        <v>0.19839999999999999</v>
      </c>
      <c r="BG14" s="16">
        <f>BG37</f>
        <v>0.19839999999999999</v>
      </c>
      <c r="BI14" s="16">
        <f>BI37</f>
        <v>0.19839999999999999</v>
      </c>
      <c r="BJ14" s="70"/>
      <c r="BK14" s="16">
        <f>BK41</f>
        <v>-1.194731867381654</v>
      </c>
      <c r="BM14" s="16">
        <f>BM41</f>
        <v>-1.194731867381654</v>
      </c>
      <c r="BO14" s="16">
        <f>BO41</f>
        <v>-1.194731867381654</v>
      </c>
      <c r="BP14" s="70"/>
      <c r="BQ14" s="16">
        <f>BQ45</f>
        <v>0</v>
      </c>
      <c r="BS14" s="16">
        <f>BS45</f>
        <v>0</v>
      </c>
      <c r="BU14" s="16">
        <f>BU45</f>
        <v>0</v>
      </c>
      <c r="BW14" s="16"/>
      <c r="BY14" s="16"/>
      <c r="CA14" s="16"/>
      <c r="CB14" s="70"/>
      <c r="CC14" s="16"/>
      <c r="CE14" s="16"/>
      <c r="CG14" s="16"/>
      <c r="CH14" s="70"/>
      <c r="CI14" s="16"/>
      <c r="CK14" s="16"/>
      <c r="CM14" s="16"/>
      <c r="CN14" s="70"/>
      <c r="CO14" s="16"/>
      <c r="CQ14" s="16"/>
      <c r="CS14" s="81"/>
      <c r="CT14" s="70"/>
      <c r="CU14" s="16"/>
      <c r="CV14" s="16"/>
      <c r="CW14" s="16"/>
      <c r="CY14" s="81"/>
      <c r="DA14" s="16"/>
      <c r="DC14" s="16"/>
      <c r="DE14" s="81"/>
      <c r="DG14" s="16"/>
      <c r="DI14" s="16"/>
      <c r="DK14" s="16"/>
      <c r="DL14" s="70"/>
      <c r="DM14" s="16"/>
      <c r="DO14" s="16"/>
      <c r="DQ14" s="81"/>
    </row>
    <row r="15" spans="1:124" x14ac:dyDescent="0.2">
      <c r="C15" s="1" t="s">
        <v>88</v>
      </c>
      <c r="G15" s="16"/>
      <c r="I15" s="16"/>
      <c r="K15" s="16"/>
      <c r="M15" s="16"/>
      <c r="O15" s="16"/>
      <c r="Q15" s="16"/>
      <c r="S15" s="16"/>
      <c r="T15" s="70"/>
      <c r="U15" s="16"/>
      <c r="W15" s="16"/>
      <c r="Y15" s="16"/>
      <c r="Z15" s="70"/>
      <c r="AA15" s="16">
        <f>AA21</f>
        <v>0.1686</v>
      </c>
      <c r="AC15" s="16">
        <f>AC21</f>
        <v>0.1686</v>
      </c>
      <c r="AE15" s="16">
        <f>AE21</f>
        <v>0.1686</v>
      </c>
      <c r="AF15" s="70"/>
      <c r="AG15" s="16">
        <f>AG25</f>
        <v>0.73960000000000004</v>
      </c>
      <c r="AI15" s="16">
        <f>AI25</f>
        <v>0.73960000000000004</v>
      </c>
      <c r="AK15" s="16">
        <f>AK25</f>
        <v>0.73960000000000004</v>
      </c>
      <c r="AL15" s="70"/>
      <c r="AM15" s="16">
        <f>AM29</f>
        <v>0.4647</v>
      </c>
      <c r="AO15" s="16">
        <f>AO29</f>
        <v>0.4647</v>
      </c>
      <c r="AQ15" s="16">
        <f>AQ29</f>
        <v>0.4647</v>
      </c>
      <c r="AR15" s="70"/>
      <c r="AS15" s="16">
        <f>AS33</f>
        <v>0.439</v>
      </c>
      <c r="AU15" s="16">
        <f>AU33</f>
        <v>0.439</v>
      </c>
      <c r="AW15" s="16">
        <f>AW33</f>
        <v>0.439</v>
      </c>
      <c r="AX15" s="70"/>
      <c r="AY15" s="16">
        <f>AY37</f>
        <v>0.19839999999999999</v>
      </c>
      <c r="BA15" s="16">
        <f>BA37</f>
        <v>0.19839999999999999</v>
      </c>
      <c r="BC15" s="16">
        <f>BC37</f>
        <v>0.19839999999999999</v>
      </c>
      <c r="BD15" s="70"/>
      <c r="BE15" s="16">
        <f>BE41</f>
        <v>-1.194731867381654</v>
      </c>
      <c r="BG15" s="16">
        <f>BG41</f>
        <v>-1.194731867381654</v>
      </c>
      <c r="BI15" s="16">
        <f>BI41</f>
        <v>-1.194731867381654</v>
      </c>
      <c r="BJ15" s="70"/>
      <c r="BK15" s="16">
        <f>BK45</f>
        <v>0</v>
      </c>
      <c r="BM15" s="16">
        <f>BM45</f>
        <v>0</v>
      </c>
      <c r="BO15" s="16">
        <f>BO45</f>
        <v>0</v>
      </c>
      <c r="BP15" s="70"/>
      <c r="BQ15" s="16">
        <f>BQ49</f>
        <v>0</v>
      </c>
      <c r="BS15" s="16">
        <f>BS49</f>
        <v>0</v>
      </c>
      <c r="BU15" s="16">
        <f>BU49</f>
        <v>0</v>
      </c>
      <c r="BW15" s="16"/>
      <c r="BY15" s="16"/>
      <c r="CA15" s="16"/>
      <c r="CB15" s="70"/>
      <c r="CC15" s="16"/>
      <c r="CE15" s="16"/>
      <c r="CG15" s="16"/>
      <c r="CH15" s="70"/>
      <c r="CI15" s="16"/>
      <c r="CK15" s="16"/>
      <c r="CM15" s="16"/>
      <c r="CN15" s="70"/>
      <c r="CO15" s="16"/>
      <c r="CQ15" s="16"/>
      <c r="CS15" s="81"/>
      <c r="CT15" s="70"/>
      <c r="CU15" s="16"/>
      <c r="CV15" s="16"/>
      <c r="CW15" s="16"/>
      <c r="CY15" s="81"/>
      <c r="DA15" s="16"/>
      <c r="DC15" s="16"/>
      <c r="DE15" s="81"/>
      <c r="DG15" s="16"/>
      <c r="DI15" s="16"/>
      <c r="DK15" s="16"/>
      <c r="DL15" s="70"/>
      <c r="DM15" s="16"/>
      <c r="DO15" s="16"/>
      <c r="DQ15" s="81"/>
    </row>
    <row r="16" spans="1:124" x14ac:dyDescent="0.2">
      <c r="C16" s="1" t="s">
        <v>89</v>
      </c>
      <c r="G16" s="16"/>
      <c r="I16" s="16"/>
      <c r="K16" s="16"/>
      <c r="M16" s="16"/>
      <c r="O16" s="16"/>
      <c r="Q16" s="16"/>
      <c r="S16" s="16"/>
      <c r="T16" s="70"/>
      <c r="U16" s="16">
        <f>U21</f>
        <v>0.1686</v>
      </c>
      <c r="W16" s="16">
        <f>W21</f>
        <v>0.1686</v>
      </c>
      <c r="Y16" s="16">
        <f>Y21</f>
        <v>0.1686</v>
      </c>
      <c r="Z16" s="70"/>
      <c r="AA16" s="16">
        <f>AA25</f>
        <v>0.73960000000000004</v>
      </c>
      <c r="AC16" s="16">
        <f>AC25</f>
        <v>0.73960000000000004</v>
      </c>
      <c r="AE16" s="16">
        <f>AE25</f>
        <v>0.73960000000000004</v>
      </c>
      <c r="AF16" s="70"/>
      <c r="AG16" s="16">
        <f>AG29</f>
        <v>0.4647</v>
      </c>
      <c r="AI16" s="16">
        <f>AI29</f>
        <v>0.4647</v>
      </c>
      <c r="AK16" s="16">
        <f>AK29</f>
        <v>0.4647</v>
      </c>
      <c r="AL16" s="70"/>
      <c r="AM16" s="16">
        <f>AM33</f>
        <v>0.439</v>
      </c>
      <c r="AO16" s="16">
        <f>AO33</f>
        <v>0.439</v>
      </c>
      <c r="AQ16" s="16">
        <f>AQ33</f>
        <v>0.439</v>
      </c>
      <c r="AR16" s="70"/>
      <c r="AS16" s="16">
        <f>AS37</f>
        <v>0.19839999999999999</v>
      </c>
      <c r="AU16" s="16">
        <f>AU37</f>
        <v>0.19839999999999999</v>
      </c>
      <c r="AW16" s="16">
        <f>AW37</f>
        <v>0.19839999999999999</v>
      </c>
      <c r="AX16" s="70"/>
      <c r="AY16" s="16">
        <f>AY41</f>
        <v>-1.194731867381654</v>
      </c>
      <c r="BA16" s="16">
        <f>BA41</f>
        <v>-1.194731867381654</v>
      </c>
      <c r="BC16" s="16">
        <f>BC41</f>
        <v>-1.194731867381654</v>
      </c>
      <c r="BD16" s="70"/>
      <c r="BE16" s="16">
        <f>BE45</f>
        <v>0</v>
      </c>
      <c r="BG16" s="16">
        <f>BG45</f>
        <v>0</v>
      </c>
      <c r="BI16" s="16">
        <f>BI45</f>
        <v>0</v>
      </c>
      <c r="BJ16" s="70"/>
      <c r="BK16" s="16">
        <f>BK49</f>
        <v>0</v>
      </c>
      <c r="BM16" s="16">
        <f>BM49</f>
        <v>0</v>
      </c>
      <c r="BO16" s="16">
        <f>BO49</f>
        <v>0</v>
      </c>
      <c r="BP16" s="70"/>
      <c r="BQ16" s="16">
        <f>BQ53</f>
        <v>0</v>
      </c>
      <c r="BS16" s="16">
        <f>BS53</f>
        <v>0</v>
      </c>
      <c r="BU16" s="16">
        <f>BU53</f>
        <v>0</v>
      </c>
      <c r="BW16" s="16"/>
      <c r="BY16" s="16"/>
      <c r="CA16" s="16"/>
      <c r="CB16" s="70"/>
      <c r="CC16" s="16"/>
      <c r="CE16" s="16"/>
      <c r="CG16" s="16"/>
      <c r="CH16" s="70"/>
      <c r="CI16" s="16"/>
      <c r="CK16" s="16"/>
      <c r="CM16" s="16"/>
      <c r="CN16" s="70"/>
      <c r="CO16" s="16"/>
      <c r="CQ16" s="16"/>
      <c r="CS16" s="81"/>
      <c r="CT16" s="70"/>
      <c r="CU16" s="16"/>
      <c r="CV16" s="16"/>
      <c r="CW16" s="16"/>
      <c r="CY16" s="81"/>
      <c r="DA16" s="16"/>
      <c r="DC16" s="16"/>
      <c r="DE16" s="81"/>
      <c r="DG16" s="16"/>
      <c r="DI16" s="16"/>
      <c r="DK16" s="16"/>
      <c r="DL16" s="70"/>
      <c r="DM16" s="16"/>
      <c r="DO16" s="16"/>
      <c r="DQ16" s="81"/>
    </row>
    <row r="17" spans="3:122" x14ac:dyDescent="0.2">
      <c r="C17" s="1" t="s">
        <v>90</v>
      </c>
      <c r="G17" s="16"/>
      <c r="I17" s="16"/>
      <c r="K17" s="16"/>
      <c r="M17" s="16"/>
      <c r="O17" s="16">
        <f>O21</f>
        <v>0.1686</v>
      </c>
      <c r="Q17" s="16">
        <f>Q21</f>
        <v>0.1686</v>
      </c>
      <c r="S17" s="16">
        <f>S21</f>
        <v>0.1686</v>
      </c>
      <c r="T17" s="70"/>
      <c r="U17" s="16">
        <f>U25</f>
        <v>0.73960000000000004</v>
      </c>
      <c r="W17" s="16">
        <f>W25</f>
        <v>0.73960000000000004</v>
      </c>
      <c r="Y17" s="16">
        <f>Y25</f>
        <v>0.73960000000000004</v>
      </c>
      <c r="Z17" s="70"/>
      <c r="AA17" s="16">
        <f>AA29</f>
        <v>0.4647</v>
      </c>
      <c r="AC17" s="16">
        <f>AC29</f>
        <v>0.4647</v>
      </c>
      <c r="AE17" s="16">
        <f>AE29</f>
        <v>0.4647</v>
      </c>
      <c r="AF17" s="70"/>
      <c r="AG17" s="16">
        <f>AG33</f>
        <v>0.439</v>
      </c>
      <c r="AI17" s="16">
        <f>AI33</f>
        <v>0.439</v>
      </c>
      <c r="AK17" s="16">
        <f>AK33</f>
        <v>0.439</v>
      </c>
      <c r="AL17" s="70"/>
      <c r="AM17" s="16">
        <f>AM37</f>
        <v>0.19839999999999999</v>
      </c>
      <c r="AO17" s="16">
        <f>AO37</f>
        <v>0.19839999999999999</v>
      </c>
      <c r="AQ17" s="16">
        <f>AQ37</f>
        <v>0.19839999999999999</v>
      </c>
      <c r="AR17" s="70"/>
      <c r="AS17" s="16">
        <f>AS41</f>
        <v>-1.194731867381654</v>
      </c>
      <c r="AU17" s="16">
        <f>AU41</f>
        <v>-1.194731867381654</v>
      </c>
      <c r="AW17" s="16">
        <f>AW41</f>
        <v>-1.194731867381654</v>
      </c>
      <c r="AX17" s="70"/>
      <c r="AY17" s="16">
        <f>AY45</f>
        <v>0</v>
      </c>
      <c r="BA17" s="16">
        <f>BA45</f>
        <v>0</v>
      </c>
      <c r="BC17" s="16">
        <f>BC45</f>
        <v>0</v>
      </c>
      <c r="BD17" s="70"/>
      <c r="BE17" s="16">
        <f>BE49</f>
        <v>0</v>
      </c>
      <c r="BG17" s="16">
        <f>BG49</f>
        <v>0</v>
      </c>
      <c r="BI17" s="16">
        <f>BI49</f>
        <v>0</v>
      </c>
      <c r="BJ17" s="70"/>
      <c r="BK17" s="16">
        <f>BK53</f>
        <v>0</v>
      </c>
      <c r="BM17" s="16">
        <f>BM53</f>
        <v>0</v>
      </c>
      <c r="BO17" s="16">
        <f>BO53</f>
        <v>0</v>
      </c>
      <c r="BP17" s="70"/>
      <c r="BQ17" s="16">
        <f>BQ57</f>
        <v>0</v>
      </c>
      <c r="BS17" s="16">
        <f>BS57</f>
        <v>0</v>
      </c>
      <c r="BU17" s="16">
        <f>BU57</f>
        <v>0</v>
      </c>
      <c r="BW17" s="16"/>
      <c r="BY17" s="16"/>
      <c r="CA17" s="16"/>
      <c r="CB17" s="70"/>
      <c r="CC17" s="16"/>
      <c r="CE17" s="16"/>
      <c r="CG17" s="16"/>
      <c r="CH17" s="70"/>
      <c r="CI17" s="16"/>
      <c r="CK17" s="16"/>
      <c r="CM17" s="16"/>
      <c r="CN17" s="70"/>
      <c r="CO17" s="16"/>
      <c r="CQ17" s="16"/>
      <c r="CS17" s="81"/>
      <c r="CT17" s="70"/>
      <c r="CU17" s="16"/>
      <c r="CW17" s="16"/>
      <c r="CY17" s="81"/>
      <c r="DA17" s="16"/>
      <c r="DC17" s="16"/>
      <c r="DE17" s="81"/>
      <c r="DG17" s="16"/>
      <c r="DI17" s="16"/>
      <c r="DK17" s="16"/>
      <c r="DL17" s="70"/>
      <c r="DM17" s="16"/>
      <c r="DO17" s="16"/>
      <c r="DQ17" s="81"/>
    </row>
    <row r="18" spans="3:122" x14ac:dyDescent="0.2">
      <c r="G18" s="16"/>
      <c r="I18" s="16"/>
      <c r="K18" s="16"/>
      <c r="M18" s="16"/>
      <c r="O18" s="83">
        <f>SUM(O17)</f>
        <v>0.1686</v>
      </c>
      <c r="Q18" s="83">
        <f>SUM(Q17)</f>
        <v>0.1686</v>
      </c>
      <c r="S18" s="83">
        <f>SUM(S17)</f>
        <v>0.1686</v>
      </c>
      <c r="T18" s="70"/>
      <c r="U18" s="83">
        <f>SUM(U16:U17)</f>
        <v>0.90820000000000001</v>
      </c>
      <c r="W18" s="83">
        <f>SUM(W16:W17)</f>
        <v>0.90820000000000001</v>
      </c>
      <c r="Y18" s="83">
        <f>SUM(Y16:Y17)</f>
        <v>0.90820000000000001</v>
      </c>
      <c r="Z18" s="70"/>
      <c r="AA18" s="83">
        <f>SUM(AA15:AA17)</f>
        <v>1.3729</v>
      </c>
      <c r="AC18" s="83">
        <f>SUM(AC15:AC17)</f>
        <v>1.3729</v>
      </c>
      <c r="AE18" s="83">
        <f>SUM(AE15:AE17)</f>
        <v>1.3729</v>
      </c>
      <c r="AF18" s="70"/>
      <c r="AG18" s="83">
        <f>SUM(AG14:AG17)</f>
        <v>1.8119000000000001</v>
      </c>
      <c r="AI18" s="83">
        <f>SUM(AI14:AI17)</f>
        <v>1.8119000000000001</v>
      </c>
      <c r="AK18" s="83">
        <f>SUM(AK14:AK17)</f>
        <v>1.8119000000000001</v>
      </c>
      <c r="AL18" s="70"/>
      <c r="AM18" s="83">
        <f>SUM(AM14:AM17)</f>
        <v>1.8416999999999999</v>
      </c>
      <c r="AO18" s="83">
        <f>SUM(AO14:AO17)</f>
        <v>1.8416999999999999</v>
      </c>
      <c r="AQ18" s="83">
        <f>SUM(AQ14:AQ17)</f>
        <v>1.8416999999999999</v>
      </c>
      <c r="AR18" s="70"/>
      <c r="AS18" s="83">
        <f>SUM(AS14:AS17)</f>
        <v>-9.2631867381654187E-2</v>
      </c>
      <c r="AU18" s="83">
        <f>SUM(AU14:AU17)</f>
        <v>-9.2631867381654187E-2</v>
      </c>
      <c r="AW18" s="83">
        <f>SUM(AW14:AW17)</f>
        <v>-9.2631867381654187E-2</v>
      </c>
      <c r="AX18" s="70"/>
      <c r="AY18" s="83">
        <f>SUM(AY14:AY17)</f>
        <v>-0.55733186738165408</v>
      </c>
      <c r="BA18" s="83">
        <f>SUM(BA14:BA17)</f>
        <v>-0.55733186738165408</v>
      </c>
      <c r="BC18" s="83">
        <f>SUM(BC14:BC17)</f>
        <v>-0.55733186738165408</v>
      </c>
      <c r="BD18" s="70"/>
      <c r="BE18" s="83">
        <f>SUM(BE14:BE17)</f>
        <v>-0.99633186738165402</v>
      </c>
      <c r="BG18" s="83">
        <f>SUM(BG14:BG17)</f>
        <v>-0.99633186738165402</v>
      </c>
      <c r="BI18" s="83">
        <f>SUM(BI14:BI17)</f>
        <v>-0.99633186738165402</v>
      </c>
      <c r="BJ18" s="70"/>
      <c r="BK18" s="83">
        <f>SUM(BK14:BK17)</f>
        <v>-1.194731867381654</v>
      </c>
      <c r="BM18" s="83">
        <f>SUM(BM14:BM17)</f>
        <v>-1.194731867381654</v>
      </c>
      <c r="BO18" s="83">
        <f>SUM(BO14:BO17)</f>
        <v>-1.194731867381654</v>
      </c>
      <c r="BP18" s="70"/>
      <c r="BQ18" s="83">
        <f>SUM(BQ14:BQ17)</f>
        <v>0</v>
      </c>
      <c r="BS18" s="83">
        <f>SUM(BS14:BS17)</f>
        <v>0</v>
      </c>
      <c r="BU18" s="83">
        <f>SUM(BU14:BU17)</f>
        <v>0</v>
      </c>
      <c r="BW18" s="83"/>
      <c r="BY18" s="83"/>
      <c r="CA18" s="83"/>
      <c r="CB18" s="70"/>
      <c r="CC18" s="83"/>
      <c r="CE18" s="83"/>
      <c r="CG18" s="83"/>
      <c r="CH18" s="70"/>
      <c r="CI18" s="83"/>
      <c r="CK18" s="83"/>
      <c r="CM18" s="83"/>
      <c r="CN18" s="70"/>
      <c r="CO18" s="83"/>
      <c r="CQ18" s="83"/>
      <c r="CS18" s="82"/>
      <c r="CT18" s="70"/>
      <c r="CU18" s="83"/>
      <c r="CW18" s="83"/>
      <c r="CY18" s="82"/>
      <c r="DA18" s="83"/>
      <c r="DC18" s="83"/>
      <c r="DE18" s="82"/>
      <c r="DG18" s="83"/>
      <c r="DI18" s="83"/>
      <c r="DK18" s="83"/>
      <c r="DL18" s="70"/>
      <c r="DM18" s="83"/>
      <c r="DO18" s="83"/>
      <c r="DQ18" s="82"/>
    </row>
    <row r="19" spans="3:122" x14ac:dyDescent="0.2">
      <c r="S19" s="80"/>
      <c r="Y19" s="80"/>
      <c r="AE19" s="80"/>
      <c r="AK19" s="80"/>
      <c r="AQ19" s="80"/>
      <c r="AW19" s="80"/>
      <c r="BC19" s="80"/>
      <c r="BI19" s="80"/>
      <c r="BO19" s="80"/>
      <c r="BU19" s="80"/>
      <c r="CA19" s="80"/>
      <c r="CG19" s="80"/>
      <c r="CM19" s="80"/>
      <c r="CS19" s="80"/>
      <c r="CT19" s="70"/>
      <c r="CY19" s="80"/>
      <c r="DE19" s="80"/>
      <c r="DK19" s="80"/>
      <c r="DQ19" s="80"/>
    </row>
    <row r="20" spans="3:122" x14ac:dyDescent="0.2">
      <c r="T20" s="70"/>
      <c r="Z20" s="70"/>
      <c r="AF20" s="70"/>
      <c r="AL20" s="70"/>
      <c r="AR20" s="70"/>
      <c r="AX20" s="70"/>
      <c r="BD20" s="70"/>
      <c r="BI20" s="80"/>
      <c r="BO20" s="80"/>
      <c r="BU20" s="80"/>
      <c r="CA20" s="80"/>
      <c r="CG20" s="80"/>
      <c r="CM20" s="80"/>
      <c r="CS20" s="80"/>
      <c r="CT20" s="70"/>
      <c r="CY20" s="80"/>
      <c r="DE20" s="80"/>
      <c r="DK20" s="80"/>
      <c r="DQ20" s="80"/>
    </row>
    <row r="21" spans="3:122" x14ac:dyDescent="0.2">
      <c r="C21" s="13" t="s">
        <v>91</v>
      </c>
      <c r="O21" s="85">
        <v>0.1686</v>
      </c>
      <c r="P21" s="197"/>
      <c r="Q21" s="15">
        <f>O21</f>
        <v>0.1686</v>
      </c>
      <c r="R21" s="16"/>
      <c r="S21" s="86">
        <f>Q21</f>
        <v>0.1686</v>
      </c>
      <c r="T21" s="16"/>
      <c r="U21" s="15">
        <f>S21</f>
        <v>0.1686</v>
      </c>
      <c r="V21" s="16"/>
      <c r="W21" s="15">
        <f>U21</f>
        <v>0.1686</v>
      </c>
      <c r="X21" s="16"/>
      <c r="Y21" s="86">
        <f>W21</f>
        <v>0.1686</v>
      </c>
      <c r="Z21" s="16"/>
      <c r="AA21" s="15">
        <f>Y21</f>
        <v>0.1686</v>
      </c>
      <c r="AB21" s="16"/>
      <c r="AC21" s="15">
        <f>AA21</f>
        <v>0.1686</v>
      </c>
      <c r="AD21" s="16"/>
      <c r="AE21" s="86">
        <f>AC21</f>
        <v>0.1686</v>
      </c>
      <c r="AF21" s="16"/>
      <c r="AG21" s="15">
        <f>AE21</f>
        <v>0.1686</v>
      </c>
      <c r="AH21" s="16"/>
      <c r="AI21" s="15">
        <f>AG21</f>
        <v>0.1686</v>
      </c>
      <c r="AJ21" s="16"/>
      <c r="AK21" s="86">
        <f>AI21</f>
        <v>0.1686</v>
      </c>
      <c r="AL21" s="87"/>
      <c r="AM21" s="16"/>
      <c r="AN21" s="16"/>
      <c r="AO21" s="16"/>
      <c r="AP21" s="16"/>
      <c r="AQ21" s="81"/>
      <c r="AR21" s="16"/>
      <c r="AS21" s="196">
        <f>AQ23</f>
        <v>7.8072894903028711E-2</v>
      </c>
      <c r="AT21" s="16"/>
      <c r="AU21" s="15">
        <f>AS21</f>
        <v>7.8072894903028711E-2</v>
      </c>
      <c r="AV21" s="16"/>
      <c r="AW21" s="86">
        <f>AU21</f>
        <v>7.8072894903028711E-2</v>
      </c>
      <c r="AX21" s="16"/>
      <c r="AY21" s="15">
        <f>AW21</f>
        <v>7.8072894903028711E-2</v>
      </c>
      <c r="AZ21" s="16"/>
      <c r="BA21" s="15">
        <f>AY21</f>
        <v>7.8072894903028711E-2</v>
      </c>
      <c r="BB21" s="16"/>
      <c r="BC21" s="86">
        <f>BA21</f>
        <v>7.8072894903028711E-2</v>
      </c>
      <c r="BD21" s="16"/>
      <c r="BE21" s="15">
        <f>BC21</f>
        <v>7.8072894903028711E-2</v>
      </c>
      <c r="BF21" s="16"/>
      <c r="BG21" s="15">
        <f>BE21</f>
        <v>7.8072894903028711E-2</v>
      </c>
      <c r="BH21" s="16"/>
      <c r="BI21" s="86">
        <f>BG21</f>
        <v>7.8072894903028711E-2</v>
      </c>
      <c r="BJ21" s="16"/>
      <c r="BK21" s="15">
        <f>BI21</f>
        <v>7.8072894903028711E-2</v>
      </c>
      <c r="BL21" s="16"/>
      <c r="BM21" s="15">
        <f>BK21</f>
        <v>7.8072894903028711E-2</v>
      </c>
      <c r="BN21" s="16"/>
      <c r="BO21" s="86">
        <f>BM21</f>
        <v>7.8072894903028711E-2</v>
      </c>
      <c r="BQ21" s="16"/>
      <c r="BR21" s="16"/>
      <c r="BS21" s="16"/>
      <c r="BT21" s="16"/>
      <c r="BU21" s="81"/>
      <c r="BW21" s="16"/>
      <c r="BX21" s="16"/>
      <c r="BY21" s="16"/>
      <c r="BZ21" s="16"/>
      <c r="CA21" s="81"/>
      <c r="CC21" s="16"/>
      <c r="CD21" s="16"/>
      <c r="CE21" s="16"/>
      <c r="CF21" s="16"/>
      <c r="CG21" s="81"/>
      <c r="CI21" s="16"/>
      <c r="CJ21" s="16"/>
      <c r="CK21" s="16"/>
      <c r="CL21" s="16"/>
      <c r="CM21" s="81"/>
      <c r="CO21" s="16"/>
      <c r="CP21" s="16"/>
      <c r="CQ21" s="16"/>
      <c r="CR21" s="16"/>
      <c r="CS21" s="81"/>
      <c r="CT21" s="70"/>
      <c r="CU21" s="16"/>
      <c r="CV21" s="16"/>
      <c r="CW21" s="16"/>
      <c r="CX21" s="16"/>
      <c r="CY21" s="81"/>
      <c r="DA21" s="16"/>
      <c r="DB21" s="16"/>
      <c r="DC21" s="16"/>
      <c r="DD21" s="16"/>
      <c r="DE21" s="81"/>
      <c r="DG21" s="16"/>
      <c r="DH21" s="16"/>
      <c r="DI21" s="16"/>
      <c r="DJ21" s="16"/>
      <c r="DK21" s="81"/>
      <c r="DM21" s="16"/>
      <c r="DN21" s="16"/>
      <c r="DO21" s="16"/>
      <c r="DP21" s="16"/>
      <c r="DQ21" s="81"/>
    </row>
    <row r="22" spans="3:122" x14ac:dyDescent="0.2">
      <c r="G22" s="198">
        <f>'Actual Adjustment (IV)'!K27</f>
        <v>21501.063953852514</v>
      </c>
      <c r="O22" s="12">
        <f>G22-(O$5*O21)</f>
        <v>19603.639553852514</v>
      </c>
      <c r="Q22" s="12">
        <f>O22-(Q$5*Q21)</f>
        <v>18053.193953852515</v>
      </c>
      <c r="S22" s="89">
        <f>Q22-(S$5*S21)</f>
        <v>17080.540553852516</v>
      </c>
      <c r="U22" s="12">
        <f>S22-(U$5*U21)</f>
        <v>16605.021113852516</v>
      </c>
      <c r="W22" s="12">
        <f>U22-(W$5*W21)</f>
        <v>16225.468793852515</v>
      </c>
      <c r="Y22" s="89">
        <f>W22-(Y$5*Y21)</f>
        <v>15743.930333852515</v>
      </c>
      <c r="AA22" s="12">
        <f>Y22-(AA$5*AA21)</f>
        <v>15470.225093852516</v>
      </c>
      <c r="AC22" s="12">
        <f>AA22-(AC$5*AC21)</f>
        <v>15113.686673852515</v>
      </c>
      <c r="AE22" s="89">
        <f>AC22-(AE$5*AE21)</f>
        <v>14278.998653852515</v>
      </c>
      <c r="AG22" s="12">
        <f>AE22-(AG$5*AG21)</f>
        <v>13069.411673852515</v>
      </c>
      <c r="AI22" s="12">
        <f>AG22-(AI$5*AI21)</f>
        <v>11059.042133852516</v>
      </c>
      <c r="AK22" s="89">
        <f>AI22-(AK$5*AK21)</f>
        <v>9311.6885938525156</v>
      </c>
      <c r="AL22" s="90"/>
      <c r="AM22" s="14">
        <f>AK22</f>
        <v>9311.6885938525156</v>
      </c>
      <c r="AN22" s="14"/>
      <c r="AO22" s="14">
        <f>AM22</f>
        <v>9311.6885938525156</v>
      </c>
      <c r="AP22" s="14"/>
      <c r="AQ22" s="91">
        <f>AO22+0</f>
        <v>9311.6885938525156</v>
      </c>
      <c r="AS22" s="12">
        <f>AQ22-(AS$5*AS21)</f>
        <v>8713.1802200679995</v>
      </c>
      <c r="AU22" s="12">
        <f>AS22-(AU$5*AU21)</f>
        <v>8244.7928173025648</v>
      </c>
      <c r="AW22" s="89">
        <f>AU22-(AW$5*AW21)</f>
        <v>7837.0383861767205</v>
      </c>
      <c r="AY22" s="12">
        <f>AW22-(AY$5*AY21)</f>
        <v>7454.0361856509326</v>
      </c>
      <c r="BA22" s="12">
        <f>AY22-(BA$5*BA21)</f>
        <v>7091.6905116585876</v>
      </c>
      <c r="BC22" s="89">
        <f>BA22-(BC$5*BC21)</f>
        <v>6559.9204098950786</v>
      </c>
      <c r="BE22" s="12">
        <f>BC22-(BE$5*BE21)</f>
        <v>5506.859150321945</v>
      </c>
      <c r="BG22" s="12">
        <f>BE22-(BG$5*BG21)</f>
        <v>4287.8539526324239</v>
      </c>
      <c r="BI22" s="89">
        <f>BG22-(BI$5*BI21)</f>
        <v>3111.9449929293742</v>
      </c>
      <c r="BK22" s="12">
        <f>BI22-(BK$5*BK21)</f>
        <v>2023.1872443486775</v>
      </c>
      <c r="BM22" s="12">
        <f>BK22-(BM$5*BM21)</f>
        <v>858.71284083312548</v>
      </c>
      <c r="BO22" s="92">
        <f>BM22-(BO$5*BO21)</f>
        <v>-9.0949470177292824E-13</v>
      </c>
      <c r="BQ22" s="14"/>
      <c r="BS22" s="14"/>
      <c r="BU22" s="93"/>
      <c r="BW22" s="14"/>
      <c r="BY22" s="14"/>
      <c r="CA22" s="93"/>
      <c r="CC22" s="14"/>
      <c r="CE22" s="14"/>
      <c r="CG22" s="93"/>
      <c r="CI22" s="14"/>
      <c r="CK22" s="14"/>
      <c r="CM22" s="93"/>
      <c r="CO22" s="14"/>
      <c r="CQ22" s="14"/>
      <c r="CS22" s="93"/>
      <c r="CT22" s="70"/>
      <c r="CU22" s="14"/>
      <c r="CW22" s="14"/>
      <c r="CY22" s="93"/>
      <c r="DA22" s="14"/>
      <c r="DC22" s="14"/>
      <c r="DE22" s="93"/>
      <c r="DG22" s="14"/>
      <c r="DI22" s="14"/>
      <c r="DK22" s="93"/>
      <c r="DM22" s="14"/>
      <c r="DO22" s="14"/>
      <c r="DQ22" s="93"/>
    </row>
    <row r="23" spans="3:122" x14ac:dyDescent="0.2">
      <c r="S23" s="80"/>
      <c r="Y23" s="80"/>
      <c r="AE23" s="80"/>
      <c r="AK23" s="94"/>
      <c r="AQ23" s="95">
        <f>(AQ22/SUM(AS$5:BO$5))</f>
        <v>7.8072894903028711E-2</v>
      </c>
      <c r="AW23" s="80"/>
      <c r="BC23" s="80"/>
      <c r="BI23" s="80"/>
      <c r="BO23" s="80"/>
      <c r="BU23" s="80"/>
      <c r="CA23" s="80"/>
      <c r="CG23" s="80"/>
      <c r="CM23" s="80"/>
      <c r="CS23" s="80"/>
      <c r="CT23" s="70"/>
      <c r="CY23" s="80"/>
      <c r="DE23" s="80"/>
      <c r="DK23" s="80"/>
      <c r="DQ23" s="80"/>
    </row>
    <row r="24" spans="3:122" x14ac:dyDescent="0.2">
      <c r="Z24" s="70"/>
      <c r="AF24" s="70"/>
      <c r="AL24" s="70"/>
      <c r="AR24" s="70"/>
      <c r="AX24" s="70"/>
      <c r="BD24" s="70"/>
      <c r="BJ24" s="70"/>
      <c r="BP24" s="70"/>
      <c r="BV24" s="70"/>
      <c r="CB24" s="70"/>
      <c r="CH24" s="70"/>
      <c r="CN24" s="70"/>
      <c r="CS24" s="80"/>
      <c r="CT24" s="70"/>
      <c r="CZ24" s="70"/>
      <c r="DF24" s="70"/>
      <c r="DL24" s="70"/>
      <c r="DR24" s="70"/>
    </row>
    <row r="25" spans="3:122" x14ac:dyDescent="0.2">
      <c r="C25" s="13" t="s">
        <v>92</v>
      </c>
      <c r="U25" s="85">
        <v>0.73960000000000004</v>
      </c>
      <c r="V25" s="197"/>
      <c r="W25" s="15">
        <f>U25</f>
        <v>0.73960000000000004</v>
      </c>
      <c r="X25" s="16"/>
      <c r="Y25" s="86">
        <f>W25</f>
        <v>0.73960000000000004</v>
      </c>
      <c r="Z25" s="16"/>
      <c r="AA25" s="15">
        <f>Y25</f>
        <v>0.73960000000000004</v>
      </c>
      <c r="AB25" s="16"/>
      <c r="AC25" s="15">
        <f>AA25</f>
        <v>0.73960000000000004</v>
      </c>
      <c r="AD25" s="16"/>
      <c r="AE25" s="86">
        <f>AC25</f>
        <v>0.73960000000000004</v>
      </c>
      <c r="AF25" s="16"/>
      <c r="AG25" s="15">
        <f>AE25</f>
        <v>0.73960000000000004</v>
      </c>
      <c r="AH25" s="16"/>
      <c r="AI25" s="15">
        <f>AG25</f>
        <v>0.73960000000000004</v>
      </c>
      <c r="AJ25" s="16"/>
      <c r="AK25" s="86">
        <f>AI25</f>
        <v>0.73960000000000004</v>
      </c>
      <c r="AL25" s="16"/>
      <c r="AM25" s="15">
        <f>AK25</f>
        <v>0.73960000000000004</v>
      </c>
      <c r="AN25" s="16"/>
      <c r="AO25" s="15">
        <f>AM25</f>
        <v>0.73960000000000004</v>
      </c>
      <c r="AP25" s="16"/>
      <c r="AQ25" s="86">
        <f>AO25</f>
        <v>0.73960000000000004</v>
      </c>
      <c r="AR25" s="87"/>
      <c r="AS25" s="16"/>
      <c r="AT25" s="16"/>
      <c r="AU25" s="16"/>
      <c r="AV25" s="16"/>
      <c r="AW25" s="81"/>
      <c r="AX25" s="16"/>
      <c r="AY25" s="196">
        <f>AW27</f>
        <v>0.25296900926180665</v>
      </c>
      <c r="AZ25" s="16"/>
      <c r="BA25" s="15">
        <f>AY25</f>
        <v>0.25296900926180665</v>
      </c>
      <c r="BB25" s="16"/>
      <c r="BC25" s="86">
        <f>BA25</f>
        <v>0.25296900926180665</v>
      </c>
      <c r="BD25" s="16"/>
      <c r="BE25" s="15">
        <f>BC25</f>
        <v>0.25296900926180665</v>
      </c>
      <c r="BF25" s="16"/>
      <c r="BG25" s="15">
        <f>BE25</f>
        <v>0.25296900926180665</v>
      </c>
      <c r="BH25" s="16"/>
      <c r="BI25" s="86">
        <f>BG25</f>
        <v>0.25296900926180665</v>
      </c>
      <c r="BJ25" s="16"/>
      <c r="BK25" s="15">
        <f>BI25</f>
        <v>0.25296900926180665</v>
      </c>
      <c r="BL25" s="16"/>
      <c r="BM25" s="15">
        <f>BK25</f>
        <v>0.25296900926180665</v>
      </c>
      <c r="BN25" s="16"/>
      <c r="BO25" s="86">
        <f>BM25</f>
        <v>0.25296900926180665</v>
      </c>
      <c r="BP25" s="16"/>
      <c r="BQ25" s="15">
        <f>BO25</f>
        <v>0.25296900926180665</v>
      </c>
      <c r="BR25" s="16"/>
      <c r="BS25" s="15">
        <f>BQ25</f>
        <v>0.25296900926180665</v>
      </c>
      <c r="BT25" s="16"/>
      <c r="BU25" s="86">
        <f>BS25</f>
        <v>0.25296900926180665</v>
      </c>
      <c r="BW25" s="16"/>
      <c r="BX25" s="16"/>
      <c r="BY25" s="16"/>
      <c r="BZ25" s="16"/>
      <c r="CA25" s="81"/>
      <c r="CC25" s="16"/>
      <c r="CD25" s="16"/>
      <c r="CE25" s="16"/>
      <c r="CF25" s="16"/>
      <c r="CG25" s="81"/>
      <c r="CI25" s="16"/>
      <c r="CJ25" s="16"/>
      <c r="CK25" s="16"/>
      <c r="CL25" s="16"/>
      <c r="CM25" s="81"/>
      <c r="CO25" s="16"/>
      <c r="CP25" s="16"/>
      <c r="CQ25" s="16"/>
      <c r="CR25" s="16"/>
      <c r="CS25" s="81"/>
      <c r="CT25" s="70"/>
      <c r="CU25" s="16"/>
      <c r="CV25" s="16"/>
      <c r="CW25" s="16"/>
      <c r="CX25" s="16"/>
      <c r="CY25" s="81"/>
      <c r="DA25" s="16"/>
      <c r="DB25" s="16"/>
      <c r="DC25" s="16"/>
      <c r="DD25" s="16"/>
      <c r="DE25" s="81"/>
      <c r="DG25" s="16"/>
      <c r="DH25" s="16"/>
      <c r="DI25" s="16"/>
      <c r="DJ25" s="16"/>
      <c r="DK25" s="81"/>
      <c r="DM25" s="16"/>
      <c r="DN25" s="16"/>
      <c r="DO25" s="16"/>
      <c r="DP25" s="16"/>
      <c r="DQ25" s="81"/>
    </row>
    <row r="26" spans="3:122" x14ac:dyDescent="0.2">
      <c r="M26" s="198">
        <f>'Actual Adjustment (IV)'!Q27</f>
        <v>93731.205208687912</v>
      </c>
      <c r="U26" s="12">
        <f>M26-(U$5*U25)</f>
        <v>91645.237368687915</v>
      </c>
      <c r="W26" s="12">
        <f>U26-(W$5*W25)</f>
        <v>89980.249848687919</v>
      </c>
      <c r="Y26" s="89">
        <f>W26-(Y$5*Y25)</f>
        <v>87867.87828868792</v>
      </c>
      <c r="AA26" s="12">
        <f>Y26-(AA$5*AA25)</f>
        <v>86667.211648687924</v>
      </c>
      <c r="AC26" s="12">
        <f>AA26-(AC$5*AC25)</f>
        <v>85103.179528687921</v>
      </c>
      <c r="AE26" s="89">
        <f>AC26-(AE$5*AE25)</f>
        <v>81441.641808687913</v>
      </c>
      <c r="AG26" s="12">
        <f>AE26-(AG$5*AG25)</f>
        <v>76135.529528687912</v>
      </c>
      <c r="AI26" s="12">
        <f>AG26-(AI$5*AI25)</f>
        <v>67316.613088687911</v>
      </c>
      <c r="AK26" s="89">
        <f>AI26-(AK$5*AK25)</f>
        <v>59651.472648687908</v>
      </c>
      <c r="AM26" s="12">
        <f>AK26-(AM$5*AM25)</f>
        <v>49337.454808687908</v>
      </c>
      <c r="AO26" s="12">
        <f>AM26-(AO$5*AO25)</f>
        <v>38306.158096687905</v>
      </c>
      <c r="AQ26" s="89">
        <f>AO26-(AQ$5*AQ25)</f>
        <v>30171.401240687905</v>
      </c>
      <c r="AR26" s="90"/>
      <c r="AS26" s="14">
        <f>AQ26</f>
        <v>30171.401240687905</v>
      </c>
      <c r="AT26" s="14"/>
      <c r="AU26" s="14">
        <f>AS26</f>
        <v>30171.401240687905</v>
      </c>
      <c r="AV26" s="14"/>
      <c r="AW26" s="91">
        <f>AU26+0</f>
        <v>30171.401240687905</v>
      </c>
      <c r="AY26" s="12">
        <f>AW26-(AY$5*AY25)</f>
        <v>28930.411171952259</v>
      </c>
      <c r="BA26" s="12">
        <f>AY26-(BA$5*BA25)</f>
        <v>27756.351643687103</v>
      </c>
      <c r="BC26" s="89">
        <f>BA26-(BC$5*BC25)</f>
        <v>26033.329127803085</v>
      </c>
      <c r="BE26" s="12">
        <f>BC26-(BE$5*BE25)</f>
        <v>22621.23759645817</v>
      </c>
      <c r="BG26" s="12">
        <f>BE26-(BG$5*BG25)</f>
        <v>18671.460435927285</v>
      </c>
      <c r="BI26" s="89">
        <f>BG26-(BI$5*BI25)</f>
        <v>14861.322168508917</v>
      </c>
      <c r="BK26" s="12">
        <f>BI26-(BK$5*BK25)</f>
        <v>11333.56814674932</v>
      </c>
      <c r="BM26" s="12">
        <f>BK26-(BM$5*BM25)</f>
        <v>7560.4797204274355</v>
      </c>
      <c r="BO26" s="89">
        <f>BM26-(BO$5*BO25)</f>
        <v>4778.1090032181201</v>
      </c>
      <c r="BQ26" s="12">
        <f>BO26-(BQ$5*BQ25)</f>
        <v>2838.8435188369249</v>
      </c>
      <c r="BS26" s="12">
        <f>BQ26-(BS$5*BS25)</f>
        <v>1321.1913634320126</v>
      </c>
      <c r="BU26" s="92">
        <f>BS26-(BU$5*BU25)</f>
        <v>4.7748471843078732E-12</v>
      </c>
      <c r="BW26" s="14"/>
      <c r="BY26" s="14"/>
      <c r="CA26" s="93"/>
      <c r="CC26" s="14"/>
      <c r="CE26" s="14"/>
      <c r="CG26" s="93"/>
      <c r="CI26" s="14"/>
      <c r="CK26" s="14"/>
      <c r="CM26" s="93"/>
      <c r="CO26" s="14"/>
      <c r="CQ26" s="14"/>
      <c r="CS26" s="93"/>
      <c r="CT26" s="70"/>
      <c r="CU26" s="14"/>
      <c r="CW26" s="14"/>
      <c r="CY26" s="93"/>
      <c r="DA26" s="14"/>
      <c r="DC26" s="14"/>
      <c r="DE26" s="93"/>
      <c r="DG26" s="14"/>
      <c r="DI26" s="14"/>
      <c r="DK26" s="93"/>
      <c r="DM26" s="14"/>
      <c r="DO26" s="14"/>
      <c r="DQ26" s="93"/>
    </row>
    <row r="27" spans="3:122" x14ac:dyDescent="0.2">
      <c r="Y27" s="80"/>
      <c r="AE27" s="80"/>
      <c r="AK27" s="80"/>
      <c r="AQ27" s="94"/>
      <c r="AW27" s="95">
        <f>(AW26/SUM(AY$5:BU$5))</f>
        <v>0.25296900926180665</v>
      </c>
      <c r="BC27" s="80"/>
      <c r="BI27" s="80"/>
      <c r="BO27" s="80"/>
      <c r="BU27" s="80"/>
      <c r="CA27" s="80"/>
      <c r="CG27" s="80"/>
      <c r="CM27" s="80"/>
      <c r="CS27" s="80"/>
      <c r="CT27" s="70"/>
      <c r="CY27" s="80"/>
      <c r="DE27" s="80"/>
      <c r="DK27" s="80"/>
      <c r="DQ27" s="80"/>
    </row>
    <row r="28" spans="3:122" x14ac:dyDescent="0.2">
      <c r="Z28" s="70"/>
      <c r="AF28" s="70"/>
      <c r="AL28" s="70"/>
      <c r="AR28" s="70"/>
      <c r="AX28" s="70"/>
      <c r="BD28" s="70"/>
      <c r="BJ28" s="70"/>
      <c r="BP28" s="70"/>
      <c r="BV28" s="70"/>
      <c r="CB28" s="70"/>
      <c r="CH28" s="70"/>
      <c r="CN28" s="70"/>
      <c r="CS28" s="80"/>
      <c r="CT28" s="70"/>
      <c r="CZ28" s="70"/>
      <c r="DF28" s="70"/>
      <c r="DL28" s="70"/>
      <c r="DR28" s="70"/>
    </row>
    <row r="29" spans="3:122" x14ac:dyDescent="0.2">
      <c r="C29" s="13" t="s">
        <v>93</v>
      </c>
      <c r="AA29" s="85">
        <v>0.4647</v>
      </c>
      <c r="AB29" s="197"/>
      <c r="AC29" s="15">
        <f>AA29</f>
        <v>0.4647</v>
      </c>
      <c r="AD29" s="16"/>
      <c r="AE29" s="86">
        <f>AC29</f>
        <v>0.4647</v>
      </c>
      <c r="AF29" s="16"/>
      <c r="AG29" s="15">
        <f>AE29</f>
        <v>0.4647</v>
      </c>
      <c r="AH29" s="16"/>
      <c r="AI29" s="15">
        <f>AG29</f>
        <v>0.4647</v>
      </c>
      <c r="AJ29" s="16"/>
      <c r="AK29" s="86">
        <f>AI29</f>
        <v>0.4647</v>
      </c>
      <c r="AL29" s="16"/>
      <c r="AM29" s="15">
        <f>AK29</f>
        <v>0.4647</v>
      </c>
      <c r="AN29" s="16"/>
      <c r="AO29" s="15">
        <f>AM29</f>
        <v>0.4647</v>
      </c>
      <c r="AP29" s="16"/>
      <c r="AQ29" s="86">
        <f>AO29</f>
        <v>0.4647</v>
      </c>
      <c r="AR29" s="16"/>
      <c r="AS29" s="15">
        <f>AQ29</f>
        <v>0.4647</v>
      </c>
      <c r="AT29" s="16"/>
      <c r="AU29" s="15">
        <f>AS29</f>
        <v>0.4647</v>
      </c>
      <c r="AV29" s="16"/>
      <c r="AW29" s="86">
        <f>AU29</f>
        <v>0.4647</v>
      </c>
      <c r="AX29" s="87"/>
      <c r="AY29" s="16"/>
      <c r="AZ29" s="16"/>
      <c r="BA29" s="16"/>
      <c r="BB29" s="16"/>
      <c r="BC29" s="81"/>
      <c r="BD29" s="16"/>
      <c r="BE29" s="196">
        <f>BC31</f>
        <v>0.11330743251633696</v>
      </c>
      <c r="BF29" s="16"/>
      <c r="BG29" s="15">
        <f>BE29</f>
        <v>0.11330743251633696</v>
      </c>
      <c r="BH29" s="16"/>
      <c r="BI29" s="86">
        <f>BG29</f>
        <v>0.11330743251633696</v>
      </c>
      <c r="BJ29" s="16"/>
      <c r="BK29" s="15">
        <f>BI29</f>
        <v>0.11330743251633696</v>
      </c>
      <c r="BL29" s="16"/>
      <c r="BM29" s="15">
        <f>BK29</f>
        <v>0.11330743251633696</v>
      </c>
      <c r="BN29" s="16"/>
      <c r="BO29" s="86">
        <f>BM29</f>
        <v>0.11330743251633696</v>
      </c>
      <c r="BP29" s="16"/>
      <c r="BQ29" s="15">
        <f>BO29</f>
        <v>0.11330743251633696</v>
      </c>
      <c r="BR29" s="16"/>
      <c r="BS29" s="15">
        <f>BQ29</f>
        <v>0.11330743251633696</v>
      </c>
      <c r="BT29" s="16"/>
      <c r="BU29" s="86">
        <f>BS29</f>
        <v>0.11330743251633696</v>
      </c>
      <c r="BV29" s="16"/>
      <c r="BW29" s="15">
        <f>BU29</f>
        <v>0.11330743251633696</v>
      </c>
      <c r="BX29" s="16"/>
      <c r="BY29" s="15">
        <f>BW29</f>
        <v>0.11330743251633696</v>
      </c>
      <c r="BZ29" s="16"/>
      <c r="CA29" s="86">
        <f>BY29</f>
        <v>0.11330743251633696</v>
      </c>
      <c r="CC29" s="16"/>
      <c r="CD29" s="16"/>
      <c r="CE29" s="16"/>
      <c r="CF29" s="16"/>
      <c r="CG29" s="81"/>
      <c r="CI29" s="16"/>
      <c r="CJ29" s="16"/>
      <c r="CK29" s="16"/>
      <c r="CL29" s="16"/>
      <c r="CM29" s="81"/>
      <c r="CO29" s="16"/>
      <c r="CP29" s="16"/>
      <c r="CQ29" s="16"/>
      <c r="CR29" s="16"/>
      <c r="CS29" s="81"/>
      <c r="CT29" s="70"/>
      <c r="CU29" s="16"/>
      <c r="CV29" s="16"/>
      <c r="CW29" s="16"/>
      <c r="CX29" s="16"/>
      <c r="CY29" s="81"/>
      <c r="DA29" s="16"/>
      <c r="DB29" s="16"/>
      <c r="DC29" s="16"/>
      <c r="DD29" s="16"/>
      <c r="DE29" s="81"/>
      <c r="DG29" s="16"/>
      <c r="DH29" s="16"/>
      <c r="DI29" s="16"/>
      <c r="DJ29" s="16"/>
      <c r="DK29" s="81"/>
      <c r="DM29" s="16"/>
      <c r="DN29" s="16"/>
      <c r="DO29" s="16"/>
      <c r="DP29" s="16"/>
      <c r="DQ29" s="81"/>
    </row>
    <row r="30" spans="3:122" x14ac:dyDescent="0.2">
      <c r="S30" s="198">
        <f>'Actual Adjustment (IV)'!W27</f>
        <v>58542.815247980208</v>
      </c>
      <c r="AA30" s="12">
        <f>S30-(AA$5*AA29)</f>
        <v>57788.421267980208</v>
      </c>
      <c r="AC30" s="12">
        <f>AA30-(AC$5*AC29)</f>
        <v>56805.720177980205</v>
      </c>
      <c r="AE30" s="89">
        <f>AC30-(AE$5*AE29)</f>
        <v>54505.129887980205</v>
      </c>
      <c r="AG30" s="12">
        <f>AE30-(AG$5*AG29)</f>
        <v>51171.232677980202</v>
      </c>
      <c r="AI30" s="12">
        <f>AG30-(AI$5*AI29)</f>
        <v>45630.1963479802</v>
      </c>
      <c r="AK30" s="89">
        <f>AI30-(AK$5*AK29)</f>
        <v>40814.092017980198</v>
      </c>
      <c r="AM30" s="12">
        <f>AK30-(AM$5*AM29)</f>
        <v>34333.664637980197</v>
      </c>
      <c r="AO30" s="12">
        <f>AM30-(AO$5*AO29)</f>
        <v>27402.561903980197</v>
      </c>
      <c r="AQ30" s="89">
        <f>AO30-(AQ$5*AQ29)</f>
        <v>22291.391661980197</v>
      </c>
      <c r="AS30" s="12">
        <f>AQ30-(AS$5*AS29)</f>
        <v>18728.992167980196</v>
      </c>
      <c r="AU30" s="12">
        <f>AS30-(AU$5*AU29)</f>
        <v>15941.089575980195</v>
      </c>
      <c r="AW30" s="89">
        <f>AU30-(AW$5*AW29)</f>
        <v>13514.082297980196</v>
      </c>
      <c r="AX30" s="90"/>
      <c r="AY30" s="14">
        <f>AW30</f>
        <v>13514.082297980196</v>
      </c>
      <c r="AZ30" s="14"/>
      <c r="BA30" s="14">
        <f>AY30</f>
        <v>13514.082297980196</v>
      </c>
      <c r="BB30" s="14"/>
      <c r="BC30" s="91">
        <f>BA30+0</f>
        <v>13514.082297980196</v>
      </c>
      <c r="BE30" s="12">
        <f>BC30-(BE$5*BE29)</f>
        <v>11985.77125286199</v>
      </c>
      <c r="BG30" s="12">
        <f>BE30-(BG$5*BG29)</f>
        <v>10216.62525993031</v>
      </c>
      <c r="BI30" s="89">
        <f>BG30-(BI$5*BI29)</f>
        <v>8510.0249697476484</v>
      </c>
      <c r="BK30" s="12">
        <f>BI30-(BK$5*BK29)</f>
        <v>6929.9075003343223</v>
      </c>
      <c r="BM30" s="12">
        <f>BK30-(BM$5*BM29)</f>
        <v>5239.9022167180028</v>
      </c>
      <c r="BO30" s="89">
        <f>BM30-(BO$5*BO29)</f>
        <v>3993.6496295113648</v>
      </c>
      <c r="BQ30" s="12">
        <f>BO30-(BQ$5*BQ29)</f>
        <v>3125.0325856924755</v>
      </c>
      <c r="BS30" s="12">
        <f>BQ30-(BS$5*BS29)</f>
        <v>2445.2605073512641</v>
      </c>
      <c r="BU30" s="89">
        <f>BS30-(BU$5*BU29)</f>
        <v>1853.4852472508906</v>
      </c>
      <c r="BW30" s="12">
        <f>BU30-(BW$5*BW29)</f>
        <v>1297.6329755554964</v>
      </c>
      <c r="BY30" s="12">
        <f>BW30-(BY$5*BY29)</f>
        <v>771.75958435527457</v>
      </c>
      <c r="CA30" s="92">
        <f>BY30-(CA$5*CA29)</f>
        <v>0</v>
      </c>
      <c r="CC30" s="14"/>
      <c r="CE30" s="14"/>
      <c r="CG30" s="93"/>
      <c r="CI30" s="14"/>
      <c r="CK30" s="14"/>
      <c r="CM30" s="93"/>
      <c r="CO30" s="14"/>
      <c r="CQ30" s="14"/>
      <c r="CS30" s="93"/>
      <c r="CT30" s="70"/>
      <c r="CU30" s="14"/>
      <c r="CW30" s="14"/>
      <c r="CY30" s="93"/>
      <c r="DA30" s="14"/>
      <c r="DC30" s="14"/>
      <c r="DE30" s="93"/>
      <c r="DG30" s="14"/>
      <c r="DI30" s="14"/>
      <c r="DK30" s="93"/>
      <c r="DM30" s="14"/>
      <c r="DO30" s="14"/>
      <c r="DQ30" s="93"/>
    </row>
    <row r="31" spans="3:122" x14ac:dyDescent="0.2">
      <c r="AE31" s="80"/>
      <c r="AK31" s="80"/>
      <c r="AQ31" s="80"/>
      <c r="AW31" s="94"/>
      <c r="BC31" s="95">
        <f>(BC30/SUM(BE$5:CA$5))</f>
        <v>0.11330743251633696</v>
      </c>
      <c r="BI31" s="80"/>
      <c r="BO31" s="80"/>
      <c r="BU31" s="80"/>
      <c r="CA31" s="80"/>
      <c r="CG31" s="80"/>
      <c r="CM31" s="80"/>
      <c r="CS31" s="80"/>
      <c r="CT31" s="70"/>
      <c r="CY31" s="80"/>
      <c r="DE31" s="80"/>
      <c r="DK31" s="80"/>
      <c r="DQ31" s="80"/>
    </row>
    <row r="32" spans="3:122" x14ac:dyDescent="0.2">
      <c r="U32" s="14"/>
      <c r="AF32" s="70"/>
      <c r="AL32" s="70"/>
      <c r="AR32" s="70"/>
      <c r="AX32" s="70"/>
      <c r="BD32" s="70"/>
      <c r="BJ32" s="70"/>
      <c r="BP32" s="70"/>
      <c r="BV32" s="70"/>
      <c r="CB32" s="70"/>
      <c r="CH32" s="70"/>
      <c r="CN32" s="70"/>
      <c r="CS32" s="80"/>
      <c r="CT32" s="70"/>
      <c r="CZ32" s="70"/>
      <c r="DF32" s="70"/>
      <c r="DL32" s="70"/>
      <c r="DR32" s="70"/>
    </row>
    <row r="33" spans="3:122" x14ac:dyDescent="0.2">
      <c r="C33" s="17" t="s">
        <v>94</v>
      </c>
      <c r="W33" s="14"/>
      <c r="AG33" s="85">
        <v>0.439</v>
      </c>
      <c r="AH33" s="197"/>
      <c r="AI33" s="15">
        <f>AG33</f>
        <v>0.439</v>
      </c>
      <c r="AJ33" s="16"/>
      <c r="AK33" s="86">
        <f>AI33</f>
        <v>0.439</v>
      </c>
      <c r="AL33" s="16"/>
      <c r="AM33" s="15">
        <f>AK33</f>
        <v>0.439</v>
      </c>
      <c r="AN33" s="16"/>
      <c r="AO33" s="15">
        <f>AM33</f>
        <v>0.439</v>
      </c>
      <c r="AP33" s="16"/>
      <c r="AQ33" s="86">
        <f>AO33</f>
        <v>0.439</v>
      </c>
      <c r="AR33" s="16"/>
      <c r="AS33" s="15">
        <f>AQ33</f>
        <v>0.439</v>
      </c>
      <c r="AT33" s="16"/>
      <c r="AU33" s="15">
        <f>AS33</f>
        <v>0.439</v>
      </c>
      <c r="AV33" s="16"/>
      <c r="AW33" s="86">
        <f>AU33</f>
        <v>0.439</v>
      </c>
      <c r="AX33" s="16"/>
      <c r="AY33" s="15">
        <f>AW33</f>
        <v>0.439</v>
      </c>
      <c r="AZ33" s="16"/>
      <c r="BA33" s="15">
        <f>AY33</f>
        <v>0.439</v>
      </c>
      <c r="BB33" s="16"/>
      <c r="BC33" s="86">
        <f>BA33</f>
        <v>0.439</v>
      </c>
      <c r="BD33" s="87"/>
      <c r="BE33" s="16"/>
      <c r="BF33" s="16"/>
      <c r="BG33" s="16"/>
      <c r="BH33" s="16"/>
      <c r="BI33" s="81"/>
      <c r="BJ33" s="16"/>
      <c r="BK33" s="196">
        <f>BI35</f>
        <v>4.3111569288627798E-2</v>
      </c>
      <c r="BL33" s="16"/>
      <c r="BM33" s="15">
        <f>BK33</f>
        <v>4.3111569288627798E-2</v>
      </c>
      <c r="BN33" s="16"/>
      <c r="BO33" s="86">
        <f>BM33</f>
        <v>4.3111569288627798E-2</v>
      </c>
      <c r="BP33" s="16"/>
      <c r="BQ33" s="15">
        <f>BO33</f>
        <v>4.3111569288627798E-2</v>
      </c>
      <c r="BR33" s="16"/>
      <c r="BS33" s="15">
        <f>BQ33</f>
        <v>4.3111569288627798E-2</v>
      </c>
      <c r="BT33" s="16"/>
      <c r="BU33" s="86">
        <f>BS33</f>
        <v>4.3111569288627798E-2</v>
      </c>
      <c r="BV33" s="16"/>
      <c r="BW33" s="15">
        <f>BU33</f>
        <v>4.3111569288627798E-2</v>
      </c>
      <c r="BX33" s="16"/>
      <c r="BY33" s="15">
        <f>BW33</f>
        <v>4.3111569288627798E-2</v>
      </c>
      <c r="BZ33" s="16"/>
      <c r="CA33" s="86">
        <f>BY33</f>
        <v>4.3111569288627798E-2</v>
      </c>
      <c r="CB33" s="16"/>
      <c r="CC33" s="15">
        <f>CA33</f>
        <v>4.3111569288627798E-2</v>
      </c>
      <c r="CD33" s="16"/>
      <c r="CE33" s="15">
        <f>CC33</f>
        <v>4.3111569288627798E-2</v>
      </c>
      <c r="CF33" s="16"/>
      <c r="CG33" s="86">
        <f>CE33</f>
        <v>4.3111569288627798E-2</v>
      </c>
      <c r="CI33" s="16"/>
      <c r="CJ33" s="16"/>
      <c r="CK33" s="16"/>
      <c r="CL33" s="16"/>
      <c r="CM33" s="81"/>
      <c r="CO33" s="16"/>
      <c r="CP33" s="16"/>
      <c r="CQ33" s="16"/>
      <c r="CR33" s="16"/>
      <c r="CS33" s="81"/>
      <c r="CT33" s="70"/>
      <c r="CU33" s="16"/>
      <c r="CV33" s="16"/>
      <c r="CW33" s="16"/>
      <c r="CX33" s="16"/>
      <c r="CY33" s="81"/>
      <c r="DA33" s="16"/>
      <c r="DB33" s="16"/>
      <c r="DC33" s="16"/>
      <c r="DD33" s="16"/>
      <c r="DE33" s="81"/>
      <c r="DG33" s="16"/>
      <c r="DH33" s="16"/>
      <c r="DI33" s="16"/>
      <c r="DJ33" s="16"/>
      <c r="DK33" s="81"/>
      <c r="DM33" s="16"/>
      <c r="DN33" s="16"/>
      <c r="DO33" s="16"/>
      <c r="DP33" s="16"/>
      <c r="DQ33" s="81"/>
    </row>
    <row r="34" spans="3:122" x14ac:dyDescent="0.2">
      <c r="Y34" s="198">
        <f>'Actual Adjustment (IV)'!AC27</f>
        <v>51047.109735336431</v>
      </c>
      <c r="AG34" s="12">
        <f>Y34-(AG$5*AG33)</f>
        <v>47897.592035336434</v>
      </c>
      <c r="AI34" s="12">
        <f>AG34-(AI$5*AI33)</f>
        <v>42662.999935336433</v>
      </c>
      <c r="AK34" s="89">
        <f>AI34-(AK$5*AK33)</f>
        <v>38113.247835336435</v>
      </c>
      <c r="AM34" s="12">
        <f>AK34-(AM$5*AM33)</f>
        <v>31991.217235336433</v>
      </c>
      <c r="AO34" s="12">
        <f>AM34-(AO$5*AO33)</f>
        <v>25443.435655336434</v>
      </c>
      <c r="AQ34" s="89">
        <f>AO34-(AQ$5*AQ33)</f>
        <v>20614.936115336433</v>
      </c>
      <c r="AS34" s="12">
        <f>AQ34-(AS$5*AS33)</f>
        <v>17249.553335336434</v>
      </c>
      <c r="AU34" s="12">
        <f>AS34-(AU$5*AU33)</f>
        <v>14615.834295336434</v>
      </c>
      <c r="AW34" s="89">
        <f>AU34-(AW$5*AW33)</f>
        <v>12323.051435336434</v>
      </c>
      <c r="AY34" s="12">
        <f>AW34-(AY$5*AY33)</f>
        <v>10169.449135336434</v>
      </c>
      <c r="BA34" s="12">
        <f>AY34-(BA$5*BA33)</f>
        <v>8131.9974553364336</v>
      </c>
      <c r="BC34" s="89">
        <f>BA34-(BC$5*BC33)</f>
        <v>5141.8806553364338</v>
      </c>
      <c r="BD34" s="90"/>
      <c r="BE34" s="14">
        <f>BC34</f>
        <v>5141.8806553364338</v>
      </c>
      <c r="BF34" s="14"/>
      <c r="BG34" s="14">
        <f>BE34</f>
        <v>5141.8806553364338</v>
      </c>
      <c r="BH34" s="14"/>
      <c r="BI34" s="91">
        <f>BG34+0</f>
        <v>5141.8806553364338</v>
      </c>
      <c r="BK34" s="12">
        <f>BI34-(BK$5*BK33)</f>
        <v>4540.6725769788036</v>
      </c>
      <c r="BM34" s="12">
        <f>BK34-(BM$5*BM33)</f>
        <v>3897.6540364936764</v>
      </c>
      <c r="BO34" s="89">
        <f>BM34-(BO$5*BO33)</f>
        <v>3423.4759215077597</v>
      </c>
      <c r="BQ34" s="12">
        <f>BO34-(BQ$5*BQ33)</f>
        <v>3092.9817691097533</v>
      </c>
      <c r="BS34" s="12">
        <f>BQ34-(BS$5*BS33)</f>
        <v>2834.3399447823313</v>
      </c>
      <c r="BU34" s="89">
        <f>BS34-(BU$5*BU33)</f>
        <v>2609.1794273958435</v>
      </c>
      <c r="BW34" s="12">
        <f>BU34-(BW$5*BW33)</f>
        <v>2397.687001936622</v>
      </c>
      <c r="BY34" s="12">
        <f>BW34-(BY$5*BY33)</f>
        <v>2197.6010354797859</v>
      </c>
      <c r="CA34" s="89">
        <f>BY34-(CA$5*CA33)</f>
        <v>1903.9595147410841</v>
      </c>
      <c r="CC34" s="12">
        <f>CA34-(CC$5*CC33)</f>
        <v>1322.4629080936006</v>
      </c>
      <c r="CE34" s="12">
        <f>CC34-(CE$5*CE33)</f>
        <v>649.33266092313852</v>
      </c>
      <c r="CG34" s="92">
        <f>CE34-(CG$5*CG33)</f>
        <v>-1.0231815394945443E-12</v>
      </c>
      <c r="CI34" s="14"/>
      <c r="CK34" s="14"/>
      <c r="CM34" s="93"/>
      <c r="CO34" s="14"/>
      <c r="CQ34" s="14"/>
      <c r="CS34" s="93"/>
      <c r="CT34" s="70"/>
      <c r="CU34" s="14"/>
      <c r="CW34" s="14"/>
      <c r="CY34" s="93"/>
      <c r="DA34" s="14"/>
      <c r="DC34" s="14"/>
      <c r="DE34" s="93"/>
      <c r="DG34" s="14"/>
      <c r="DI34" s="14"/>
      <c r="DK34" s="93"/>
      <c r="DM34" s="14"/>
      <c r="DO34" s="14"/>
      <c r="DQ34" s="93"/>
    </row>
    <row r="35" spans="3:122" x14ac:dyDescent="0.2">
      <c r="AK35" s="80"/>
      <c r="AQ35" s="80"/>
      <c r="AW35" s="80"/>
      <c r="BC35" s="94"/>
      <c r="BI35" s="95">
        <f>(BI34/SUM(BK$5:CG$5))</f>
        <v>4.3111569288627798E-2</v>
      </c>
      <c r="BO35" s="80"/>
      <c r="BU35" s="80"/>
      <c r="CA35" s="80"/>
      <c r="CG35" s="80"/>
      <c r="CM35" s="80"/>
      <c r="CS35" s="80"/>
      <c r="CT35" s="70"/>
      <c r="CY35" s="80"/>
      <c r="DE35" s="80"/>
      <c r="DK35" s="80"/>
      <c r="DQ35" s="80"/>
    </row>
    <row r="36" spans="3:122" x14ac:dyDescent="0.2">
      <c r="AK36" s="80"/>
      <c r="AM36" s="16"/>
      <c r="AO36" s="16"/>
      <c r="AP36" s="16"/>
      <c r="AQ36" s="81"/>
      <c r="AR36" s="16"/>
      <c r="AS36" s="16"/>
      <c r="AT36" s="16"/>
      <c r="AU36" s="16"/>
      <c r="AV36" s="16"/>
      <c r="AW36" s="81"/>
      <c r="AX36" s="16"/>
      <c r="AY36" s="16"/>
      <c r="AZ36" s="16"/>
      <c r="BA36" s="16"/>
      <c r="BB36" s="16"/>
      <c r="BC36" s="81"/>
      <c r="BD36" s="16"/>
      <c r="BE36" s="16"/>
      <c r="BF36" s="16"/>
      <c r="BG36" s="16"/>
      <c r="BH36" s="16"/>
      <c r="BI36" s="81"/>
      <c r="BJ36" s="87"/>
      <c r="BK36" s="16"/>
      <c r="BL36" s="16"/>
      <c r="BM36" s="16"/>
      <c r="BN36" s="16"/>
      <c r="BO36" s="81"/>
      <c r="BP36" s="16"/>
      <c r="BR36" s="16"/>
      <c r="BS36" s="16"/>
      <c r="BT36" s="16"/>
      <c r="BU36" s="81"/>
      <c r="BV36" s="16"/>
      <c r="BW36" s="16"/>
      <c r="BX36" s="16"/>
      <c r="BY36" s="16"/>
      <c r="BZ36" s="16"/>
      <c r="CA36" s="81"/>
      <c r="CB36" s="16"/>
      <c r="CC36" s="16"/>
      <c r="CD36" s="16"/>
      <c r="CE36" s="16"/>
      <c r="CF36" s="16"/>
      <c r="CG36" s="81"/>
      <c r="CH36" s="16"/>
      <c r="CI36" s="16"/>
      <c r="CJ36" s="16"/>
      <c r="CK36" s="16"/>
      <c r="CL36" s="16"/>
      <c r="CM36" s="81"/>
      <c r="CO36" s="16"/>
      <c r="CP36" s="16"/>
      <c r="CQ36" s="16"/>
      <c r="CR36" s="16"/>
      <c r="CS36" s="81"/>
      <c r="CT36" s="70"/>
      <c r="CU36" s="16"/>
      <c r="CV36" s="16"/>
      <c r="CW36" s="16"/>
      <c r="CX36" s="16"/>
      <c r="CY36" s="81"/>
      <c r="DA36" s="16"/>
      <c r="DB36" s="16"/>
      <c r="DC36" s="16"/>
      <c r="DD36" s="16"/>
      <c r="DE36" s="81"/>
      <c r="DG36" s="16"/>
      <c r="DH36" s="16"/>
      <c r="DI36" s="16"/>
      <c r="DJ36" s="16"/>
      <c r="DK36" s="81"/>
      <c r="DM36" s="16"/>
      <c r="DN36" s="16"/>
      <c r="DO36" s="16"/>
      <c r="DP36" s="16"/>
      <c r="DQ36" s="81"/>
    </row>
    <row r="37" spans="3:122" x14ac:dyDescent="0.2">
      <c r="C37" s="17"/>
      <c r="AM37" s="85">
        <v>0.19839999999999999</v>
      </c>
      <c r="AN37" s="197"/>
      <c r="AO37" s="15">
        <f>AM37</f>
        <v>0.19839999999999999</v>
      </c>
      <c r="AP37" s="16"/>
      <c r="AQ37" s="86">
        <f>AO37</f>
        <v>0.19839999999999999</v>
      </c>
      <c r="AR37" s="16"/>
      <c r="AS37" s="15">
        <f>AQ37</f>
        <v>0.19839999999999999</v>
      </c>
      <c r="AT37" s="16"/>
      <c r="AU37" s="15">
        <f>AS37</f>
        <v>0.19839999999999999</v>
      </c>
      <c r="AV37" s="16"/>
      <c r="AW37" s="86">
        <f>AU37</f>
        <v>0.19839999999999999</v>
      </c>
      <c r="AX37" s="16"/>
      <c r="AY37" s="15">
        <f>AW37</f>
        <v>0.19839999999999999</v>
      </c>
      <c r="AZ37" s="16"/>
      <c r="BA37" s="15">
        <f>AY37</f>
        <v>0.19839999999999999</v>
      </c>
      <c r="BB37" s="16"/>
      <c r="BC37" s="86">
        <f>BA37</f>
        <v>0.19839999999999999</v>
      </c>
      <c r="BD37" s="16"/>
      <c r="BE37" s="15">
        <f>BC37</f>
        <v>0.19839999999999999</v>
      </c>
      <c r="BF37" s="16"/>
      <c r="BG37" s="15">
        <f>BE37</f>
        <v>0.19839999999999999</v>
      </c>
      <c r="BH37" s="16"/>
      <c r="BI37" s="86">
        <f>BG37</f>
        <v>0.19839999999999999</v>
      </c>
      <c r="BJ37" s="87"/>
      <c r="BK37" s="16"/>
      <c r="BL37" s="16"/>
      <c r="BM37" s="16"/>
      <c r="BN37" s="16"/>
      <c r="BO37" s="81"/>
      <c r="BP37" s="16"/>
      <c r="BQ37" s="196">
        <f>BO39</f>
        <v>4.2959122613917301E-2</v>
      </c>
      <c r="BR37" s="16"/>
      <c r="BS37" s="15">
        <f>BQ37</f>
        <v>4.2959122613917301E-2</v>
      </c>
      <c r="BT37" s="16"/>
      <c r="BU37" s="86">
        <f>BS37</f>
        <v>4.2959122613917301E-2</v>
      </c>
      <c r="BV37" s="16"/>
      <c r="BW37" s="15">
        <f>BU37</f>
        <v>4.2959122613917301E-2</v>
      </c>
      <c r="BX37" s="16"/>
      <c r="BY37" s="15">
        <f>BW37</f>
        <v>4.2959122613917301E-2</v>
      </c>
      <c r="BZ37" s="16"/>
      <c r="CA37" s="86">
        <f>BY37</f>
        <v>4.2959122613917301E-2</v>
      </c>
      <c r="CB37" s="16"/>
      <c r="CC37" s="15">
        <f>CA37</f>
        <v>4.2959122613917301E-2</v>
      </c>
      <c r="CD37" s="16"/>
      <c r="CE37" s="15">
        <f>CC37</f>
        <v>4.2959122613917301E-2</v>
      </c>
      <c r="CF37" s="16"/>
      <c r="CG37" s="86">
        <f>CE37</f>
        <v>4.2959122613917301E-2</v>
      </c>
      <c r="CH37" s="16"/>
      <c r="CI37" s="15">
        <f>CG37</f>
        <v>4.2959122613917301E-2</v>
      </c>
      <c r="CJ37" s="16"/>
      <c r="CK37" s="15">
        <f>CI37</f>
        <v>4.2959122613917301E-2</v>
      </c>
      <c r="CL37" s="16"/>
      <c r="CM37" s="86">
        <f>CK37</f>
        <v>4.2959122613917301E-2</v>
      </c>
      <c r="CO37" s="16"/>
      <c r="CP37" s="16"/>
      <c r="CQ37" s="16"/>
      <c r="CR37" s="16"/>
      <c r="CS37" s="81"/>
      <c r="CT37" s="70"/>
      <c r="CU37" s="16"/>
      <c r="CV37" s="16"/>
      <c r="CW37" s="16"/>
      <c r="CX37" s="16"/>
      <c r="CY37" s="81"/>
      <c r="DA37" s="16"/>
      <c r="DB37" s="16"/>
      <c r="DC37" s="16"/>
      <c r="DD37" s="16"/>
      <c r="DE37" s="81"/>
      <c r="DG37" s="16"/>
      <c r="DH37" s="16"/>
      <c r="DI37" s="16"/>
      <c r="DJ37" s="16"/>
      <c r="DK37" s="81"/>
      <c r="DM37" s="16"/>
      <c r="DN37" s="16"/>
      <c r="DO37" s="16"/>
      <c r="DP37" s="16"/>
      <c r="DQ37" s="81"/>
    </row>
    <row r="38" spans="3:122" x14ac:dyDescent="0.2">
      <c r="AE38" s="198">
        <f>'Actual Adjustment (IV)'!AI27</f>
        <v>28786.699812498922</v>
      </c>
      <c r="AM38" s="12">
        <f>AE38-(AM$5*AM37)</f>
        <v>26019.932452498921</v>
      </c>
      <c r="AO38" s="12">
        <f>AM38-(AO$5*AO37)</f>
        <v>23060.752804498919</v>
      </c>
      <c r="AQ38" s="89">
        <f>AO38-(AQ$5*AQ37)</f>
        <v>20878.578980498918</v>
      </c>
      <c r="AS38" s="12">
        <f>AQ38-(AS$5*AS37)</f>
        <v>19357.640612498919</v>
      </c>
      <c r="AU38" s="12">
        <f>AS38-(AU$5*AU37)</f>
        <v>18167.367588498921</v>
      </c>
      <c r="AW38" s="89">
        <f>AU38-(AW$5*AW37)</f>
        <v>17131.175972498921</v>
      </c>
      <c r="AY38" s="12">
        <f>AW38-(AY$5*AY37)</f>
        <v>16157.88509249892</v>
      </c>
      <c r="BA38" s="12">
        <f>AY38-(BA$5*BA37)</f>
        <v>15237.08688449892</v>
      </c>
      <c r="BC38" s="89">
        <f>BA38-(BC$5*BC37)</f>
        <v>13885.74480449892</v>
      </c>
      <c r="BE38" s="12">
        <f>BC38-(BE$5*BE37)</f>
        <v>11209.68989249892</v>
      </c>
      <c r="BG38" s="12">
        <f>BE38-(BG$5*BG37)</f>
        <v>8111.9357804989195</v>
      </c>
      <c r="BI38" s="89">
        <f>BG38-(BI$5*BI37)</f>
        <v>5123.6984684989202</v>
      </c>
      <c r="BJ38" s="90"/>
      <c r="BK38" s="14">
        <f>BI38</f>
        <v>5123.6984684989202</v>
      </c>
      <c r="BL38" s="14"/>
      <c r="BM38" s="14">
        <f>BK38</f>
        <v>5123.6984684989202</v>
      </c>
      <c r="BN38" s="14"/>
      <c r="BO38" s="91">
        <f>BM38+0</f>
        <v>5123.6984684989202</v>
      </c>
      <c r="BQ38" s="12">
        <f>BO38-(BQ$5*BQ37)</f>
        <v>4794.3729753581774</v>
      </c>
      <c r="BS38" s="12">
        <f>BQ38-(BS$5*BS37)</f>
        <v>4536.6457335131463</v>
      </c>
      <c r="BU38" s="89">
        <f>BS38-(BU$5*BU37)</f>
        <v>4312.2814054725359</v>
      </c>
      <c r="BW38" s="12">
        <f>BU38-(BW$5*BW37)</f>
        <v>4101.5368376654415</v>
      </c>
      <c r="BY38" s="12">
        <f>BW38-(BY$5*BY37)</f>
        <v>3902.1583945195375</v>
      </c>
      <c r="CA38" s="89">
        <f>BY38-(CA$5*CA37)</f>
        <v>3609.5552185716242</v>
      </c>
      <c r="CC38" s="12">
        <f>CA38-(CC$5*CC37)</f>
        <v>3030.1148401130372</v>
      </c>
      <c r="CE38" s="12">
        <f>CC38-(CE$5*CE37)</f>
        <v>2359.3648465385691</v>
      </c>
      <c r="CG38" s="89">
        <f>CE38-(CG$5*CG37)</f>
        <v>1712.3282886469831</v>
      </c>
      <c r="CI38" s="12">
        <f>CG38-(CI$5*CI37)</f>
        <v>1113.2461401468609</v>
      </c>
      <c r="CK38" s="12">
        <f>CI38-(CK$5*CK37)</f>
        <v>472.50137535330919</v>
      </c>
      <c r="CM38" s="92">
        <f>CK38-(CM$5*CM37)</f>
        <v>-1.3073986337985843E-12</v>
      </c>
      <c r="CO38" s="14"/>
      <c r="CQ38" s="14"/>
      <c r="CS38" s="93"/>
      <c r="CT38" s="70"/>
      <c r="CU38" s="14"/>
      <c r="CW38" s="14"/>
      <c r="CY38" s="93"/>
      <c r="DA38" s="14"/>
      <c r="DC38" s="14"/>
      <c r="DE38" s="93"/>
      <c r="DG38" s="14"/>
      <c r="DI38" s="14"/>
      <c r="DK38" s="93"/>
      <c r="DM38" s="14"/>
      <c r="DO38" s="14"/>
      <c r="DQ38" s="93"/>
    </row>
    <row r="39" spans="3:122" x14ac:dyDescent="0.2">
      <c r="AQ39" s="80"/>
      <c r="AW39" s="80"/>
      <c r="BC39" s="80"/>
      <c r="BI39" s="94"/>
      <c r="BO39" s="95">
        <f>(BO38/SUM(BQ$5:CM$5))</f>
        <v>4.2959122613917301E-2</v>
      </c>
      <c r="BU39" s="80"/>
      <c r="CA39" s="80"/>
      <c r="CG39" s="80"/>
      <c r="CM39" s="80"/>
      <c r="CN39" s="70"/>
      <c r="CS39" s="80"/>
      <c r="CT39" s="70"/>
      <c r="CY39" s="80"/>
      <c r="DE39" s="80"/>
      <c r="DK39" s="80"/>
      <c r="DQ39" s="80"/>
    </row>
    <row r="40" spans="3:122" x14ac:dyDescent="0.2">
      <c r="AR40" s="70"/>
      <c r="AX40" s="70"/>
      <c r="BD40" s="70"/>
      <c r="BJ40" s="70"/>
      <c r="BO40" s="80"/>
      <c r="BV40" s="70"/>
      <c r="CB40" s="70"/>
      <c r="CH40" s="70"/>
      <c r="CN40" s="70"/>
      <c r="CS40" s="80"/>
      <c r="CT40" s="70"/>
      <c r="CZ40" s="70"/>
      <c r="DF40" s="70"/>
      <c r="DL40" s="70"/>
      <c r="DR40" s="70"/>
    </row>
    <row r="41" spans="3:122" x14ac:dyDescent="0.2">
      <c r="C41" s="13" t="s">
        <v>95</v>
      </c>
      <c r="AS41" s="85">
        <f>'Actual Adjustment (IV)'!AO29</f>
        <v>-1.194731867381654</v>
      </c>
      <c r="AT41" s="197"/>
      <c r="AU41" s="15">
        <f>AS41</f>
        <v>-1.194731867381654</v>
      </c>
      <c r="AV41" s="16"/>
      <c r="AW41" s="86">
        <f>AU41</f>
        <v>-1.194731867381654</v>
      </c>
      <c r="AX41" s="16"/>
      <c r="AY41" s="15">
        <f>AW41</f>
        <v>-1.194731867381654</v>
      </c>
      <c r="AZ41" s="16"/>
      <c r="BA41" s="15">
        <f>AY41</f>
        <v>-1.194731867381654</v>
      </c>
      <c r="BB41" s="16"/>
      <c r="BC41" s="86">
        <f>BA41</f>
        <v>-1.194731867381654</v>
      </c>
      <c r="BD41" s="16"/>
      <c r="BE41" s="15">
        <f>BC41</f>
        <v>-1.194731867381654</v>
      </c>
      <c r="BF41" s="16"/>
      <c r="BG41" s="15">
        <f>BE41</f>
        <v>-1.194731867381654</v>
      </c>
      <c r="BH41" s="16"/>
      <c r="BI41" s="86">
        <f>BG41</f>
        <v>-1.194731867381654</v>
      </c>
      <c r="BJ41" s="16"/>
      <c r="BK41" s="15">
        <f>BI41</f>
        <v>-1.194731867381654</v>
      </c>
      <c r="BL41" s="16"/>
      <c r="BM41" s="15">
        <f>BK41</f>
        <v>-1.194731867381654</v>
      </c>
      <c r="BN41" s="16"/>
      <c r="BO41" s="86">
        <f>BM41</f>
        <v>-1.194731867381654</v>
      </c>
      <c r="BP41" s="87"/>
      <c r="BQ41" s="16"/>
      <c r="BR41" s="16"/>
      <c r="BS41" s="16"/>
      <c r="BT41" s="16"/>
      <c r="BU41" s="81"/>
      <c r="BV41" s="16"/>
      <c r="BW41" s="196">
        <f>BU43</f>
        <v>1.6027370261400084E-6</v>
      </c>
      <c r="BX41" s="16"/>
      <c r="BY41" s="15">
        <f>BW41</f>
        <v>1.6027370261400084E-6</v>
      </c>
      <c r="BZ41" s="16"/>
      <c r="CA41" s="86">
        <f>BY41</f>
        <v>1.6027370261400084E-6</v>
      </c>
      <c r="CB41" s="16"/>
      <c r="CC41" s="15">
        <f>CA41</f>
        <v>1.6027370261400084E-6</v>
      </c>
      <c r="CD41" s="16"/>
      <c r="CE41" s="15">
        <f>CC41</f>
        <v>1.6027370261400084E-6</v>
      </c>
      <c r="CF41" s="16"/>
      <c r="CG41" s="86">
        <f>CE41</f>
        <v>1.6027370261400084E-6</v>
      </c>
      <c r="CH41" s="16"/>
      <c r="CI41" s="15">
        <f>CG41</f>
        <v>1.6027370261400084E-6</v>
      </c>
      <c r="CJ41" s="16"/>
      <c r="CK41" s="15">
        <f>CI41</f>
        <v>1.6027370261400084E-6</v>
      </c>
      <c r="CL41" s="16"/>
      <c r="CM41" s="86">
        <f>CK41</f>
        <v>1.6027370261400084E-6</v>
      </c>
      <c r="CN41" s="16"/>
      <c r="CO41" s="15">
        <f>CM41</f>
        <v>1.6027370261400084E-6</v>
      </c>
      <c r="CP41" s="16"/>
      <c r="CQ41" s="15">
        <f>CO41</f>
        <v>1.6027370261400084E-6</v>
      </c>
      <c r="CR41" s="16"/>
      <c r="CS41" s="86">
        <f>CQ41</f>
        <v>1.6027370261400084E-6</v>
      </c>
      <c r="CT41" s="70"/>
      <c r="CU41" s="16"/>
      <c r="CV41" s="16"/>
      <c r="CW41" s="16"/>
      <c r="CX41" s="16"/>
      <c r="CY41" s="16"/>
      <c r="CZ41" s="70"/>
      <c r="DA41" s="16"/>
      <c r="DB41" s="16"/>
      <c r="DC41" s="16"/>
      <c r="DD41" s="16"/>
      <c r="DE41" s="16"/>
      <c r="DF41" s="70"/>
      <c r="DG41" s="16"/>
      <c r="DH41" s="16"/>
      <c r="DI41" s="16"/>
      <c r="DJ41" s="16"/>
      <c r="DK41" s="16"/>
      <c r="DL41" s="70"/>
      <c r="DM41" s="16"/>
      <c r="DN41" s="16"/>
      <c r="DO41" s="16"/>
      <c r="DP41" s="16"/>
      <c r="DQ41" s="16"/>
      <c r="DR41" s="70"/>
    </row>
    <row r="42" spans="3:122" x14ac:dyDescent="0.2">
      <c r="C42" s="13"/>
      <c r="AK42" s="198">
        <f>'Actual Adjustment (IV)'!AO27</f>
        <v>-142494.47509074249</v>
      </c>
      <c r="AS42" s="12">
        <f>AK42-(AS$5*AS41)</f>
        <v>-133335.63670075737</v>
      </c>
      <c r="AU42" s="12">
        <f>AS42-(AU$5*AU41)</f>
        <v>-126168.01012486257</v>
      </c>
      <c r="AW42" s="89">
        <f>AU42-(AW$5*AW41)</f>
        <v>-119928.23621181371</v>
      </c>
      <c r="AY42" s="12">
        <f>AW42-(AY$5*AY41)</f>
        <v>-114067.24008999953</v>
      </c>
      <c r="BA42" s="12">
        <f>AY42-(BA$5*BA41)</f>
        <v>-108522.34612565719</v>
      </c>
      <c r="BC42" s="89">
        <f>BA42-(BC$5*BC41)</f>
        <v>-100384.78843054727</v>
      </c>
      <c r="BE42" s="12">
        <f>BC42-(BE$5*BE41)</f>
        <v>-84270.029951567383</v>
      </c>
      <c r="BG42" s="12">
        <f>BE42-(BG$5*BG41)</f>
        <v>-65615.868888467798</v>
      </c>
      <c r="BI42" s="89">
        <f>BG42-(BI$5*BI41)</f>
        <v>-47621.199816162887</v>
      </c>
      <c r="BK42" s="12">
        <f>BI42-(BK$5*BK41)</f>
        <v>-30960.186032778765</v>
      </c>
      <c r="BM42" s="12">
        <f>BK42-(BM$5*BM41)</f>
        <v>-13140.497389770571</v>
      </c>
      <c r="BO42" s="89">
        <f>BM42-(BO$5*BO41)</f>
        <v>0.19115709880861687</v>
      </c>
      <c r="BP42" s="90"/>
      <c r="BQ42" s="14">
        <f>BO42</f>
        <v>0.19115709880861687</v>
      </c>
      <c r="BR42" s="14"/>
      <c r="BS42" s="14">
        <f>BQ42</f>
        <v>0.19115709880861687</v>
      </c>
      <c r="BT42" s="14"/>
      <c r="BU42" s="91">
        <f>BS42+0</f>
        <v>0.19115709880861687</v>
      </c>
      <c r="BW42" s="12">
        <f>BU42-(BW$5*BW41)</f>
        <v>0.18329455177948184</v>
      </c>
      <c r="BY42" s="12">
        <f>BW42-(BY$5*BY41)</f>
        <v>0.17585605691272294</v>
      </c>
      <c r="CA42" s="89">
        <f>BY42-(CA$5*CA41)</f>
        <v>0.16493949448027811</v>
      </c>
      <c r="CC42" s="12">
        <f>CA42-(CC$5*CC41)</f>
        <v>0.14332148897903699</v>
      </c>
      <c r="CE42" s="12">
        <f>CC42-(CE$5*CE41)</f>
        <v>0.11829686592873526</v>
      </c>
      <c r="CG42" s="89">
        <f>CE42-(CG$5*CG41)</f>
        <v>9.4156953716862807E-2</v>
      </c>
      <c r="CI42" s="12">
        <f>CG42-(CI$5*CI41)</f>
        <v>7.1806144792529933E-2</v>
      </c>
      <c r="CK42" s="12">
        <f>CI42-(CK$5*CK41)</f>
        <v>4.7900969445505953E-2</v>
      </c>
      <c r="CM42" s="89">
        <f>CK42-(CM$5*CM41)</f>
        <v>3.0272689278175658E-2</v>
      </c>
      <c r="CO42" s="12">
        <f>CM42-(CO$5*CO41)</f>
        <v>1.7986075181045832E-2</v>
      </c>
      <c r="CQ42" s="12">
        <f>CO42-(CQ$5*CQ41)</f>
        <v>8.3706787759025118E-3</v>
      </c>
      <c r="CS42" s="92">
        <f>CQ42-(CS$5*CS41)</f>
        <v>4.6837533851373792E-17</v>
      </c>
      <c r="CT42" s="70"/>
      <c r="CU42" s="14"/>
      <c r="CW42" s="14"/>
      <c r="CY42" s="14"/>
      <c r="CZ42" s="70"/>
      <c r="DA42" s="14"/>
      <c r="DC42" s="14"/>
      <c r="DE42" s="14"/>
      <c r="DF42" s="70"/>
      <c r="DG42" s="14"/>
      <c r="DI42" s="14"/>
      <c r="DK42" s="14"/>
      <c r="DL42" s="70"/>
      <c r="DM42" s="14"/>
      <c r="DO42" s="14"/>
      <c r="DQ42" s="14"/>
      <c r="DR42" s="70"/>
    </row>
    <row r="43" spans="3:122" x14ac:dyDescent="0.2">
      <c r="AW43" s="80"/>
      <c r="BC43" s="80"/>
      <c r="BI43" s="80"/>
      <c r="BO43" s="94"/>
      <c r="BU43" s="95">
        <f>(BU42/SUM(BW$5:CS$5))</f>
        <v>1.6027370261400084E-6</v>
      </c>
      <c r="CA43" s="80"/>
      <c r="CG43" s="80"/>
      <c r="CM43" s="80"/>
      <c r="CS43" s="80"/>
      <c r="CT43" s="70"/>
      <c r="CZ43" s="70"/>
      <c r="DF43" s="70"/>
      <c r="DL43" s="70"/>
      <c r="DR43" s="70"/>
    </row>
    <row r="44" spans="3:122" x14ac:dyDescent="0.2">
      <c r="AX44" s="70"/>
      <c r="BD44" s="70"/>
      <c r="BJ44" s="70"/>
      <c r="BP44" s="70"/>
      <c r="BU44" s="80"/>
      <c r="BV44" s="70"/>
      <c r="CB44" s="70"/>
      <c r="CH44" s="70"/>
      <c r="CN44" s="70"/>
      <c r="CS44" s="80"/>
      <c r="CT44" s="70"/>
      <c r="CZ44" s="70"/>
      <c r="DF44" s="70"/>
      <c r="DL44" s="70"/>
      <c r="DR44" s="70"/>
    </row>
    <row r="45" spans="3:122" x14ac:dyDescent="0.2">
      <c r="C45" s="13" t="s">
        <v>96</v>
      </c>
      <c r="AY45" s="85">
        <f>'Actual Adjustment (IV)'!AU50</f>
        <v>0</v>
      </c>
      <c r="AZ45" s="197"/>
      <c r="BA45" s="15">
        <f>AY45</f>
        <v>0</v>
      </c>
      <c r="BB45" s="16"/>
      <c r="BC45" s="86">
        <f>BA45</f>
        <v>0</v>
      </c>
      <c r="BD45" s="16"/>
      <c r="BE45" s="15">
        <f>BC45</f>
        <v>0</v>
      </c>
      <c r="BF45" s="16"/>
      <c r="BG45" s="15">
        <f>BE45</f>
        <v>0</v>
      </c>
      <c r="BH45" s="16"/>
      <c r="BI45" s="86">
        <f>BG45</f>
        <v>0</v>
      </c>
      <c r="BJ45" s="16"/>
      <c r="BK45" s="15">
        <f>BI45</f>
        <v>0</v>
      </c>
      <c r="BL45" s="16"/>
      <c r="BM45" s="15">
        <f>BK45</f>
        <v>0</v>
      </c>
      <c r="BN45" s="16"/>
      <c r="BO45" s="86">
        <f>BM45</f>
        <v>0</v>
      </c>
      <c r="BP45" s="16"/>
      <c r="BQ45" s="15">
        <f>BO45</f>
        <v>0</v>
      </c>
      <c r="BR45" s="16"/>
      <c r="BS45" s="15">
        <f>BQ45</f>
        <v>0</v>
      </c>
      <c r="BT45" s="16"/>
      <c r="BU45" s="86">
        <f>BS45</f>
        <v>0</v>
      </c>
      <c r="BV45" s="87"/>
      <c r="BW45" s="16"/>
      <c r="BX45" s="16"/>
      <c r="BY45" s="16"/>
      <c r="BZ45" s="16"/>
      <c r="CA45" s="81"/>
      <c r="CB45" s="16"/>
      <c r="CC45" s="196">
        <f>CA47</f>
        <v>0</v>
      </c>
      <c r="CD45" s="16"/>
      <c r="CE45" s="15">
        <f>CC45</f>
        <v>0</v>
      </c>
      <c r="CF45" s="16"/>
      <c r="CG45" s="86">
        <f>CE45</f>
        <v>0</v>
      </c>
      <c r="CH45" s="16"/>
      <c r="CI45" s="15">
        <f>CG45</f>
        <v>0</v>
      </c>
      <c r="CJ45" s="16"/>
      <c r="CK45" s="15">
        <f>CI45</f>
        <v>0</v>
      </c>
      <c r="CL45" s="16"/>
      <c r="CM45" s="86">
        <f>CK45</f>
        <v>0</v>
      </c>
      <c r="CN45" s="16"/>
      <c r="CO45" s="15">
        <f>CM45</f>
        <v>0</v>
      </c>
      <c r="CP45" s="16"/>
      <c r="CQ45" s="15">
        <f>CO45</f>
        <v>0</v>
      </c>
      <c r="CR45" s="16"/>
      <c r="CS45" s="86">
        <f>CQ45</f>
        <v>0</v>
      </c>
      <c r="CT45" s="16"/>
      <c r="CU45" s="15">
        <f>CS45</f>
        <v>0</v>
      </c>
      <c r="CV45" s="16"/>
      <c r="CW45" s="15">
        <f>CU45</f>
        <v>0</v>
      </c>
      <c r="CX45" s="16"/>
      <c r="CY45" s="86">
        <f>CW45</f>
        <v>0</v>
      </c>
      <c r="CZ45" s="70"/>
      <c r="DA45" s="16"/>
      <c r="DB45" s="16"/>
      <c r="DC45" s="16"/>
      <c r="DD45" s="16"/>
      <c r="DE45" s="16"/>
      <c r="DF45" s="70"/>
      <c r="DG45" s="16"/>
      <c r="DH45" s="16"/>
      <c r="DI45" s="16"/>
      <c r="DJ45" s="16"/>
      <c r="DK45" s="16"/>
      <c r="DL45" s="70"/>
      <c r="DM45" s="16"/>
      <c r="DN45" s="16"/>
      <c r="DO45" s="16"/>
      <c r="DP45" s="16"/>
      <c r="DQ45" s="16"/>
      <c r="DR45" s="70"/>
    </row>
    <row r="46" spans="3:122" x14ac:dyDescent="0.2">
      <c r="C46" s="13"/>
      <c r="AQ46" s="198">
        <f>'Actual Adjustment (IV)'!AU48</f>
        <v>0</v>
      </c>
      <c r="AY46" s="12">
        <f>AQ46-(AY$5*AY45)</f>
        <v>0</v>
      </c>
      <c r="BA46" s="12">
        <f>AY46-(BA$5*BA45)</f>
        <v>0</v>
      </c>
      <c r="BC46" s="89">
        <f>BA46-(BC$5*BC45)</f>
        <v>0</v>
      </c>
      <c r="BE46" s="12">
        <f>BC46-(BE$5*BE45)</f>
        <v>0</v>
      </c>
      <c r="BG46" s="12">
        <f>BE46-(BG$5*BG45)</f>
        <v>0</v>
      </c>
      <c r="BI46" s="89">
        <f>BG46-(BI$5*BI45)</f>
        <v>0</v>
      </c>
      <c r="BK46" s="12">
        <f>BI46-(BK$5*BK45)</f>
        <v>0</v>
      </c>
      <c r="BM46" s="12">
        <f>BK46-(BM$5*BM45)</f>
        <v>0</v>
      </c>
      <c r="BO46" s="89">
        <f>BM46-(BO$5*BO45)</f>
        <v>0</v>
      </c>
      <c r="BQ46" s="12">
        <f>BO46-(BQ$5*BQ45)</f>
        <v>0</v>
      </c>
      <c r="BS46" s="12">
        <f>BQ46-(BS$5*BS45)</f>
        <v>0</v>
      </c>
      <c r="BU46" s="89">
        <f>BS46-(BU$5*BU45)</f>
        <v>0</v>
      </c>
      <c r="BV46" s="90"/>
      <c r="BW46" s="14">
        <f>BU46</f>
        <v>0</v>
      </c>
      <c r="BX46" s="14"/>
      <c r="BY46" s="14">
        <f>BW46</f>
        <v>0</v>
      </c>
      <c r="BZ46" s="14"/>
      <c r="CA46" s="91">
        <f>BY46+0</f>
        <v>0</v>
      </c>
      <c r="CC46" s="12">
        <f>CA46-(CC$5*CC45)</f>
        <v>0</v>
      </c>
      <c r="CE46" s="12">
        <f>CC46-(CE$5*CE45)</f>
        <v>0</v>
      </c>
      <c r="CG46" s="89">
        <f>CE46-(CG$5*CG45)</f>
        <v>0</v>
      </c>
      <c r="CI46" s="12">
        <f>CG46-(CI$5*CI45)</f>
        <v>0</v>
      </c>
      <c r="CK46" s="12">
        <f>CI46-(CK$5*CK45)</f>
        <v>0</v>
      </c>
      <c r="CM46" s="89">
        <f>CK46-(CM$5*CM45)</f>
        <v>0</v>
      </c>
      <c r="CO46" s="12">
        <f>CM46-(CO$5*CO45)</f>
        <v>0</v>
      </c>
      <c r="CQ46" s="12">
        <f>CO46-(CQ$5*CQ45)</f>
        <v>0</v>
      </c>
      <c r="CS46" s="89">
        <f>CQ46-(CS$5*CS45)</f>
        <v>0</v>
      </c>
      <c r="CU46" s="12">
        <f>CS46-(CU$5*CU45)</f>
        <v>0</v>
      </c>
      <c r="CW46" s="12">
        <f>CU46-(CW$5*CW45)</f>
        <v>0</v>
      </c>
      <c r="CY46" s="92">
        <f>CW46-(CY$5*CY45)</f>
        <v>0</v>
      </c>
      <c r="CZ46" s="70"/>
      <c r="DA46" s="14"/>
      <c r="DC46" s="14"/>
      <c r="DE46" s="14"/>
      <c r="DF46" s="70"/>
      <c r="DG46" s="14"/>
      <c r="DI46" s="14"/>
      <c r="DK46" s="14"/>
      <c r="DL46" s="70"/>
      <c r="DM46" s="14"/>
      <c r="DO46" s="14"/>
      <c r="DQ46" s="14"/>
      <c r="DR46" s="70"/>
    </row>
    <row r="47" spans="3:122" x14ac:dyDescent="0.2">
      <c r="BC47" s="80"/>
      <c r="BI47" s="80"/>
      <c r="BO47" s="80"/>
      <c r="BU47" s="94"/>
      <c r="CA47" s="95">
        <f>(CA46/SUM(CC$5:CY$5))</f>
        <v>0</v>
      </c>
      <c r="CG47" s="80"/>
      <c r="CM47" s="80"/>
      <c r="CS47" s="80"/>
      <c r="CY47" s="80"/>
      <c r="CZ47" s="70"/>
      <c r="DF47" s="70"/>
      <c r="DL47" s="70"/>
      <c r="DR47" s="70"/>
    </row>
    <row r="48" spans="3:122" x14ac:dyDescent="0.2">
      <c r="BD48" s="70"/>
      <c r="BJ48" s="70"/>
      <c r="BP48" s="70"/>
      <c r="BV48" s="70"/>
      <c r="CB48" s="70"/>
      <c r="CH48" s="70"/>
      <c r="CN48" s="70"/>
      <c r="CS48" s="80"/>
      <c r="CT48" s="70"/>
      <c r="CZ48" s="70"/>
      <c r="DF48" s="70"/>
      <c r="DL48" s="70"/>
      <c r="DR48" s="70"/>
    </row>
    <row r="49" spans="3:122" x14ac:dyDescent="0.2">
      <c r="C49" s="13" t="s">
        <v>97</v>
      </c>
      <c r="BE49" s="85">
        <f>'Actual Adjustment (IV)'!BA54</f>
        <v>0</v>
      </c>
      <c r="BF49" s="197"/>
      <c r="BG49" s="15">
        <f>BE49</f>
        <v>0</v>
      </c>
      <c r="BH49" s="16"/>
      <c r="BI49" s="86">
        <f>BG49</f>
        <v>0</v>
      </c>
      <c r="BJ49" s="16"/>
      <c r="BK49" s="15">
        <f>BI49</f>
        <v>0</v>
      </c>
      <c r="BL49" s="16"/>
      <c r="BM49" s="15">
        <f>BK49</f>
        <v>0</v>
      </c>
      <c r="BN49" s="16"/>
      <c r="BO49" s="86">
        <f>BM49</f>
        <v>0</v>
      </c>
      <c r="BP49" s="16"/>
      <c r="BQ49" s="15">
        <f>BO49</f>
        <v>0</v>
      </c>
      <c r="BR49" s="16"/>
      <c r="BS49" s="15">
        <f>BQ49</f>
        <v>0</v>
      </c>
      <c r="BT49" s="16"/>
      <c r="BU49" s="86">
        <f>BS49</f>
        <v>0</v>
      </c>
      <c r="BV49" s="16"/>
      <c r="BW49" s="15">
        <f>BU49</f>
        <v>0</v>
      </c>
      <c r="BX49" s="16"/>
      <c r="BY49" s="15">
        <f>BW49</f>
        <v>0</v>
      </c>
      <c r="BZ49" s="16"/>
      <c r="CA49" s="86">
        <f>BY49</f>
        <v>0</v>
      </c>
      <c r="CB49" s="87"/>
      <c r="CC49" s="16"/>
      <c r="CD49" s="16"/>
      <c r="CE49" s="16"/>
      <c r="CF49" s="16"/>
      <c r="CG49" s="81"/>
      <c r="CH49" s="16"/>
      <c r="CI49" s="196">
        <f>CG51</f>
        <v>0</v>
      </c>
      <c r="CJ49" s="16"/>
      <c r="CK49" s="15">
        <f>CI49</f>
        <v>0</v>
      </c>
      <c r="CL49" s="16"/>
      <c r="CM49" s="86">
        <f>CK49</f>
        <v>0</v>
      </c>
      <c r="CN49" s="16"/>
      <c r="CO49" s="15">
        <f>CM49</f>
        <v>0</v>
      </c>
      <c r="CP49" s="16"/>
      <c r="CQ49" s="15">
        <f>CO49</f>
        <v>0</v>
      </c>
      <c r="CR49" s="16"/>
      <c r="CS49" s="86">
        <f>CQ49</f>
        <v>0</v>
      </c>
      <c r="CT49" s="16"/>
      <c r="CU49" s="15">
        <f>CS49</f>
        <v>0</v>
      </c>
      <c r="CV49" s="16"/>
      <c r="CW49" s="15">
        <f>CU49</f>
        <v>0</v>
      </c>
      <c r="CX49" s="16"/>
      <c r="CY49" s="86">
        <f>CW49</f>
        <v>0</v>
      </c>
      <c r="CZ49" s="16"/>
      <c r="DA49" s="15">
        <f>CY49</f>
        <v>0</v>
      </c>
      <c r="DB49" s="16"/>
      <c r="DC49" s="15">
        <f>DA49</f>
        <v>0</v>
      </c>
      <c r="DD49" s="16"/>
      <c r="DE49" s="86">
        <f>DC49</f>
        <v>0</v>
      </c>
      <c r="DF49" s="70"/>
      <c r="DG49" s="16"/>
      <c r="DH49" s="16"/>
      <c r="DI49" s="16"/>
      <c r="DJ49" s="16"/>
      <c r="DK49" s="16"/>
      <c r="DL49" s="70"/>
      <c r="DM49" s="16"/>
      <c r="DN49" s="16"/>
      <c r="DO49" s="16"/>
      <c r="DP49" s="16"/>
      <c r="DQ49" s="16"/>
      <c r="DR49" s="70"/>
    </row>
    <row r="50" spans="3:122" x14ac:dyDescent="0.2">
      <c r="AW50" s="198">
        <f>'Actual Adjustment (IV)'!BA52</f>
        <v>0</v>
      </c>
      <c r="BE50" s="12">
        <f>AW50-(BE$5*BE49)</f>
        <v>0</v>
      </c>
      <c r="BG50" s="12">
        <f>BE50-(BG$5*BG49)</f>
        <v>0</v>
      </c>
      <c r="BI50" s="89">
        <f>BG50-(BI$5*BI49)</f>
        <v>0</v>
      </c>
      <c r="BK50" s="12">
        <f>BI50-(BK$5*BK49)</f>
        <v>0</v>
      </c>
      <c r="BM50" s="12">
        <f>BK50-(BM$5*BM49)</f>
        <v>0</v>
      </c>
      <c r="BO50" s="89">
        <f>BM50-(BO$5*BO49)</f>
        <v>0</v>
      </c>
      <c r="BQ50" s="12">
        <f>BO50-(BQ$5*BQ49)</f>
        <v>0</v>
      </c>
      <c r="BS50" s="12">
        <f>BQ50-(BS$5*BS49)</f>
        <v>0</v>
      </c>
      <c r="BU50" s="89">
        <f>BS50-(BU$5*BU49)</f>
        <v>0</v>
      </c>
      <c r="BW50" s="12">
        <f>BU50-(BW$5*BW49)</f>
        <v>0</v>
      </c>
      <c r="BY50" s="12">
        <f>BW50-(BY$5*BY49)</f>
        <v>0</v>
      </c>
      <c r="CA50" s="89">
        <f>BY50-(CA$5*CA49)</f>
        <v>0</v>
      </c>
      <c r="CB50" s="90"/>
      <c r="CC50" s="14">
        <f>CA50</f>
        <v>0</v>
      </c>
      <c r="CD50" s="14"/>
      <c r="CE50" s="14">
        <f>CC50</f>
        <v>0</v>
      </c>
      <c r="CF50" s="14"/>
      <c r="CG50" s="91">
        <f>CE50+0</f>
        <v>0</v>
      </c>
      <c r="CI50" s="12">
        <f>CG50-(CI$5*CI49)</f>
        <v>0</v>
      </c>
      <c r="CK50" s="12">
        <f>CI50-(CK$5*CK49)</f>
        <v>0</v>
      </c>
      <c r="CM50" s="89">
        <f>CK50-(CM$5*CM49)</f>
        <v>0</v>
      </c>
      <c r="CO50" s="12">
        <f>CM50-(CO$5*CO49)</f>
        <v>0</v>
      </c>
      <c r="CQ50" s="12">
        <f>CO50-(CQ$5*CQ49)</f>
        <v>0</v>
      </c>
      <c r="CS50" s="89">
        <f>CQ50-(CS$5*CS49)</f>
        <v>0</v>
      </c>
      <c r="CU50" s="12">
        <f>CS50-(CU$5*CU49)</f>
        <v>0</v>
      </c>
      <c r="CW50" s="12">
        <f>CU50-(CW$5*CW49)</f>
        <v>0</v>
      </c>
      <c r="CY50" s="89">
        <f>CW50-(CY$5*CY49)</f>
        <v>0</v>
      </c>
      <c r="DA50" s="12">
        <f>CY50-(DA$5*DA49)</f>
        <v>0</v>
      </c>
      <c r="DC50" s="12">
        <f>DA50-(DC$5*DC49)</f>
        <v>0</v>
      </c>
      <c r="DE50" s="92">
        <f>DC50-(DE$5*DE49)</f>
        <v>0</v>
      </c>
      <c r="DF50" s="70"/>
      <c r="DG50" s="14"/>
      <c r="DI50" s="14"/>
      <c r="DK50" s="14"/>
      <c r="DL50" s="70"/>
      <c r="DM50" s="14"/>
      <c r="DO50" s="14"/>
      <c r="DQ50" s="14"/>
      <c r="DR50" s="70"/>
    </row>
    <row r="51" spans="3:122" x14ac:dyDescent="0.2">
      <c r="BI51" s="80"/>
      <c r="BO51" s="80"/>
      <c r="BU51" s="80"/>
      <c r="CA51" s="94"/>
      <c r="CG51" s="95">
        <f>(CG50/SUM(CI$5:DE$5))</f>
        <v>0</v>
      </c>
      <c r="CM51" s="80"/>
      <c r="CS51" s="80"/>
      <c r="CY51" s="80"/>
      <c r="DE51" s="80"/>
      <c r="DF51" s="70"/>
      <c r="DL51" s="70"/>
      <c r="DR51" s="70"/>
    </row>
    <row r="52" spans="3:122" x14ac:dyDescent="0.2">
      <c r="BJ52" s="70"/>
      <c r="BP52" s="70"/>
      <c r="BV52" s="70"/>
      <c r="CB52" s="70"/>
      <c r="CH52" s="70"/>
      <c r="CN52" s="70"/>
      <c r="CS52" s="80"/>
      <c r="CT52" s="70"/>
      <c r="CZ52" s="70"/>
      <c r="DF52" s="70"/>
      <c r="DL52" s="70"/>
      <c r="DR52" s="70"/>
    </row>
    <row r="53" spans="3:122" x14ac:dyDescent="0.2">
      <c r="C53" s="17" t="s">
        <v>98</v>
      </c>
      <c r="BK53" s="85">
        <f>'Actual Adjustment (IV)'!BG58</f>
        <v>0</v>
      </c>
      <c r="BL53" s="197"/>
      <c r="BM53" s="15">
        <f>BK53</f>
        <v>0</v>
      </c>
      <c r="BN53" s="16"/>
      <c r="BO53" s="86">
        <f>BM53</f>
        <v>0</v>
      </c>
      <c r="BP53" s="16"/>
      <c r="BQ53" s="15">
        <f>BO53</f>
        <v>0</v>
      </c>
      <c r="BR53" s="16"/>
      <c r="BS53" s="15">
        <f>BQ53</f>
        <v>0</v>
      </c>
      <c r="BT53" s="16"/>
      <c r="BU53" s="86">
        <f>BS53</f>
        <v>0</v>
      </c>
      <c r="BV53" s="16"/>
      <c r="BW53" s="15">
        <f>BU53</f>
        <v>0</v>
      </c>
      <c r="BX53" s="16"/>
      <c r="BY53" s="15">
        <f>BW53</f>
        <v>0</v>
      </c>
      <c r="BZ53" s="16"/>
      <c r="CA53" s="86">
        <f>BY53</f>
        <v>0</v>
      </c>
      <c r="CB53" s="16"/>
      <c r="CC53" s="15">
        <f>CA53</f>
        <v>0</v>
      </c>
      <c r="CD53" s="16"/>
      <c r="CE53" s="15">
        <f>CC53</f>
        <v>0</v>
      </c>
      <c r="CF53" s="16"/>
      <c r="CG53" s="86">
        <f>CE53</f>
        <v>0</v>
      </c>
      <c r="CH53" s="87"/>
      <c r="CI53" s="16"/>
      <c r="CJ53" s="16"/>
      <c r="CK53" s="16"/>
      <c r="CL53" s="16"/>
      <c r="CM53" s="81"/>
      <c r="CN53" s="16"/>
      <c r="CO53" s="196">
        <f>CM55</f>
        <v>0</v>
      </c>
      <c r="CP53" s="16"/>
      <c r="CQ53" s="15">
        <f>CO53</f>
        <v>0</v>
      </c>
      <c r="CR53" s="16"/>
      <c r="CS53" s="86">
        <f>CQ53</f>
        <v>0</v>
      </c>
      <c r="CT53" s="16"/>
      <c r="CU53" s="15">
        <f>CS53</f>
        <v>0</v>
      </c>
      <c r="CV53" s="16"/>
      <c r="CW53" s="15">
        <f>CU53</f>
        <v>0</v>
      </c>
      <c r="CX53" s="16"/>
      <c r="CY53" s="86">
        <f>CW53</f>
        <v>0</v>
      </c>
      <c r="CZ53" s="16"/>
      <c r="DA53" s="15">
        <f>CY53</f>
        <v>0</v>
      </c>
      <c r="DB53" s="16"/>
      <c r="DC53" s="15">
        <f>DA53</f>
        <v>0</v>
      </c>
      <c r="DD53" s="16"/>
      <c r="DE53" s="86">
        <f>DC53</f>
        <v>0</v>
      </c>
      <c r="DF53" s="16"/>
      <c r="DG53" s="15">
        <f>DE53</f>
        <v>0</v>
      </c>
      <c r="DH53" s="16"/>
      <c r="DI53" s="15">
        <f>DG53</f>
        <v>0</v>
      </c>
      <c r="DJ53" s="16"/>
      <c r="DK53" s="86">
        <f>DI53</f>
        <v>0</v>
      </c>
      <c r="DL53" s="70"/>
      <c r="DM53" s="16"/>
      <c r="DN53" s="16"/>
      <c r="DO53" s="16"/>
      <c r="DP53" s="16"/>
      <c r="DQ53" s="16"/>
      <c r="DR53" s="70"/>
    </row>
    <row r="54" spans="3:122" x14ac:dyDescent="0.2">
      <c r="BC54" s="198">
        <f>'Actual Adjustment (IV)'!BG56</f>
        <v>0</v>
      </c>
      <c r="BK54" s="12">
        <f>BC54-(BK$5*BK53)</f>
        <v>0</v>
      </c>
      <c r="BM54" s="12">
        <f>BK54-(BM$5*BM53)</f>
        <v>0</v>
      </c>
      <c r="BO54" s="89">
        <f>BM54-(BO$5*BO53)</f>
        <v>0</v>
      </c>
      <c r="BQ54" s="12">
        <f>BO54-(BQ$5*BQ53)</f>
        <v>0</v>
      </c>
      <c r="BS54" s="12">
        <f>BQ54-(BS$5*BS53)</f>
        <v>0</v>
      </c>
      <c r="BU54" s="89">
        <f>BS54-(BU$5*BU53)</f>
        <v>0</v>
      </c>
      <c r="BW54" s="12">
        <f>BU54-(BW$5*BW53)</f>
        <v>0</v>
      </c>
      <c r="BY54" s="12">
        <f>BW54-(BY$5*BY53)</f>
        <v>0</v>
      </c>
      <c r="CA54" s="89">
        <f>BY54-(CA$5*CA53)</f>
        <v>0</v>
      </c>
      <c r="CC54" s="12">
        <f>CA54-(CC$5*CC53)</f>
        <v>0</v>
      </c>
      <c r="CE54" s="12">
        <f>CC54-(CE$5*CE53)</f>
        <v>0</v>
      </c>
      <c r="CG54" s="89">
        <f>CE54-(CG$5*CG53)</f>
        <v>0</v>
      </c>
      <c r="CH54" s="90"/>
      <c r="CI54" s="14">
        <f>CG54</f>
        <v>0</v>
      </c>
      <c r="CJ54" s="14"/>
      <c r="CK54" s="14">
        <f>CI54</f>
        <v>0</v>
      </c>
      <c r="CL54" s="14"/>
      <c r="CM54" s="91">
        <f>CK54+0</f>
        <v>0</v>
      </c>
      <c r="CO54" s="12">
        <f>CM54-(CO$5*CO53)</f>
        <v>0</v>
      </c>
      <c r="CQ54" s="12">
        <f>CO54-(CQ$5*CQ53)</f>
        <v>0</v>
      </c>
      <c r="CS54" s="89">
        <f>CQ54-(CS$5*CS53)</f>
        <v>0</v>
      </c>
      <c r="CU54" s="12">
        <f>CS54-(CU$5*CU53)</f>
        <v>0</v>
      </c>
      <c r="CW54" s="12">
        <f>CU54-(CW$5*CW53)</f>
        <v>0</v>
      </c>
      <c r="CY54" s="89">
        <f>CW54-(CY$5*CY53)</f>
        <v>0</v>
      </c>
      <c r="DA54" s="12">
        <f>CY54-(DA$5*DA53)</f>
        <v>0</v>
      </c>
      <c r="DC54" s="12">
        <f>DA54-(DC$5*DC53)</f>
        <v>0</v>
      </c>
      <c r="DE54" s="89">
        <f>DC54-(DE$5*DE53)</f>
        <v>0</v>
      </c>
      <c r="DG54" s="12">
        <f>DE54-(DG$5*DG53)</f>
        <v>0</v>
      </c>
      <c r="DI54" s="12">
        <f>DG54-(DI$5*DI53)</f>
        <v>0</v>
      </c>
      <c r="DK54" s="92">
        <f>DI54-(DK$5*DK53)</f>
        <v>0</v>
      </c>
    </row>
    <row r="55" spans="3:122" x14ac:dyDescent="0.2">
      <c r="BO55" s="80"/>
      <c r="BU55" s="80"/>
      <c r="CA55" s="80"/>
      <c r="CG55" s="94"/>
      <c r="CM55" s="95">
        <f>(CM54/SUM(CO$5:DK$5))</f>
        <v>0</v>
      </c>
      <c r="CS55" s="80"/>
      <c r="CY55" s="80"/>
      <c r="DE55" s="80"/>
      <c r="DK55" s="80"/>
    </row>
    <row r="57" spans="3:122" x14ac:dyDescent="0.2">
      <c r="C57" s="17"/>
      <c r="BQ57" s="85">
        <f>'Actual Adjustment (IV)'!BM62</f>
        <v>0</v>
      </c>
      <c r="BR57" s="197"/>
      <c r="BS57" s="15">
        <f>BQ57</f>
        <v>0</v>
      </c>
      <c r="BT57" s="16"/>
      <c r="BU57" s="86">
        <f>BS57</f>
        <v>0</v>
      </c>
      <c r="BV57" s="16"/>
      <c r="BW57" s="15">
        <f>BU57</f>
        <v>0</v>
      </c>
      <c r="BX57" s="16"/>
      <c r="BY57" s="15">
        <f>BW57</f>
        <v>0</v>
      </c>
      <c r="BZ57" s="16"/>
      <c r="CA57" s="86">
        <f>BY57</f>
        <v>0</v>
      </c>
      <c r="CB57" s="16"/>
      <c r="CC57" s="15">
        <f>CA57</f>
        <v>0</v>
      </c>
      <c r="CD57" s="16"/>
      <c r="CE57" s="15">
        <f>CC57</f>
        <v>0</v>
      </c>
      <c r="CF57" s="16"/>
      <c r="CG57" s="86">
        <f>CE57</f>
        <v>0</v>
      </c>
      <c r="CH57" s="16"/>
      <c r="CI57" s="15">
        <f>CG57</f>
        <v>0</v>
      </c>
      <c r="CJ57" s="16"/>
      <c r="CK57" s="15">
        <f>CI57</f>
        <v>0</v>
      </c>
      <c r="CL57" s="16"/>
      <c r="CM57" s="86">
        <f>CK57</f>
        <v>0</v>
      </c>
      <c r="CN57" s="87"/>
      <c r="CO57" s="16"/>
      <c r="CP57" s="16"/>
      <c r="CQ57" s="16"/>
      <c r="CR57" s="16"/>
      <c r="CS57" s="81"/>
      <c r="CT57" s="16"/>
      <c r="CU57" s="196">
        <f>CS59</f>
        <v>0</v>
      </c>
      <c r="CV57" s="16"/>
      <c r="CW57" s="15">
        <f>CU57</f>
        <v>0</v>
      </c>
      <c r="CX57" s="16"/>
      <c r="CY57" s="86">
        <f>CW57</f>
        <v>0</v>
      </c>
      <c r="CZ57" s="16"/>
      <c r="DA57" s="15">
        <f>CY57</f>
        <v>0</v>
      </c>
      <c r="DB57" s="16"/>
      <c r="DC57" s="15">
        <f>DA57</f>
        <v>0</v>
      </c>
      <c r="DD57" s="16"/>
      <c r="DE57" s="86">
        <f>DC57</f>
        <v>0</v>
      </c>
      <c r="DF57" s="16"/>
      <c r="DG57" s="15">
        <f>DE57</f>
        <v>0</v>
      </c>
      <c r="DH57" s="16"/>
      <c r="DI57" s="15">
        <f>DG57</f>
        <v>0</v>
      </c>
      <c r="DJ57" s="16"/>
      <c r="DK57" s="86">
        <f>DI57</f>
        <v>0</v>
      </c>
      <c r="DL57" s="16"/>
      <c r="DM57" s="15">
        <f>DK57</f>
        <v>0</v>
      </c>
      <c r="DN57" s="16"/>
      <c r="DO57" s="15">
        <f>DM57</f>
        <v>0</v>
      </c>
      <c r="DP57" s="16"/>
      <c r="DQ57" s="86">
        <f>DO57</f>
        <v>0</v>
      </c>
    </row>
    <row r="58" spans="3:122" x14ac:dyDescent="0.2">
      <c r="BI58" s="198">
        <f>'Actual Adjustment (IV)'!BM60</f>
        <v>0</v>
      </c>
      <c r="BQ58" s="12">
        <f>BI58-(BQ$5*BQ57)</f>
        <v>0</v>
      </c>
      <c r="BS58" s="12">
        <f>BQ58-(BS$5*BS57)</f>
        <v>0</v>
      </c>
      <c r="BU58" s="89">
        <f>BS58-(BU$5*BU57)</f>
        <v>0</v>
      </c>
      <c r="BW58" s="12">
        <f>BU58-(BW$5*BW57)</f>
        <v>0</v>
      </c>
      <c r="BY58" s="12">
        <f>BW58-(BY$5*BY57)</f>
        <v>0</v>
      </c>
      <c r="CA58" s="89">
        <f>BY58-(CA$5*CA57)</f>
        <v>0</v>
      </c>
      <c r="CC58" s="12">
        <f>CA58-(CC$5*CC57)</f>
        <v>0</v>
      </c>
      <c r="CE58" s="12">
        <f>CC58-(CE$5*CE57)</f>
        <v>0</v>
      </c>
      <c r="CG58" s="89">
        <f>CE58-(CG$5*CG57)</f>
        <v>0</v>
      </c>
      <c r="CI58" s="12">
        <f>CG58-(CI$5*CI57)</f>
        <v>0</v>
      </c>
      <c r="CK58" s="12">
        <f>CI58-(CK$5*CK57)</f>
        <v>0</v>
      </c>
      <c r="CM58" s="89">
        <f>CK58-(CM$5*CM57)</f>
        <v>0</v>
      </c>
      <c r="CN58" s="90"/>
      <c r="CO58" s="14">
        <f>CM58</f>
        <v>0</v>
      </c>
      <c r="CP58" s="14"/>
      <c r="CQ58" s="14">
        <f>CO58</f>
        <v>0</v>
      </c>
      <c r="CR58" s="14"/>
      <c r="CS58" s="91">
        <f>CQ58+0</f>
        <v>0</v>
      </c>
      <c r="CU58" s="12">
        <f>CS58-(CU$5*CU57)</f>
        <v>0</v>
      </c>
      <c r="CW58" s="12">
        <f>CU58-(CW$5*CW57)</f>
        <v>0</v>
      </c>
      <c r="CY58" s="89">
        <f>CW58-(CY$5*CY57)</f>
        <v>0</v>
      </c>
      <c r="DA58" s="12">
        <f>CY58-(DA$5*DA57)</f>
        <v>0</v>
      </c>
      <c r="DC58" s="12">
        <f>DA58-(DC$5*DC57)</f>
        <v>0</v>
      </c>
      <c r="DE58" s="89">
        <f>DC58-(DE$5*DE57)</f>
        <v>0</v>
      </c>
      <c r="DG58" s="12">
        <f>DE58-(DG$5*DG57)</f>
        <v>0</v>
      </c>
      <c r="DI58" s="12">
        <f>DG58-(DI$5*DI57)</f>
        <v>0</v>
      </c>
      <c r="DK58" s="89">
        <f>DI58-(DK$5*DK57)</f>
        <v>0</v>
      </c>
      <c r="DM58" s="12">
        <f>DK58-(DM$5*DM57)</f>
        <v>0</v>
      </c>
      <c r="DO58" s="12">
        <f>DM58-(DO$5*DO57)</f>
        <v>0</v>
      </c>
      <c r="DQ58" s="92">
        <f>DO58-(DQ$5*DQ57)</f>
        <v>0</v>
      </c>
    </row>
    <row r="59" spans="3:122" x14ac:dyDescent="0.2">
      <c r="BU59" s="80"/>
      <c r="CA59" s="80"/>
      <c r="CG59" s="80"/>
      <c r="CM59" s="94"/>
      <c r="CS59" s="95">
        <f>(CS58/SUM(CU$5:DQ$5))</f>
        <v>0</v>
      </c>
      <c r="CY59" s="80"/>
      <c r="DE59" s="80"/>
      <c r="DK59" s="80"/>
      <c r="DQ59" s="80"/>
    </row>
  </sheetData>
  <pageMargins left="0.5" right="0.5" top="1" bottom="1" header="0.5" footer="0.5"/>
  <pageSetup scale="47" fitToWidth="2" orientation="landscape" r:id="rId1"/>
  <headerFooter>
    <oddHeader>&amp;C&amp;"Arial,Bold"Schedule V&amp;"Arial,Regular"
Balance Adjustment&amp;R&amp;"Arial,Bold"Navitas KY NG, LLC</oddHeader>
    <oddFooter>&amp;C&amp;A&amp;R&amp;D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D86BE-C172-4C82-A6D8-B64D8715B75E}">
  <sheetPr>
    <pageSetUpPr fitToPage="1"/>
  </sheetPr>
  <dimension ref="A1:AD106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D76" sqref="AD76"/>
    </sheetView>
  </sheetViews>
  <sheetFormatPr defaultColWidth="9.140625" defaultRowHeight="12.75" x14ac:dyDescent="0.2"/>
  <cols>
    <col min="1" max="2" width="1.28515625" style="19" customWidth="1"/>
    <col min="3" max="3" width="13.140625" style="19" customWidth="1"/>
    <col min="4" max="4" width="1.42578125" style="19" customWidth="1"/>
    <col min="5" max="5" width="1.28515625" style="19" customWidth="1"/>
    <col min="6" max="6" width="9.7109375" style="19" customWidth="1"/>
    <col min="7" max="7" width="1.28515625" style="19" customWidth="1"/>
    <col min="8" max="8" width="9.7109375" style="19" customWidth="1"/>
    <col min="9" max="9" width="1.28515625" style="19" customWidth="1"/>
    <col min="10" max="10" width="9.7109375" style="19" customWidth="1"/>
    <col min="11" max="11" width="1.28515625" style="19" customWidth="1"/>
    <col min="12" max="12" width="9.7109375" style="19" customWidth="1"/>
    <col min="13" max="13" width="1.28515625" style="19" customWidth="1"/>
    <col min="14" max="14" width="9.7109375" style="19" customWidth="1"/>
    <col min="15" max="15" width="1.28515625" style="19" customWidth="1"/>
    <col min="16" max="16" width="9.7109375" style="19" customWidth="1"/>
    <col min="17" max="17" width="1.28515625" style="19" customWidth="1"/>
    <col min="18" max="18" width="9.7109375" style="19" customWidth="1"/>
    <col min="19" max="19" width="1.28515625" style="19" customWidth="1"/>
    <col min="20" max="20" width="9.7109375" style="19" customWidth="1"/>
    <col min="21" max="21" width="1.28515625" style="19" customWidth="1"/>
    <col min="22" max="22" width="9.7109375" style="19" customWidth="1"/>
    <col min="23" max="23" width="1.28515625" style="19" customWidth="1"/>
    <col min="24" max="24" width="9.7109375" style="19" customWidth="1"/>
    <col min="25" max="25" width="1.28515625" style="19" customWidth="1"/>
    <col min="26" max="26" width="9.7109375" style="19" customWidth="1"/>
    <col min="27" max="27" width="1.28515625" style="19" customWidth="1"/>
    <col min="28" max="28" width="9.7109375" style="19" customWidth="1"/>
    <col min="29" max="29" width="1.28515625" style="19" customWidth="1"/>
    <col min="30" max="30" width="9.140625" style="19"/>
    <col min="31" max="31" width="15.85546875" style="19" customWidth="1"/>
    <col min="32" max="32" width="9.7109375" style="19" customWidth="1"/>
    <col min="33" max="16384" width="9.140625" style="19"/>
  </cols>
  <sheetData>
    <row r="1" spans="1:29" x14ac:dyDescent="0.2">
      <c r="A1" s="19" t="s">
        <v>0</v>
      </c>
    </row>
    <row r="2" spans="1:29" s="113" customFormat="1" x14ac:dyDescent="0.2">
      <c r="F2" s="114">
        <v>39478</v>
      </c>
      <c r="G2" s="114"/>
      <c r="H2" s="114">
        <v>39506</v>
      </c>
      <c r="I2" s="114"/>
      <c r="J2" s="114">
        <v>39538</v>
      </c>
      <c r="K2" s="114"/>
      <c r="L2" s="114">
        <v>39568</v>
      </c>
      <c r="M2" s="114"/>
      <c r="N2" s="114">
        <v>39599</v>
      </c>
      <c r="O2" s="114"/>
      <c r="P2" s="114">
        <v>39629</v>
      </c>
      <c r="Q2" s="114"/>
      <c r="R2" s="114">
        <v>39660</v>
      </c>
      <c r="S2" s="114"/>
      <c r="T2" s="114">
        <v>39691</v>
      </c>
      <c r="U2" s="114"/>
      <c r="V2" s="114">
        <v>39721</v>
      </c>
      <c r="W2" s="114"/>
      <c r="X2" s="114">
        <v>39752</v>
      </c>
      <c r="Y2" s="114"/>
      <c r="Z2" s="114">
        <v>39782</v>
      </c>
      <c r="AA2" s="114"/>
      <c r="AB2" s="114">
        <v>39813</v>
      </c>
      <c r="AC2" s="114"/>
    </row>
    <row r="3" spans="1:29" x14ac:dyDescent="0.2">
      <c r="B3" s="123" t="s">
        <v>2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</row>
    <row r="4" spans="1:29" x14ac:dyDescent="0.2">
      <c r="C4" s="19" t="s">
        <v>208</v>
      </c>
      <c r="F4" s="115" t="s">
        <v>59</v>
      </c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spans="1:29" x14ac:dyDescent="0.2">
      <c r="C5" s="19">
        <v>2020</v>
      </c>
      <c r="F5" s="115"/>
      <c r="G5" s="115"/>
      <c r="H5" s="115"/>
      <c r="I5" s="115"/>
      <c r="J5" s="115"/>
      <c r="K5" s="115"/>
      <c r="L5" s="115"/>
      <c r="M5" s="115"/>
      <c r="N5" s="115">
        <v>2602</v>
      </c>
      <c r="O5" s="115"/>
      <c r="P5" s="115">
        <v>2986</v>
      </c>
      <c r="Q5" s="115"/>
      <c r="R5" s="115">
        <v>3294</v>
      </c>
      <c r="S5" s="115"/>
      <c r="T5" s="115">
        <v>2248</v>
      </c>
      <c r="U5" s="115"/>
      <c r="V5" s="115">
        <v>3641</v>
      </c>
      <c r="W5" s="115"/>
      <c r="X5" s="115">
        <v>4076</v>
      </c>
      <c r="Y5" s="115"/>
      <c r="Z5" s="115">
        <v>7543</v>
      </c>
      <c r="AA5" s="115"/>
      <c r="AB5" s="115">
        <v>15801</v>
      </c>
      <c r="AC5" s="115"/>
    </row>
    <row r="6" spans="1:29" x14ac:dyDescent="0.2">
      <c r="C6" s="19">
        <v>2021</v>
      </c>
      <c r="F6" s="115">
        <v>8062</v>
      </c>
      <c r="G6" s="115"/>
      <c r="H6" s="115">
        <v>9011</v>
      </c>
      <c r="I6" s="115"/>
      <c r="J6" s="115">
        <v>8648</v>
      </c>
      <c r="K6" s="115"/>
      <c r="L6" s="115">
        <v>6721</v>
      </c>
      <c r="M6" s="115"/>
      <c r="N6" s="115">
        <v>4576</v>
      </c>
      <c r="O6" s="115"/>
      <c r="P6" s="115">
        <v>3920</v>
      </c>
      <c r="Q6" s="115"/>
      <c r="R6" s="115">
        <v>1949</v>
      </c>
      <c r="S6" s="115"/>
      <c r="T6" s="115">
        <v>930</v>
      </c>
      <c r="U6" s="115"/>
      <c r="V6" s="115">
        <v>203</v>
      </c>
      <c r="W6" s="115"/>
      <c r="X6" s="115">
        <v>405</v>
      </c>
      <c r="Y6" s="115"/>
      <c r="Z6" s="115">
        <v>4469</v>
      </c>
      <c r="AA6" s="115"/>
      <c r="AB6" s="115">
        <v>1663</v>
      </c>
      <c r="AC6" s="115"/>
    </row>
    <row r="7" spans="1:29" x14ac:dyDescent="0.2">
      <c r="C7" s="19">
        <v>2022</v>
      </c>
      <c r="F7" s="115">
        <v>9807</v>
      </c>
      <c r="G7" s="115"/>
      <c r="H7" s="115">
        <v>6916</v>
      </c>
      <c r="I7" s="115"/>
      <c r="J7" s="115">
        <v>2465</v>
      </c>
      <c r="K7" s="115"/>
      <c r="L7" s="115">
        <v>923</v>
      </c>
      <c r="M7" s="115"/>
      <c r="N7" s="115">
        <v>310</v>
      </c>
      <c r="O7" s="115"/>
      <c r="P7" s="115">
        <v>220</v>
      </c>
      <c r="Q7" s="115"/>
      <c r="R7" s="115">
        <v>110</v>
      </c>
      <c r="S7" s="115"/>
      <c r="T7" s="115">
        <v>89</v>
      </c>
      <c r="U7" s="115"/>
      <c r="V7" s="115">
        <v>31</v>
      </c>
      <c r="W7" s="115"/>
      <c r="X7" s="115">
        <v>398</v>
      </c>
      <c r="Y7" s="115"/>
      <c r="Z7" s="115">
        <v>2043</v>
      </c>
      <c r="AA7" s="115"/>
      <c r="AB7" s="115">
        <v>5840</v>
      </c>
      <c r="AC7" s="115"/>
    </row>
    <row r="8" spans="1:29" x14ac:dyDescent="0.2">
      <c r="C8" s="19">
        <v>2023</v>
      </c>
      <c r="F8" s="115">
        <v>4539</v>
      </c>
      <c r="G8" s="115"/>
      <c r="H8" s="115">
        <v>2978</v>
      </c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</row>
    <row r="9" spans="1:29" x14ac:dyDescent="0.2"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</row>
    <row r="10" spans="1:29" x14ac:dyDescent="0.2">
      <c r="C10" s="19" t="s">
        <v>225</v>
      </c>
      <c r="F10" s="115" t="s">
        <v>61</v>
      </c>
      <c r="G10" s="115"/>
      <c r="H10" s="116">
        <f>'EGC (SII)'!F6</f>
        <v>1.2</v>
      </c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</row>
    <row r="11" spans="1:29" x14ac:dyDescent="0.2">
      <c r="C11" s="19">
        <v>2020</v>
      </c>
      <c r="F11" s="115"/>
      <c r="G11" s="115"/>
      <c r="H11" s="115"/>
      <c r="I11" s="115"/>
      <c r="J11" s="115"/>
      <c r="K11" s="115"/>
      <c r="L11" s="115"/>
      <c r="M11" s="115"/>
      <c r="N11" s="115">
        <f>N5/$H$10</f>
        <v>2168.3333333333335</v>
      </c>
      <c r="O11" s="115"/>
      <c r="P11" s="115">
        <f>P5/$H$10</f>
        <v>2488.3333333333335</v>
      </c>
      <c r="Q11" s="115"/>
      <c r="R11" s="115">
        <f>R5/$H$10</f>
        <v>2745</v>
      </c>
      <c r="S11" s="115"/>
      <c r="T11" s="115">
        <f>T5/$H$10</f>
        <v>1873.3333333333335</v>
      </c>
      <c r="U11" s="115"/>
      <c r="V11" s="115">
        <f>V5/$H$10</f>
        <v>3034.166666666667</v>
      </c>
      <c r="W11" s="115"/>
      <c r="X11" s="115">
        <f>X5/$H$10</f>
        <v>3396.666666666667</v>
      </c>
      <c r="Y11" s="115"/>
      <c r="Z11" s="115">
        <f>Z5/$H$10</f>
        <v>6285.8333333333339</v>
      </c>
      <c r="AA11" s="115"/>
      <c r="AB11" s="115">
        <f>AB5/$H$10</f>
        <v>13167.5</v>
      </c>
      <c r="AC11" s="115"/>
    </row>
    <row r="12" spans="1:29" x14ac:dyDescent="0.2">
      <c r="C12" s="19">
        <v>2021</v>
      </c>
      <c r="F12" s="115">
        <f>F6/$H$10</f>
        <v>6718.3333333333339</v>
      </c>
      <c r="G12" s="115"/>
      <c r="H12" s="115">
        <f>H6/$H$10</f>
        <v>7509.166666666667</v>
      </c>
      <c r="I12" s="115"/>
      <c r="J12" s="115">
        <f>J6/$H$10</f>
        <v>7206.666666666667</v>
      </c>
      <c r="K12" s="115"/>
      <c r="L12" s="115">
        <f>L6/$H$10</f>
        <v>5600.8333333333339</v>
      </c>
      <c r="M12" s="115"/>
      <c r="N12" s="115">
        <f>N6/$H$10</f>
        <v>3813.3333333333335</v>
      </c>
      <c r="O12" s="115"/>
      <c r="P12" s="115">
        <f>P6/$H$10</f>
        <v>3266.666666666667</v>
      </c>
      <c r="Q12" s="115"/>
      <c r="R12" s="115">
        <f>R6/$H$10</f>
        <v>1624.1666666666667</v>
      </c>
      <c r="S12" s="115"/>
      <c r="T12" s="115">
        <f>T6/$H$10</f>
        <v>775</v>
      </c>
      <c r="U12" s="115"/>
      <c r="V12" s="115">
        <f>V6/$H$10</f>
        <v>169.16666666666669</v>
      </c>
      <c r="W12" s="115"/>
      <c r="X12" s="115">
        <f>X6/$H$10</f>
        <v>337.5</v>
      </c>
      <c r="Y12" s="115"/>
      <c r="Z12" s="115">
        <f>Z6/$H$10</f>
        <v>3724.166666666667</v>
      </c>
      <c r="AA12" s="115"/>
      <c r="AB12" s="115">
        <f>AB6/$H$10</f>
        <v>1385.8333333333335</v>
      </c>
      <c r="AC12" s="115"/>
    </row>
    <row r="13" spans="1:29" x14ac:dyDescent="0.2">
      <c r="C13" s="19">
        <v>2022</v>
      </c>
      <c r="F13" s="115">
        <f>F7/$H$10</f>
        <v>8172.5</v>
      </c>
      <c r="G13" s="115"/>
      <c r="H13" s="115">
        <f>H7/$H$10</f>
        <v>5763.3333333333339</v>
      </c>
      <c r="I13" s="115"/>
      <c r="J13" s="115">
        <f>J7/$H$10</f>
        <v>2054.166666666667</v>
      </c>
      <c r="K13" s="115"/>
      <c r="L13" s="115">
        <f>L7/$H$10</f>
        <v>769.16666666666674</v>
      </c>
      <c r="M13" s="115"/>
      <c r="N13" s="115">
        <f>N7/$H$10</f>
        <v>258.33333333333337</v>
      </c>
      <c r="O13" s="115"/>
      <c r="P13" s="115">
        <f>P7/$H$10</f>
        <v>183.33333333333334</v>
      </c>
      <c r="Q13" s="115"/>
      <c r="R13" s="115">
        <f>R7/$H$10</f>
        <v>91.666666666666671</v>
      </c>
      <c r="S13" s="115"/>
      <c r="T13" s="115">
        <f>T7/$H$10</f>
        <v>74.166666666666671</v>
      </c>
      <c r="U13" s="115"/>
      <c r="V13" s="115">
        <f>V7/$H$10</f>
        <v>25.833333333333336</v>
      </c>
      <c r="W13" s="115"/>
      <c r="X13" s="115">
        <f>X7/$H$10</f>
        <v>331.66666666666669</v>
      </c>
      <c r="Y13" s="115"/>
      <c r="Z13" s="115">
        <f>Z7/$H$10</f>
        <v>1702.5</v>
      </c>
      <c r="AA13" s="115"/>
      <c r="AB13" s="115">
        <f>AB7/$H$10</f>
        <v>4866.666666666667</v>
      </c>
      <c r="AC13" s="115"/>
    </row>
    <row r="14" spans="1:29" x14ac:dyDescent="0.2">
      <c r="C14" s="19">
        <v>2023</v>
      </c>
      <c r="F14" s="115">
        <f>F8/$H$10</f>
        <v>3782.5</v>
      </c>
      <c r="G14" s="115"/>
      <c r="H14" s="115">
        <f>H8/$H$10</f>
        <v>2481.666666666667</v>
      </c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</row>
    <row r="15" spans="1:29" x14ac:dyDescent="0.2"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</row>
    <row r="16" spans="1:29" x14ac:dyDescent="0.2">
      <c r="C16" s="120" t="s">
        <v>222</v>
      </c>
      <c r="F16" s="115">
        <f>SUM($F14:F14)+SUM(H13:$AB13)</f>
        <v>19903.333333333336</v>
      </c>
      <c r="G16" s="115"/>
      <c r="H16" s="115">
        <f>SUM($F14:H14)+SUM(J13:$AB13)</f>
        <v>16621.666666666668</v>
      </c>
      <c r="I16" s="115"/>
      <c r="J16" s="115">
        <f>SUM($F13:J13)+SUM(L12:$AB12)</f>
        <v>36686.666666666672</v>
      </c>
      <c r="K16" s="115"/>
      <c r="L16" s="115">
        <f>SUM($F13:L13)+SUM(N12:$AB12)</f>
        <v>31855</v>
      </c>
      <c r="M16" s="115"/>
      <c r="N16" s="115">
        <f>SUM($F13:N13)+SUM(P12:$AB12)</f>
        <v>28300</v>
      </c>
      <c r="O16" s="115"/>
      <c r="P16" s="115">
        <f>SUM($F13:P13)+SUM(R12:$AB12)</f>
        <v>25216.666666666664</v>
      </c>
      <c r="Q16" s="115"/>
      <c r="R16" s="115">
        <f>SUM($F13:R13)+SUM(T12:$AB12)</f>
        <v>23684.166666666668</v>
      </c>
      <c r="S16" s="115"/>
      <c r="T16" s="115">
        <f>SUM($F13:T13)+SUM(V12:$AB12)</f>
        <v>22983.333333333336</v>
      </c>
      <c r="U16" s="115"/>
      <c r="V16" s="115">
        <f>SUM($F13:V13)+SUM(X12:$AB12)</f>
        <v>22840</v>
      </c>
      <c r="W16" s="115"/>
      <c r="X16" s="115">
        <f>SUM($F13:X13)+SUM(Z12:$AB12)</f>
        <v>22834.166666666668</v>
      </c>
      <c r="Y16" s="115"/>
      <c r="Z16" s="115">
        <f>SUM($F13:Z13)+SUM(AB12:$AB12)</f>
        <v>20812.5</v>
      </c>
      <c r="AA16" s="115"/>
      <c r="AB16" s="115">
        <f>SUM($F13:AB13)</f>
        <v>24293.333333333336</v>
      </c>
      <c r="AC16" s="115"/>
    </row>
    <row r="17" spans="3:29" x14ac:dyDescent="0.2"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</row>
    <row r="18" spans="3:29" x14ac:dyDescent="0.2">
      <c r="C18" s="214"/>
      <c r="D18" s="214"/>
      <c r="E18" s="214"/>
      <c r="F18" s="215" t="s">
        <v>198</v>
      </c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115"/>
    </row>
    <row r="19" spans="3:29" x14ac:dyDescent="0.2">
      <c r="C19" s="214" t="s">
        <v>196</v>
      </c>
      <c r="D19" s="214"/>
      <c r="E19" s="214"/>
      <c r="F19" s="215"/>
      <c r="G19" s="215"/>
      <c r="H19" s="215">
        <v>7400</v>
      </c>
      <c r="I19" s="215"/>
      <c r="J19" s="215">
        <v>3700</v>
      </c>
      <c r="K19" s="215"/>
      <c r="L19" s="215">
        <v>3700</v>
      </c>
      <c r="M19" s="215"/>
      <c r="N19" s="215">
        <v>3700</v>
      </c>
      <c r="O19" s="215"/>
      <c r="P19" s="215">
        <v>3700</v>
      </c>
      <c r="Q19" s="215"/>
      <c r="R19" s="215">
        <v>3700</v>
      </c>
      <c r="S19" s="215"/>
      <c r="T19" s="215">
        <v>3700</v>
      </c>
      <c r="U19" s="215"/>
      <c r="V19" s="215">
        <v>3700</v>
      </c>
      <c r="W19" s="215"/>
      <c r="X19" s="215">
        <v>3700</v>
      </c>
      <c r="Y19" s="215"/>
      <c r="Z19" s="215">
        <v>3700</v>
      </c>
      <c r="AA19" s="215"/>
      <c r="AB19" s="215">
        <v>0</v>
      </c>
      <c r="AC19" s="115"/>
    </row>
    <row r="20" spans="3:29" x14ac:dyDescent="0.2">
      <c r="C20" s="216" t="s">
        <v>197</v>
      </c>
      <c r="D20" s="214"/>
      <c r="E20" s="214"/>
      <c r="F20" s="215"/>
      <c r="G20" s="215"/>
      <c r="H20" s="215">
        <v>3421.36</v>
      </c>
      <c r="I20" s="215"/>
      <c r="J20" s="215">
        <v>5624.83</v>
      </c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115"/>
    </row>
    <row r="21" spans="3:29" x14ac:dyDescent="0.2">
      <c r="C21" s="216">
        <v>2022</v>
      </c>
      <c r="D21" s="214"/>
      <c r="E21" s="214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115"/>
    </row>
    <row r="22" spans="3:29" x14ac:dyDescent="0.2">
      <c r="C22" s="216"/>
      <c r="D22" s="214"/>
      <c r="E22" s="214"/>
      <c r="F22" s="215"/>
      <c r="G22" s="215"/>
      <c r="H22" s="215">
        <f>SUM(H19:H21)</f>
        <v>10821.36</v>
      </c>
      <c r="I22" s="215"/>
      <c r="J22" s="215">
        <f>SUM(J19:J21)</f>
        <v>9324.83</v>
      </c>
      <c r="K22" s="215"/>
      <c r="L22" s="215">
        <f>SUM(L19:L21)</f>
        <v>3700</v>
      </c>
      <c r="M22" s="215"/>
      <c r="N22" s="215">
        <f>SUM(N19:N21)</f>
        <v>3700</v>
      </c>
      <c r="O22" s="215"/>
      <c r="P22" s="215">
        <f>SUM(P19:P21)</f>
        <v>3700</v>
      </c>
      <c r="Q22" s="215"/>
      <c r="R22" s="215">
        <f>SUM(R19:R21)</f>
        <v>3700</v>
      </c>
      <c r="S22" s="215"/>
      <c r="T22" s="215">
        <f>SUM(T19:T21)</f>
        <v>3700</v>
      </c>
      <c r="U22" s="215"/>
      <c r="V22" s="215">
        <f>SUM(V19:V21)</f>
        <v>3700</v>
      </c>
      <c r="W22" s="215"/>
      <c r="X22" s="215">
        <f>SUM(X19:X21)</f>
        <v>3700</v>
      </c>
      <c r="Y22" s="215"/>
      <c r="Z22" s="215">
        <f>SUM(Z19:Z21)</f>
        <v>3700</v>
      </c>
      <c r="AA22" s="215"/>
      <c r="AB22" s="215"/>
      <c r="AC22" s="115"/>
    </row>
    <row r="23" spans="3:29" x14ac:dyDescent="0.2">
      <c r="C23" s="120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</row>
    <row r="24" spans="3:29" x14ac:dyDescent="0.2"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</row>
    <row r="25" spans="3:29" x14ac:dyDescent="0.2">
      <c r="C25" s="19" t="s">
        <v>226</v>
      </c>
      <c r="F25" s="115" t="s">
        <v>61</v>
      </c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</row>
    <row r="26" spans="3:29" x14ac:dyDescent="0.2">
      <c r="C26" s="19">
        <v>2020</v>
      </c>
      <c r="F26" s="115"/>
      <c r="G26" s="115"/>
      <c r="H26" s="115"/>
      <c r="I26" s="115"/>
      <c r="J26" s="115"/>
      <c r="K26" s="115"/>
      <c r="L26" s="115"/>
      <c r="M26" s="115"/>
      <c r="N26" s="115">
        <v>5353</v>
      </c>
      <c r="O26" s="115"/>
      <c r="P26" s="115">
        <v>4112</v>
      </c>
      <c r="Q26" s="115"/>
      <c r="R26" s="115">
        <v>3477</v>
      </c>
      <c r="S26" s="115"/>
      <c r="T26" s="115">
        <v>4107</v>
      </c>
      <c r="U26" s="115"/>
      <c r="V26" s="115">
        <v>3683</v>
      </c>
      <c r="W26" s="115"/>
      <c r="X26" s="115">
        <v>5476</v>
      </c>
      <c r="Y26" s="115"/>
      <c r="Z26" s="115">
        <v>5128</v>
      </c>
      <c r="AA26" s="115"/>
      <c r="AB26" s="115">
        <v>2275</v>
      </c>
      <c r="AC26" s="115"/>
    </row>
    <row r="27" spans="3:29" x14ac:dyDescent="0.2">
      <c r="C27" s="19">
        <v>2021</v>
      </c>
      <c r="F27" s="115">
        <v>4628</v>
      </c>
      <c r="G27" s="115"/>
      <c r="H27" s="115">
        <v>4320</v>
      </c>
      <c r="I27" s="115"/>
      <c r="J27" s="115">
        <v>4627</v>
      </c>
      <c r="K27" s="115"/>
      <c r="L27" s="115">
        <v>4162</v>
      </c>
      <c r="M27" s="115"/>
      <c r="N27" s="115">
        <v>4508</v>
      </c>
      <c r="O27" s="115"/>
      <c r="P27" s="115">
        <v>3506</v>
      </c>
      <c r="Q27" s="115"/>
      <c r="R27" s="115">
        <v>1840</v>
      </c>
      <c r="S27" s="115"/>
      <c r="T27" s="115">
        <v>1327</v>
      </c>
      <c r="U27" s="115"/>
      <c r="V27" s="115">
        <v>1798</v>
      </c>
      <c r="W27" s="115"/>
      <c r="X27" s="115">
        <v>2632</v>
      </c>
      <c r="Y27" s="115"/>
      <c r="Z27" s="115">
        <v>2750</v>
      </c>
      <c r="AA27" s="115"/>
      <c r="AB27" s="115">
        <v>4088</v>
      </c>
      <c r="AC27" s="115"/>
    </row>
    <row r="28" spans="3:29" x14ac:dyDescent="0.2">
      <c r="C28" s="19">
        <v>2022</v>
      </c>
      <c r="F28" s="115">
        <v>4726</v>
      </c>
      <c r="G28" s="115"/>
      <c r="H28" s="115">
        <v>2800</v>
      </c>
      <c r="I28" s="115"/>
      <c r="J28" s="115">
        <v>4180</v>
      </c>
      <c r="K28" s="115"/>
      <c r="L28" s="115">
        <v>4169</v>
      </c>
      <c r="M28" s="115"/>
      <c r="N28" s="115">
        <v>2548</v>
      </c>
      <c r="O28" s="115"/>
      <c r="P28" s="115">
        <v>1879</v>
      </c>
      <c r="Q28" s="115"/>
      <c r="R28" s="115">
        <v>2117</v>
      </c>
      <c r="S28" s="115"/>
      <c r="T28" s="115">
        <v>2071</v>
      </c>
      <c r="U28" s="115"/>
      <c r="V28" s="115">
        <v>2620</v>
      </c>
      <c r="W28" s="115"/>
      <c r="X28" s="115">
        <v>3926</v>
      </c>
      <c r="Y28" s="115"/>
      <c r="Z28" s="115">
        <v>4000</v>
      </c>
      <c r="AA28" s="115"/>
      <c r="AB28" s="115">
        <v>4300</v>
      </c>
      <c r="AC28" s="115"/>
    </row>
    <row r="29" spans="3:29" x14ac:dyDescent="0.2">
      <c r="C29" s="19">
        <v>2023</v>
      </c>
      <c r="F29" s="115">
        <v>4033</v>
      </c>
      <c r="G29" s="115"/>
      <c r="H29" s="115">
        <v>3486</v>
      </c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</row>
    <row r="30" spans="3:29" x14ac:dyDescent="0.2"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</row>
    <row r="31" spans="3:29" x14ac:dyDescent="0.2">
      <c r="C31" s="120" t="s">
        <v>223</v>
      </c>
      <c r="F31" s="115">
        <f>SUM($F29:F29)+SUM(H28:$AB28)</f>
        <v>38643</v>
      </c>
      <c r="G31" s="115"/>
      <c r="H31" s="115">
        <f>SUM($F28:H28)+SUM(J27:$AB27)</f>
        <v>38764</v>
      </c>
      <c r="I31" s="115"/>
      <c r="J31" s="115">
        <f>SUM($F28:J28)+SUM(L27:$AB27)</f>
        <v>38317</v>
      </c>
      <c r="K31" s="115"/>
      <c r="L31" s="115">
        <f>SUM($F28:L28)+SUM(N27:$AB27)</f>
        <v>38324</v>
      </c>
      <c r="M31" s="115"/>
      <c r="N31" s="115">
        <f>SUM($F28:N28)+SUM(P27:$AB27)</f>
        <v>36364</v>
      </c>
      <c r="O31" s="115"/>
      <c r="P31" s="115">
        <f>SUM($F28:P28)+SUM(R27:$AB27)</f>
        <v>34737</v>
      </c>
      <c r="Q31" s="115"/>
      <c r="R31" s="115">
        <f>SUM($F28:R28)+SUM(T27:$AB27)</f>
        <v>35014</v>
      </c>
      <c r="S31" s="115"/>
      <c r="T31" s="115">
        <f>SUM($F28:T28)+SUM(V27:$AB27)</f>
        <v>35758</v>
      </c>
      <c r="U31" s="115"/>
      <c r="V31" s="115">
        <f>SUM($F28:V28)+SUM(X27:$AB27)</f>
        <v>36580</v>
      </c>
      <c r="W31" s="115"/>
      <c r="X31" s="115">
        <f>SUM($F28:X28)+SUM(Z27:$AB27)</f>
        <v>37874</v>
      </c>
      <c r="Y31" s="115"/>
      <c r="Z31" s="115">
        <f>SUM($F28:Z28)+SUM(AB27:$AB27)</f>
        <v>39124</v>
      </c>
      <c r="AA31" s="115"/>
      <c r="AB31" s="115">
        <f>SUM($F28:AB28)</f>
        <v>39336</v>
      </c>
      <c r="AC31" s="115"/>
    </row>
    <row r="32" spans="3:29" x14ac:dyDescent="0.2"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Y32" s="115"/>
      <c r="Z32" s="115"/>
      <c r="AA32" s="115"/>
      <c r="AB32" s="115"/>
      <c r="AC32" s="115"/>
    </row>
    <row r="33" spans="2:30" x14ac:dyDescent="0.2">
      <c r="C33" s="19" t="s">
        <v>125</v>
      </c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</row>
    <row r="34" spans="2:30" x14ac:dyDescent="0.2">
      <c r="C34" s="19">
        <v>2020</v>
      </c>
      <c r="F34" s="115"/>
      <c r="G34" s="115"/>
      <c r="H34" s="115"/>
      <c r="I34" s="115"/>
      <c r="J34" s="115"/>
      <c r="K34" s="115"/>
      <c r="L34" s="115"/>
      <c r="M34" s="115"/>
      <c r="N34" s="117">
        <v>0.92374141040011692</v>
      </c>
      <c r="O34" s="9"/>
      <c r="P34" s="61">
        <v>0.98412406008741815</v>
      </c>
      <c r="Q34" s="61"/>
      <c r="R34" s="117">
        <v>0.98578976134086349</v>
      </c>
      <c r="S34" s="9"/>
      <c r="T34" s="118">
        <v>0.98336382346215412</v>
      </c>
      <c r="U34" s="9"/>
      <c r="V34" s="9">
        <v>0.98474955694431487</v>
      </c>
      <c r="W34" s="9"/>
      <c r="X34" s="9">
        <v>0.977122283981809</v>
      </c>
      <c r="Y34" s="9"/>
      <c r="Z34" s="9">
        <v>0.94188011429390739</v>
      </c>
      <c r="AA34" s="9"/>
      <c r="AB34" s="9">
        <v>0.86897474409622744</v>
      </c>
      <c r="AC34" s="9"/>
    </row>
    <row r="35" spans="2:30" x14ac:dyDescent="0.2">
      <c r="C35" s="19">
        <v>2021</v>
      </c>
      <c r="F35" s="9">
        <v>0.8244498467008945</v>
      </c>
      <c r="G35" s="9"/>
      <c r="H35" s="9">
        <v>0.80864379016338361</v>
      </c>
      <c r="I35" s="9"/>
      <c r="J35" s="117">
        <v>0.93746554120689263</v>
      </c>
      <c r="K35" s="119"/>
      <c r="L35" s="117">
        <v>0.95346585775138759</v>
      </c>
      <c r="M35" s="115"/>
      <c r="N35" s="169">
        <v>0.97623035028216787</v>
      </c>
      <c r="O35" s="169"/>
      <c r="P35" s="169">
        <v>0.98571513335508942</v>
      </c>
      <c r="Q35" s="169"/>
      <c r="R35" s="169">
        <v>0.9787276914219919</v>
      </c>
      <c r="S35" s="115"/>
      <c r="T35" s="169">
        <v>0.96274715827681712</v>
      </c>
      <c r="U35" s="115"/>
      <c r="V35" s="169">
        <v>0.96100278551532037</v>
      </c>
      <c r="W35" s="115"/>
      <c r="X35" s="169">
        <v>0.95874005413829877</v>
      </c>
      <c r="Y35" s="115"/>
      <c r="Z35" s="61">
        <v>0.84812168702466006</v>
      </c>
      <c r="AA35" s="169"/>
      <c r="AB35" s="169">
        <v>0.82015246590260849</v>
      </c>
      <c r="AC35" s="169"/>
    </row>
    <row r="36" spans="2:30" x14ac:dyDescent="0.2">
      <c r="C36" s="19">
        <v>2022</v>
      </c>
      <c r="F36" s="169">
        <v>0.83266421798923695</v>
      </c>
      <c r="G36" s="115"/>
      <c r="H36" s="169">
        <v>0.82810555785980922</v>
      </c>
      <c r="I36" s="115"/>
      <c r="J36" s="169">
        <v>0.83417888878639723</v>
      </c>
      <c r="K36" s="169"/>
      <c r="L36" s="61">
        <v>0.85734215476970566</v>
      </c>
      <c r="M36" s="169"/>
      <c r="N36" s="169">
        <v>0.93853161171701982</v>
      </c>
      <c r="P36" s="210">
        <f>'Actual Adjustment (IV)'!AA37</f>
        <v>0.94790037971856156</v>
      </c>
      <c r="Q36" s="210"/>
      <c r="R36" s="210">
        <f>'Actual Adjustment (IV)'!AC37</f>
        <v>0.95896385971158993</v>
      </c>
      <c r="S36" s="210"/>
      <c r="T36" s="210">
        <f>'Actual Adjustment (IV)'!AE37</f>
        <v>0.94613613942781971</v>
      </c>
      <c r="U36" s="210"/>
      <c r="V36" s="210">
        <f>'Actual Adjustment (IV)'!AG37</f>
        <v>0.96359915998061496</v>
      </c>
      <c r="W36" s="210"/>
      <c r="X36" s="210">
        <f>'Actual Adjustment (IV)'!AI37</f>
        <v>0.98277388944436506</v>
      </c>
      <c r="Y36" s="210"/>
      <c r="Z36" s="210">
        <f>'Actual Adjustment (IV)'!AK37</f>
        <v>0.92280888652151716</v>
      </c>
      <c r="AA36" s="210"/>
      <c r="AB36" s="210">
        <f>'Actual Adjustment (IV)'!AM37</f>
        <v>0.89058068563512083</v>
      </c>
      <c r="AC36" s="210"/>
    </row>
    <row r="37" spans="2:30" x14ac:dyDescent="0.2">
      <c r="C37" s="19">
        <v>2023</v>
      </c>
      <c r="F37" s="210">
        <f>'Actual Adjustment (IV)'!AO37</f>
        <v>0.78924509082677841</v>
      </c>
      <c r="G37" s="115"/>
      <c r="H37" s="210">
        <f>'Actual Adjustment (IV)'!AQ37</f>
        <v>0.77592930029154528</v>
      </c>
      <c r="I37" s="115"/>
      <c r="J37" s="169"/>
      <c r="K37" s="169"/>
      <c r="L37" s="61"/>
      <c r="M37" s="169"/>
      <c r="N37" s="169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</row>
    <row r="38" spans="2:30" x14ac:dyDescent="0.2">
      <c r="F38" s="61"/>
      <c r="G38" s="115"/>
      <c r="H38" s="61"/>
      <c r="I38" s="115"/>
      <c r="J38" s="61"/>
      <c r="K38" s="115"/>
      <c r="L38" s="61"/>
      <c r="M38" s="115"/>
      <c r="N38" s="61"/>
      <c r="P38" s="61"/>
      <c r="R38" s="61"/>
      <c r="S38" s="169"/>
      <c r="T38" s="61"/>
      <c r="U38" s="169"/>
      <c r="V38" s="61"/>
      <c r="W38" s="169"/>
      <c r="X38" s="61"/>
      <c r="Y38" s="169"/>
      <c r="Z38" s="61"/>
      <c r="AB38" s="61"/>
      <c r="AD38" s="169"/>
    </row>
    <row r="39" spans="2:30" x14ac:dyDescent="0.2">
      <c r="C39" s="120" t="s">
        <v>227</v>
      </c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</row>
    <row r="40" spans="2:30" x14ac:dyDescent="0.2">
      <c r="C40" s="19">
        <v>2020</v>
      </c>
      <c r="F40" s="115"/>
      <c r="G40" s="115"/>
      <c r="H40" s="115"/>
      <c r="I40" s="115"/>
      <c r="J40" s="115"/>
      <c r="K40" s="115"/>
      <c r="L40" s="115"/>
      <c r="M40" s="115"/>
      <c r="N40" s="115">
        <f>(N26+N11)*N34</f>
        <v>6947.7670614227463</v>
      </c>
      <c r="O40" s="115"/>
      <c r="P40" s="115">
        <f>(P26+P11)*P34</f>
        <v>6495.5468379303229</v>
      </c>
      <c r="Q40" s="115"/>
      <c r="R40" s="115">
        <f>(R26+R11)*R34</f>
        <v>6133.5838950628522</v>
      </c>
      <c r="S40" s="115"/>
      <c r="T40" s="115">
        <f>(T26+T11)*T34</f>
        <v>5880.843452244836</v>
      </c>
      <c r="U40" s="115"/>
      <c r="V40" s="115">
        <f>(V26+V11)*V34</f>
        <v>6614.7268989211207</v>
      </c>
      <c r="W40" s="115"/>
      <c r="X40" s="115">
        <f>(X26+X11)*X34</f>
        <v>8669.6803183425982</v>
      </c>
      <c r="Y40" s="115"/>
      <c r="Z40" s="115">
        <f>(Z26+Z11)*Z34</f>
        <v>10750.46264453161</v>
      </c>
      <c r="AA40" s="115"/>
      <c r="AB40" s="115">
        <f>(AB26+AB5)*AB34</f>
        <v>15707.587474283408</v>
      </c>
      <c r="AC40" s="115"/>
    </row>
    <row r="41" spans="2:30" x14ac:dyDescent="0.2">
      <c r="C41" s="19">
        <v>2021</v>
      </c>
      <c r="F41" s="115">
        <f>(F27+F12)*F35</f>
        <v>9354.4827772839162</v>
      </c>
      <c r="G41" s="115"/>
      <c r="H41" s="115">
        <f>(H27+H12)*H35</f>
        <v>9565.5821678076936</v>
      </c>
      <c r="I41" s="115"/>
      <c r="J41" s="115">
        <f>(J27+J12)*J35</f>
        <v>11093.654726128632</v>
      </c>
      <c r="K41" s="115"/>
      <c r="L41" s="115">
        <f>(L27+L12)*L35</f>
        <v>9308.528258250506</v>
      </c>
      <c r="M41" s="115"/>
      <c r="N41" s="115">
        <f>(N27+N12)*N35</f>
        <v>8123.5381548146797</v>
      </c>
      <c r="O41" s="115"/>
      <c r="P41" s="115">
        <f>(P27+P12)*P35</f>
        <v>6675.9200265029021</v>
      </c>
      <c r="Q41" s="115"/>
      <c r="R41" s="115">
        <f>(R27+R12)*R35</f>
        <v>3390.4758443676837</v>
      </c>
      <c r="S41" s="115"/>
      <c r="T41" s="115">
        <f>(T27+T12)*T35</f>
        <v>2023.6945266978696</v>
      </c>
      <c r="U41" s="115"/>
      <c r="V41" s="115">
        <f>(V27+V12)*V35</f>
        <v>1890.4526462395545</v>
      </c>
      <c r="W41" s="115"/>
      <c r="X41" s="115">
        <f>(X27+X12)*X35</f>
        <v>2846.9785907636783</v>
      </c>
      <c r="Y41" s="115"/>
      <c r="Z41" s="115">
        <f>(Z27+Z12)*Z35</f>
        <v>5490.8811554121539</v>
      </c>
      <c r="AA41" s="115"/>
      <c r="AB41" s="115">
        <f>(AB27+AB12)*AB35</f>
        <v>4489.3779062732292</v>
      </c>
      <c r="AC41" s="115"/>
    </row>
    <row r="42" spans="2:30" x14ac:dyDescent="0.2">
      <c r="C42" s="19">
        <v>2022</v>
      </c>
      <c r="F42" s="115">
        <f>(F28+F13)*F36</f>
        <v>10740.119415734172</v>
      </c>
      <c r="G42" s="115"/>
      <c r="H42" s="115">
        <f>(H28+H13+H20)*H36</f>
        <v>9924.591158578738</v>
      </c>
      <c r="I42" s="115"/>
      <c r="J42" s="115">
        <f>(J28+J13+J20)*J36</f>
        <v>9892.5246615215874</v>
      </c>
      <c r="K42" s="115"/>
      <c r="L42" s="115">
        <f>(L28+L13+L20)*L36</f>
        <v>4233.6984506119352</v>
      </c>
      <c r="M42" s="115"/>
      <c r="N42" s="115">
        <f>(N28+N13+N20)*N36</f>
        <v>2633.8325463485303</v>
      </c>
      <c r="O42" s="115"/>
      <c r="P42" s="115">
        <f>(P28+P13+P20)*P36</f>
        <v>1954.8865497729137</v>
      </c>
      <c r="Q42" s="115"/>
      <c r="R42" s="115">
        <f>(R28+R13+R20)*R36</f>
        <v>2118.0315114829982</v>
      </c>
      <c r="S42" s="115"/>
      <c r="T42" s="115">
        <f>(T28+T13+T20)*T36</f>
        <v>2029.6197084292444</v>
      </c>
      <c r="U42" s="115"/>
      <c r="V42" s="115">
        <f>(V28+V13+V20)*V36</f>
        <v>2549.5227774487107</v>
      </c>
      <c r="W42" s="115"/>
      <c r="X42" s="115">
        <f>(X28+X13+X20)*X36</f>
        <v>4184.3236299576256</v>
      </c>
      <c r="Y42" s="115"/>
      <c r="Z42" s="115">
        <f>(Z28+Z13+Z20)*Z36</f>
        <v>5262.317675388952</v>
      </c>
      <c r="AA42" s="115"/>
      <c r="AB42" s="115">
        <f>(AB28+AB13+AB20)*AB36</f>
        <v>8163.6562849886086</v>
      </c>
      <c r="AC42" s="115"/>
    </row>
    <row r="43" spans="2:30" x14ac:dyDescent="0.2">
      <c r="C43" s="19">
        <v>2023</v>
      </c>
      <c r="F43" s="115">
        <f>(F29+F14)*F37</f>
        <v>6168.3450073566864</v>
      </c>
      <c r="G43" s="115"/>
      <c r="H43" s="115">
        <f>(H29+H14)*H37</f>
        <v>4630.4874210398457</v>
      </c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</row>
    <row r="44" spans="2:30" x14ac:dyDescent="0.2"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</row>
    <row r="45" spans="2:30" x14ac:dyDescent="0.2">
      <c r="C45" s="120" t="s">
        <v>224</v>
      </c>
      <c r="F45" s="115">
        <f>SUM($F43:F43)+SUM(H42:$AB42)</f>
        <v>59115.349961886532</v>
      </c>
      <c r="G45" s="115"/>
      <c r="H45" s="115">
        <f>SUM($F43:H43)+SUM(J42:$AB42)</f>
        <v>53821.246224347633</v>
      </c>
      <c r="I45" s="115"/>
      <c r="J45" s="115">
        <f>SUM($F42:J42)+SUM(L41:$AB41)</f>
        <v>74797.082345156756</v>
      </c>
      <c r="K45" s="115"/>
      <c r="L45" s="115">
        <f>SUM($F42:L42)+SUM(N41:$AB41)</f>
        <v>69722.252537518187</v>
      </c>
      <c r="M45" s="115"/>
      <c r="N45" s="115">
        <f>SUM($F42:N42)+SUM(P41:$AB41)</f>
        <v>64232.546929052041</v>
      </c>
      <c r="O45" s="115"/>
      <c r="P45" s="115">
        <f>SUM($F42:P42)+SUM(R41:$AB41)</f>
        <v>59511.513452322048</v>
      </c>
      <c r="Q45" s="115"/>
      <c r="R45" s="115">
        <f>SUM($F42:R42)+SUM(T41:$AB41)</f>
        <v>58239.069119437365</v>
      </c>
      <c r="S45" s="115"/>
      <c r="T45" s="115">
        <f>SUM($F42:T42)+SUM(V41:$AB41)</f>
        <v>58244.994301168743</v>
      </c>
      <c r="U45" s="115"/>
      <c r="V45" s="115">
        <f>SUM($F42:V42)+SUM(X41:$AB41)</f>
        <v>58904.064432377898</v>
      </c>
      <c r="W45" s="115"/>
      <c r="X45" s="115">
        <f>SUM($F42:X42)+SUM(Z41:$AB41)</f>
        <v>60241.409471571846</v>
      </c>
      <c r="Y45" s="115"/>
      <c r="Z45" s="115">
        <f>SUM($F42:Z42)+SUM(AB41:$AB41)</f>
        <v>60012.845991548638</v>
      </c>
      <c r="AA45" s="115"/>
      <c r="AB45" s="115">
        <f>SUM($F42:AB42)</f>
        <v>63687.12437026402</v>
      </c>
      <c r="AC45" s="115"/>
    </row>
    <row r="46" spans="2:30" x14ac:dyDescent="0.2"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</row>
    <row r="47" spans="2:30" x14ac:dyDescent="0.2"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</row>
    <row r="48" spans="2:30" x14ac:dyDescent="0.2">
      <c r="B48" s="123" t="s">
        <v>5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</row>
    <row r="49" spans="3:29" ht="15" x14ac:dyDescent="0.25">
      <c r="C49" s="206" t="s">
        <v>30</v>
      </c>
      <c r="D49" s="204"/>
      <c r="E49" s="204"/>
      <c r="F49" s="205" t="s">
        <v>61</v>
      </c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</row>
    <row r="50" spans="3:29" ht="15" x14ac:dyDescent="0.25">
      <c r="C50" s="204">
        <v>2020</v>
      </c>
      <c r="D50" s="204"/>
      <c r="E50" s="204"/>
      <c r="F50" s="205"/>
      <c r="G50" s="205"/>
      <c r="H50" s="205"/>
      <c r="I50" s="205"/>
      <c r="J50" s="205"/>
      <c r="K50" s="205"/>
      <c r="L50" s="205"/>
      <c r="M50" s="205"/>
      <c r="N50" s="205">
        <v>806</v>
      </c>
      <c r="O50" s="205"/>
      <c r="P50" s="205">
        <v>448</v>
      </c>
      <c r="Q50" s="205"/>
      <c r="R50" s="205">
        <v>413</v>
      </c>
      <c r="S50" s="205"/>
      <c r="T50" s="205">
        <v>329</v>
      </c>
      <c r="U50" s="205"/>
      <c r="V50" s="205">
        <v>450</v>
      </c>
      <c r="W50" s="205"/>
      <c r="X50" s="205">
        <v>639</v>
      </c>
      <c r="Y50" s="205"/>
      <c r="Z50" s="205">
        <v>1194</v>
      </c>
      <c r="AA50" s="205"/>
      <c r="AB50" s="205">
        <v>1521</v>
      </c>
      <c r="AC50" s="205"/>
    </row>
    <row r="51" spans="3:29" ht="15" x14ac:dyDescent="0.25">
      <c r="C51" s="204">
        <v>2021</v>
      </c>
      <c r="D51" s="204"/>
      <c r="E51" s="204"/>
      <c r="F51" s="205">
        <v>747</v>
      </c>
      <c r="G51" s="205"/>
      <c r="H51" s="205">
        <v>1261</v>
      </c>
      <c r="I51" s="205"/>
      <c r="J51" s="205">
        <v>1048</v>
      </c>
      <c r="K51" s="205"/>
      <c r="L51" s="205">
        <v>1025</v>
      </c>
      <c r="M51" s="205"/>
      <c r="N51" s="205">
        <v>1349.4</v>
      </c>
      <c r="O51" s="205"/>
      <c r="P51" s="205">
        <v>413.7</v>
      </c>
      <c r="Q51" s="205"/>
      <c r="R51" s="205">
        <v>169.7</v>
      </c>
      <c r="S51" s="205"/>
      <c r="T51" s="205">
        <v>470</v>
      </c>
      <c r="U51" s="205"/>
      <c r="V51" s="205">
        <v>388.2</v>
      </c>
      <c r="W51" s="205"/>
      <c r="X51" s="205">
        <v>701</v>
      </c>
      <c r="Y51" s="205"/>
      <c r="Z51" s="205">
        <v>663.9</v>
      </c>
      <c r="AA51" s="205"/>
      <c r="AB51" s="205"/>
      <c r="AC51" s="205"/>
    </row>
    <row r="52" spans="3:29" x14ac:dyDescent="0.2"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</row>
    <row r="53" spans="3:29" x14ac:dyDescent="0.2">
      <c r="C53" s="120" t="s">
        <v>228</v>
      </c>
      <c r="F53" s="115">
        <f>SUM($F52:F52)+SUM(H51:$AB51)</f>
        <v>7489.8999999999987</v>
      </c>
      <c r="G53" s="115"/>
      <c r="H53" s="115">
        <f>SUM($F52:H52)+SUM(J51:$AB51)</f>
        <v>6228.8999999999987</v>
      </c>
      <c r="I53" s="115"/>
      <c r="J53" s="115">
        <f>SUM($F52:J52)+SUM(L51:$AB51)</f>
        <v>5180.8999999999996</v>
      </c>
      <c r="K53" s="115"/>
      <c r="L53" s="115">
        <f>SUM($F52:L52)+SUM(N51:$AB51)</f>
        <v>4155.8999999999996</v>
      </c>
      <c r="M53" s="115"/>
      <c r="N53" s="115">
        <f>SUM($F52:N52)+SUM(P51:$AB51)</f>
        <v>2806.5000000000005</v>
      </c>
      <c r="O53" s="115"/>
      <c r="P53" s="115">
        <f>SUM($F52:P52)+SUM(R51:$AB51)</f>
        <v>2392.8000000000002</v>
      </c>
      <c r="Q53" s="115"/>
      <c r="R53" s="115">
        <f>SUM($F52:R52)+SUM(T51:$AB51)</f>
        <v>2223.1</v>
      </c>
      <c r="S53" s="115"/>
      <c r="T53" s="115">
        <f>SUM($F52:T52)+SUM(V51:$AB51)</f>
        <v>1753.1</v>
      </c>
      <c r="U53" s="115"/>
      <c r="V53" s="115">
        <f>SUM($F52:V52)+SUM(X51:$AB51)</f>
        <v>1364.9</v>
      </c>
      <c r="W53" s="115"/>
      <c r="X53" s="115">
        <f>SUM($F52:X52)+SUM(Z51:$AB51)</f>
        <v>663.9</v>
      </c>
      <c r="Y53" s="115"/>
      <c r="Z53" s="115">
        <f>SUM($F52:Z52)+SUM(AB51:$AB51)</f>
        <v>0</v>
      </c>
      <c r="AA53" s="115"/>
      <c r="AB53" s="115"/>
      <c r="AC53" s="115"/>
    </row>
    <row r="54" spans="3:29" x14ac:dyDescent="0.2">
      <c r="L54" s="115"/>
    </row>
    <row r="55" spans="3:29" x14ac:dyDescent="0.2">
      <c r="C55" s="19" t="s">
        <v>126</v>
      </c>
      <c r="F55" s="115" t="s">
        <v>61</v>
      </c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</row>
    <row r="56" spans="3:29" x14ac:dyDescent="0.2">
      <c r="C56" s="19">
        <v>2020</v>
      </c>
      <c r="F56" s="115"/>
      <c r="G56" s="115"/>
      <c r="H56" s="115"/>
      <c r="I56" s="115"/>
      <c r="J56" s="115"/>
      <c r="K56" s="115"/>
      <c r="L56" s="115"/>
      <c r="M56" s="115"/>
      <c r="N56" s="115">
        <v>0</v>
      </c>
      <c r="O56" s="115"/>
      <c r="P56" s="115">
        <v>101</v>
      </c>
      <c r="Q56" s="115"/>
      <c r="R56" s="115">
        <v>1</v>
      </c>
      <c r="S56" s="115"/>
      <c r="T56" s="115">
        <v>0</v>
      </c>
      <c r="U56" s="115"/>
      <c r="V56" s="115">
        <v>0</v>
      </c>
      <c r="W56" s="115"/>
      <c r="X56" s="115">
        <v>11</v>
      </c>
      <c r="Y56" s="115"/>
      <c r="Z56" s="115">
        <v>715</v>
      </c>
      <c r="AA56" s="115"/>
      <c r="AB56" s="115">
        <f>95+1616</f>
        <v>1711</v>
      </c>
      <c r="AC56" s="115"/>
    </row>
    <row r="57" spans="3:29" x14ac:dyDescent="0.2">
      <c r="C57" s="19">
        <v>2021</v>
      </c>
      <c r="F57" s="115">
        <f>1022+1424</f>
        <v>2446</v>
      </c>
      <c r="G57" s="115"/>
      <c r="H57" s="115">
        <f>1020+1181</f>
        <v>2201</v>
      </c>
      <c r="I57" s="115"/>
      <c r="J57" s="115">
        <f>576+445</f>
        <v>1021</v>
      </c>
      <c r="K57" s="115"/>
      <c r="L57" s="115">
        <f>127+145</f>
        <v>272</v>
      </c>
      <c r="M57" s="115"/>
      <c r="N57" s="115">
        <v>35</v>
      </c>
      <c r="O57" s="115"/>
      <c r="P57" s="115">
        <v>0</v>
      </c>
      <c r="Q57" s="115"/>
      <c r="R57" s="115">
        <v>210</v>
      </c>
      <c r="S57" s="115"/>
      <c r="T57" s="115">
        <v>6</v>
      </c>
      <c r="U57" s="115"/>
      <c r="V57" s="115">
        <v>0</v>
      </c>
      <c r="W57" s="115"/>
      <c r="X57" s="115">
        <v>0</v>
      </c>
      <c r="Y57" s="115"/>
      <c r="Z57" s="115">
        <f>829+211</f>
        <v>1040</v>
      </c>
      <c r="AA57" s="115"/>
      <c r="AB57" s="115">
        <f>973+107</f>
        <v>1080</v>
      </c>
      <c r="AC57" s="115"/>
    </row>
    <row r="58" spans="3:29" x14ac:dyDescent="0.2">
      <c r="C58" s="19">
        <v>2022</v>
      </c>
      <c r="F58" s="115">
        <v>1536</v>
      </c>
      <c r="G58" s="115"/>
      <c r="H58" s="115">
        <v>982</v>
      </c>
      <c r="I58" s="115"/>
      <c r="J58" s="115">
        <v>773</v>
      </c>
      <c r="K58" s="115"/>
      <c r="L58" s="115">
        <v>563</v>
      </c>
      <c r="M58" s="115"/>
      <c r="N58" s="115">
        <v>252</v>
      </c>
      <c r="O58" s="115"/>
      <c r="P58" s="115">
        <v>197</v>
      </c>
      <c r="Q58" s="115"/>
      <c r="R58" s="115">
        <v>166</v>
      </c>
      <c r="S58" s="115"/>
      <c r="T58" s="19">
        <v>122</v>
      </c>
      <c r="U58" s="115"/>
      <c r="V58" s="115">
        <v>185</v>
      </c>
      <c r="W58" s="115"/>
      <c r="X58" s="115">
        <v>507</v>
      </c>
      <c r="Y58" s="115"/>
      <c r="Z58" s="115">
        <v>712</v>
      </c>
      <c r="AA58" s="115"/>
      <c r="AB58" s="115">
        <v>556</v>
      </c>
      <c r="AC58" s="115"/>
    </row>
    <row r="59" spans="3:29" x14ac:dyDescent="0.2">
      <c r="C59" s="19">
        <v>2023</v>
      </c>
      <c r="F59" s="19">
        <v>609</v>
      </c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U59" s="115"/>
      <c r="V59" s="115"/>
      <c r="W59" s="115"/>
      <c r="X59" s="115"/>
      <c r="Y59" s="115"/>
      <c r="Z59" s="115"/>
      <c r="AA59" s="115"/>
      <c r="AB59" s="115"/>
      <c r="AC59" s="115"/>
    </row>
    <row r="60" spans="3:29" x14ac:dyDescent="0.2"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U60" s="115"/>
      <c r="V60" s="115"/>
      <c r="W60" s="115"/>
      <c r="X60" s="115"/>
      <c r="Y60" s="115"/>
      <c r="Z60" s="115"/>
      <c r="AA60" s="115"/>
      <c r="AB60" s="115"/>
      <c r="AC60" s="115"/>
    </row>
    <row r="61" spans="3:29" x14ac:dyDescent="0.2">
      <c r="C61" s="120" t="s">
        <v>228</v>
      </c>
      <c r="F61" s="115">
        <f>SUM($F58:F58)+SUM(H57:$AB57)</f>
        <v>7401</v>
      </c>
      <c r="G61" s="115"/>
      <c r="H61" s="115">
        <f>SUM($F58:H58)+SUM(J57:$AB57)</f>
        <v>6182</v>
      </c>
      <c r="I61" s="115"/>
      <c r="J61" s="115">
        <f>SUM($F58:J58)+SUM(L57:$AB57)</f>
        <v>5934</v>
      </c>
      <c r="K61" s="115"/>
      <c r="L61" s="115">
        <f>SUM($F58:L58)+SUM(N57:$AB57)</f>
        <v>6225</v>
      </c>
      <c r="M61" s="115"/>
      <c r="N61" s="115">
        <f>SUM($F58:N58)+SUM(P57:$AB57)</f>
        <v>6442</v>
      </c>
      <c r="O61" s="115"/>
      <c r="P61" s="115">
        <f>SUM($F58:P58)+SUM(R57:$AB57)</f>
        <v>6639</v>
      </c>
      <c r="Q61" s="115"/>
      <c r="R61" s="115">
        <f>SUM($F58:S58)+SUM(T57:$AB57)</f>
        <v>6595</v>
      </c>
      <c r="S61" s="115"/>
      <c r="T61" s="115">
        <f>SUM($F58:U58)+SUM(V57:$AB57)</f>
        <v>6711</v>
      </c>
      <c r="U61" s="115"/>
      <c r="V61" s="115">
        <f>SUM($F58:W58)+SUM(X57:$AB57)</f>
        <v>6896</v>
      </c>
      <c r="W61" s="115"/>
      <c r="X61" s="115">
        <f>SUM($F58:Y58)+SUM(AB57:$AB57)</f>
        <v>6363</v>
      </c>
      <c r="Y61" s="115"/>
      <c r="Z61" s="115">
        <f>SUM(AB57,F58:Z58)</f>
        <v>7075</v>
      </c>
      <c r="AA61" s="115"/>
      <c r="AB61" s="115">
        <f>SUM(F58:AB58)</f>
        <v>6551</v>
      </c>
      <c r="AC61" s="115"/>
    </row>
    <row r="62" spans="3:29" x14ac:dyDescent="0.2"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</row>
    <row r="63" spans="3:29" x14ac:dyDescent="0.2">
      <c r="C63" s="120" t="s">
        <v>229</v>
      </c>
      <c r="F63" s="115">
        <f>F61+F53</f>
        <v>14890.899999999998</v>
      </c>
      <c r="G63" s="115"/>
      <c r="H63" s="115">
        <f>H61+H53</f>
        <v>12410.899999999998</v>
      </c>
      <c r="I63" s="115"/>
      <c r="J63" s="115">
        <f>J61+J53</f>
        <v>11114.9</v>
      </c>
      <c r="K63" s="115"/>
      <c r="L63" s="115">
        <f>L61+L53</f>
        <v>10380.9</v>
      </c>
      <c r="M63" s="115"/>
      <c r="N63" s="115">
        <f>N61+N53</f>
        <v>9248.5</v>
      </c>
      <c r="O63" s="115"/>
      <c r="P63" s="115">
        <f>P61+P53</f>
        <v>9031.7999999999993</v>
      </c>
      <c r="Q63" s="115"/>
      <c r="R63" s="115">
        <f>R61+R53</f>
        <v>8818.1</v>
      </c>
      <c r="S63" s="115"/>
      <c r="T63" s="115">
        <f>T61+T53</f>
        <v>8464.1</v>
      </c>
      <c r="U63" s="115"/>
      <c r="V63" s="115">
        <f>V61+V53</f>
        <v>8260.9</v>
      </c>
      <c r="W63" s="115"/>
      <c r="X63" s="115">
        <f>X61+X53</f>
        <v>7026.9</v>
      </c>
      <c r="Y63" s="115"/>
      <c r="Z63" s="115">
        <f>Z61+Z53</f>
        <v>7075</v>
      </c>
      <c r="AA63" s="115"/>
      <c r="AB63" s="115">
        <f>AB61+AB53</f>
        <v>6551</v>
      </c>
      <c r="AC63" s="115"/>
    </row>
    <row r="64" spans="3:29" x14ac:dyDescent="0.2"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</row>
    <row r="65" spans="2:29" x14ac:dyDescent="0.2">
      <c r="B65" s="123" t="s">
        <v>6</v>
      </c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</row>
    <row r="66" spans="2:29" ht="15" x14ac:dyDescent="0.25">
      <c r="C66" s="206" t="s">
        <v>127</v>
      </c>
      <c r="D66" s="204"/>
      <c r="E66" s="204"/>
      <c r="F66" s="205" t="s">
        <v>61</v>
      </c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  <c r="AA66" s="205"/>
      <c r="AB66" s="205"/>
      <c r="AC66" s="205"/>
    </row>
    <row r="67" spans="2:29" ht="15" x14ac:dyDescent="0.25">
      <c r="C67" s="204">
        <v>2020</v>
      </c>
      <c r="D67" s="204"/>
      <c r="E67" s="204"/>
      <c r="F67" s="205"/>
      <c r="G67" s="205"/>
      <c r="H67" s="205"/>
      <c r="I67" s="205"/>
      <c r="J67" s="205"/>
      <c r="K67" s="205"/>
      <c r="L67" s="205"/>
      <c r="M67" s="205"/>
      <c r="N67" s="205">
        <v>341</v>
      </c>
      <c r="O67" s="205"/>
      <c r="P67" s="205">
        <v>43</v>
      </c>
      <c r="Q67" s="205"/>
      <c r="R67" s="205">
        <v>9</v>
      </c>
      <c r="S67" s="205"/>
      <c r="T67" s="205">
        <v>17</v>
      </c>
      <c r="U67" s="205"/>
      <c r="V67" s="205">
        <v>151</v>
      </c>
      <c r="W67" s="205"/>
      <c r="X67" s="205">
        <v>271</v>
      </c>
      <c r="Y67" s="205"/>
      <c r="Z67" s="205">
        <v>922</v>
      </c>
      <c r="AA67" s="205"/>
      <c r="AB67" s="205">
        <v>1631</v>
      </c>
      <c r="AC67" s="205"/>
    </row>
    <row r="68" spans="2:29" ht="15" x14ac:dyDescent="0.25">
      <c r="C68" s="204">
        <v>2021</v>
      </c>
      <c r="D68" s="204"/>
      <c r="E68" s="204"/>
      <c r="F68" s="205">
        <v>1771</v>
      </c>
      <c r="G68" s="205"/>
      <c r="H68" s="205">
        <v>2445</v>
      </c>
      <c r="I68" s="205"/>
      <c r="J68" s="205">
        <v>1533</v>
      </c>
      <c r="K68" s="205"/>
      <c r="L68" s="205">
        <v>497</v>
      </c>
      <c r="M68" s="205"/>
      <c r="N68" s="205">
        <v>500.9</v>
      </c>
      <c r="O68" s="205"/>
      <c r="P68" s="205">
        <v>120.2</v>
      </c>
      <c r="Q68" s="205"/>
      <c r="R68" s="205">
        <v>102.4</v>
      </c>
      <c r="S68" s="205"/>
      <c r="T68" s="205">
        <v>139.19999999999999</v>
      </c>
      <c r="U68" s="205"/>
      <c r="V68" s="205">
        <v>108.3</v>
      </c>
      <c r="W68" s="205"/>
      <c r="X68" s="205">
        <v>408.3</v>
      </c>
      <c r="Y68" s="205"/>
      <c r="Z68" s="205">
        <v>1262</v>
      </c>
      <c r="AA68" s="205"/>
      <c r="AB68" s="205">
        <v>1357</v>
      </c>
      <c r="AC68" s="205"/>
    </row>
    <row r="69" spans="2:29" ht="15" x14ac:dyDescent="0.25">
      <c r="C69" s="204">
        <v>2022</v>
      </c>
      <c r="D69" s="204"/>
      <c r="E69" s="204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5"/>
      <c r="Y69" s="205"/>
      <c r="Z69" s="205"/>
      <c r="AA69" s="205"/>
      <c r="AB69" s="205"/>
      <c r="AC69" s="205"/>
    </row>
    <row r="70" spans="2:29" x14ac:dyDescent="0.2">
      <c r="C70" s="120" t="s">
        <v>228</v>
      </c>
      <c r="F70" s="115">
        <f>SUM($F69:F69)+SUM(H68:$AB68)</f>
        <v>8473.2999999999993</v>
      </c>
      <c r="G70" s="115"/>
      <c r="H70" s="115">
        <f>SUM($F69:H69)+SUM(J68:$AB68)</f>
        <v>6028.3</v>
      </c>
      <c r="I70" s="115"/>
      <c r="J70" s="115">
        <f>SUM($F69:J69)+SUM(L68:$AB68)</f>
        <v>4495.3</v>
      </c>
      <c r="K70" s="115"/>
      <c r="L70" s="115">
        <f>SUM($F69:L69)+SUM(N68:$AB68)</f>
        <v>3998.3</v>
      </c>
      <c r="M70" s="115"/>
      <c r="N70" s="115">
        <f>SUM($F69:N69)+SUM(P68:$AB68)</f>
        <v>3497.4</v>
      </c>
      <c r="O70" s="115"/>
      <c r="P70" s="115">
        <f>SUM($F69:P69)+SUM(R68:$AB68)</f>
        <v>3377.2</v>
      </c>
      <c r="Q70" s="115"/>
      <c r="R70" s="115">
        <f>SUM($F69:R69)+SUM(T68:$AB68)</f>
        <v>3274.8</v>
      </c>
      <c r="S70" s="115"/>
      <c r="T70" s="115">
        <f>SUM($F69:T69)+SUM(V68:$AB68)</f>
        <v>3135.6</v>
      </c>
      <c r="U70" s="115"/>
      <c r="V70" s="115">
        <f>SUM($F69:V69)+SUM(X68:$AB68)</f>
        <v>3027.3</v>
      </c>
      <c r="W70" s="115"/>
      <c r="X70" s="115">
        <f>SUM($F69:X69)+SUM(Z68:$AB68)</f>
        <v>2619</v>
      </c>
      <c r="Y70" s="115"/>
      <c r="Z70" s="115">
        <f>SUM($F69:Z69)+SUM(AB68:$AB68)</f>
        <v>1357</v>
      </c>
      <c r="AA70" s="115"/>
      <c r="AB70" s="115"/>
      <c r="AC70" s="115"/>
    </row>
    <row r="71" spans="2:29" x14ac:dyDescent="0.2">
      <c r="L71" s="115"/>
    </row>
    <row r="72" spans="2:29" x14ac:dyDescent="0.2">
      <c r="C72" s="19" t="s">
        <v>126</v>
      </c>
      <c r="F72" s="115" t="s">
        <v>61</v>
      </c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</row>
    <row r="73" spans="2:29" x14ac:dyDescent="0.2">
      <c r="C73" s="19">
        <v>2020</v>
      </c>
      <c r="F73" s="115"/>
      <c r="G73" s="115"/>
      <c r="H73" s="115"/>
      <c r="I73" s="115"/>
      <c r="J73" s="115"/>
      <c r="K73" s="115"/>
      <c r="L73" s="115"/>
      <c r="M73" s="115"/>
      <c r="N73" s="115">
        <v>234</v>
      </c>
      <c r="O73" s="115"/>
      <c r="P73" s="115">
        <v>133</v>
      </c>
      <c r="Q73" s="115"/>
      <c r="R73" s="115">
        <v>111</v>
      </c>
      <c r="S73" s="115"/>
      <c r="T73" s="115">
        <v>120</v>
      </c>
      <c r="U73" s="115"/>
      <c r="V73" s="115">
        <v>135</v>
      </c>
      <c r="W73" s="115"/>
      <c r="X73" s="115">
        <v>187</v>
      </c>
      <c r="Y73" s="115"/>
      <c r="Z73" s="115">
        <v>387</v>
      </c>
      <c r="AA73" s="115"/>
      <c r="AB73" s="115">
        <v>745</v>
      </c>
      <c r="AC73" s="115"/>
    </row>
    <row r="74" spans="2:29" x14ac:dyDescent="0.2">
      <c r="C74" s="19">
        <v>2021</v>
      </c>
      <c r="F74" s="115">
        <v>789</v>
      </c>
      <c r="G74" s="115"/>
      <c r="H74" s="115">
        <v>461</v>
      </c>
      <c r="I74" s="115"/>
      <c r="J74" s="115">
        <v>164</v>
      </c>
      <c r="K74" s="115"/>
      <c r="L74" s="115">
        <v>353</v>
      </c>
      <c r="M74" s="115"/>
      <c r="N74" s="115">
        <v>225</v>
      </c>
      <c r="O74" s="115"/>
      <c r="P74" s="115">
        <v>150</v>
      </c>
      <c r="Q74" s="115"/>
      <c r="R74" s="115">
        <v>117</v>
      </c>
      <c r="S74" s="115"/>
      <c r="T74" s="115">
        <v>115</v>
      </c>
      <c r="U74" s="115"/>
      <c r="V74" s="115">
        <v>116</v>
      </c>
      <c r="W74" s="115"/>
      <c r="X74" s="115">
        <v>183</v>
      </c>
      <c r="Y74" s="115"/>
      <c r="Z74" s="115">
        <v>531</v>
      </c>
      <c r="AA74" s="115"/>
      <c r="AB74" s="115">
        <v>531</v>
      </c>
      <c r="AC74" s="115"/>
    </row>
    <row r="75" spans="2:29" x14ac:dyDescent="0.2">
      <c r="C75" s="19">
        <v>2022</v>
      </c>
      <c r="F75" s="115">
        <v>845</v>
      </c>
      <c r="G75" s="115"/>
      <c r="H75" s="115">
        <v>58</v>
      </c>
      <c r="I75" s="115"/>
      <c r="J75" s="115">
        <v>482</v>
      </c>
      <c r="K75" s="115"/>
      <c r="L75" s="115">
        <v>232</v>
      </c>
      <c r="M75" s="115"/>
      <c r="N75" s="115">
        <v>158</v>
      </c>
      <c r="O75" s="115"/>
      <c r="P75" s="115">
        <v>134</v>
      </c>
      <c r="Q75" s="115"/>
      <c r="R75" s="115">
        <v>119</v>
      </c>
      <c r="S75" s="115"/>
      <c r="T75" s="19">
        <v>114</v>
      </c>
      <c r="U75" s="115"/>
      <c r="V75" s="115">
        <v>156</v>
      </c>
      <c r="W75" s="115"/>
      <c r="X75" s="115">
        <v>300</v>
      </c>
      <c r="Y75" s="115"/>
      <c r="Z75" s="115">
        <v>478</v>
      </c>
      <c r="AA75" s="115"/>
      <c r="AB75" s="115">
        <v>784</v>
      </c>
      <c r="AC75" s="115"/>
    </row>
    <row r="76" spans="2:29" x14ac:dyDescent="0.2">
      <c r="C76" s="19">
        <v>2023</v>
      </c>
      <c r="F76" s="115">
        <v>724</v>
      </c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U76" s="115"/>
      <c r="V76" s="115"/>
      <c r="W76" s="115"/>
      <c r="X76" s="115"/>
      <c r="Y76" s="115"/>
      <c r="Z76" s="115"/>
      <c r="AA76" s="115"/>
      <c r="AB76" s="115"/>
      <c r="AC76" s="115"/>
    </row>
    <row r="77" spans="2:29" x14ac:dyDescent="0.2"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</row>
    <row r="78" spans="2:29" x14ac:dyDescent="0.2">
      <c r="C78" s="120" t="s">
        <v>228</v>
      </c>
      <c r="F78" s="115">
        <f>SUM($F75:F75)+SUM(H74:$AB74)</f>
        <v>3791</v>
      </c>
      <c r="G78" s="115"/>
      <c r="H78" s="115">
        <f>SUM($F75:H75)+SUM(J74:$AB74)</f>
        <v>3388</v>
      </c>
      <c r="I78" s="115"/>
      <c r="J78" s="115">
        <f>SUM($F75:J75)+SUM(L74:$AB74)</f>
        <v>3706</v>
      </c>
      <c r="K78" s="115"/>
      <c r="L78" s="115">
        <f>SUM($F75:L75)+SUM(N74:$AB74)</f>
        <v>3585</v>
      </c>
      <c r="M78" s="115"/>
      <c r="N78" s="115">
        <f>SUM($F75:N75)+SUM(P74:$AB74)</f>
        <v>3518</v>
      </c>
      <c r="O78" s="115"/>
      <c r="P78" s="115">
        <f>SUM($F75:P75)+SUM(R74:$AB74)</f>
        <v>3502</v>
      </c>
      <c r="Q78" s="115"/>
      <c r="R78" s="115">
        <f>SUM($F75:R75)+SUM(T74:$AB74)</f>
        <v>3504</v>
      </c>
      <c r="S78" s="115"/>
      <c r="T78" s="115">
        <f>SUM($F75:T75)+SUM(V74:$AB74)</f>
        <v>3503</v>
      </c>
      <c r="U78" s="115"/>
      <c r="V78" s="115">
        <f>SUM($F75:V75)+SUM(X74:$AB74)</f>
        <v>3543</v>
      </c>
      <c r="W78" s="115"/>
      <c r="X78" s="115">
        <f>SUM($F75:X75)+SUM(Z74:$AB74)</f>
        <v>3660</v>
      </c>
      <c r="Y78" s="115"/>
      <c r="Z78" s="115">
        <f>SUM($F75:Z75)+SUM(AB74:$AB74)</f>
        <v>3607</v>
      </c>
      <c r="AA78" s="115"/>
      <c r="AB78" s="115">
        <f>SUM(F75:AB75)</f>
        <v>3860</v>
      </c>
      <c r="AC78" s="115"/>
    </row>
    <row r="79" spans="2:29" x14ac:dyDescent="0.2"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</row>
    <row r="80" spans="2:29" x14ac:dyDescent="0.2">
      <c r="C80" s="19" t="s">
        <v>215</v>
      </c>
      <c r="F80" s="115" t="s">
        <v>61</v>
      </c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</row>
    <row r="81" spans="3:29" x14ac:dyDescent="0.2">
      <c r="C81" s="19">
        <v>2022</v>
      </c>
      <c r="F81" s="115">
        <v>1094</v>
      </c>
      <c r="G81" s="115"/>
      <c r="H81" s="115">
        <v>1774</v>
      </c>
      <c r="I81" s="115"/>
      <c r="J81" s="115">
        <v>5600</v>
      </c>
      <c r="K81" s="115"/>
      <c r="L81" s="115">
        <v>300</v>
      </c>
      <c r="M81" s="115"/>
      <c r="N81" s="115">
        <v>310</v>
      </c>
      <c r="O81" s="115"/>
      <c r="P81" s="115">
        <v>150</v>
      </c>
      <c r="Q81" s="115"/>
      <c r="R81" s="115">
        <v>335</v>
      </c>
      <c r="S81" s="115"/>
      <c r="T81" s="115">
        <v>320</v>
      </c>
      <c r="U81" s="115"/>
      <c r="V81" s="115">
        <v>624</v>
      </c>
      <c r="W81" s="115"/>
      <c r="X81" s="115">
        <v>758</v>
      </c>
      <c r="Y81" s="115"/>
      <c r="Z81" s="115">
        <v>295</v>
      </c>
      <c r="AA81" s="115"/>
      <c r="AB81" s="115">
        <v>930</v>
      </c>
      <c r="AC81" s="115"/>
    </row>
    <row r="82" spans="3:29" x14ac:dyDescent="0.2">
      <c r="C82" s="19">
        <v>2023</v>
      </c>
      <c r="F82" s="115">
        <v>155</v>
      </c>
      <c r="G82" s="115"/>
      <c r="H82" s="115">
        <v>140</v>
      </c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</row>
    <row r="83" spans="3:29" x14ac:dyDescent="0.2">
      <c r="C83" s="120" t="s">
        <v>228</v>
      </c>
      <c r="F83" s="115">
        <f>SUM($F81:F81)+SUM(H80:$AB80)</f>
        <v>1094</v>
      </c>
      <c r="G83" s="115"/>
      <c r="H83" s="115">
        <f>SUM($F81:H81)+SUM(J80:$AB80)</f>
        <v>2868</v>
      </c>
      <c r="I83" s="115"/>
      <c r="J83" s="115">
        <f>SUM($F81:J81)+SUM(L80:$AB80)</f>
        <v>8468</v>
      </c>
      <c r="K83" s="115"/>
      <c r="L83" s="115">
        <f>SUM($F81:L81)+SUM(N80:$AB80)</f>
        <v>8768</v>
      </c>
      <c r="M83" s="115"/>
      <c r="N83" s="115">
        <f>SUM($F81:N81)+SUM(P80:$AB80)</f>
        <v>9078</v>
      </c>
      <c r="O83" s="115"/>
      <c r="P83" s="115">
        <f>SUM($F81:P81)+SUM(R80:$AB80)</f>
        <v>9228</v>
      </c>
      <c r="Q83" s="115"/>
      <c r="R83" s="115">
        <f>SUM($F81:R81)+SUM(T80:$AB80)</f>
        <v>9563</v>
      </c>
      <c r="S83" s="115"/>
      <c r="T83" s="115">
        <f>SUM($F81:T81)+SUM(V80:$AB80)</f>
        <v>9883</v>
      </c>
      <c r="U83" s="115"/>
      <c r="V83" s="115">
        <f>SUM($F81:V81)+SUM(X80:$AB80)</f>
        <v>10507</v>
      </c>
      <c r="W83" s="115"/>
      <c r="X83" s="115">
        <f>SUM($F81:X81)+SUM(Z80:$AB80)</f>
        <v>11265</v>
      </c>
      <c r="Y83" s="115"/>
      <c r="Z83" s="115">
        <f>SUM($F81:Z81)+SUM(AB80:$AB80)</f>
        <v>11560</v>
      </c>
      <c r="AA83" s="115"/>
      <c r="AB83" s="115">
        <f>SUM(F81:AB81)</f>
        <v>12490</v>
      </c>
      <c r="AC83" s="115"/>
    </row>
    <row r="84" spans="3:29" x14ac:dyDescent="0.2">
      <c r="C84" s="120" t="s">
        <v>230</v>
      </c>
      <c r="F84" s="115">
        <f>SUM($F82:F82)+SUM(H81:$AB81)</f>
        <v>11551</v>
      </c>
      <c r="G84" s="115"/>
      <c r="H84" s="115">
        <f>SUM($F82:H82)+SUM(J81:$AB81)</f>
        <v>9917</v>
      </c>
      <c r="I84" s="115"/>
      <c r="AC84" s="115"/>
    </row>
    <row r="85" spans="3:29" x14ac:dyDescent="0.2"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</row>
    <row r="86" spans="3:29" hidden="1" x14ac:dyDescent="0.2">
      <c r="C86" s="19" t="s">
        <v>189</v>
      </c>
      <c r="F86" s="115" t="s">
        <v>61</v>
      </c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</row>
    <row r="87" spans="3:29" hidden="1" x14ac:dyDescent="0.2">
      <c r="C87" s="19">
        <v>2021</v>
      </c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>
        <v>1685</v>
      </c>
      <c r="AA87" s="115"/>
      <c r="AB87" s="115">
        <v>298</v>
      </c>
      <c r="AC87" s="115"/>
    </row>
    <row r="88" spans="3:29" hidden="1" x14ac:dyDescent="0.2">
      <c r="C88" s="19">
        <v>2022</v>
      </c>
      <c r="F88" s="115">
        <v>2106</v>
      </c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</row>
    <row r="89" spans="3:29" hidden="1" x14ac:dyDescent="0.2"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</row>
    <row r="90" spans="3:29" hidden="1" x14ac:dyDescent="0.2">
      <c r="F90" s="115">
        <f>SUM($F88:X88)+SUM(Z87:$AB87)</f>
        <v>4089</v>
      </c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</row>
    <row r="91" spans="3:29" x14ac:dyDescent="0.2">
      <c r="C91" s="120" t="s">
        <v>231</v>
      </c>
      <c r="F91" s="115">
        <f>F70+F78+F83</f>
        <v>13358.3</v>
      </c>
      <c r="G91" s="115"/>
      <c r="H91" s="115">
        <f>H70+H78+H83</f>
        <v>12284.3</v>
      </c>
      <c r="I91" s="115"/>
      <c r="J91" s="115">
        <f>J70+J78+J83</f>
        <v>16669.3</v>
      </c>
      <c r="K91" s="115"/>
      <c r="L91" s="115">
        <f>L70+L78+L83</f>
        <v>16351.3</v>
      </c>
      <c r="M91" s="115"/>
      <c r="N91" s="115">
        <f>N70+N78+N83</f>
        <v>16093.4</v>
      </c>
      <c r="O91" s="115"/>
      <c r="P91" s="115">
        <f>P70+P78+P83</f>
        <v>16107.2</v>
      </c>
      <c r="Q91" s="115"/>
      <c r="R91" s="115">
        <f>R70+R78+R83</f>
        <v>16341.8</v>
      </c>
      <c r="S91" s="115"/>
      <c r="T91" s="115">
        <f>T70+T78+T83</f>
        <v>16521.599999999999</v>
      </c>
      <c r="U91" s="115"/>
      <c r="V91" s="115">
        <f>V70+V78+V83</f>
        <v>17077.3</v>
      </c>
      <c r="W91" s="115"/>
      <c r="X91" s="115">
        <f>X70+X78+X83</f>
        <v>17544</v>
      </c>
      <c r="Z91" s="115">
        <f>Z70+Z78+Z83</f>
        <v>16524</v>
      </c>
      <c r="AA91" s="115"/>
      <c r="AB91" s="115">
        <f>AB70+AB78+AB83</f>
        <v>16350</v>
      </c>
      <c r="AC91" s="115"/>
    </row>
    <row r="92" spans="3:29" x14ac:dyDescent="0.2"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</row>
    <row r="93" spans="3:29" x14ac:dyDescent="0.2">
      <c r="C93" s="120" t="s">
        <v>232</v>
      </c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>
        <f>AB91+AB63+AB45</f>
        <v>86588.12437026402</v>
      </c>
      <c r="AC93" s="115"/>
    </row>
    <row r="94" spans="3:29" x14ac:dyDescent="0.2"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</row>
    <row r="95" spans="3:29" x14ac:dyDescent="0.2">
      <c r="L95" s="115"/>
      <c r="T95" s="115"/>
      <c r="V95" s="115"/>
      <c r="X95" s="115"/>
    </row>
    <row r="96" spans="3:29" x14ac:dyDescent="0.2">
      <c r="L96" s="115"/>
      <c r="N96" s="115"/>
      <c r="T96" s="174"/>
      <c r="V96" s="174"/>
      <c r="X96" s="174"/>
    </row>
    <row r="97" spans="6:29" x14ac:dyDescent="0.2"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</row>
    <row r="99" spans="6:29" x14ac:dyDescent="0.2">
      <c r="F99" s="115"/>
      <c r="H99" s="115"/>
      <c r="J99" s="115"/>
      <c r="L99" s="115"/>
      <c r="N99" s="115"/>
      <c r="P99" s="115"/>
      <c r="R99" s="115"/>
      <c r="T99" s="115"/>
      <c r="V99" s="115"/>
      <c r="X99" s="115"/>
      <c r="Z99" s="115"/>
      <c r="AB99" s="115"/>
    </row>
    <row r="100" spans="6:29" x14ac:dyDescent="0.2">
      <c r="F100" s="8"/>
      <c r="H100" s="8"/>
      <c r="J100" s="8"/>
      <c r="L100" s="8"/>
      <c r="N100" s="8"/>
      <c r="P100" s="8"/>
      <c r="R100" s="8"/>
      <c r="T100" s="8"/>
      <c r="V100" s="8"/>
      <c r="X100" s="8"/>
      <c r="Z100" s="8"/>
      <c r="AB100" s="8"/>
    </row>
    <row r="101" spans="6:29" x14ac:dyDescent="0.2">
      <c r="F101" s="8"/>
      <c r="H101" s="8"/>
      <c r="J101" s="8"/>
      <c r="L101" s="8"/>
      <c r="N101" s="8"/>
      <c r="P101" s="8"/>
      <c r="R101" s="8"/>
      <c r="T101" s="8"/>
      <c r="V101" s="8"/>
      <c r="X101" s="8"/>
      <c r="Z101" s="8"/>
      <c r="AB101" s="8"/>
    </row>
    <row r="102" spans="6:29" x14ac:dyDescent="0.2">
      <c r="F102" s="8"/>
      <c r="H102" s="8"/>
      <c r="J102" s="8"/>
      <c r="L102" s="8"/>
      <c r="N102" s="8"/>
      <c r="P102" s="8"/>
      <c r="R102" s="8"/>
      <c r="T102" s="8"/>
      <c r="V102" s="8"/>
      <c r="X102" s="8"/>
      <c r="Z102" s="8"/>
      <c r="AB102" s="8"/>
    </row>
    <row r="105" spans="6:29" x14ac:dyDescent="0.2">
      <c r="P105" s="115"/>
      <c r="R105" s="115"/>
      <c r="T105" s="115"/>
      <c r="V105" s="115"/>
      <c r="X105" s="115"/>
      <c r="Z105" s="115"/>
      <c r="AB105" s="115"/>
    </row>
    <row r="106" spans="6:29" x14ac:dyDescent="0.2">
      <c r="F106" s="115"/>
      <c r="H106" s="115"/>
      <c r="J106" s="115"/>
      <c r="L106" s="115"/>
      <c r="N106" s="115"/>
    </row>
  </sheetData>
  <pageMargins left="0.5" right="0.5" top="1" bottom="1" header="0.5" footer="0.5"/>
  <pageSetup scale="82" orientation="landscape" blackAndWhite="1" r:id="rId1"/>
  <headerFooter>
    <oddHeader>&amp;C&amp;"Arial,Bold"Sales History&amp;"Arial,Regular"
&amp;R&amp;"Arial,Bold"Navitas KY NG, LLC</oddHeader>
    <oddFooter>&amp;L&amp;F&amp;C&amp;A&amp;R&amp;D&amp;T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F2967-DABE-4F6A-AF73-DB0EF0190FE0}">
  <sheetPr>
    <pageSetUpPr fitToPage="1"/>
  </sheetPr>
  <dimension ref="A1:AD55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D42" sqref="AD42"/>
    </sheetView>
  </sheetViews>
  <sheetFormatPr defaultColWidth="9.140625" defaultRowHeight="12.75" x14ac:dyDescent="0.2"/>
  <cols>
    <col min="1" max="2" width="1.28515625" customWidth="1"/>
    <col min="3" max="3" width="10.7109375" customWidth="1"/>
    <col min="4" max="5" width="1.28515625" customWidth="1"/>
    <col min="6" max="6" width="9.7109375" customWidth="1"/>
    <col min="7" max="7" width="1.28515625" customWidth="1"/>
    <col min="8" max="8" width="9.7109375" customWidth="1"/>
    <col min="9" max="9" width="1.28515625" customWidth="1"/>
    <col min="10" max="10" width="9.7109375" customWidth="1"/>
    <col min="11" max="11" width="1.28515625" customWidth="1"/>
    <col min="12" max="12" width="9.7109375" customWidth="1"/>
    <col min="13" max="13" width="1.28515625" customWidth="1"/>
    <col min="14" max="14" width="9.7109375" customWidth="1"/>
    <col min="15" max="15" width="1.28515625" customWidth="1"/>
    <col min="16" max="16" width="9.7109375" customWidth="1"/>
    <col min="17" max="17" width="1.28515625" customWidth="1"/>
    <col min="18" max="18" width="9.7109375" customWidth="1"/>
    <col min="19" max="19" width="1.28515625" customWidth="1"/>
    <col min="20" max="20" width="9.7109375" customWidth="1"/>
    <col min="21" max="21" width="1.28515625" customWidth="1"/>
    <col min="22" max="22" width="9.7109375" customWidth="1"/>
    <col min="23" max="23" width="1.28515625" customWidth="1"/>
    <col min="24" max="24" width="9.7109375" customWidth="1"/>
    <col min="25" max="25" width="1.28515625" customWidth="1"/>
    <col min="26" max="26" width="9.7109375" customWidth="1"/>
    <col min="27" max="27" width="1.28515625" customWidth="1"/>
    <col min="28" max="28" width="9.7109375" customWidth="1"/>
    <col min="29" max="29" width="1.28515625" customWidth="1"/>
    <col min="30" max="30" width="10.7109375" customWidth="1"/>
    <col min="32" max="32" width="15.85546875" customWidth="1"/>
    <col min="33" max="33" width="9.7109375" customWidth="1"/>
  </cols>
  <sheetData>
    <row r="1" spans="1:30" x14ac:dyDescent="0.2">
      <c r="A1" s="1" t="s">
        <v>0</v>
      </c>
    </row>
    <row r="2" spans="1:30" s="3" customFormat="1" x14ac:dyDescent="0.2">
      <c r="A2" s="2"/>
      <c r="F2" s="4">
        <v>39478</v>
      </c>
      <c r="G2" s="4"/>
      <c r="H2" s="4">
        <v>39506</v>
      </c>
      <c r="I2" s="4"/>
      <c r="J2" s="4">
        <v>39538</v>
      </c>
      <c r="K2" s="4"/>
      <c r="L2" s="4">
        <v>39568</v>
      </c>
      <c r="M2" s="4"/>
      <c r="N2" s="4">
        <v>39599</v>
      </c>
      <c r="O2" s="4"/>
      <c r="P2" s="4">
        <v>39629</v>
      </c>
      <c r="Q2" s="4"/>
      <c r="R2" s="4">
        <v>39660</v>
      </c>
      <c r="S2" s="4"/>
      <c r="T2" s="4">
        <v>39691</v>
      </c>
      <c r="U2" s="4"/>
      <c r="V2" s="4">
        <v>39721</v>
      </c>
      <c r="W2" s="4"/>
      <c r="X2" s="4">
        <v>39752</v>
      </c>
      <c r="Y2" s="4"/>
      <c r="Z2" s="4">
        <v>39782</v>
      </c>
      <c r="AA2" s="4"/>
      <c r="AB2" s="4">
        <v>39813</v>
      </c>
      <c r="AC2" s="4"/>
      <c r="AD2" s="5" t="s">
        <v>1</v>
      </c>
    </row>
    <row r="3" spans="1:30" x14ac:dyDescent="0.2">
      <c r="B3" t="s">
        <v>2</v>
      </c>
    </row>
    <row r="4" spans="1:30" x14ac:dyDescent="0.2">
      <c r="C4">
        <v>2016</v>
      </c>
      <c r="F4" s="6">
        <v>11015</v>
      </c>
      <c r="G4" s="6"/>
      <c r="H4" s="6">
        <v>10109</v>
      </c>
      <c r="I4" s="6"/>
      <c r="J4" s="6">
        <v>9340</v>
      </c>
      <c r="K4" s="6"/>
      <c r="L4" s="6">
        <v>7794</v>
      </c>
      <c r="M4" s="6"/>
      <c r="N4" s="6">
        <v>5474</v>
      </c>
      <c r="O4" s="6"/>
      <c r="P4" s="6">
        <v>4778</v>
      </c>
      <c r="Q4" s="6"/>
      <c r="R4" s="6">
        <v>4594</v>
      </c>
      <c r="S4" s="6"/>
      <c r="T4" s="6">
        <v>4462</v>
      </c>
      <c r="U4" s="6"/>
      <c r="V4" s="6">
        <v>5505</v>
      </c>
      <c r="W4" s="6"/>
      <c r="X4" s="6">
        <v>5465</v>
      </c>
      <c r="Y4" s="6"/>
      <c r="Z4" s="6">
        <v>7363</v>
      </c>
      <c r="AA4" s="6"/>
      <c r="AB4" s="6">
        <v>8826</v>
      </c>
      <c r="AD4" s="7">
        <f t="shared" ref="AD4:AD9" si="0">SUM(F4:AB4)</f>
        <v>84725</v>
      </c>
    </row>
    <row r="5" spans="1:30" x14ac:dyDescent="0.2">
      <c r="C5">
        <v>2017</v>
      </c>
      <c r="F5" s="6">
        <v>7634</v>
      </c>
      <c r="G5" s="6"/>
      <c r="H5" s="6">
        <v>6393</v>
      </c>
      <c r="I5" s="6"/>
      <c r="J5" s="6">
        <v>7774</v>
      </c>
      <c r="K5" s="6"/>
      <c r="L5" s="6">
        <v>6650</v>
      </c>
      <c r="M5" s="6"/>
      <c r="N5" s="6">
        <v>3981</v>
      </c>
      <c r="O5" s="6"/>
      <c r="P5" s="6">
        <v>3459</v>
      </c>
      <c r="Q5" s="6"/>
      <c r="R5" s="6">
        <v>2704</v>
      </c>
      <c r="S5" s="6"/>
      <c r="T5" s="6">
        <v>4983</v>
      </c>
      <c r="U5" s="6"/>
      <c r="V5" s="6">
        <v>6437</v>
      </c>
      <c r="W5" s="6"/>
      <c r="X5" s="6">
        <v>6306</v>
      </c>
      <c r="Y5" s="6"/>
      <c r="Z5" s="6">
        <v>10869</v>
      </c>
      <c r="AA5" s="6"/>
      <c r="AB5" s="6">
        <v>12716</v>
      </c>
      <c r="AD5" s="7">
        <f t="shared" si="0"/>
        <v>79906</v>
      </c>
    </row>
    <row r="6" spans="1:30" x14ac:dyDescent="0.2">
      <c r="C6">
        <v>2018</v>
      </c>
      <c r="F6" s="7">
        <v>12306</v>
      </c>
      <c r="G6" s="7"/>
      <c r="H6" s="7">
        <v>12391</v>
      </c>
      <c r="I6" s="7"/>
      <c r="J6" s="6">
        <v>13164</v>
      </c>
      <c r="K6" s="6"/>
      <c r="L6" s="6">
        <v>10761</v>
      </c>
      <c r="M6" s="6"/>
      <c r="N6" s="6">
        <v>6961</v>
      </c>
      <c r="O6" s="7"/>
      <c r="P6" s="6">
        <v>6678</v>
      </c>
      <c r="Q6" s="6"/>
      <c r="R6" s="6">
        <v>5672</v>
      </c>
      <c r="S6" s="7"/>
      <c r="T6" s="7">
        <v>6855</v>
      </c>
      <c r="U6" s="7"/>
      <c r="V6" s="7">
        <v>6082.8</v>
      </c>
      <c r="W6" s="7"/>
      <c r="X6" s="7">
        <v>7301.3</v>
      </c>
      <c r="Y6" s="7"/>
      <c r="Z6" s="7">
        <v>13375.6</v>
      </c>
      <c r="AA6" s="7"/>
      <c r="AB6" s="7">
        <v>13910</v>
      </c>
      <c r="AD6" s="7">
        <f t="shared" si="0"/>
        <v>115457.70000000001</v>
      </c>
    </row>
    <row r="7" spans="1:30" x14ac:dyDescent="0.2">
      <c r="C7">
        <v>2019</v>
      </c>
      <c r="F7" s="7">
        <v>12228</v>
      </c>
      <c r="G7" s="7"/>
      <c r="H7" s="7">
        <v>14660</v>
      </c>
      <c r="I7" s="7"/>
      <c r="J7" s="6">
        <v>12783</v>
      </c>
      <c r="K7" s="6"/>
      <c r="L7" s="6">
        <v>9302</v>
      </c>
      <c r="M7" s="6"/>
      <c r="N7" s="6">
        <v>9488</v>
      </c>
      <c r="O7" s="7"/>
      <c r="P7" s="6">
        <v>6501</v>
      </c>
      <c r="Q7" s="6"/>
      <c r="R7" s="6">
        <v>6289</v>
      </c>
      <c r="S7" s="7"/>
      <c r="T7" s="7">
        <v>6925</v>
      </c>
      <c r="U7" s="7"/>
      <c r="V7" s="7">
        <v>4629</v>
      </c>
      <c r="W7" s="7"/>
      <c r="X7" s="7">
        <v>5670</v>
      </c>
      <c r="Y7" s="7"/>
      <c r="Z7" s="7">
        <f>(8157+25419+79254+1932)/10</f>
        <v>11476.2</v>
      </c>
      <c r="AA7" s="7"/>
      <c r="AB7" s="7">
        <f>110608/10</f>
        <v>11060.8</v>
      </c>
      <c r="AD7" s="7">
        <f t="shared" si="0"/>
        <v>111012</v>
      </c>
    </row>
    <row r="8" spans="1:30" x14ac:dyDescent="0.2">
      <c r="C8">
        <v>2020</v>
      </c>
      <c r="F8" s="7">
        <f>126026/10</f>
        <v>12602.6</v>
      </c>
      <c r="G8" s="7"/>
      <c r="H8" s="7">
        <f>121576/10</f>
        <v>12157.6</v>
      </c>
      <c r="I8" s="7"/>
      <c r="J8" s="7">
        <f>127017/10</f>
        <v>12701.7</v>
      </c>
      <c r="K8" s="6"/>
      <c r="L8" s="7">
        <f>103242/10</f>
        <v>10324.200000000001</v>
      </c>
      <c r="M8" s="6"/>
      <c r="N8" s="7">
        <f>75817/10</f>
        <v>7581.7</v>
      </c>
      <c r="O8" s="7"/>
      <c r="P8" s="6">
        <f>58765/10</f>
        <v>5876.5</v>
      </c>
      <c r="Q8" s="6"/>
      <c r="R8" s="7">
        <f>59521/10</f>
        <v>5952.1</v>
      </c>
      <c r="S8" s="7"/>
      <c r="T8" s="7">
        <f>51603/10</f>
        <v>5160.3</v>
      </c>
      <c r="U8" s="7"/>
      <c r="V8" s="7">
        <f>63345/10</f>
        <v>6334.5</v>
      </c>
      <c r="W8" s="7"/>
      <c r="X8" s="7">
        <f>77349/10</f>
        <v>7734.9</v>
      </c>
      <c r="Y8" s="7"/>
      <c r="Z8" s="7">
        <f>91968/10</f>
        <v>9196.7999999999993</v>
      </c>
      <c r="AA8" s="7"/>
      <c r="AB8" s="7">
        <f>137696/10</f>
        <v>13769.6</v>
      </c>
      <c r="AD8" s="7">
        <f t="shared" si="0"/>
        <v>109392.50000000001</v>
      </c>
    </row>
    <row r="9" spans="1:30" x14ac:dyDescent="0.2">
      <c r="C9">
        <v>2021</v>
      </c>
      <c r="F9" s="7">
        <f>90889/10</f>
        <v>9088.9</v>
      </c>
      <c r="G9" s="7"/>
      <c r="H9" s="7">
        <f>96265/10</f>
        <v>9626.5</v>
      </c>
      <c r="I9" s="7"/>
      <c r="J9" s="7">
        <f>120724/10</f>
        <v>12072.4</v>
      </c>
      <c r="K9" s="6"/>
      <c r="L9" s="7">
        <f>103411/10</f>
        <v>10341.1</v>
      </c>
      <c r="M9" s="6"/>
      <c r="N9" s="7">
        <f>(780+7910+57187+3491)/10</f>
        <v>6936.8</v>
      </c>
      <c r="O9" s="7"/>
      <c r="P9" s="6">
        <f>(338+9258+56577+278)/10</f>
        <v>6645.1</v>
      </c>
      <c r="Q9" s="6"/>
      <c r="R9" s="7">
        <f>(179+6383+26737+702)/10</f>
        <v>3400.1</v>
      </c>
      <c r="S9" s="7"/>
      <c r="T9" s="105">
        <f>(228+8044+11759+127)/10</f>
        <v>2015.8</v>
      </c>
      <c r="U9" s="6"/>
      <c r="V9" s="105">
        <f>(221+7391+9874+454)/10</f>
        <v>1794</v>
      </c>
      <c r="W9" s="7"/>
      <c r="X9" s="7">
        <f>(1955+13716+13125+6268)/10</f>
        <v>3506.4</v>
      </c>
      <c r="Y9" s="7"/>
      <c r="Z9" s="7">
        <f>(3844+21408+16336+2574)/10</f>
        <v>4416.2</v>
      </c>
      <c r="AA9" s="7"/>
      <c r="AB9" s="7">
        <v>3163</v>
      </c>
      <c r="AD9" s="7">
        <f t="shared" si="0"/>
        <v>73006.3</v>
      </c>
    </row>
    <row r="10" spans="1:30" x14ac:dyDescent="0.2">
      <c r="C10">
        <v>2022</v>
      </c>
      <c r="F10" s="7">
        <v>9748</v>
      </c>
      <c r="G10" s="7"/>
      <c r="H10" s="7">
        <v>6389</v>
      </c>
      <c r="I10" s="7"/>
      <c r="J10" s="6">
        <v>5426</v>
      </c>
      <c r="K10" s="6"/>
      <c r="L10" s="6">
        <v>4056</v>
      </c>
      <c r="M10" s="6"/>
      <c r="N10" s="6">
        <v>2246</v>
      </c>
      <c r="O10" s="7"/>
      <c r="P10" s="6">
        <f>(313+8038+3505+5119)/10</f>
        <v>1697.5</v>
      </c>
      <c r="Q10" s="6"/>
      <c r="R10" s="6">
        <f>(240+9172+11833+301)/10</f>
        <v>2154.6</v>
      </c>
      <c r="S10" s="7"/>
      <c r="T10" s="6">
        <f>(148+6040+8100+98)/10</f>
        <v>1438.6</v>
      </c>
      <c r="U10" s="7"/>
      <c r="V10" s="6">
        <f>(320+7603+9966+6)/10</f>
        <v>1789.5</v>
      </c>
      <c r="W10" s="7"/>
      <c r="X10" s="7">
        <v>3440.2</v>
      </c>
      <c r="Y10" s="7"/>
      <c r="Z10" s="7">
        <v>4157.8999999999996</v>
      </c>
      <c r="AA10" s="7"/>
      <c r="AB10" s="7">
        <v>6814.1</v>
      </c>
      <c r="AD10" s="7">
        <f>SUM(F10:AB10)</f>
        <v>49357.399999999994</v>
      </c>
    </row>
    <row r="11" spans="1:30" x14ac:dyDescent="0.2">
      <c r="C11">
        <v>2023</v>
      </c>
      <c r="F11" s="7">
        <v>5578.7</v>
      </c>
      <c r="G11" s="7"/>
      <c r="H11" s="7">
        <v>4258.3</v>
      </c>
      <c r="I11" s="7"/>
      <c r="J11" s="6"/>
      <c r="K11" s="6"/>
      <c r="L11" s="6"/>
      <c r="M11" s="6"/>
      <c r="N11" s="6"/>
      <c r="O11" s="7"/>
      <c r="P11" s="6"/>
      <c r="Q11" s="6"/>
      <c r="R11" s="6"/>
      <c r="S11" s="7"/>
      <c r="T11" s="6"/>
      <c r="U11" s="7"/>
      <c r="V11" s="6"/>
      <c r="W11" s="7"/>
      <c r="X11" s="7"/>
      <c r="Y11" s="7"/>
      <c r="Z11" s="7"/>
      <c r="AA11" s="7"/>
      <c r="AB11" s="7"/>
      <c r="AD11" s="7">
        <f>SUM(F11:AB11)</f>
        <v>9837</v>
      </c>
    </row>
    <row r="12" spans="1:30" x14ac:dyDescent="0.2">
      <c r="F12" s="7"/>
      <c r="G12" s="7"/>
      <c r="H12" s="7"/>
      <c r="I12" s="7"/>
      <c r="J12" s="6"/>
      <c r="K12" s="6"/>
      <c r="L12" s="6"/>
      <c r="M12" s="6"/>
      <c r="N12" s="6"/>
      <c r="O12" s="7"/>
      <c r="P12" s="6"/>
      <c r="Q12" s="6"/>
      <c r="R12" s="6"/>
      <c r="S12" s="7"/>
      <c r="T12" s="7"/>
      <c r="U12" s="7"/>
      <c r="V12" s="7"/>
      <c r="W12" s="7"/>
      <c r="X12" s="7"/>
      <c r="Y12" s="7"/>
      <c r="Z12" s="7"/>
      <c r="AA12" s="7"/>
      <c r="AB12" s="7"/>
      <c r="AD12" s="7"/>
    </row>
    <row r="13" spans="1:30" x14ac:dyDescent="0.2">
      <c r="C13" s="1" t="s">
        <v>3</v>
      </c>
      <c r="F13" s="6">
        <f>SUM(H10:$AB10)+SUM($F11:F11)</f>
        <v>45188.099999999991</v>
      </c>
      <c r="G13" s="7"/>
      <c r="H13" s="6">
        <f>SUM(J10:$AB10)+SUM($F11:H11)</f>
        <v>43057.4</v>
      </c>
      <c r="I13" s="7"/>
      <c r="J13" s="6">
        <f>SUM(L9:$AB9)+SUM($F10:J10)</f>
        <v>63781.499999999993</v>
      </c>
      <c r="K13" s="6"/>
      <c r="L13" s="6">
        <f>SUM(N9:$AB9)+SUM($F10:L10)</f>
        <v>57496.4</v>
      </c>
      <c r="M13" s="6"/>
      <c r="N13" s="6">
        <f>SUM(P9:$AB9)+SUM($F10:N10)</f>
        <v>52805.600000000006</v>
      </c>
      <c r="O13" s="7"/>
      <c r="P13" s="6">
        <f>SUM(R9:$AB9)+SUM($F10:P10)</f>
        <v>47858</v>
      </c>
      <c r="Q13" s="6"/>
      <c r="R13" s="6">
        <f>SUM(T9:$AB9)+SUM($F10:R10)</f>
        <v>46612.5</v>
      </c>
      <c r="S13" s="7"/>
      <c r="T13" s="6">
        <f>SUM(V9:$AB9)+SUM($F10:T10)</f>
        <v>46035.299999999996</v>
      </c>
      <c r="U13" s="7"/>
      <c r="V13" s="6">
        <f>SUM(X9:$AB9)+SUM($F10:V10)</f>
        <v>46030.799999999996</v>
      </c>
      <c r="W13" s="7"/>
      <c r="X13" s="6">
        <f>SUM(Z9:$AB9)+SUM($F10:X10)</f>
        <v>45964.599999999991</v>
      </c>
      <c r="Y13" s="7"/>
      <c r="Z13" s="6">
        <f>SUM(AB9:$AB9)+SUM($F10:Z10)</f>
        <v>45706.299999999996</v>
      </c>
      <c r="AA13" s="7"/>
      <c r="AB13" s="6">
        <f>SUM($F10:AB10)</f>
        <v>49357.399999999994</v>
      </c>
      <c r="AD13" s="7"/>
    </row>
    <row r="14" spans="1:30" x14ac:dyDescent="0.2">
      <c r="C14" t="s">
        <v>4</v>
      </c>
      <c r="F14" s="7">
        <f>AVERAGE(F7:F11)</f>
        <v>9849.24</v>
      </c>
      <c r="G14" s="7"/>
      <c r="H14" s="7">
        <f>AVERAGE(H7:H11)</f>
        <v>9418.2800000000007</v>
      </c>
      <c r="I14" s="7"/>
      <c r="J14" s="7">
        <f>AVERAGE(J6:J10)</f>
        <v>11229.42</v>
      </c>
      <c r="K14" s="6"/>
      <c r="L14" s="7">
        <f>AVERAGE(L6:L10)</f>
        <v>8956.86</v>
      </c>
      <c r="M14" s="6"/>
      <c r="N14" s="7">
        <f>AVERAGE(N6:N10)</f>
        <v>6642.7</v>
      </c>
      <c r="O14" s="7"/>
      <c r="P14" s="7">
        <f>AVERAGE(P6:P10)</f>
        <v>5479.62</v>
      </c>
      <c r="Q14" s="6"/>
      <c r="R14" s="7">
        <f>AVERAGE(R6:R10)</f>
        <v>4693.5599999999995</v>
      </c>
      <c r="S14" s="7"/>
      <c r="T14" s="7">
        <f>AVERAGE(T6:T10)</f>
        <v>4478.9399999999996</v>
      </c>
      <c r="U14" s="7"/>
      <c r="V14" s="7">
        <f>AVERAGE(V6:V10)</f>
        <v>4125.96</v>
      </c>
      <c r="W14" s="7"/>
      <c r="X14" s="7">
        <f>AVERAGE(X6:X10)</f>
        <v>5530.5599999999995</v>
      </c>
      <c r="Y14" s="7"/>
      <c r="Z14" s="7">
        <f>AVERAGE(Z5:Z9)</f>
        <v>9866.76</v>
      </c>
      <c r="AA14" s="7"/>
      <c r="AB14" s="7">
        <f>AVERAGE(AB5:AB9)</f>
        <v>10923.880000000001</v>
      </c>
      <c r="AD14" s="7">
        <f>SUM(F14:AB14)</f>
        <v>91195.78</v>
      </c>
    </row>
    <row r="15" spans="1:30" x14ac:dyDescent="0.2">
      <c r="F15" s="7"/>
      <c r="G15" s="7"/>
      <c r="H15" s="7"/>
      <c r="I15" s="7"/>
      <c r="J15" s="6"/>
      <c r="K15" s="6"/>
      <c r="L15" s="6"/>
      <c r="M15" s="6"/>
      <c r="N15" s="6"/>
      <c r="O15" s="7"/>
      <c r="P15" s="6"/>
      <c r="Q15" s="6"/>
      <c r="R15" s="6"/>
      <c r="S15" s="7"/>
      <c r="T15" s="7"/>
      <c r="U15" s="7"/>
      <c r="V15" s="7"/>
      <c r="W15" s="7"/>
      <c r="X15" s="7"/>
      <c r="Y15" s="7"/>
      <c r="Z15" s="7"/>
      <c r="AA15" s="7"/>
      <c r="AB15" s="7"/>
      <c r="AD15" s="7"/>
    </row>
    <row r="16" spans="1:30" x14ac:dyDescent="0.2">
      <c r="B16" t="s">
        <v>5</v>
      </c>
    </row>
    <row r="17" spans="2:30" x14ac:dyDescent="0.2">
      <c r="C17">
        <v>2016</v>
      </c>
      <c r="F17" s="6">
        <v>3400</v>
      </c>
      <c r="G17" s="6"/>
      <c r="H17" s="6">
        <v>2723</v>
      </c>
      <c r="I17" s="6"/>
      <c r="J17" s="6">
        <v>1376</v>
      </c>
      <c r="K17" s="6"/>
      <c r="L17" s="6">
        <v>913</v>
      </c>
      <c r="M17" s="6"/>
      <c r="N17" s="6">
        <v>406</v>
      </c>
      <c r="O17" s="6"/>
      <c r="P17" s="6">
        <v>247</v>
      </c>
      <c r="Q17" s="6"/>
      <c r="R17" s="6">
        <v>223</v>
      </c>
      <c r="S17" s="6"/>
      <c r="T17" s="6">
        <v>221</v>
      </c>
      <c r="U17" s="6"/>
      <c r="V17" s="6">
        <v>235</v>
      </c>
      <c r="W17" s="6"/>
      <c r="X17" s="6">
        <v>443</v>
      </c>
      <c r="Y17" s="6"/>
      <c r="Z17" s="6">
        <v>1501</v>
      </c>
      <c r="AA17" s="6"/>
      <c r="AB17" s="6">
        <v>2532</v>
      </c>
      <c r="AD17" s="7">
        <f t="shared" ref="AD17:AD22" si="1">SUM(F17:AB17)</f>
        <v>14220</v>
      </c>
    </row>
    <row r="18" spans="2:30" x14ac:dyDescent="0.2">
      <c r="C18">
        <v>2017</v>
      </c>
      <c r="F18" s="6">
        <v>2547</v>
      </c>
      <c r="G18" s="6"/>
      <c r="H18" s="6">
        <v>1912</v>
      </c>
      <c r="I18" s="6"/>
      <c r="J18" s="6">
        <v>1990</v>
      </c>
      <c r="K18" s="6"/>
      <c r="L18" s="6">
        <v>659</v>
      </c>
      <c r="M18" s="6"/>
      <c r="N18" s="6">
        <v>481</v>
      </c>
      <c r="O18" s="6"/>
      <c r="P18" s="6">
        <v>285</v>
      </c>
      <c r="Q18" s="6"/>
      <c r="R18" s="6">
        <v>284</v>
      </c>
      <c r="S18" s="6"/>
      <c r="T18" s="6">
        <v>298</v>
      </c>
      <c r="U18" s="6"/>
      <c r="V18" s="6">
        <v>289</v>
      </c>
      <c r="W18" s="6"/>
      <c r="X18" s="6">
        <v>754</v>
      </c>
      <c r="Y18" s="6"/>
      <c r="Z18" s="6">
        <v>1828</v>
      </c>
      <c r="AA18" s="6"/>
      <c r="AB18" s="6">
        <v>2501</v>
      </c>
      <c r="AD18" s="7">
        <f t="shared" si="1"/>
        <v>13828</v>
      </c>
    </row>
    <row r="19" spans="2:30" x14ac:dyDescent="0.2">
      <c r="C19">
        <v>2018</v>
      </c>
      <c r="F19" s="7">
        <v>4102</v>
      </c>
      <c r="G19" s="7"/>
      <c r="H19" s="7">
        <v>2020</v>
      </c>
      <c r="I19" s="7"/>
      <c r="J19" s="6">
        <v>2241</v>
      </c>
      <c r="K19" s="6"/>
      <c r="L19" s="6">
        <v>1481</v>
      </c>
      <c r="M19" s="6"/>
      <c r="N19" s="6">
        <v>392</v>
      </c>
      <c r="O19" s="7"/>
      <c r="P19" s="6">
        <v>303</v>
      </c>
      <c r="Q19" s="6"/>
      <c r="R19" s="6">
        <v>298</v>
      </c>
      <c r="S19" s="7"/>
      <c r="T19" s="7">
        <v>316</v>
      </c>
      <c r="U19" s="7"/>
      <c r="V19" s="7">
        <v>260</v>
      </c>
      <c r="W19" s="7"/>
      <c r="X19" s="7">
        <v>812</v>
      </c>
      <c r="Y19" s="7"/>
      <c r="Z19" s="7">
        <v>2151</v>
      </c>
      <c r="AA19" s="7"/>
      <c r="AB19" s="7">
        <v>2602</v>
      </c>
      <c r="AD19" s="7">
        <f t="shared" si="1"/>
        <v>16978</v>
      </c>
    </row>
    <row r="20" spans="2:30" x14ac:dyDescent="0.2">
      <c r="C20">
        <v>2019</v>
      </c>
      <c r="F20" s="7">
        <v>2898</v>
      </c>
      <c r="G20" s="7"/>
      <c r="H20" s="7">
        <v>2333</v>
      </c>
      <c r="I20" s="7"/>
      <c r="J20" s="6">
        <v>2073</v>
      </c>
      <c r="K20" s="6"/>
      <c r="L20" s="6">
        <v>912</v>
      </c>
      <c r="M20" s="6"/>
      <c r="N20" s="6">
        <v>369</v>
      </c>
      <c r="O20" s="7"/>
      <c r="P20" s="6">
        <v>320</v>
      </c>
      <c r="Q20" s="6"/>
      <c r="R20" s="6">
        <v>335</v>
      </c>
      <c r="S20" s="7"/>
      <c r="T20" s="7">
        <v>289</v>
      </c>
      <c r="U20" s="7"/>
      <c r="V20" s="7">
        <v>365</v>
      </c>
      <c r="W20" s="7"/>
      <c r="X20" s="7">
        <v>628</v>
      </c>
      <c r="Y20" s="7"/>
      <c r="Z20" s="7">
        <v>2233</v>
      </c>
      <c r="AA20" s="7"/>
      <c r="AB20" s="7">
        <v>2655</v>
      </c>
      <c r="AD20" s="7">
        <f t="shared" si="1"/>
        <v>15410</v>
      </c>
    </row>
    <row r="21" spans="2:30" x14ac:dyDescent="0.2">
      <c r="C21">
        <v>2020</v>
      </c>
      <c r="F21" s="7">
        <v>2719</v>
      </c>
      <c r="G21" s="7"/>
      <c r="H21" s="7">
        <v>2400</v>
      </c>
      <c r="I21" s="7"/>
      <c r="J21" s="7">
        <v>1653</v>
      </c>
      <c r="K21" s="6"/>
      <c r="L21" s="7">
        <v>1142</v>
      </c>
      <c r="M21" s="6"/>
      <c r="N21" s="7">
        <v>847</v>
      </c>
      <c r="O21" s="7"/>
      <c r="P21" s="6">
        <v>448</v>
      </c>
      <c r="Q21" s="6"/>
      <c r="R21" s="7">
        <v>413</v>
      </c>
      <c r="S21" s="7"/>
      <c r="T21" s="7">
        <v>312</v>
      </c>
      <c r="U21" s="7"/>
      <c r="V21" s="7">
        <v>441</v>
      </c>
      <c r="W21" s="7"/>
      <c r="X21" s="7">
        <v>639</v>
      </c>
      <c r="Y21" s="7"/>
      <c r="Z21" s="7">
        <v>1890</v>
      </c>
      <c r="AA21" s="7"/>
      <c r="AB21" s="7">
        <v>2795</v>
      </c>
      <c r="AD21" s="7">
        <f t="shared" si="1"/>
        <v>15699</v>
      </c>
    </row>
    <row r="22" spans="2:30" x14ac:dyDescent="0.2">
      <c r="C22">
        <v>2021</v>
      </c>
      <c r="F22" s="7">
        <v>3070</v>
      </c>
      <c r="G22" s="7"/>
      <c r="H22" s="7">
        <v>3329</v>
      </c>
      <c r="I22" s="7"/>
      <c r="J22" s="7">
        <v>1992</v>
      </c>
      <c r="K22" s="6"/>
      <c r="L22" s="7">
        <v>1247</v>
      </c>
      <c r="M22" s="6"/>
      <c r="N22" s="7">
        <f>(9615+3840)/10</f>
        <v>1345.5</v>
      </c>
      <c r="O22" s="7"/>
      <c r="P22" s="6">
        <v>413.7</v>
      </c>
      <c r="Q22" s="6"/>
      <c r="R22" s="7">
        <v>364.5</v>
      </c>
      <c r="S22" s="7"/>
      <c r="T22" s="115">
        <f>(1322+3378)/10</f>
        <v>470</v>
      </c>
      <c r="U22" s="115"/>
      <c r="V22" s="115">
        <f>(1334+2548)/10</f>
        <v>388.2</v>
      </c>
      <c r="W22" s="7"/>
      <c r="X22" s="7">
        <f>(4102+2983)/10</f>
        <v>708.5</v>
      </c>
      <c r="Y22" s="7"/>
      <c r="Z22" s="7">
        <f>(16113+6018)/10</f>
        <v>2213.1</v>
      </c>
      <c r="AA22" s="7"/>
      <c r="AB22" s="7">
        <v>2434</v>
      </c>
      <c r="AD22" s="7">
        <f t="shared" si="1"/>
        <v>17975.5</v>
      </c>
    </row>
    <row r="23" spans="2:30" x14ac:dyDescent="0.2">
      <c r="C23">
        <v>2022</v>
      </c>
      <c r="F23" s="7">
        <v>2640</v>
      </c>
      <c r="H23" s="7">
        <v>2602</v>
      </c>
      <c r="J23" s="7">
        <v>2119</v>
      </c>
      <c r="L23" s="7">
        <v>855</v>
      </c>
      <c r="N23" s="7">
        <v>265</v>
      </c>
      <c r="P23" s="194">
        <f>(2005+538)/10</f>
        <v>254.3</v>
      </c>
      <c r="R23" s="194">
        <f>(1212+501)/10</f>
        <v>171.3</v>
      </c>
      <c r="T23" s="194">
        <f>(747+329)/10</f>
        <v>107.6</v>
      </c>
      <c r="V23" s="194">
        <f>(1178+445)/10</f>
        <v>162.30000000000001</v>
      </c>
      <c r="X23" s="7">
        <v>685.5</v>
      </c>
      <c r="Z23" s="7">
        <v>1511</v>
      </c>
      <c r="AB23" s="7">
        <v>2602.1999999999998</v>
      </c>
      <c r="AD23" s="7">
        <f t="shared" ref="AD23" si="2">SUM(F23:AB23)</f>
        <v>13975.199999999997</v>
      </c>
    </row>
    <row r="24" spans="2:30" x14ac:dyDescent="0.2">
      <c r="C24">
        <v>2023</v>
      </c>
      <c r="F24" s="7">
        <v>2525.4</v>
      </c>
      <c r="H24" s="7">
        <v>1678.4</v>
      </c>
      <c r="J24" s="7"/>
      <c r="L24" s="7"/>
      <c r="N24" s="7"/>
      <c r="P24" s="194"/>
      <c r="R24" s="194"/>
      <c r="T24" s="194"/>
      <c r="V24" s="194"/>
      <c r="X24" s="7"/>
      <c r="Z24" s="7"/>
      <c r="AB24" s="7"/>
      <c r="AD24" s="7">
        <f>SUM(F24:AB24)</f>
        <v>4203.8</v>
      </c>
    </row>
    <row r="25" spans="2:30" x14ac:dyDescent="0.2">
      <c r="L25" s="7"/>
    </row>
    <row r="26" spans="2:30" x14ac:dyDescent="0.2">
      <c r="C26" s="1" t="s">
        <v>3</v>
      </c>
      <c r="F26" s="6">
        <f>SUM(H23:$AB23)+SUM($F24:F24)</f>
        <v>13860.6</v>
      </c>
      <c r="G26" s="7"/>
      <c r="H26" s="6">
        <f>SUM(J23:$AB23)+SUM($F24:H24)</f>
        <v>12937</v>
      </c>
      <c r="I26" s="7"/>
      <c r="J26" s="6">
        <f>SUM(L22:$AB22)+SUM($F23:J23)</f>
        <v>16945.5</v>
      </c>
      <c r="K26" s="6"/>
      <c r="L26" s="6">
        <f>SUM(N22:$AB22)+SUM($F23:L23)</f>
        <v>16553.5</v>
      </c>
      <c r="M26" s="6"/>
      <c r="N26" s="6">
        <f>SUM(P22:$AB22)+SUM($F23:N23)</f>
        <v>15473</v>
      </c>
      <c r="O26" s="7"/>
      <c r="P26" s="6">
        <f>SUM(R22:$AB22)+SUM($F23:P23)</f>
        <v>15313.599999999999</v>
      </c>
      <c r="Q26" s="6"/>
      <c r="R26" s="6">
        <f>SUM(T22:$AB22)+SUM($F23:R23)</f>
        <v>15120.399999999998</v>
      </c>
      <c r="S26" s="7"/>
      <c r="T26" s="6">
        <f>SUM(V22:$AB22)+SUM($F23:T23)</f>
        <v>14758</v>
      </c>
      <c r="U26" s="7"/>
      <c r="V26" s="6">
        <f>SUM(X22:$AB22)+SUM($F23:V23)</f>
        <v>14532.099999999999</v>
      </c>
      <c r="W26" s="6">
        <f>SUM(Y22:$AB22)+SUM($F23:W23)</f>
        <v>13823.599999999999</v>
      </c>
      <c r="X26" s="6">
        <f>SUM(Z22:$AB22)+SUM($F23:X23)</f>
        <v>14509.099999999999</v>
      </c>
      <c r="Y26" s="7"/>
      <c r="Z26" s="6">
        <f>SUM(AB22:$AB22)+SUM($F23:Z23)</f>
        <v>13806.999999999998</v>
      </c>
      <c r="AA26" s="7"/>
      <c r="AB26" s="6">
        <f>SUM($F23:AB23)</f>
        <v>13975.199999999997</v>
      </c>
    </row>
    <row r="27" spans="2:30" x14ac:dyDescent="0.2">
      <c r="C27" t="s">
        <v>4</v>
      </c>
      <c r="F27" s="7">
        <f>AVERAGE(F20:F24)</f>
        <v>2770.48</v>
      </c>
      <c r="G27" s="7"/>
      <c r="H27" s="7">
        <f>AVERAGE(H20:H24)</f>
        <v>2468.48</v>
      </c>
      <c r="I27" s="7"/>
      <c r="J27" s="7">
        <f>AVERAGE(J19:J23)</f>
        <v>2015.6</v>
      </c>
      <c r="K27" s="6"/>
      <c r="L27" s="7">
        <f>AVERAGE(L19:L23)</f>
        <v>1127.4000000000001</v>
      </c>
      <c r="M27" s="6"/>
      <c r="N27" s="7">
        <f>AVERAGE(N19:N23)</f>
        <v>643.70000000000005</v>
      </c>
      <c r="O27" s="7"/>
      <c r="P27" s="7">
        <f>AVERAGE(P19:P23)</f>
        <v>347.8</v>
      </c>
      <c r="Q27" s="6"/>
      <c r="R27" s="7">
        <f>AVERAGE(R19:R23)</f>
        <v>316.36</v>
      </c>
      <c r="S27" s="7"/>
      <c r="T27" s="7">
        <f>AVERAGE(T19:T23)</f>
        <v>298.91999999999996</v>
      </c>
      <c r="U27" s="7"/>
      <c r="V27" s="7">
        <f>AVERAGE(V19:V23)</f>
        <v>323.3</v>
      </c>
      <c r="W27" s="7"/>
      <c r="X27" s="7">
        <f>AVERAGE(X19:X23)</f>
        <v>694.6</v>
      </c>
      <c r="Y27" s="7"/>
      <c r="Z27" s="7">
        <f>AVERAGE(Z18:Z22)</f>
        <v>2063.02</v>
      </c>
      <c r="AA27" s="7"/>
      <c r="AB27" s="7">
        <f>AVERAGE(AB18:AB22)</f>
        <v>2597.4</v>
      </c>
      <c r="AD27" s="7">
        <f>SUM(F27:AB27)</f>
        <v>15667.06</v>
      </c>
    </row>
    <row r="28" spans="2:30" x14ac:dyDescent="0.2">
      <c r="L28" s="7"/>
    </row>
    <row r="29" spans="2:30" x14ac:dyDescent="0.2">
      <c r="B29" t="s">
        <v>6</v>
      </c>
    </row>
    <row r="30" spans="2:30" x14ac:dyDescent="0.2">
      <c r="C30">
        <v>2016</v>
      </c>
      <c r="F30" s="6">
        <v>2914</v>
      </c>
      <c r="G30" s="6"/>
      <c r="H30" s="6">
        <v>2325</v>
      </c>
      <c r="I30" s="6"/>
      <c r="J30" s="6">
        <v>1385</v>
      </c>
      <c r="K30" s="6"/>
      <c r="L30" s="6">
        <v>663</v>
      </c>
      <c r="M30" s="6"/>
      <c r="N30" s="6">
        <v>362</v>
      </c>
      <c r="O30" s="6"/>
      <c r="P30" s="6">
        <v>103</v>
      </c>
      <c r="Q30" s="6"/>
      <c r="R30" s="6">
        <v>105</v>
      </c>
      <c r="S30" s="6"/>
      <c r="T30" s="6">
        <v>74</v>
      </c>
      <c r="U30" s="6"/>
      <c r="V30" s="6">
        <v>175</v>
      </c>
      <c r="W30" s="6"/>
      <c r="X30" s="6">
        <v>313</v>
      </c>
      <c r="Y30" s="6"/>
      <c r="Z30" s="6">
        <v>1361</v>
      </c>
      <c r="AA30" s="6"/>
      <c r="AB30" s="6">
        <v>1998</v>
      </c>
      <c r="AD30" s="7">
        <f t="shared" ref="AD30:AD35" si="3">SUM(F30:AB30)</f>
        <v>11778</v>
      </c>
    </row>
    <row r="31" spans="2:30" x14ac:dyDescent="0.2">
      <c r="C31">
        <v>2017</v>
      </c>
      <c r="F31" s="6">
        <v>2132</v>
      </c>
      <c r="G31" s="6"/>
      <c r="H31" s="6">
        <v>1591</v>
      </c>
      <c r="I31" s="6"/>
      <c r="J31" s="6">
        <v>1662</v>
      </c>
      <c r="K31" s="6"/>
      <c r="L31" s="6">
        <v>498</v>
      </c>
      <c r="M31" s="6"/>
      <c r="N31" s="6">
        <v>272</v>
      </c>
      <c r="O31" s="6"/>
      <c r="P31" s="6">
        <v>137</v>
      </c>
      <c r="Q31" s="6"/>
      <c r="R31" s="6">
        <v>125</v>
      </c>
      <c r="S31" s="6"/>
      <c r="T31" s="6">
        <v>112</v>
      </c>
      <c r="U31" s="6"/>
      <c r="V31" s="6">
        <v>146</v>
      </c>
      <c r="W31" s="6"/>
      <c r="X31" s="6">
        <v>503</v>
      </c>
      <c r="Y31" s="6"/>
      <c r="Z31" s="6">
        <v>1424</v>
      </c>
      <c r="AA31" s="6"/>
      <c r="AB31" s="6">
        <v>2076</v>
      </c>
      <c r="AD31" s="7">
        <f t="shared" si="3"/>
        <v>10678</v>
      </c>
    </row>
    <row r="32" spans="2:30" x14ac:dyDescent="0.2">
      <c r="C32">
        <v>2018</v>
      </c>
      <c r="F32" s="7">
        <v>3491</v>
      </c>
      <c r="G32" s="7"/>
      <c r="H32" s="7">
        <v>1682</v>
      </c>
      <c r="I32" s="7"/>
      <c r="J32" s="6">
        <v>1932</v>
      </c>
      <c r="K32" s="6"/>
      <c r="L32" s="6">
        <v>1238</v>
      </c>
      <c r="M32" s="6"/>
      <c r="N32" s="6">
        <v>169</v>
      </c>
      <c r="O32" s="7"/>
      <c r="P32" s="6">
        <v>108</v>
      </c>
      <c r="Q32" s="6"/>
      <c r="R32" s="6">
        <v>114</v>
      </c>
      <c r="S32" s="7"/>
      <c r="T32" s="7">
        <v>120</v>
      </c>
      <c r="U32" s="7"/>
      <c r="V32" s="7">
        <v>76</v>
      </c>
      <c r="W32" s="7"/>
      <c r="X32" s="7">
        <v>670</v>
      </c>
      <c r="Y32" s="7"/>
      <c r="Z32" s="7">
        <v>1713</v>
      </c>
      <c r="AA32" s="7"/>
      <c r="AB32" s="7">
        <v>2044</v>
      </c>
      <c r="AD32" s="7">
        <f t="shared" si="3"/>
        <v>13357</v>
      </c>
    </row>
    <row r="33" spans="1:30" x14ac:dyDescent="0.2">
      <c r="C33">
        <v>2019</v>
      </c>
      <c r="F33" s="7">
        <v>2854</v>
      </c>
      <c r="G33" s="7"/>
      <c r="H33" s="7">
        <v>1720</v>
      </c>
      <c r="I33" s="7"/>
      <c r="J33" s="6">
        <v>1809</v>
      </c>
      <c r="K33" s="6"/>
      <c r="L33" s="6">
        <v>703</v>
      </c>
      <c r="M33" s="6"/>
      <c r="N33" s="6">
        <v>191</v>
      </c>
      <c r="O33" s="7"/>
      <c r="P33" s="6">
        <v>138</v>
      </c>
      <c r="Q33" s="6"/>
      <c r="R33" s="6">
        <v>123</v>
      </c>
      <c r="S33" s="7"/>
      <c r="T33" s="7">
        <v>128</v>
      </c>
      <c r="U33" s="7"/>
      <c r="V33" s="7">
        <v>151</v>
      </c>
      <c r="W33" s="7"/>
      <c r="X33" s="7">
        <v>439</v>
      </c>
      <c r="Y33" s="7"/>
      <c r="Z33" s="7">
        <v>1651</v>
      </c>
      <c r="AA33" s="7"/>
      <c r="AB33" s="7">
        <v>2141</v>
      </c>
      <c r="AD33" s="7">
        <f t="shared" si="3"/>
        <v>12048</v>
      </c>
    </row>
    <row r="34" spans="1:30" x14ac:dyDescent="0.2">
      <c r="C34">
        <v>2020</v>
      </c>
      <c r="F34" s="7">
        <v>2131</v>
      </c>
      <c r="G34" s="7"/>
      <c r="H34" s="7">
        <v>1951</v>
      </c>
      <c r="I34" s="7"/>
      <c r="J34" s="7">
        <v>1327</v>
      </c>
      <c r="K34" s="6"/>
      <c r="L34" s="7">
        <v>957</v>
      </c>
      <c r="M34" s="6"/>
      <c r="N34" s="7">
        <v>530</v>
      </c>
      <c r="O34" s="7"/>
      <c r="P34" s="6">
        <v>170</v>
      </c>
      <c r="Q34" s="6"/>
      <c r="R34" s="7">
        <v>118</v>
      </c>
      <c r="S34" s="7"/>
      <c r="T34" s="7">
        <v>132</v>
      </c>
      <c r="U34" s="7"/>
      <c r="V34" s="7">
        <v>280</v>
      </c>
      <c r="W34" s="7"/>
      <c r="X34" s="7">
        <v>453</v>
      </c>
      <c r="Y34" s="7"/>
      <c r="Z34" s="7">
        <v>1296</v>
      </c>
      <c r="AA34" s="7"/>
      <c r="AB34" s="7">
        <v>2369</v>
      </c>
      <c r="AD34" s="7">
        <f t="shared" si="3"/>
        <v>11714</v>
      </c>
    </row>
    <row r="35" spans="1:30" x14ac:dyDescent="0.2">
      <c r="C35">
        <v>2021</v>
      </c>
      <c r="F35" s="7">
        <v>2462</v>
      </c>
      <c r="G35" s="7"/>
      <c r="H35" s="7">
        <v>2794</v>
      </c>
      <c r="I35" s="7"/>
      <c r="J35" s="7">
        <v>1632</v>
      </c>
      <c r="K35" s="6"/>
      <c r="L35" s="7">
        <v>817</v>
      </c>
      <c r="M35" s="6"/>
      <c r="N35" s="7">
        <f>(6568+419)/10</f>
        <v>698.7</v>
      </c>
      <c r="O35" s="7"/>
      <c r="P35" s="7">
        <v>144.30000000000001</v>
      </c>
      <c r="Q35" s="7"/>
      <c r="R35" s="7">
        <v>178.9</v>
      </c>
      <c r="S35" s="7"/>
      <c r="T35" s="115">
        <f>(1517+303)/10</f>
        <v>182</v>
      </c>
      <c r="U35" s="115"/>
      <c r="V35" s="115">
        <f>(2749+145)/10</f>
        <v>289.39999999999998</v>
      </c>
      <c r="W35" s="7"/>
      <c r="X35" s="7">
        <f>(5109+323)/10</f>
        <v>543.20000000000005</v>
      </c>
      <c r="Y35" s="7"/>
      <c r="Z35" s="7">
        <f>(16330+750)/10</f>
        <v>1708</v>
      </c>
      <c r="AA35" s="7"/>
      <c r="AB35" s="7">
        <v>1832</v>
      </c>
      <c r="AD35" s="7">
        <f t="shared" si="3"/>
        <v>13281.5</v>
      </c>
    </row>
    <row r="36" spans="1:30" x14ac:dyDescent="0.2">
      <c r="C36">
        <v>2022</v>
      </c>
      <c r="F36" s="7">
        <v>2503</v>
      </c>
      <c r="H36" s="7">
        <v>2263</v>
      </c>
      <c r="J36" s="7">
        <v>1651</v>
      </c>
      <c r="L36" s="6">
        <v>858</v>
      </c>
      <c r="N36" s="7">
        <f>(2873+221)/10</f>
        <v>309.39999999999998</v>
      </c>
      <c r="P36" s="7">
        <f>(2782+212)/10</f>
        <v>299.39999999999998</v>
      </c>
      <c r="R36" s="7">
        <f>(1365+3937)/10</f>
        <v>530.20000000000005</v>
      </c>
      <c r="T36" s="7">
        <f>(624+148)/10</f>
        <v>77.2</v>
      </c>
      <c r="V36" s="7">
        <f>(1426+203)/10</f>
        <v>162.9</v>
      </c>
      <c r="X36" s="7">
        <v>825</v>
      </c>
      <c r="Z36" s="7">
        <v>1505.4</v>
      </c>
      <c r="AB36" s="7">
        <v>2507.6</v>
      </c>
      <c r="AD36" s="7">
        <f>SUM(F36:AB36)</f>
        <v>13492.1</v>
      </c>
    </row>
    <row r="37" spans="1:30" x14ac:dyDescent="0.2">
      <c r="C37">
        <v>2023</v>
      </c>
      <c r="F37" s="7">
        <v>2259.8000000000002</v>
      </c>
      <c r="H37" s="7">
        <v>1565.2</v>
      </c>
      <c r="J37" s="7"/>
      <c r="L37" s="6"/>
      <c r="N37" s="7"/>
      <c r="P37" s="7"/>
      <c r="R37" s="7"/>
      <c r="T37" s="7"/>
      <c r="V37" s="7"/>
      <c r="X37" s="7"/>
      <c r="Z37" s="7"/>
      <c r="AB37" s="7"/>
      <c r="AD37" s="7">
        <f>SUM(F37:AB37)</f>
        <v>3825</v>
      </c>
    </row>
    <row r="38" spans="1:30" x14ac:dyDescent="0.2">
      <c r="L38" s="6"/>
    </row>
    <row r="39" spans="1:30" x14ac:dyDescent="0.2">
      <c r="C39" s="1" t="s">
        <v>3</v>
      </c>
      <c r="F39" s="6">
        <f>SUM(H36:$AB36)+SUM($F37:F37)</f>
        <v>13248.899999999998</v>
      </c>
      <c r="G39" s="7"/>
      <c r="H39" s="6">
        <f>SUM(J36:$AB36)+SUM($F37:H37)</f>
        <v>12551.1</v>
      </c>
      <c r="I39" s="7"/>
      <c r="J39" s="6">
        <f>SUM(L35:$AB35)+SUM($F36:J36)</f>
        <v>12810.5</v>
      </c>
      <c r="K39" s="6"/>
      <c r="L39" s="6">
        <f>SUM(N35:$AB35)+SUM($F36:L36)</f>
        <v>12851.5</v>
      </c>
      <c r="M39" s="6"/>
      <c r="N39" s="6">
        <f>SUM(P35:$AB35)+SUM($F36:N36)</f>
        <v>12462.2</v>
      </c>
      <c r="O39" s="7"/>
      <c r="P39" s="6">
        <f>SUM(R35:$AB35)+SUM($F36:P36)</f>
        <v>12617.3</v>
      </c>
      <c r="Q39" s="6"/>
      <c r="R39" s="6">
        <f>SUM(T35:$AB35)+SUM($F36:R36)</f>
        <v>12968.6</v>
      </c>
      <c r="S39" s="7"/>
      <c r="T39" s="6">
        <f>SUM(V35:$AB35)+SUM($F36:T36)</f>
        <v>12863.800000000001</v>
      </c>
      <c r="U39" s="7"/>
      <c r="V39" s="6">
        <f>SUM(X35:$AB35)+SUM($F36:V36)</f>
        <v>12737.3</v>
      </c>
      <c r="W39" s="7"/>
      <c r="X39" s="6">
        <f>SUM(Z35:$AB35)+SUM($F36:X36)</f>
        <v>13019.1</v>
      </c>
      <c r="Y39" s="7"/>
      <c r="Z39" s="6">
        <f>SUM(AB35:$AB35)+SUM($F36:Z36)</f>
        <v>12816.5</v>
      </c>
      <c r="AA39" s="7"/>
      <c r="AB39" s="6">
        <f>SUM($F36:AB36)</f>
        <v>13492.1</v>
      </c>
    </row>
    <row r="40" spans="1:30" x14ac:dyDescent="0.2">
      <c r="C40" t="s">
        <v>4</v>
      </c>
      <c r="F40" s="7">
        <f>AVERAGE(F33:F37)</f>
        <v>2441.96</v>
      </c>
      <c r="G40" s="7"/>
      <c r="H40" s="7">
        <f>AVERAGE(H33:H37)</f>
        <v>2058.6400000000003</v>
      </c>
      <c r="I40" s="7"/>
      <c r="J40" s="7">
        <f>AVERAGE(J32:J36)</f>
        <v>1670.2</v>
      </c>
      <c r="K40" s="6"/>
      <c r="L40" s="7">
        <f>AVERAGE(L32:L36)</f>
        <v>914.6</v>
      </c>
      <c r="M40" s="6"/>
      <c r="N40" s="7">
        <f>AVERAGE(N32:N36)</f>
        <v>379.62</v>
      </c>
      <c r="O40" s="7"/>
      <c r="P40" s="7">
        <f>AVERAGE(P32:P36)</f>
        <v>171.94</v>
      </c>
      <c r="Q40" s="6"/>
      <c r="R40" s="7">
        <f>AVERAGE(R32:R36)</f>
        <v>212.82</v>
      </c>
      <c r="S40" s="7"/>
      <c r="T40" s="7">
        <f>AVERAGE(T32:T36)</f>
        <v>127.84</v>
      </c>
      <c r="U40" s="7"/>
      <c r="V40" s="7">
        <f>AVERAGE(V32:V36)</f>
        <v>191.85999999999999</v>
      </c>
      <c r="W40" s="7"/>
      <c r="X40" s="7">
        <f>AVERAGE(X32:X36)</f>
        <v>586.04</v>
      </c>
      <c r="Y40" s="7"/>
      <c r="Z40" s="7">
        <f>AVERAGE(Z31:Z35)</f>
        <v>1558.4</v>
      </c>
      <c r="AA40" s="7"/>
      <c r="AB40" s="7">
        <f>AVERAGE(AB31:AB35)</f>
        <v>2092.4</v>
      </c>
      <c r="AD40" s="7">
        <f>SUM(F40:AB40)</f>
        <v>12406.32</v>
      </c>
    </row>
    <row r="42" spans="1:30" x14ac:dyDescent="0.2">
      <c r="A42" t="s">
        <v>7</v>
      </c>
      <c r="F42" s="7">
        <f>F14+F27+F40</f>
        <v>15061.68</v>
      </c>
      <c r="H42" s="7">
        <f>H14+H27+H40</f>
        <v>13945.400000000001</v>
      </c>
      <c r="J42" s="7">
        <f>J14+J27+J40</f>
        <v>14915.220000000001</v>
      </c>
      <c r="L42" s="7">
        <f>L14+L27+L40</f>
        <v>10998.86</v>
      </c>
      <c r="N42" s="7">
        <f>N14+N27+N40</f>
        <v>7666.0199999999995</v>
      </c>
      <c r="P42" s="7">
        <f>P14+P27+P40</f>
        <v>5999.36</v>
      </c>
      <c r="R42" s="7">
        <f>R14+R27+R40</f>
        <v>5222.7399999999989</v>
      </c>
      <c r="T42" s="7">
        <f>T14+T27+T40</f>
        <v>4905.7</v>
      </c>
      <c r="V42" s="7">
        <f>V14+V27+V40</f>
        <v>4641.12</v>
      </c>
      <c r="X42" s="7">
        <f>X14+X27+X40</f>
        <v>6811.2</v>
      </c>
      <c r="Z42" s="7">
        <f>Z14+Z27+Z40</f>
        <v>13488.18</v>
      </c>
      <c r="AB42" s="7">
        <f>AB14+AB27+AB40</f>
        <v>15613.68</v>
      </c>
      <c r="AD42" s="7">
        <f>SUM(F42:AB42)</f>
        <v>119269.15999999997</v>
      </c>
    </row>
    <row r="43" spans="1:30" x14ac:dyDescent="0.2">
      <c r="B43" t="s">
        <v>8</v>
      </c>
      <c r="F43" s="8">
        <f>F14/F$42</f>
        <v>0.65392705196233092</v>
      </c>
      <c r="H43" s="8">
        <f>H14/H$42</f>
        <v>0.67536822177922462</v>
      </c>
      <c r="J43" s="8">
        <f>J14/J$42</f>
        <v>0.75288329639120299</v>
      </c>
      <c r="L43" s="8">
        <f>L14/L$42</f>
        <v>0.81434439569191719</v>
      </c>
      <c r="N43" s="8">
        <f>N14/N$42</f>
        <v>0.86651221885672103</v>
      </c>
      <c r="P43" s="8">
        <f>P14/P$42</f>
        <v>0.9133674258587583</v>
      </c>
      <c r="R43" s="8">
        <f>R14/R$42</f>
        <v>0.89867770557217097</v>
      </c>
      <c r="T43" s="8">
        <f>T14/T$42</f>
        <v>0.91300731801781598</v>
      </c>
      <c r="V43" s="8">
        <f>V14/V$42</f>
        <v>0.88900093080980458</v>
      </c>
      <c r="X43" s="8">
        <f>X14/X$42</f>
        <v>0.81198026779422128</v>
      </c>
      <c r="Z43" s="8">
        <f>Z14/Z$42</f>
        <v>0.7315115901478183</v>
      </c>
      <c r="AB43" s="8">
        <f>AB14/AB$42</f>
        <v>0.69963519170368549</v>
      </c>
      <c r="AD43" s="9">
        <f>AD14/AD$42</f>
        <v>0.76462163395801575</v>
      </c>
    </row>
    <row r="44" spans="1:30" x14ac:dyDescent="0.2">
      <c r="B44" t="s">
        <v>9</v>
      </c>
      <c r="F44" s="8">
        <f>F27/F$42</f>
        <v>0.1839422959457378</v>
      </c>
      <c r="H44" s="8">
        <f>H27/H$42</f>
        <v>0.17701034032727636</v>
      </c>
      <c r="J44" s="8">
        <f>J27/J$42</f>
        <v>0.13513712838295378</v>
      </c>
      <c r="L44" s="8">
        <f>L27/L$42</f>
        <v>0.10250153197695035</v>
      </c>
      <c r="N44" s="8">
        <f>N27/N$42</f>
        <v>8.3967952079436275E-2</v>
      </c>
      <c r="P44" s="8">
        <v>0.02</v>
      </c>
      <c r="R44" s="8">
        <f>R27/R$42</f>
        <v>6.0573568663192134E-2</v>
      </c>
      <c r="T44" s="8">
        <f>T27/T$42</f>
        <v>6.0933200154921818E-2</v>
      </c>
      <c r="V44" s="8">
        <f>V27/V$42</f>
        <v>6.9659909676974524E-2</v>
      </c>
      <c r="X44" s="8">
        <f>X27/X$42</f>
        <v>0.10197909325816303</v>
      </c>
      <c r="Z44" s="8">
        <f>Z27/Z$42</f>
        <v>0.15295021270475334</v>
      </c>
      <c r="AB44" s="8">
        <f>AB27/AB$42</f>
        <v>0.16635412023302643</v>
      </c>
      <c r="AD44" s="9">
        <f>AD27/AD$42</f>
        <v>0.13135885253153459</v>
      </c>
    </row>
    <row r="45" spans="1:30" x14ac:dyDescent="0.2">
      <c r="B45" t="s">
        <v>10</v>
      </c>
      <c r="F45" s="8">
        <f>F40/F$42</f>
        <v>0.16213065209193131</v>
      </c>
      <c r="H45" s="8">
        <f>H40/H$42</f>
        <v>0.14762143789349894</v>
      </c>
      <c r="J45" s="8">
        <f>J40/J$42</f>
        <v>0.11197957522584312</v>
      </c>
      <c r="L45" s="8">
        <f>L40/L$42</f>
        <v>8.3154072331132492E-2</v>
      </c>
      <c r="N45" s="8">
        <f>N40/N$42</f>
        <v>4.951982906384278E-2</v>
      </c>
      <c r="P45" s="8">
        <f>P40/P$42</f>
        <v>2.8659723703861745E-2</v>
      </c>
      <c r="R45" s="8">
        <f>R40/R$42</f>
        <v>4.0748725764636957E-2</v>
      </c>
      <c r="T45" s="8">
        <f>T40/T$42</f>
        <v>2.6059481827262167E-2</v>
      </c>
      <c r="V45" s="8">
        <f>V40/V$42</f>
        <v>4.1339159513220945E-2</v>
      </c>
      <c r="X45" s="8">
        <f>X40/X$42</f>
        <v>8.6040638947615683E-2</v>
      </c>
      <c r="Z45" s="8">
        <f>Z40/Z$42</f>
        <v>0.11553819714742834</v>
      </c>
      <c r="AB45" s="8">
        <f>AB40/AB$42</f>
        <v>0.13401068806328809</v>
      </c>
      <c r="AD45" s="9">
        <f>AD40/AD$42</f>
        <v>0.10401951351044983</v>
      </c>
    </row>
    <row r="47" spans="1:30" x14ac:dyDescent="0.2">
      <c r="B47" s="1" t="s">
        <v>182</v>
      </c>
    </row>
    <row r="48" spans="1:30" x14ac:dyDescent="0.2">
      <c r="C48">
        <v>2020</v>
      </c>
      <c r="P48" s="7">
        <f>P34+P21+P8</f>
        <v>6494.5</v>
      </c>
      <c r="R48" s="7">
        <f>R34+R21+R8</f>
        <v>6483.1</v>
      </c>
      <c r="T48" s="7">
        <f>T34+T21+T8</f>
        <v>5604.3</v>
      </c>
      <c r="V48" s="7">
        <f>V34+V21+V8</f>
        <v>7055.5</v>
      </c>
      <c r="X48" s="7">
        <f>X34+X21+X8</f>
        <v>8826.9</v>
      </c>
      <c r="Z48" s="7">
        <f>Z34+Z21+Z8</f>
        <v>12382.8</v>
      </c>
      <c r="AB48" s="7">
        <f>AB34+AB21+AB8</f>
        <v>18933.599999999999</v>
      </c>
    </row>
    <row r="49" spans="1:30" x14ac:dyDescent="0.2">
      <c r="C49">
        <v>2021</v>
      </c>
      <c r="F49" s="7">
        <f>F35+F22+F9</f>
        <v>14620.9</v>
      </c>
      <c r="H49" s="7">
        <f>H35+H22+H9</f>
        <v>15749.5</v>
      </c>
      <c r="J49" s="7">
        <f>J35+J22+J9</f>
        <v>15696.4</v>
      </c>
      <c r="L49" s="7">
        <f>L35+L22+L9</f>
        <v>12405.1</v>
      </c>
      <c r="N49" s="7">
        <f>N35+N22+N9</f>
        <v>8981</v>
      </c>
      <c r="P49" s="7">
        <f>P35+P22+P9</f>
        <v>7203.1</v>
      </c>
      <c r="R49" s="7">
        <f>R35+R22+R9</f>
        <v>3943.5</v>
      </c>
      <c r="T49" s="7">
        <f>T35+T22+T9</f>
        <v>2667.8</v>
      </c>
      <c r="V49" s="7">
        <f>V35+V22+V9</f>
        <v>2471.6</v>
      </c>
      <c r="X49" s="7">
        <f>X35+X22+X9</f>
        <v>4758.1000000000004</v>
      </c>
      <c r="Z49" s="7">
        <f>N9+N22+N35</f>
        <v>8981</v>
      </c>
      <c r="AB49" s="7">
        <f>AB9+AB22+AB35</f>
        <v>7429</v>
      </c>
      <c r="AD49" s="10"/>
    </row>
    <row r="50" spans="1:30" x14ac:dyDescent="0.2">
      <c r="C50">
        <v>2022</v>
      </c>
      <c r="F50" s="7">
        <f>F10+F23+F36</f>
        <v>14891</v>
      </c>
      <c r="H50" s="7">
        <f>H10+H23+H36</f>
        <v>11254</v>
      </c>
      <c r="J50" s="7">
        <f>J10+J23+J36</f>
        <v>9196</v>
      </c>
      <c r="L50" s="7">
        <f>L10+L23+L36</f>
        <v>5769</v>
      </c>
      <c r="N50" s="7">
        <f>N10+N23+N36</f>
        <v>2820.4</v>
      </c>
      <c r="P50" s="7">
        <f>P10+P23+P36</f>
        <v>2251.1999999999998</v>
      </c>
      <c r="R50" s="7">
        <f>R10+R23+R36</f>
        <v>2856.1000000000004</v>
      </c>
      <c r="T50" s="7">
        <f>T10+T23+T36</f>
        <v>1623.3999999999999</v>
      </c>
      <c r="V50" s="7">
        <f>V10+V23+V36</f>
        <v>2114.6999999999998</v>
      </c>
      <c r="X50" s="7">
        <f>X10+X23+X36</f>
        <v>4950.7</v>
      </c>
      <c r="Z50" s="7">
        <f>Z10+Z23+Z36</f>
        <v>7174.2999999999993</v>
      </c>
      <c r="AB50" s="7">
        <f>AB10+AB23+AB36</f>
        <v>11923.9</v>
      </c>
      <c r="AD50" s="7">
        <f>SUM(F50:AB50)</f>
        <v>76824.699999999983</v>
      </c>
    </row>
    <row r="51" spans="1:30" x14ac:dyDescent="0.2">
      <c r="C51">
        <v>2023</v>
      </c>
      <c r="F51" s="7">
        <f>F11+F24+F37</f>
        <v>10363.900000000001</v>
      </c>
      <c r="H51" s="7">
        <f>SUM(H40,H27,H14)</f>
        <v>13945.400000000001</v>
      </c>
      <c r="J51" s="7"/>
      <c r="L51" s="7"/>
      <c r="N51" s="7"/>
      <c r="P51" s="7"/>
      <c r="R51" s="7"/>
      <c r="T51" s="7"/>
      <c r="V51" s="7"/>
      <c r="X51" s="7"/>
      <c r="Z51" s="7"/>
      <c r="AB51" s="7"/>
    </row>
    <row r="53" spans="1:30" x14ac:dyDescent="0.2">
      <c r="A53" t="s">
        <v>3</v>
      </c>
      <c r="F53" s="6">
        <f>SUM(H50:$AB50)+SUM($F51:F51)</f>
        <v>72297.600000000006</v>
      </c>
      <c r="H53" s="6">
        <f>SUM(J50:$AB50)+SUM($F51:H51)</f>
        <v>74989</v>
      </c>
      <c r="J53" s="6">
        <f>SUM(L49:$AB49)+SUM($F50:J50)</f>
        <v>94181.2</v>
      </c>
      <c r="L53" s="6">
        <f>SUM(N49:$AB49)+SUM($F50:L50)</f>
        <v>87545.1</v>
      </c>
      <c r="N53" s="6">
        <f>SUM(P49:$AB49)+SUM($F50:N50)</f>
        <v>81384.5</v>
      </c>
      <c r="P53" s="6">
        <f>SUM(R49:$AB49)+SUM($F50:P50)</f>
        <v>76432.600000000006</v>
      </c>
      <c r="R53" s="6">
        <f>SUM(T49:$AB49)+SUM($F50:R50)</f>
        <v>75345.2</v>
      </c>
      <c r="T53" s="6">
        <f>SUM(V49:$AB49)+SUM($F50:T50)</f>
        <v>74300.800000000003</v>
      </c>
      <c r="V53" s="6">
        <f>SUM(X49:$AB49)+SUM($F50:V50)</f>
        <v>73943.899999999994</v>
      </c>
      <c r="X53" s="6">
        <f>SUM(Z49:$AB49)+SUM($F50:X50)</f>
        <v>74136.5</v>
      </c>
      <c r="Z53" s="6">
        <f>SUM(AB49:$AB49)+SUM($F50:Z50)</f>
        <v>72329.799999999988</v>
      </c>
      <c r="AB53" s="6">
        <f>SUM(F50:AB50)</f>
        <v>76824.699999999983</v>
      </c>
    </row>
    <row r="54" spans="1:30" x14ac:dyDescent="0.2">
      <c r="P54" s="6"/>
    </row>
    <row r="55" spans="1:30" x14ac:dyDescent="0.2">
      <c r="X55" s="7"/>
    </row>
  </sheetData>
  <pageMargins left="0.5" right="0.5" top="1" bottom="1" header="0.5" footer="0.5"/>
  <pageSetup scale="82" orientation="landscape" blackAndWhite="1" r:id="rId1"/>
  <headerFooter>
    <oddHeader>&amp;C&amp;"Arial,Bold"Sales History&amp;"Arial,Regular"
&amp;R&amp;"Arial,Bold"Navitas KY NG, LLC</oddHeader>
    <oddFooter>&amp;L&amp;F&amp;C&amp;A&amp;R&amp;D&amp;T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335B7-EEC0-4D6A-9236-72E59ECA5C3A}">
  <dimension ref="B1:AC28"/>
  <sheetViews>
    <sheetView zoomScale="112" zoomScaleNormal="112" workbookViewId="0">
      <pane xSplit="5" ySplit="3" topLeftCell="K4" activePane="bottomRight" state="frozen"/>
      <selection pane="topRight" activeCell="F1" sqref="F1"/>
      <selection pane="bottomLeft" activeCell="A4" sqref="A4"/>
      <selection pane="bottomRight" activeCell="AC3" sqref="AC3"/>
    </sheetView>
  </sheetViews>
  <sheetFormatPr defaultColWidth="8.85546875" defaultRowHeight="12.75" x14ac:dyDescent="0.2"/>
  <cols>
    <col min="1" max="2" width="1.7109375" customWidth="1"/>
    <col min="3" max="3" width="27.7109375" customWidth="1"/>
    <col min="4" max="6" width="1.7109375" customWidth="1"/>
    <col min="7" max="7" width="11.7109375" customWidth="1"/>
    <col min="8" max="8" width="1.7109375" customWidth="1"/>
    <col min="9" max="9" width="11.7109375" customWidth="1"/>
    <col min="10" max="10" width="1.7109375" customWidth="1"/>
    <col min="11" max="11" width="11.7109375" customWidth="1"/>
    <col min="12" max="12" width="1.7109375" customWidth="1"/>
    <col min="13" max="13" width="11.7109375" customWidth="1"/>
    <col min="14" max="14" width="1.7109375" customWidth="1"/>
    <col min="15" max="15" width="11.7109375" customWidth="1"/>
    <col min="16" max="16" width="1.7109375" customWidth="1"/>
    <col min="17" max="17" width="11.7109375" customWidth="1"/>
    <col min="18" max="18" width="1.7109375" customWidth="1"/>
    <col min="19" max="19" width="11.7109375" customWidth="1"/>
    <col min="20" max="20" width="1.7109375" customWidth="1"/>
    <col min="21" max="21" width="11.7109375" customWidth="1"/>
    <col min="22" max="22" width="1.7109375" customWidth="1"/>
    <col min="23" max="23" width="11.7109375" customWidth="1"/>
    <col min="24" max="24" width="1.7109375" customWidth="1"/>
    <col min="25" max="25" width="11.7109375" customWidth="1"/>
    <col min="26" max="26" width="1.7109375" customWidth="1"/>
    <col min="27" max="27" width="11.7109375" customWidth="1"/>
    <col min="28" max="28" width="1.5703125" customWidth="1"/>
    <col min="29" max="29" width="11.7109375" customWidth="1"/>
  </cols>
  <sheetData>
    <row r="1" spans="2:29" x14ac:dyDescent="0.2">
      <c r="B1" t="s">
        <v>199</v>
      </c>
    </row>
    <row r="2" spans="2:29" x14ac:dyDescent="0.2">
      <c r="B2" s="68"/>
      <c r="C2" s="1"/>
      <c r="I2" s="3">
        <v>44688</v>
      </c>
      <c r="K2" s="3">
        <v>44719</v>
      </c>
      <c r="M2" s="3">
        <v>44749</v>
      </c>
      <c r="O2" s="3">
        <v>44780</v>
      </c>
      <c r="Q2" s="3">
        <v>44811</v>
      </c>
      <c r="S2" s="3">
        <v>44841</v>
      </c>
      <c r="U2" s="3">
        <v>44872</v>
      </c>
      <c r="W2" s="3">
        <v>44902</v>
      </c>
      <c r="Y2" s="2">
        <v>44933</v>
      </c>
      <c r="AA2" s="213">
        <v>44964</v>
      </c>
      <c r="AC2" s="213">
        <v>44992</v>
      </c>
    </row>
    <row r="3" spans="2:29" x14ac:dyDescent="0.2">
      <c r="B3" s="68"/>
      <c r="C3" s="1"/>
      <c r="F3" s="73"/>
      <c r="G3" s="73">
        <v>44651</v>
      </c>
      <c r="H3" s="73"/>
      <c r="I3" s="73">
        <v>44681</v>
      </c>
      <c r="J3" s="73"/>
      <c r="K3" s="73">
        <v>44712</v>
      </c>
      <c r="L3" s="73"/>
      <c r="M3" s="73">
        <v>44742</v>
      </c>
      <c r="N3" s="73"/>
      <c r="O3" s="73">
        <v>44773</v>
      </c>
      <c r="P3" s="73"/>
      <c r="Q3" s="73">
        <v>44804</v>
      </c>
      <c r="R3" s="73"/>
      <c r="S3" s="73">
        <v>44834</v>
      </c>
      <c r="T3" s="73"/>
      <c r="U3" s="73">
        <v>44865</v>
      </c>
      <c r="V3" s="73"/>
      <c r="W3" s="73">
        <v>44895</v>
      </c>
      <c r="X3" s="73"/>
      <c r="Y3" s="73">
        <v>44926</v>
      </c>
      <c r="Z3" s="73"/>
      <c r="AA3" s="73">
        <v>44957</v>
      </c>
      <c r="AC3" s="73">
        <v>44985</v>
      </c>
    </row>
    <row r="4" spans="2:29" x14ac:dyDescent="0.2">
      <c r="B4" s="68"/>
      <c r="C4" s="1"/>
      <c r="F4" s="73"/>
      <c r="G4" s="192">
        <v>135880.45000000001</v>
      </c>
      <c r="H4" s="73"/>
      <c r="I4" s="192"/>
      <c r="J4" s="73"/>
      <c r="K4" s="192"/>
      <c r="L4" s="73"/>
      <c r="M4" s="192"/>
      <c r="N4" s="73"/>
      <c r="O4" s="192"/>
      <c r="P4" s="73"/>
      <c r="Q4" s="192"/>
      <c r="R4" s="73"/>
      <c r="S4" s="192"/>
      <c r="T4" s="73"/>
      <c r="U4" s="192"/>
      <c r="V4" s="73"/>
      <c r="W4" s="192"/>
      <c r="X4" s="73"/>
      <c r="Y4" s="192"/>
      <c r="Z4" s="73"/>
      <c r="AA4" s="192"/>
      <c r="AC4" s="192"/>
    </row>
    <row r="5" spans="2:29" s="44" customFormat="1" x14ac:dyDescent="0.2">
      <c r="B5" s="44" t="s">
        <v>200</v>
      </c>
      <c r="G5" s="202">
        <f>G4-G10</f>
        <v>135794.92000000001</v>
      </c>
      <c r="I5" s="202">
        <f>G5-I10</f>
        <v>132461.22</v>
      </c>
      <c r="K5" s="202">
        <f>I5-K10</f>
        <v>130760.43000000001</v>
      </c>
      <c r="M5" s="202">
        <f>K5-M10</f>
        <v>128605.83</v>
      </c>
      <c r="O5" s="202">
        <f>M5-O10</f>
        <v>127167.23</v>
      </c>
      <c r="Q5" s="202">
        <f>O5-Q10</f>
        <v>125377.73</v>
      </c>
      <c r="S5" s="202">
        <f>Q5-S10</f>
        <v>123528.23</v>
      </c>
      <c r="U5" s="202">
        <f>S5-U10</f>
        <v>120073.53</v>
      </c>
      <c r="W5" s="202">
        <f>U5-W10</f>
        <v>115879.63</v>
      </c>
      <c r="Y5" s="202">
        <f>W5-Y10</f>
        <v>109029.13</v>
      </c>
      <c r="AA5" s="202">
        <f>Y5-AA10</f>
        <v>103450.43000000001</v>
      </c>
      <c r="AC5" s="202">
        <f>AA5-AC10</f>
        <v>99192.13</v>
      </c>
    </row>
    <row r="6" spans="2:29" x14ac:dyDescent="0.2">
      <c r="C6" t="s">
        <v>193</v>
      </c>
      <c r="G6" s="200">
        <v>0</v>
      </c>
      <c r="I6" s="200">
        <v>254.5</v>
      </c>
      <c r="K6" s="200">
        <v>31.3</v>
      </c>
      <c r="M6" s="200">
        <v>24</v>
      </c>
      <c r="O6" s="200">
        <v>14.8</v>
      </c>
      <c r="Q6" s="200">
        <v>32</v>
      </c>
      <c r="S6" s="200">
        <v>18.2</v>
      </c>
      <c r="U6" s="200">
        <v>162.6</v>
      </c>
      <c r="W6" s="200">
        <v>385</v>
      </c>
      <c r="Y6" s="200">
        <v>680.7</v>
      </c>
      <c r="AA6" s="200">
        <v>530.6</v>
      </c>
      <c r="AC6" s="200">
        <v>408.5</v>
      </c>
    </row>
    <row r="7" spans="2:29" x14ac:dyDescent="0.2">
      <c r="C7" t="s">
        <v>194</v>
      </c>
      <c r="G7" s="200">
        <v>0</v>
      </c>
      <c r="I7" s="200">
        <v>1616.4</v>
      </c>
      <c r="K7" s="200">
        <v>807.09</v>
      </c>
      <c r="M7" s="200">
        <v>917.2</v>
      </c>
      <c r="O7" s="200">
        <v>604</v>
      </c>
      <c r="Q7" s="200">
        <v>760.3</v>
      </c>
      <c r="S7" s="200">
        <v>722.1</v>
      </c>
      <c r="U7" s="200">
        <v>1201.8</v>
      </c>
      <c r="W7" s="200">
        <v>1816.5</v>
      </c>
      <c r="Y7" s="200">
        <v>2779.3</v>
      </c>
      <c r="AA7" s="200">
        <v>2595.8000000000002</v>
      </c>
      <c r="AC7" s="200">
        <v>2223.3000000000002</v>
      </c>
    </row>
    <row r="8" spans="2:29" x14ac:dyDescent="0.2">
      <c r="C8" t="s">
        <v>201</v>
      </c>
      <c r="G8" s="200">
        <v>85.53</v>
      </c>
      <c r="I8" s="200">
        <v>913.5</v>
      </c>
      <c r="K8" s="200">
        <v>350.5</v>
      </c>
      <c r="M8" s="200">
        <v>1183.3</v>
      </c>
      <c r="O8" s="200">
        <v>810</v>
      </c>
      <c r="Q8" s="200">
        <v>996.6</v>
      </c>
      <c r="S8" s="200">
        <v>969.4</v>
      </c>
      <c r="U8" s="200">
        <v>1640.1</v>
      </c>
      <c r="W8" s="200">
        <v>1914.3</v>
      </c>
      <c r="Y8" s="200">
        <v>2033.7</v>
      </c>
      <c r="AA8" s="200">
        <v>1730.3</v>
      </c>
      <c r="AC8" s="200">
        <v>1552.3</v>
      </c>
    </row>
    <row r="9" spans="2:29" x14ac:dyDescent="0.2">
      <c r="C9" t="s">
        <v>202</v>
      </c>
      <c r="G9" s="200">
        <v>0</v>
      </c>
      <c r="I9" s="200">
        <v>549.29999999999995</v>
      </c>
      <c r="K9" s="200">
        <v>511.9</v>
      </c>
      <c r="M9" s="200">
        <v>30.1</v>
      </c>
      <c r="O9" s="200">
        <v>9.8000000000000007</v>
      </c>
      <c r="Q9" s="200">
        <v>0.6</v>
      </c>
      <c r="S9" s="200">
        <v>139.80000000000001</v>
      </c>
      <c r="U9" s="200">
        <v>450.2</v>
      </c>
      <c r="W9" s="200">
        <v>78.099999999999994</v>
      </c>
      <c r="Y9" s="200">
        <v>1356.8</v>
      </c>
      <c r="AA9" s="200">
        <v>722</v>
      </c>
      <c r="AC9" s="200">
        <v>74.2</v>
      </c>
    </row>
    <row r="10" spans="2:29" x14ac:dyDescent="0.2">
      <c r="C10" s="189" t="s">
        <v>203</v>
      </c>
      <c r="G10" s="191">
        <f>SUM(G6:G9)</f>
        <v>85.53</v>
      </c>
      <c r="I10" s="191">
        <f>SUM(I6:I9)</f>
        <v>3333.7</v>
      </c>
      <c r="K10" s="191">
        <f>SUM(K6:K9)</f>
        <v>1700.79</v>
      </c>
      <c r="M10" s="191">
        <f>SUM(M6:M9)</f>
        <v>2154.6</v>
      </c>
      <c r="O10" s="191">
        <f>SUM(O6:O9)</f>
        <v>1438.6</v>
      </c>
      <c r="Q10" s="191">
        <f>SUM(Q6:Q9)</f>
        <v>1789.5</v>
      </c>
      <c r="S10" s="191">
        <f>SUM(S6:S9)</f>
        <v>1849.5</v>
      </c>
      <c r="U10" s="191">
        <f>SUM(U6:U9)</f>
        <v>3454.7</v>
      </c>
      <c r="W10" s="191">
        <f>SUM(W6:W9)</f>
        <v>4193.9000000000005</v>
      </c>
      <c r="Y10" s="191">
        <f>SUM(Y6:Y9)</f>
        <v>6850.5</v>
      </c>
      <c r="AA10" s="191">
        <f>SUM(AA6:AA9)</f>
        <v>5578.7</v>
      </c>
      <c r="AC10" s="191">
        <f>SUM(AC6:AC9)</f>
        <v>4258.3</v>
      </c>
    </row>
    <row r="11" spans="2:29" x14ac:dyDescent="0.2">
      <c r="C11" s="189"/>
      <c r="G11" s="191"/>
      <c r="I11" s="191"/>
      <c r="K11" s="191"/>
      <c r="M11" s="191"/>
      <c r="O11" s="191"/>
      <c r="Q11" s="191"/>
      <c r="S11" s="191"/>
      <c r="U11" s="191"/>
      <c r="W11" s="191"/>
      <c r="Y11" s="191"/>
      <c r="AA11" s="191"/>
      <c r="AC11" s="191"/>
    </row>
    <row r="12" spans="2:29" x14ac:dyDescent="0.2">
      <c r="C12" s="189"/>
      <c r="G12" s="192">
        <v>5763.6</v>
      </c>
      <c r="I12" s="192"/>
      <c r="K12" s="192"/>
      <c r="M12" s="192"/>
      <c r="O12" s="192"/>
      <c r="Q12" s="192"/>
      <c r="S12" s="192"/>
      <c r="U12" s="192"/>
      <c r="W12" s="192"/>
      <c r="Y12" s="192"/>
      <c r="AA12" s="192"/>
      <c r="AC12" s="192"/>
    </row>
    <row r="13" spans="2:29" s="44" customFormat="1" x14ac:dyDescent="0.2">
      <c r="B13" s="44" t="s">
        <v>204</v>
      </c>
      <c r="G13" s="202">
        <f>G12-G16</f>
        <v>5763.6</v>
      </c>
      <c r="I13" s="202">
        <f>G13-I16</f>
        <v>4909.1000000000004</v>
      </c>
      <c r="K13" s="202">
        <f>I13-K16</f>
        <v>4654.8</v>
      </c>
      <c r="M13" s="202">
        <f>K13-M16</f>
        <v>4483.5</v>
      </c>
      <c r="O13" s="202">
        <f>M13-O16</f>
        <v>4375.8999999999996</v>
      </c>
      <c r="Q13" s="202">
        <f>O13-Q16</f>
        <v>4213.5999999999995</v>
      </c>
      <c r="S13" s="202">
        <f>Q13-S16</f>
        <v>4048.9999999999995</v>
      </c>
      <c r="U13" s="202">
        <f>S13-U16</f>
        <v>3330.2</v>
      </c>
      <c r="W13" s="202">
        <f>U13-W16</f>
        <v>1787</v>
      </c>
      <c r="Y13" s="202">
        <f>W13-Y16</f>
        <v>-710.19999999999982</v>
      </c>
      <c r="AA13" s="202">
        <f>Y13-AA16</f>
        <v>-710.19999999999982</v>
      </c>
      <c r="AC13" s="202">
        <f>AA13-AC16</f>
        <v>-711.5999999999998</v>
      </c>
    </row>
    <row r="14" spans="2:29" x14ac:dyDescent="0.2">
      <c r="C14" t="s">
        <v>193</v>
      </c>
      <c r="G14" s="201">
        <v>0</v>
      </c>
      <c r="I14" s="201">
        <v>688</v>
      </c>
      <c r="K14" s="201">
        <v>200.5</v>
      </c>
      <c r="M14" s="201">
        <v>121.2</v>
      </c>
      <c r="O14" s="201">
        <v>74.7</v>
      </c>
      <c r="Q14" s="201">
        <v>117.8</v>
      </c>
      <c r="S14" s="201">
        <v>118.2</v>
      </c>
      <c r="U14" s="201">
        <v>589.1</v>
      </c>
      <c r="W14" s="201">
        <v>1211.8</v>
      </c>
      <c r="Y14" s="201">
        <v>1942.3</v>
      </c>
      <c r="AA14" s="201">
        <v>0</v>
      </c>
      <c r="AC14" s="201">
        <v>1.4</v>
      </c>
    </row>
    <row r="15" spans="2:29" x14ac:dyDescent="0.2">
      <c r="C15" t="s">
        <v>194</v>
      </c>
      <c r="G15" s="201">
        <v>0</v>
      </c>
      <c r="I15" s="201">
        <v>166.5</v>
      </c>
      <c r="K15" s="201">
        <v>53.8</v>
      </c>
      <c r="M15" s="201">
        <v>50.1</v>
      </c>
      <c r="O15" s="201">
        <v>32.9</v>
      </c>
      <c r="Q15" s="201">
        <v>44.5</v>
      </c>
      <c r="S15" s="201">
        <v>46.4</v>
      </c>
      <c r="U15" s="201">
        <v>129.69999999999999</v>
      </c>
      <c r="W15" s="201">
        <v>331.4</v>
      </c>
      <c r="Y15" s="201">
        <v>554.9</v>
      </c>
      <c r="AA15" s="201">
        <v>0</v>
      </c>
      <c r="AC15" s="201">
        <v>0</v>
      </c>
    </row>
    <row r="16" spans="2:29" x14ac:dyDescent="0.2">
      <c r="C16" s="189" t="s">
        <v>203</v>
      </c>
      <c r="G16" s="201">
        <v>0</v>
      </c>
      <c r="I16" s="201">
        <f>SUM(I14:I15)</f>
        <v>854.5</v>
      </c>
      <c r="K16" s="201">
        <f>SUM(K14:K15)</f>
        <v>254.3</v>
      </c>
      <c r="M16" s="201">
        <f>SUM(M14:M15)</f>
        <v>171.3</v>
      </c>
      <c r="O16" s="201">
        <f>SUM(O14:O15)</f>
        <v>107.6</v>
      </c>
      <c r="Q16" s="201">
        <f>SUM(Q14:Q15)</f>
        <v>162.30000000000001</v>
      </c>
      <c r="S16" s="201">
        <f>SUM(S14:S15)</f>
        <v>164.6</v>
      </c>
      <c r="U16" s="201">
        <f>SUM(U14:U15)</f>
        <v>718.8</v>
      </c>
      <c r="W16" s="201">
        <f>SUM(W14:W15)</f>
        <v>1543.1999999999998</v>
      </c>
      <c r="Y16" s="201">
        <f>SUM(Y14:Y15)</f>
        <v>2497.1999999999998</v>
      </c>
      <c r="AA16" s="201">
        <f>SUM(AA14:AA15)</f>
        <v>0</v>
      </c>
      <c r="AC16" s="201">
        <f>SUM(AC14:AC15)</f>
        <v>1.4</v>
      </c>
    </row>
    <row r="17" spans="2:29" x14ac:dyDescent="0.2">
      <c r="G17" s="193"/>
      <c r="H17" s="190"/>
      <c r="I17" s="193"/>
      <c r="J17" s="190"/>
      <c r="K17" s="193"/>
      <c r="L17" s="190"/>
      <c r="M17" s="193"/>
      <c r="N17" s="190"/>
      <c r="O17" s="193"/>
      <c r="P17" s="190"/>
      <c r="Q17" s="193"/>
      <c r="R17" s="190"/>
      <c r="S17" s="193"/>
      <c r="T17" s="190"/>
      <c r="U17" s="193"/>
      <c r="V17" s="190"/>
      <c r="W17" s="193"/>
      <c r="X17" s="190"/>
      <c r="Y17" s="193"/>
      <c r="Z17" s="190"/>
      <c r="AA17" s="193"/>
      <c r="AB17" s="190"/>
      <c r="AC17" s="193"/>
    </row>
    <row r="18" spans="2:29" x14ac:dyDescent="0.2">
      <c r="G18" s="192">
        <v>12133.22</v>
      </c>
      <c r="I18" s="192"/>
      <c r="K18" s="192"/>
      <c r="M18" s="192"/>
      <c r="O18" s="192"/>
      <c r="Q18" s="192"/>
      <c r="S18" s="192"/>
      <c r="U18" s="192"/>
      <c r="W18" s="192"/>
      <c r="Y18" s="192"/>
      <c r="AA18" s="192"/>
      <c r="AC18" s="192"/>
    </row>
    <row r="19" spans="2:29" s="44" customFormat="1" x14ac:dyDescent="0.2">
      <c r="B19" s="44" t="s">
        <v>205</v>
      </c>
      <c r="G19" s="202">
        <f>G18-G22</f>
        <v>12133.22</v>
      </c>
      <c r="I19" s="202">
        <f>G19-I22</f>
        <v>11274.82</v>
      </c>
      <c r="K19" s="202">
        <f>I19-K22</f>
        <v>10975.42</v>
      </c>
      <c r="M19" s="202">
        <f>K19-M22</f>
        <v>10445.219999999999</v>
      </c>
      <c r="O19" s="202">
        <f>M19-O22</f>
        <v>10368.019999999999</v>
      </c>
      <c r="Q19" s="202">
        <f>O19-Q22</f>
        <v>10205.119999999999</v>
      </c>
      <c r="S19" s="202">
        <f>Q19-S22</f>
        <v>9996.119999999999</v>
      </c>
      <c r="U19" s="202">
        <f>S19-U22</f>
        <v>9150.619999999999</v>
      </c>
      <c r="W19" s="202">
        <f>U19-W22</f>
        <v>7624.9199999999992</v>
      </c>
      <c r="Y19" s="202">
        <f>W19-Y22</f>
        <v>5091.0199999999986</v>
      </c>
      <c r="AA19" s="202">
        <f>Y19-AA22</f>
        <v>2831.2199999999989</v>
      </c>
      <c r="AC19" s="202">
        <f>AA19-AC22</f>
        <v>1266.0199999999988</v>
      </c>
    </row>
    <row r="20" spans="2:29" x14ac:dyDescent="0.2">
      <c r="C20" t="s">
        <v>193</v>
      </c>
      <c r="G20" s="201">
        <v>0</v>
      </c>
      <c r="I20" s="201">
        <v>801.7</v>
      </c>
      <c r="K20" s="201">
        <v>278.2</v>
      </c>
      <c r="M20" s="201">
        <v>136.5</v>
      </c>
      <c r="O20" s="201">
        <v>62.4</v>
      </c>
      <c r="Q20" s="201">
        <v>142.6</v>
      </c>
      <c r="S20" s="201">
        <v>189.6</v>
      </c>
      <c r="U20" s="201">
        <v>799.5</v>
      </c>
      <c r="W20" s="201">
        <v>1425.8</v>
      </c>
      <c r="Y20" s="201">
        <v>2381</v>
      </c>
      <c r="AA20" s="201">
        <v>2103.1</v>
      </c>
      <c r="AC20" s="201">
        <v>1444.9</v>
      </c>
    </row>
    <row r="21" spans="2:29" x14ac:dyDescent="0.2">
      <c r="C21" t="s">
        <v>194</v>
      </c>
      <c r="G21" s="201">
        <v>0</v>
      </c>
      <c r="I21" s="201">
        <v>56.7</v>
      </c>
      <c r="K21" s="201">
        <v>21.2</v>
      </c>
      <c r="M21" s="201">
        <v>393.7</v>
      </c>
      <c r="O21" s="201">
        <v>14.8</v>
      </c>
      <c r="Q21" s="201">
        <v>20.3</v>
      </c>
      <c r="S21" s="201">
        <v>19.399999999999999</v>
      </c>
      <c r="U21" s="201">
        <v>46</v>
      </c>
      <c r="W21" s="201">
        <v>99.9</v>
      </c>
      <c r="Y21" s="201">
        <v>152.9</v>
      </c>
      <c r="AA21" s="201">
        <v>156.69999999999999</v>
      </c>
      <c r="AC21" s="201">
        <v>120.3</v>
      </c>
    </row>
    <row r="22" spans="2:29" x14ac:dyDescent="0.2">
      <c r="C22" s="189" t="s">
        <v>203</v>
      </c>
      <c r="G22" s="201">
        <f>SUM(G20:G21)</f>
        <v>0</v>
      </c>
      <c r="I22" s="201">
        <f>SUM(I20:I21)</f>
        <v>858.40000000000009</v>
      </c>
      <c r="K22" s="201">
        <f>SUM(K20:K21)</f>
        <v>299.39999999999998</v>
      </c>
      <c r="M22" s="201">
        <f>SUM(M20:M21)</f>
        <v>530.20000000000005</v>
      </c>
      <c r="O22" s="201">
        <f>SUM(O20:O21)</f>
        <v>77.2</v>
      </c>
      <c r="Q22" s="201">
        <f>SUM(Q20:Q21)</f>
        <v>162.9</v>
      </c>
      <c r="S22" s="201">
        <f>SUM(S20:S21)</f>
        <v>209</v>
      </c>
      <c r="U22" s="201">
        <f>SUM(U20:U21)</f>
        <v>845.5</v>
      </c>
      <c r="W22" s="201">
        <f>SUM(W20:W21)</f>
        <v>1525.7</v>
      </c>
      <c r="Y22" s="201">
        <f>SUM(Y20:Y21)</f>
        <v>2533.9</v>
      </c>
      <c r="AA22" s="201">
        <f>SUM(AA20:AA21)</f>
        <v>2259.7999999999997</v>
      </c>
      <c r="AC22" s="201">
        <f>SUM(AC20:AC21)</f>
        <v>1565.2</v>
      </c>
    </row>
    <row r="24" spans="2:29" x14ac:dyDescent="0.2">
      <c r="G24" s="14">
        <f>G18+G12+G4</f>
        <v>153777.27000000002</v>
      </c>
    </row>
    <row r="25" spans="2:29" x14ac:dyDescent="0.2">
      <c r="C25" t="s">
        <v>207</v>
      </c>
      <c r="G25" s="203">
        <f>SUM(G5+G13+G19)</f>
        <v>153691.74000000002</v>
      </c>
      <c r="I25" s="203">
        <f>SUM(I5+I13+I19)</f>
        <v>148645.14000000001</v>
      </c>
      <c r="K25" s="203">
        <f>SUM(K5+K13+K19)</f>
        <v>146390.65000000002</v>
      </c>
      <c r="M25" s="203">
        <f>SUM(M5+M13+M19)</f>
        <v>143534.55000000002</v>
      </c>
      <c r="O25" s="203">
        <f>SUM(O5+O13+O19)</f>
        <v>141911.15</v>
      </c>
      <c r="Q25" s="203">
        <f>SUM(Q5+Q13+Q19)</f>
        <v>139796.45000000001</v>
      </c>
      <c r="S25" s="203">
        <f>SUM(S5+S13+S19)</f>
        <v>137573.35</v>
      </c>
      <c r="U25" s="203">
        <f>SUM(U5+U13+U19)</f>
        <v>132554.35</v>
      </c>
      <c r="W25" s="203">
        <f>SUM(W5+W13+W19)</f>
        <v>125291.55</v>
      </c>
      <c r="Y25" s="203">
        <f>SUM(Y5+Y13+Y19)</f>
        <v>113409.95000000001</v>
      </c>
      <c r="AA25" s="203">
        <f>SUM(AA5+AA13+AA19)</f>
        <v>105571.45000000001</v>
      </c>
      <c r="AC25" s="203">
        <f>SUM(AC5+AC13+AC19)</f>
        <v>99746.55</v>
      </c>
    </row>
    <row r="26" spans="2:29" x14ac:dyDescent="0.2">
      <c r="C26" s="13" t="s">
        <v>206</v>
      </c>
      <c r="G26" s="203">
        <f>SUM(G10+G16+G22)</f>
        <v>85.53</v>
      </c>
      <c r="I26" s="203">
        <f>SUM(I10+I16+I22)</f>
        <v>5046.6000000000004</v>
      </c>
      <c r="K26" s="203">
        <f>SUM(K10+K16+K22)</f>
        <v>2254.4899999999998</v>
      </c>
      <c r="M26" s="203">
        <f>SUM(M10+M16+M22)</f>
        <v>2856.1000000000004</v>
      </c>
      <c r="O26" s="203">
        <f>SUM(O10+O16+O22)</f>
        <v>1623.3999999999999</v>
      </c>
      <c r="Q26" s="203">
        <f>SUM(Q10+Q16+Q22)</f>
        <v>2114.6999999999998</v>
      </c>
      <c r="S26" s="203">
        <f>SUM(S10+S16+S22)</f>
        <v>2223.1</v>
      </c>
      <c r="U26" s="203">
        <f>SUM(U10+U16+U22)</f>
        <v>5019</v>
      </c>
      <c r="W26" s="203">
        <f>SUM(W10+W16+W22)</f>
        <v>7262.8</v>
      </c>
      <c r="Y26" s="203">
        <f>SUM(Y10+Y16+Y22)</f>
        <v>11881.6</v>
      </c>
      <c r="AA26" s="203">
        <f>SUM(AA10+AA16+AA22)</f>
        <v>7838.5</v>
      </c>
      <c r="AC26" s="203">
        <f>SUM(AC10+AC16+AC22)</f>
        <v>5824.9</v>
      </c>
    </row>
    <row r="27" spans="2:29" x14ac:dyDescent="0.2">
      <c r="C27" s="189" t="s">
        <v>195</v>
      </c>
      <c r="G27" s="203">
        <f>SUM(G10+G16+G22)</f>
        <v>85.53</v>
      </c>
      <c r="I27" s="203">
        <f>SUM(I10+I16+I22)+G27</f>
        <v>5132.13</v>
      </c>
      <c r="K27" s="203">
        <f>SUM(K10+K16+K22)+I27</f>
        <v>7386.62</v>
      </c>
      <c r="M27" s="203">
        <f>SUM(M10+M16+M22)+K27</f>
        <v>10242.720000000001</v>
      </c>
      <c r="O27" s="203">
        <f>SUM(O10+O16+O22)+M27</f>
        <v>11866.12</v>
      </c>
      <c r="Q27" s="203">
        <f>SUM(Q10+Q16+Q22)+O27</f>
        <v>13980.82</v>
      </c>
      <c r="S27" s="203">
        <f>SUM(S10+S16+S22)+Q27</f>
        <v>16203.92</v>
      </c>
      <c r="U27" s="203">
        <f>SUM(U10+U16+U22)+S27</f>
        <v>21222.92</v>
      </c>
      <c r="W27" s="203">
        <f>SUM(W10+W16+W22)+U27</f>
        <v>28485.719999999998</v>
      </c>
      <c r="Y27" s="203">
        <f>SUM(Y10+Y16+Y22)+W27</f>
        <v>40367.32</v>
      </c>
      <c r="AA27" s="203">
        <f>SUM(AA10+AA16+AA22)+Y27</f>
        <v>48205.82</v>
      </c>
      <c r="AC27" s="203">
        <f>SUM(AC10+AC16+AC22)+AA27</f>
        <v>54030.720000000001</v>
      </c>
    </row>
    <row r="28" spans="2:29" x14ac:dyDescent="0.2">
      <c r="M28" s="191"/>
      <c r="S28" s="1" t="s">
        <v>220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2DBD7-2E8F-45D7-B0BC-903D85EE18F2}">
  <dimension ref="A1:K35"/>
  <sheetViews>
    <sheetView workbookViewId="0">
      <selection activeCell="J9" sqref="J9"/>
    </sheetView>
  </sheetViews>
  <sheetFormatPr defaultColWidth="8.85546875" defaultRowHeight="12.75" x14ac:dyDescent="0.2"/>
  <cols>
    <col min="1" max="1" width="1.7109375" style="19" customWidth="1"/>
    <col min="2" max="2" width="3.7109375" style="121" customWidth="1"/>
    <col min="3" max="3" width="24.7109375" style="19" customWidth="1"/>
    <col min="4" max="5" width="1.7109375" style="19" customWidth="1"/>
    <col min="6" max="6" width="12.7109375" style="19" customWidth="1"/>
    <col min="7" max="7" width="1.7109375" style="19" customWidth="1"/>
    <col min="8" max="8" width="12.7109375" style="121" customWidth="1"/>
    <col min="9" max="9" width="1.7109375" style="19" customWidth="1"/>
    <col min="10" max="10" width="12.7109375" style="122" customWidth="1"/>
    <col min="11" max="11" width="1.7109375" style="19" customWidth="1"/>
    <col min="12" max="12" width="12.7109375" style="19" customWidth="1"/>
    <col min="13" max="13" width="1.7109375" style="19" customWidth="1"/>
    <col min="14" max="14" width="12.7109375" style="19" customWidth="1"/>
    <col min="15" max="15" width="1.7109375" style="19" customWidth="1"/>
    <col min="16" max="16" width="12.7109375" style="19" customWidth="1"/>
    <col min="17" max="17" width="1.7109375" style="19" customWidth="1"/>
    <col min="18" max="18" width="12.7109375" style="19" customWidth="1"/>
    <col min="19" max="19" width="1.7109375" style="19" customWidth="1"/>
    <col min="20" max="20" width="12.7109375" style="19" customWidth="1"/>
    <col min="21" max="21" width="1.7109375" style="19" customWidth="1"/>
    <col min="22" max="22" width="12.7109375" style="19" customWidth="1"/>
    <col min="23" max="23" width="1.7109375" style="19" customWidth="1"/>
    <col min="24" max="24" width="12.7109375" style="19" customWidth="1"/>
    <col min="25" max="25" width="1.7109375" style="19" customWidth="1"/>
    <col min="26" max="26" width="12.7109375" style="19" customWidth="1"/>
    <col min="27" max="27" width="1.7109375" style="19" customWidth="1"/>
    <col min="28" max="28" width="12.7109375" style="19" customWidth="1"/>
    <col min="29" max="16384" width="8.85546875" style="19"/>
  </cols>
  <sheetData>
    <row r="1" spans="1:11" x14ac:dyDescent="0.2">
      <c r="A1" s="19" t="s">
        <v>128</v>
      </c>
    </row>
    <row r="3" spans="1:11" x14ac:dyDescent="0.2">
      <c r="A3" s="19" t="s">
        <v>129</v>
      </c>
    </row>
    <row r="6" spans="1:11" x14ac:dyDescent="0.2">
      <c r="A6" s="19" t="s">
        <v>130</v>
      </c>
    </row>
    <row r="7" spans="1:11" x14ac:dyDescent="0.2">
      <c r="A7" s="123"/>
      <c r="B7" s="124"/>
      <c r="C7" s="123"/>
      <c r="D7" s="123"/>
      <c r="E7" s="123"/>
      <c r="F7" s="123"/>
      <c r="G7" s="123"/>
      <c r="H7" s="124"/>
      <c r="I7" s="123"/>
      <c r="J7" s="125"/>
      <c r="K7" s="123"/>
    </row>
    <row r="9" spans="1:11" x14ac:dyDescent="0.2">
      <c r="B9" s="121" t="s">
        <v>131</v>
      </c>
      <c r="C9" s="19" t="s">
        <v>132</v>
      </c>
      <c r="J9" s="122">
        <v>1.357</v>
      </c>
    </row>
    <row r="10" spans="1:11" x14ac:dyDescent="0.2">
      <c r="A10" s="123"/>
      <c r="B10" s="124"/>
      <c r="C10" s="123"/>
      <c r="D10" s="123"/>
      <c r="E10" s="123"/>
      <c r="F10" s="123"/>
      <c r="G10" s="123"/>
      <c r="H10" s="124"/>
      <c r="I10" s="123"/>
      <c r="J10" s="125"/>
      <c r="K10" s="123"/>
    </row>
    <row r="12" spans="1:11" x14ac:dyDescent="0.2">
      <c r="A12" s="19" t="s">
        <v>133</v>
      </c>
      <c r="F12" s="19" t="s">
        <v>186</v>
      </c>
    </row>
    <row r="14" spans="1:11" x14ac:dyDescent="0.2">
      <c r="B14" s="121" t="s">
        <v>135</v>
      </c>
      <c r="C14" s="19" t="s">
        <v>136</v>
      </c>
      <c r="J14" s="178">
        <v>6.5572999999999997</v>
      </c>
    </row>
    <row r="15" spans="1:11" x14ac:dyDescent="0.2">
      <c r="B15" s="127" t="s">
        <v>137</v>
      </c>
      <c r="C15" s="19" t="s">
        <v>138</v>
      </c>
      <c r="J15" s="122">
        <v>1.101</v>
      </c>
    </row>
    <row r="17" spans="1:11" x14ac:dyDescent="0.2">
      <c r="B17" s="121" t="s">
        <v>139</v>
      </c>
      <c r="C17" s="19" t="s">
        <v>140</v>
      </c>
      <c r="H17" s="121" t="s">
        <v>141</v>
      </c>
      <c r="J17" s="176">
        <f>J9/J15</f>
        <v>1.2325158946412353</v>
      </c>
    </row>
    <row r="18" spans="1:11" x14ac:dyDescent="0.2">
      <c r="B18" s="121" t="s">
        <v>142</v>
      </c>
      <c r="C18" s="19" t="s">
        <v>143</v>
      </c>
      <c r="H18" s="121" t="s">
        <v>144</v>
      </c>
      <c r="J18" s="177">
        <f>J14*J17</f>
        <v>8.081976475930972</v>
      </c>
    </row>
    <row r="19" spans="1:11" x14ac:dyDescent="0.2">
      <c r="A19" s="123"/>
      <c r="B19" s="124"/>
      <c r="C19" s="123"/>
      <c r="D19" s="123"/>
      <c r="E19" s="123"/>
      <c r="F19" s="123"/>
      <c r="G19" s="123"/>
      <c r="H19" s="124"/>
      <c r="I19" s="123"/>
      <c r="J19" s="125"/>
      <c r="K19" s="123"/>
    </row>
    <row r="21" spans="1:11" x14ac:dyDescent="0.2">
      <c r="A21" s="19" t="s">
        <v>145</v>
      </c>
      <c r="F21" s="19" t="s">
        <v>146</v>
      </c>
    </row>
    <row r="23" spans="1:11" x14ac:dyDescent="0.2">
      <c r="B23" s="121" t="s">
        <v>147</v>
      </c>
      <c r="C23" s="19" t="s">
        <v>148</v>
      </c>
      <c r="F23" s="19" t="s">
        <v>149</v>
      </c>
      <c r="J23" s="178">
        <v>4.2445000000000004</v>
      </c>
    </row>
    <row r="24" spans="1:11" x14ac:dyDescent="0.2">
      <c r="B24" s="121" t="s">
        <v>150</v>
      </c>
      <c r="C24" s="19" t="s">
        <v>151</v>
      </c>
      <c r="F24" s="19" t="s">
        <v>152</v>
      </c>
      <c r="J24" s="179">
        <v>265478</v>
      </c>
    </row>
    <row r="25" spans="1:11" x14ac:dyDescent="0.2">
      <c r="B25" s="121" t="s">
        <v>153</v>
      </c>
      <c r="C25" s="19" t="s">
        <v>154</v>
      </c>
      <c r="F25" s="19" t="s">
        <v>152</v>
      </c>
      <c r="J25" s="179">
        <v>216717</v>
      </c>
    </row>
    <row r="27" spans="1:11" x14ac:dyDescent="0.2">
      <c r="B27" s="121" t="s">
        <v>155</v>
      </c>
      <c r="C27" s="19" t="s">
        <v>156</v>
      </c>
      <c r="H27" s="121" t="s">
        <v>157</v>
      </c>
      <c r="J27" s="176">
        <f>J24/J25</f>
        <v>1.2249985003483805</v>
      </c>
    </row>
    <row r="28" spans="1:11" x14ac:dyDescent="0.2">
      <c r="B28" s="121" t="s">
        <v>158</v>
      </c>
      <c r="C28" s="19" t="s">
        <v>159</v>
      </c>
      <c r="H28" s="121" t="s">
        <v>160</v>
      </c>
      <c r="J28" s="176">
        <f>J9/J27</f>
        <v>1.1077564581622583</v>
      </c>
    </row>
    <row r="29" spans="1:11" x14ac:dyDescent="0.2">
      <c r="B29" s="121" t="s">
        <v>161</v>
      </c>
      <c r="C29" s="19" t="s">
        <v>162</v>
      </c>
      <c r="H29" s="121" t="s">
        <v>163</v>
      </c>
      <c r="J29" s="177">
        <f>J23*J28</f>
        <v>4.7018722866697056</v>
      </c>
    </row>
    <row r="30" spans="1:11" x14ac:dyDescent="0.2">
      <c r="A30" s="123"/>
      <c r="B30" s="124"/>
      <c r="C30" s="123"/>
      <c r="D30" s="123"/>
      <c r="E30" s="123"/>
      <c r="F30" s="123"/>
      <c r="G30" s="123"/>
      <c r="H30" s="124"/>
      <c r="I30" s="123"/>
      <c r="J30" s="125"/>
      <c r="K30" s="123"/>
    </row>
    <row r="32" spans="1:11" x14ac:dyDescent="0.2">
      <c r="C32" s="19" t="s">
        <v>162</v>
      </c>
      <c r="J32" s="176">
        <f>J29</f>
        <v>4.7018722866697056</v>
      </c>
    </row>
    <row r="33" spans="3:10" x14ac:dyDescent="0.2">
      <c r="C33" s="19" t="s">
        <v>162</v>
      </c>
      <c r="J33" s="176">
        <f>J32</f>
        <v>4.7018722866697056</v>
      </c>
    </row>
    <row r="34" spans="3:10" x14ac:dyDescent="0.2">
      <c r="C34" s="19" t="s">
        <v>143</v>
      </c>
      <c r="J34" s="176">
        <f>J18</f>
        <v>8.081976475930972</v>
      </c>
    </row>
    <row r="35" spans="3:10" x14ac:dyDescent="0.2">
      <c r="C35" s="120" t="s">
        <v>164</v>
      </c>
      <c r="J35" s="180">
        <f>AVERAGE(J32:J34)</f>
        <v>5.8285736830901271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C20DF-507E-47E7-9C89-E9B54D7A9DE3}">
  <dimension ref="A1:K35"/>
  <sheetViews>
    <sheetView topLeftCell="A10" workbookViewId="0">
      <selection activeCell="J35" sqref="J35"/>
    </sheetView>
  </sheetViews>
  <sheetFormatPr defaultColWidth="8.85546875" defaultRowHeight="12.75" x14ac:dyDescent="0.2"/>
  <cols>
    <col min="1" max="1" width="1.7109375" style="19" customWidth="1"/>
    <col min="2" max="2" width="3.7109375" style="121" customWidth="1"/>
    <col min="3" max="3" width="24.7109375" style="19" customWidth="1"/>
    <col min="4" max="5" width="1.7109375" style="19" customWidth="1"/>
    <col min="6" max="6" width="12.7109375" style="19" customWidth="1"/>
    <col min="7" max="7" width="1.7109375" style="19" customWidth="1"/>
    <col min="8" max="8" width="12.7109375" style="121" customWidth="1"/>
    <col min="9" max="9" width="1.7109375" style="19" customWidth="1"/>
    <col min="10" max="10" width="12.7109375" style="122" customWidth="1"/>
    <col min="11" max="11" width="1.7109375" style="19" customWidth="1"/>
    <col min="12" max="12" width="12.7109375" style="19" customWidth="1"/>
    <col min="13" max="13" width="1.7109375" style="19" customWidth="1"/>
    <col min="14" max="14" width="12.7109375" style="19" customWidth="1"/>
    <col min="15" max="15" width="1.7109375" style="19" customWidth="1"/>
    <col min="16" max="16" width="12.7109375" style="19" customWidth="1"/>
    <col min="17" max="17" width="1.7109375" style="19" customWidth="1"/>
    <col min="18" max="18" width="12.7109375" style="19" customWidth="1"/>
    <col min="19" max="19" width="1.7109375" style="19" customWidth="1"/>
    <col min="20" max="20" width="12.7109375" style="19" customWidth="1"/>
    <col min="21" max="21" width="1.7109375" style="19" customWidth="1"/>
    <col min="22" max="22" width="12.7109375" style="19" customWidth="1"/>
    <col min="23" max="23" width="1.7109375" style="19" customWidth="1"/>
    <col min="24" max="24" width="12.7109375" style="19" customWidth="1"/>
    <col min="25" max="25" width="1.7109375" style="19" customWidth="1"/>
    <col min="26" max="26" width="12.7109375" style="19" customWidth="1"/>
    <col min="27" max="27" width="1.7109375" style="19" customWidth="1"/>
    <col min="28" max="28" width="12.7109375" style="19" customWidth="1"/>
    <col min="29" max="16384" width="8.85546875" style="19"/>
  </cols>
  <sheetData>
    <row r="1" spans="1:11" x14ac:dyDescent="0.2">
      <c r="A1" s="19" t="s">
        <v>128</v>
      </c>
    </row>
    <row r="3" spans="1:11" x14ac:dyDescent="0.2">
      <c r="A3" s="19" t="s">
        <v>129</v>
      </c>
    </row>
    <row r="6" spans="1:11" x14ac:dyDescent="0.2">
      <c r="A6" s="19" t="s">
        <v>130</v>
      </c>
    </row>
    <row r="7" spans="1:11" x14ac:dyDescent="0.2">
      <c r="A7" s="123"/>
      <c r="B7" s="124"/>
      <c r="C7" s="123"/>
      <c r="D7" s="123"/>
      <c r="E7" s="123"/>
      <c r="F7" s="123"/>
      <c r="G7" s="123"/>
      <c r="H7" s="124"/>
      <c r="I7" s="123"/>
      <c r="J7" s="125"/>
      <c r="K7" s="123"/>
    </row>
    <row r="9" spans="1:11" x14ac:dyDescent="0.2">
      <c r="B9" s="121" t="s">
        <v>131</v>
      </c>
      <c r="C9" s="19" t="s">
        <v>132</v>
      </c>
      <c r="J9" s="122">
        <v>1.357</v>
      </c>
    </row>
    <row r="10" spans="1:11" x14ac:dyDescent="0.2">
      <c r="A10" s="123"/>
      <c r="B10" s="124"/>
      <c r="C10" s="123"/>
      <c r="D10" s="123"/>
      <c r="E10" s="123"/>
      <c r="F10" s="123"/>
      <c r="G10" s="123"/>
      <c r="H10" s="124"/>
      <c r="I10" s="123"/>
      <c r="J10" s="125"/>
      <c r="K10" s="123"/>
    </row>
    <row r="12" spans="1:11" x14ac:dyDescent="0.2">
      <c r="A12" s="19" t="s">
        <v>133</v>
      </c>
      <c r="F12" s="19" t="s">
        <v>134</v>
      </c>
    </row>
    <row r="14" spans="1:11" x14ac:dyDescent="0.2">
      <c r="B14" s="121" t="s">
        <v>135</v>
      </c>
      <c r="C14" s="19" t="s">
        <v>136</v>
      </c>
      <c r="J14" s="126">
        <v>6.0720999999999998</v>
      </c>
    </row>
    <row r="15" spans="1:11" x14ac:dyDescent="0.2">
      <c r="B15" s="127" t="s">
        <v>137</v>
      </c>
      <c r="C15" s="19" t="s">
        <v>138</v>
      </c>
      <c r="J15" s="122">
        <v>1.101</v>
      </c>
    </row>
    <row r="17" spans="1:11" x14ac:dyDescent="0.2">
      <c r="B17" s="121" t="s">
        <v>139</v>
      </c>
      <c r="C17" s="19" t="s">
        <v>140</v>
      </c>
      <c r="H17" s="121" t="s">
        <v>141</v>
      </c>
      <c r="J17" s="122">
        <f>J9/J15</f>
        <v>1.2325158946412353</v>
      </c>
    </row>
    <row r="18" spans="1:11" x14ac:dyDescent="0.2">
      <c r="B18" s="121" t="s">
        <v>142</v>
      </c>
      <c r="C18" s="19" t="s">
        <v>143</v>
      </c>
      <c r="H18" s="121" t="s">
        <v>144</v>
      </c>
      <c r="J18" s="126">
        <f>J14*J17</f>
        <v>7.4839597638510451</v>
      </c>
    </row>
    <row r="19" spans="1:11" x14ac:dyDescent="0.2">
      <c r="A19" s="123"/>
      <c r="B19" s="124"/>
      <c r="C19" s="123"/>
      <c r="D19" s="123"/>
      <c r="E19" s="123"/>
      <c r="F19" s="123"/>
      <c r="G19" s="123"/>
      <c r="H19" s="124"/>
      <c r="I19" s="123"/>
      <c r="J19" s="125"/>
      <c r="K19" s="123"/>
    </row>
    <row r="21" spans="1:11" x14ac:dyDescent="0.2">
      <c r="A21" s="19" t="s">
        <v>145</v>
      </c>
      <c r="F21" s="19" t="s">
        <v>146</v>
      </c>
    </row>
    <row r="23" spans="1:11" x14ac:dyDescent="0.2">
      <c r="B23" s="121" t="s">
        <v>147</v>
      </c>
      <c r="C23" s="19" t="s">
        <v>148</v>
      </c>
      <c r="F23" s="19" t="s">
        <v>149</v>
      </c>
      <c r="J23" s="126">
        <v>3.8820999999999999</v>
      </c>
    </row>
    <row r="24" spans="1:11" x14ac:dyDescent="0.2">
      <c r="B24" s="121" t="s">
        <v>150</v>
      </c>
      <c r="C24" s="19" t="s">
        <v>151</v>
      </c>
      <c r="F24" s="19" t="s">
        <v>152</v>
      </c>
      <c r="J24" s="128">
        <v>250399</v>
      </c>
    </row>
    <row r="25" spans="1:11" x14ac:dyDescent="0.2">
      <c r="B25" s="121" t="s">
        <v>153</v>
      </c>
      <c r="C25" s="19" t="s">
        <v>154</v>
      </c>
      <c r="F25" s="19" t="s">
        <v>152</v>
      </c>
      <c r="J25" s="128">
        <v>204407</v>
      </c>
    </row>
    <row r="27" spans="1:11" x14ac:dyDescent="0.2">
      <c r="B27" s="121" t="s">
        <v>155</v>
      </c>
      <c r="C27" s="19" t="s">
        <v>156</v>
      </c>
      <c r="H27" s="121" t="s">
        <v>157</v>
      </c>
      <c r="J27" s="122">
        <f>J24/J25</f>
        <v>1.225002079185155</v>
      </c>
    </row>
    <row r="28" spans="1:11" x14ac:dyDescent="0.2">
      <c r="B28" s="121" t="s">
        <v>158</v>
      </c>
      <c r="C28" s="19" t="s">
        <v>159</v>
      </c>
      <c r="H28" s="121" t="s">
        <v>160</v>
      </c>
      <c r="J28" s="122">
        <f>J9/J27</f>
        <v>1.1077532218579149</v>
      </c>
    </row>
    <row r="29" spans="1:11" x14ac:dyDescent="0.2">
      <c r="B29" s="121" t="s">
        <v>161</v>
      </c>
      <c r="C29" s="19" t="s">
        <v>162</v>
      </c>
      <c r="H29" s="121" t="s">
        <v>163</v>
      </c>
      <c r="J29" s="126">
        <f>J23*J28</f>
        <v>4.3004087825746113</v>
      </c>
    </row>
    <row r="30" spans="1:11" x14ac:dyDescent="0.2">
      <c r="A30" s="123"/>
      <c r="B30" s="124"/>
      <c r="C30" s="123"/>
      <c r="D30" s="123"/>
      <c r="E30" s="123"/>
      <c r="F30" s="123"/>
      <c r="G30" s="123"/>
      <c r="H30" s="124"/>
      <c r="I30" s="123"/>
      <c r="J30" s="125"/>
      <c r="K30" s="123"/>
    </row>
    <row r="32" spans="1:11" x14ac:dyDescent="0.2">
      <c r="C32" s="19" t="s">
        <v>162</v>
      </c>
      <c r="J32" s="122">
        <f>J29</f>
        <v>4.3004087825746113</v>
      </c>
    </row>
    <row r="33" spans="3:10" x14ac:dyDescent="0.2">
      <c r="C33" s="19" t="s">
        <v>162</v>
      </c>
      <c r="J33" s="122">
        <f>J32</f>
        <v>4.3004087825746113</v>
      </c>
    </row>
    <row r="34" spans="3:10" x14ac:dyDescent="0.2">
      <c r="C34" s="19" t="s">
        <v>143</v>
      </c>
      <c r="J34" s="122">
        <f>J18</f>
        <v>7.4839597638510451</v>
      </c>
    </row>
    <row r="35" spans="3:10" x14ac:dyDescent="0.2">
      <c r="C35" s="120" t="s">
        <v>164</v>
      </c>
      <c r="J35" s="129">
        <f>AVERAGE(J32:J34)</f>
        <v>5.361592443000089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Cover page</vt:lpstr>
      <vt:lpstr>Summary (SI)</vt:lpstr>
      <vt:lpstr>EGC (SII)</vt:lpstr>
      <vt:lpstr>Actual Adjustment (IV)</vt:lpstr>
      <vt:lpstr>EXAMPLE Actual Adjustment (SIV)</vt:lpstr>
      <vt:lpstr>FUTURE BA (SV)</vt:lpstr>
      <vt:lpstr>Balance Adjustment (V)</vt:lpstr>
      <vt:lpstr>Purchases</vt:lpstr>
      <vt:lpstr>Sales</vt:lpstr>
      <vt:lpstr>PAST GCR RIDER</vt:lpstr>
      <vt:lpstr>SCH III B&amp;S Oil FloydCo N-D-J</vt:lpstr>
      <vt:lpstr>SCH III B&amp;S Oil FloydCo A-S-O</vt:lpstr>
      <vt:lpstr>'Actual Adjustment (IV)'!Print_Area</vt:lpstr>
      <vt:lpstr>'Balance Adjustment (V)'!Print_Area</vt:lpstr>
      <vt:lpstr>'EXAMPLE Actual Adjustment (SIV)'!Print_Area</vt:lpstr>
      <vt:lpstr>'FUTURE BA (SV)'!Print_Area</vt:lpstr>
      <vt:lpstr>Purchases!Print_Area</vt:lpstr>
      <vt:lpstr>Sales!Print_Area</vt:lpstr>
      <vt:lpstr>'Actual Adjustment (IV)'!Print_Titles</vt:lpstr>
      <vt:lpstr>'Balance Adjustment (V)'!Print_Titles</vt:lpstr>
      <vt:lpstr>'EXAMPLE Actual Adjustment (SIV)'!Print_Titles</vt:lpstr>
      <vt:lpstr>'FUTURE BA (SV)'!Print_Titles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Hartline</dc:creator>
  <cp:lastModifiedBy>Julie Loving</cp:lastModifiedBy>
  <cp:lastPrinted>2021-10-01T03:16:03Z</cp:lastPrinted>
  <dcterms:created xsi:type="dcterms:W3CDTF">2021-09-30T01:07:57Z</dcterms:created>
  <dcterms:modified xsi:type="dcterms:W3CDTF">2023-03-29T00:49:40Z</dcterms:modified>
</cp:coreProperties>
</file>