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CopyGdrive\GrnRvrVal 2022\ARF Application\"/>
    </mc:Choice>
  </mc:AlternateContent>
  <xr:revisionPtr revIDLastSave="0" documentId="13_ncr:1_{EBC46E94-AB27-496E-89D9-4145A42C0DA8}" xr6:coauthVersionLast="47" xr6:coauthVersionMax="47" xr10:uidLastSave="{00000000-0000-0000-0000-000000000000}"/>
  <bookViews>
    <workbookView xWindow="-96" yWindow="-96" windowWidth="23232" windowHeight="12552" tabRatio="686" xr2:uid="{F6562CCD-2471-456B-B6B8-41DF8FF41994}"/>
  </bookViews>
  <sheets>
    <sheet name="SAO" sheetId="3" r:id="rId1"/>
    <sheet name="Adj" sheetId="16" r:id="rId2"/>
    <sheet name="Resale" sheetId="36" r:id="rId3"/>
    <sheet name="DeprAdj" sheetId="1" r:id="rId4"/>
    <sheet name="DSch" sheetId="5" r:id="rId5"/>
    <sheet name="Al_Dpr" sheetId="28" r:id="rId6"/>
    <sheet name="Al_Plnt" sheetId="27" r:id="rId7"/>
    <sheet name="Sys" sheetId="25" r:id="rId8"/>
    <sheet name="Fac" sheetId="26" r:id="rId9"/>
    <sheet name="Mtrx" sheetId="29" r:id="rId10"/>
    <sheet name="Whol" sheetId="30" r:id="rId11"/>
    <sheet name="AlocOM_R" sheetId="32" r:id="rId12"/>
    <sheet name="AlocSum" sheetId="33" r:id="rId13"/>
    <sheet name="Units" sheetId="35" r:id="rId14"/>
    <sheet name="CalcRet" sheetId="34" r:id="rId15"/>
    <sheet name="Rates" sheetId="2" r:id="rId16"/>
    <sheet name="Bills" sheetId="37" r:id="rId17"/>
    <sheet name="Usage" sheetId="31" r:id="rId18"/>
    <sheet name="ExBA" sheetId="10" r:id="rId19"/>
    <sheet name="PropBA" sheetId="15" r:id="rId20"/>
  </sheets>
  <definedNames>
    <definedName name="_xlnm.Print_Area" localSheetId="5">Al_Dpr!$B$2:$I$43</definedName>
    <definedName name="_xlnm.Print_Area" localSheetId="6">Al_Plnt!$B$2:$J$52</definedName>
    <definedName name="_xlnm.Print_Area" localSheetId="11">AlocOM_R!$B$2:$I$36</definedName>
    <definedName name="_xlnm.Print_Area" localSheetId="12">AlocSum!$B$2:$H$22</definedName>
    <definedName name="_xlnm.Print_Area" localSheetId="16">Bills!$B$3:$H$22</definedName>
    <definedName name="_xlnm.Print_Area" localSheetId="14">CalcRet!$B$2:$I$34</definedName>
    <definedName name="_xlnm.Print_Area" localSheetId="3">DeprAdj!$B$2:$I$55</definedName>
    <definedName name="_xlnm.Print_Area" localSheetId="4">DSch!$B$2:$N$28</definedName>
    <definedName name="_xlnm.Print_Area" localSheetId="18">ExBA!$A$1:$I$70</definedName>
    <definedName name="_xlnm.Print_Area" localSheetId="8">Fac!$B$2:$I$45</definedName>
    <definedName name="_xlnm.Print_Area" localSheetId="19">PropBA!#REF!</definedName>
    <definedName name="_xlnm.Print_Area" localSheetId="15">Rates!$B$2:$H$34</definedName>
    <definedName name="_xlnm.Print_Area" localSheetId="2">Resale!$L$3:$T$34</definedName>
    <definedName name="_xlnm.Print_Area" localSheetId="0">SAO!$B$2:$J$55</definedName>
    <definedName name="_xlnm.Print_Area" localSheetId="7">Sys!$B$2:$I$45</definedName>
    <definedName name="_xlnm.Print_Area" localSheetId="13">Units!$B$2:$K$28</definedName>
    <definedName name="_xlnm.Print_Area" localSheetId="17">Usage!$K$3:$O$8</definedName>
    <definedName name="_xlnm.Print_Area" localSheetId="10">Whol!$B$2:$I$78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7" l="1"/>
  <c r="D14" i="37" s="1"/>
  <c r="D15" i="37" s="1"/>
  <c r="D16" i="37" s="1"/>
  <c r="D17" i="37" s="1"/>
  <c r="D18" i="37" s="1"/>
  <c r="D12" i="37"/>
  <c r="E12" i="35" l="1"/>
  <c r="H38" i="29" l="1"/>
  <c r="C38" i="29"/>
  <c r="G30" i="3"/>
  <c r="T14" i="16"/>
  <c r="T12" i="16"/>
  <c r="T11" i="16"/>
  <c r="E57" i="1" l="1"/>
  <c r="F47" i="1"/>
  <c r="H47" i="1" s="1"/>
  <c r="E47" i="1"/>
  <c r="G48" i="16"/>
  <c r="G47" i="16"/>
  <c r="F49" i="16"/>
  <c r="N13" i="2"/>
  <c r="N12" i="2"/>
  <c r="N11" i="2"/>
  <c r="B68" i="15"/>
  <c r="B73" i="15" s="1"/>
  <c r="F12" i="15" s="1"/>
  <c r="B61" i="15"/>
  <c r="B60" i="15"/>
  <c r="B59" i="15"/>
  <c r="D54" i="15"/>
  <c r="C54" i="15"/>
  <c r="D53" i="15"/>
  <c r="C53" i="15"/>
  <c r="D52" i="15"/>
  <c r="C52" i="15"/>
  <c r="G51" i="15"/>
  <c r="F51" i="15"/>
  <c r="E51" i="15"/>
  <c r="B46" i="15"/>
  <c r="B45" i="15"/>
  <c r="B44" i="15"/>
  <c r="B43" i="15"/>
  <c r="D38" i="15"/>
  <c r="C38" i="15"/>
  <c r="D37" i="15"/>
  <c r="C37" i="15"/>
  <c r="D36" i="15"/>
  <c r="C36" i="15"/>
  <c r="D35" i="15"/>
  <c r="E35" i="15" s="1"/>
  <c r="C35" i="15"/>
  <c r="C39" i="15" s="1"/>
  <c r="E7" i="15" s="1"/>
  <c r="H34" i="15"/>
  <c r="G34" i="15"/>
  <c r="G38" i="15" s="1"/>
  <c r="F34" i="15"/>
  <c r="E34" i="15"/>
  <c r="E36" i="15" s="1"/>
  <c r="B29" i="15"/>
  <c r="B28" i="15"/>
  <c r="B27" i="15"/>
  <c r="B26" i="15"/>
  <c r="D21" i="15"/>
  <c r="C21" i="15"/>
  <c r="E21" i="15" s="1"/>
  <c r="F20" i="15"/>
  <c r="D20" i="15"/>
  <c r="C20" i="15"/>
  <c r="D19" i="15"/>
  <c r="C19" i="15"/>
  <c r="E19" i="15" s="1"/>
  <c r="D18" i="15"/>
  <c r="D22" i="15" s="1"/>
  <c r="F6" i="15" s="1"/>
  <c r="C18" i="15"/>
  <c r="H17" i="15"/>
  <c r="G17" i="15"/>
  <c r="F17" i="15"/>
  <c r="E17" i="15"/>
  <c r="C22" i="15" l="1"/>
  <c r="E6" i="15" s="1"/>
  <c r="D55" i="15"/>
  <c r="F8" i="15" s="1"/>
  <c r="E53" i="15"/>
  <c r="E20" i="15"/>
  <c r="F37" i="15"/>
  <c r="F36" i="15"/>
  <c r="F21" i="15"/>
  <c r="H21" i="15" s="1"/>
  <c r="H22" i="15" s="1"/>
  <c r="D29" i="15" s="1"/>
  <c r="G21" i="15"/>
  <c r="E37" i="15"/>
  <c r="E39" i="15" s="1"/>
  <c r="D43" i="15" s="1"/>
  <c r="C55" i="15"/>
  <c r="E8" i="15" s="1"/>
  <c r="E18" i="15"/>
  <c r="F38" i="15"/>
  <c r="G20" i="15"/>
  <c r="G22" i="15" s="1"/>
  <c r="D28" i="15" s="1"/>
  <c r="E38" i="15"/>
  <c r="F19" i="15"/>
  <c r="F22" i="15" s="1"/>
  <c r="D27" i="15" s="1"/>
  <c r="F53" i="15"/>
  <c r="E22" i="15"/>
  <c r="D26" i="15" s="1"/>
  <c r="C43" i="15"/>
  <c r="E52" i="15"/>
  <c r="D39" i="15"/>
  <c r="F7" i="15" s="1"/>
  <c r="F9" i="15" s="1"/>
  <c r="E54" i="15"/>
  <c r="F54" i="15"/>
  <c r="G54" i="15" s="1"/>
  <c r="G55" i="15" s="1"/>
  <c r="D61" i="15" s="1"/>
  <c r="D12" i="35"/>
  <c r="D15" i="35"/>
  <c r="E15" i="35" s="1"/>
  <c r="D14" i="35"/>
  <c r="F15" i="35"/>
  <c r="F14" i="35"/>
  <c r="F12" i="35"/>
  <c r="G17" i="31"/>
  <c r="G16" i="31"/>
  <c r="F17" i="31"/>
  <c r="F16" i="31"/>
  <c r="E12" i="31"/>
  <c r="D12" i="31"/>
  <c r="C26" i="15" l="1"/>
  <c r="C30" i="15" s="1"/>
  <c r="G37" i="15"/>
  <c r="G39" i="15" s="1"/>
  <c r="D45" i="15" s="1"/>
  <c r="C59" i="15"/>
  <c r="H38" i="15"/>
  <c r="H39" i="15" s="1"/>
  <c r="D46" i="15" s="1"/>
  <c r="D30" i="15"/>
  <c r="F39" i="15"/>
  <c r="D44" i="15" s="1"/>
  <c r="F55" i="15"/>
  <c r="D60" i="15" s="1"/>
  <c r="C62" i="15"/>
  <c r="E55" i="15"/>
  <c r="D59" i="15" s="1"/>
  <c r="C47" i="15"/>
  <c r="E9" i="15"/>
  <c r="D47" i="15" l="1"/>
  <c r="D62" i="15"/>
  <c r="E14" i="35"/>
  <c r="G7" i="31" l="1"/>
  <c r="F7" i="31"/>
  <c r="G6" i="31"/>
  <c r="F6" i="31"/>
  <c r="G5" i="31"/>
  <c r="G8" i="31" s="1"/>
  <c r="F5" i="31"/>
  <c r="F8" i="31" s="1"/>
  <c r="E7" i="31"/>
  <c r="D7" i="31"/>
  <c r="E6" i="31"/>
  <c r="D6" i="31"/>
  <c r="E5" i="31"/>
  <c r="E8" i="31" s="1"/>
  <c r="D5" i="31"/>
  <c r="D8" i="31" s="1"/>
  <c r="D15" i="33" l="1"/>
  <c r="E15" i="33"/>
  <c r="D16" i="33"/>
  <c r="D18" i="33"/>
  <c r="G18" i="33" s="1"/>
  <c r="D19" i="33"/>
  <c r="D17" i="33"/>
  <c r="J19" i="33" l="1"/>
  <c r="E19" i="33"/>
  <c r="G17" i="33"/>
  <c r="E16" i="33"/>
  <c r="I46" i="3" l="1"/>
  <c r="I45" i="3"/>
  <c r="D51" i="27"/>
  <c r="D48" i="27"/>
  <c r="E48" i="27" s="1"/>
  <c r="D49" i="27"/>
  <c r="Q22" i="5"/>
  <c r="Q21" i="5"/>
  <c r="Q20" i="5"/>
  <c r="P29" i="5"/>
  <c r="P27" i="5"/>
  <c r="M27" i="5"/>
  <c r="M26" i="5"/>
  <c r="G75" i="30" l="1"/>
  <c r="E39" i="30" l="1"/>
  <c r="I27" i="27" l="1"/>
  <c r="H27" i="27"/>
  <c r="H17" i="29"/>
  <c r="G17" i="29"/>
  <c r="F17" i="29"/>
  <c r="F27" i="27" s="1"/>
  <c r="E17" i="29"/>
  <c r="D17" i="29"/>
  <c r="H34" i="29"/>
  <c r="G34" i="29"/>
  <c r="F34" i="29"/>
  <c r="D34" i="29"/>
  <c r="H33" i="29"/>
  <c r="E25" i="30" s="1"/>
  <c r="G33" i="29"/>
  <c r="F33" i="29"/>
  <c r="E24" i="30" s="1"/>
  <c r="E33" i="29"/>
  <c r="H47" i="29"/>
  <c r="E56" i="30" s="1"/>
  <c r="G47" i="29"/>
  <c r="E55" i="30" s="1"/>
  <c r="F47" i="29"/>
  <c r="E47" i="29"/>
  <c r="D47" i="29"/>
  <c r="H46" i="29"/>
  <c r="F46" i="29"/>
  <c r="E46" i="29"/>
  <c r="D46" i="29"/>
  <c r="G45" i="29"/>
  <c r="F45" i="29"/>
  <c r="E45" i="29"/>
  <c r="D45" i="29"/>
  <c r="G44" i="29"/>
  <c r="F44" i="29"/>
  <c r="E44" i="29"/>
  <c r="D44" i="29"/>
  <c r="H43" i="29"/>
  <c r="G43" i="29"/>
  <c r="F43" i="29"/>
  <c r="E43" i="29"/>
  <c r="D43" i="29"/>
  <c r="H42" i="29"/>
  <c r="G42" i="29"/>
  <c r="F42" i="29"/>
  <c r="E42" i="29"/>
  <c r="D42" i="29"/>
  <c r="H41" i="29"/>
  <c r="G41" i="29"/>
  <c r="F41" i="29"/>
  <c r="E41" i="29"/>
  <c r="D41" i="29"/>
  <c r="H39" i="29"/>
  <c r="G39" i="29"/>
  <c r="E39" i="29"/>
  <c r="D39" i="29"/>
  <c r="G38" i="29"/>
  <c r="E38" i="30" s="1"/>
  <c r="H38" i="30" s="1"/>
  <c r="G18" i="32" s="1"/>
  <c r="F38" i="29"/>
  <c r="E37" i="30" s="1"/>
  <c r="E38" i="29"/>
  <c r="D38" i="29"/>
  <c r="G37" i="29"/>
  <c r="F37" i="29"/>
  <c r="E37" i="29"/>
  <c r="D37" i="29"/>
  <c r="G36" i="29"/>
  <c r="F36" i="29"/>
  <c r="E36" i="29"/>
  <c r="D36" i="29"/>
  <c r="H35" i="29"/>
  <c r="E32" i="30" s="1"/>
  <c r="G35" i="29"/>
  <c r="E31" i="30" s="1"/>
  <c r="F35" i="29"/>
  <c r="E30" i="30" s="1"/>
  <c r="E35" i="29"/>
  <c r="D35" i="29"/>
  <c r="E29" i="30" s="1"/>
  <c r="H32" i="29"/>
  <c r="G32" i="29"/>
  <c r="F32" i="29"/>
  <c r="E32" i="29"/>
  <c r="D32" i="29"/>
  <c r="J32" i="29" s="1"/>
  <c r="J30" i="29"/>
  <c r="E36" i="30" l="1"/>
  <c r="J39" i="30" s="1"/>
  <c r="E50" i="30"/>
  <c r="H50" i="30" s="1"/>
  <c r="G21" i="32" s="1"/>
  <c r="E49" i="30"/>
  <c r="E48" i="30"/>
  <c r="H55" i="30"/>
  <c r="G24" i="32" s="1"/>
  <c r="J56" i="30"/>
  <c r="K27" i="27"/>
  <c r="J47" i="29"/>
  <c r="J38" i="29"/>
  <c r="J35" i="29"/>
  <c r="J43" i="29"/>
  <c r="J42" i="29"/>
  <c r="J41" i="29"/>
  <c r="C7" i="29" l="1"/>
  <c r="C47" i="29"/>
  <c r="C46" i="29"/>
  <c r="C45" i="29"/>
  <c r="E52" i="30" s="1"/>
  <c r="J52" i="30" s="1"/>
  <c r="C44" i="29"/>
  <c r="C43" i="29"/>
  <c r="C42" i="29"/>
  <c r="C41" i="29"/>
  <c r="C39" i="29"/>
  <c r="E40" i="30" s="1"/>
  <c r="J40" i="30" s="1"/>
  <c r="C37" i="29"/>
  <c r="C36" i="29"/>
  <c r="C35" i="29"/>
  <c r="C32" i="29"/>
  <c r="E21" i="30" s="1"/>
  <c r="J21" i="30" s="1"/>
  <c r="C30" i="29"/>
  <c r="E20" i="30" s="1"/>
  <c r="G23" i="29"/>
  <c r="G46" i="29" s="1"/>
  <c r="J46" i="29" s="1"/>
  <c r="H22" i="29"/>
  <c r="J18" i="29"/>
  <c r="F15" i="29"/>
  <c r="F39" i="29" s="1"/>
  <c r="J6" i="29"/>
  <c r="E10" i="29"/>
  <c r="D44" i="27"/>
  <c r="E29" i="27"/>
  <c r="K29" i="27" s="1"/>
  <c r="H35" i="27"/>
  <c r="K35" i="27" s="1"/>
  <c r="I34" i="27"/>
  <c r="K34" i="27" s="1"/>
  <c r="I33" i="27"/>
  <c r="K33" i="27" s="1"/>
  <c r="I32" i="27"/>
  <c r="K32" i="27" s="1"/>
  <c r="F31" i="27"/>
  <c r="K31" i="27" s="1"/>
  <c r="H26" i="27"/>
  <c r="K26" i="27" s="1"/>
  <c r="H25" i="27"/>
  <c r="K25" i="27" s="1"/>
  <c r="I23" i="27"/>
  <c r="K23" i="27" s="1"/>
  <c r="I22" i="27"/>
  <c r="K22" i="27" s="1"/>
  <c r="I21" i="27"/>
  <c r="K21" i="27" s="1"/>
  <c r="F20" i="27"/>
  <c r="K20" i="27" s="1"/>
  <c r="E16" i="27"/>
  <c r="G18" i="27"/>
  <c r="K18" i="27" s="1"/>
  <c r="E13" i="27"/>
  <c r="K13" i="27" s="1"/>
  <c r="E14" i="27"/>
  <c r="K14" i="27" s="1"/>
  <c r="H12" i="27"/>
  <c r="F10" i="27"/>
  <c r="I12" i="27" l="1"/>
  <c r="K12" i="27" s="1"/>
  <c r="F16" i="27"/>
  <c r="K16" i="27"/>
  <c r="G10" i="27"/>
  <c r="G37" i="27" s="1"/>
  <c r="J22" i="29"/>
  <c r="H45" i="29"/>
  <c r="J45" i="29" s="1"/>
  <c r="D10" i="27"/>
  <c r="D28" i="27"/>
  <c r="E30" i="27"/>
  <c r="K30" i="27" s="1"/>
  <c r="I24" i="27"/>
  <c r="K24" i="27" s="1"/>
  <c r="F19" i="27"/>
  <c r="K19" i="27" s="1"/>
  <c r="E17" i="27"/>
  <c r="K17" i="27" s="1"/>
  <c r="E15" i="27"/>
  <c r="K15" i="27" s="1"/>
  <c r="E11" i="27"/>
  <c r="H14" i="26"/>
  <c r="F43" i="25"/>
  <c r="F35" i="25"/>
  <c r="F38" i="25" s="1"/>
  <c r="H15" i="26" s="1"/>
  <c r="G15" i="25"/>
  <c r="H15" i="25" s="1"/>
  <c r="G14" i="25"/>
  <c r="H14" i="25" s="1"/>
  <c r="F15" i="25"/>
  <c r="F14" i="25"/>
  <c r="F13" i="25"/>
  <c r="D15" i="25"/>
  <c r="D14" i="25"/>
  <c r="F22" i="25"/>
  <c r="F18" i="25"/>
  <c r="D16" i="25"/>
  <c r="E25" i="25"/>
  <c r="G41" i="25"/>
  <c r="G40" i="25"/>
  <c r="H10" i="26" s="1"/>
  <c r="F23" i="25"/>
  <c r="D23" i="25"/>
  <c r="H21" i="25"/>
  <c r="F21" i="25"/>
  <c r="D21" i="25"/>
  <c r="H20" i="25"/>
  <c r="F20" i="25"/>
  <c r="D20" i="25"/>
  <c r="H19" i="25"/>
  <c r="F19" i="25"/>
  <c r="D19" i="25"/>
  <c r="H18" i="25"/>
  <c r="H17" i="25"/>
  <c r="F17" i="25"/>
  <c r="F39" i="16"/>
  <c r="G13" i="25" l="1"/>
  <c r="D13" i="25"/>
  <c r="K10" i="27"/>
  <c r="I28" i="27"/>
  <c r="I37" i="27" s="1"/>
  <c r="H28" i="27"/>
  <c r="H37" i="27" s="1"/>
  <c r="F28" i="27"/>
  <c r="K11" i="27"/>
  <c r="F42" i="25"/>
  <c r="G42" i="25" s="1"/>
  <c r="H9" i="26" s="1"/>
  <c r="F16" i="25"/>
  <c r="F25" i="25" s="1"/>
  <c r="H13" i="26" s="1"/>
  <c r="D22" i="25"/>
  <c r="D18" i="25"/>
  <c r="D17" i="25"/>
  <c r="H16" i="25"/>
  <c r="G25" i="25" l="1"/>
  <c r="H13" i="25"/>
  <c r="H25" i="25" s="1"/>
  <c r="H12" i="26" s="1"/>
  <c r="D25" i="25"/>
  <c r="K28" i="27"/>
  <c r="F37" i="27"/>
  <c r="H39" i="1"/>
  <c r="D36" i="1"/>
  <c r="D36" i="27" s="1"/>
  <c r="D52" i="1"/>
  <c r="E46" i="1" s="1"/>
  <c r="F46" i="1" s="1"/>
  <c r="H46" i="1" s="1"/>
  <c r="E36" i="27" l="1"/>
  <c r="D37" i="27"/>
  <c r="F38" i="27" s="1"/>
  <c r="E48" i="1"/>
  <c r="F48" i="1" s="1"/>
  <c r="H48" i="1" s="1"/>
  <c r="E49" i="1"/>
  <c r="F49" i="1" s="1"/>
  <c r="H49" i="1" s="1"/>
  <c r="E50" i="1"/>
  <c r="F50" i="1" s="1"/>
  <c r="H50" i="1" s="1"/>
  <c r="E51" i="1"/>
  <c r="F51" i="1" s="1"/>
  <c r="H51" i="1" s="1"/>
  <c r="D46" i="27" l="1"/>
  <c r="G38" i="27"/>
  <c r="G45" i="27" s="1"/>
  <c r="G46" i="27" s="1"/>
  <c r="I38" i="27"/>
  <c r="I45" i="27" s="1"/>
  <c r="I46" i="27" s="1"/>
  <c r="H38" i="27"/>
  <c r="H45" i="27" s="1"/>
  <c r="H46" i="27" s="1"/>
  <c r="K36" i="27"/>
  <c r="E37" i="27"/>
  <c r="F45" i="27"/>
  <c r="F46" i="27" s="1"/>
  <c r="H52" i="1"/>
  <c r="H36" i="1" s="1"/>
  <c r="D30" i="28" s="1"/>
  <c r="E30" i="28" s="1"/>
  <c r="E38" i="27" l="1"/>
  <c r="K37" i="27"/>
  <c r="H18" i="1"/>
  <c r="D18" i="28" s="1"/>
  <c r="F18" i="28" s="1"/>
  <c r="D32" i="1"/>
  <c r="E45" i="27" l="1"/>
  <c r="E46" i="27" s="1"/>
  <c r="K46" i="27" s="1"/>
  <c r="K38" i="27"/>
  <c r="F60" i="16"/>
  <c r="G61" i="16" s="1"/>
  <c r="G27" i="3" s="1"/>
  <c r="E34" i="29" s="1"/>
  <c r="G46" i="16"/>
  <c r="G50" i="16" s="1"/>
  <c r="F54" i="16"/>
  <c r="F48" i="16"/>
  <c r="F47" i="16"/>
  <c r="F46" i="16"/>
  <c r="F50" i="16" s="1"/>
  <c r="F45" i="16"/>
  <c r="G45" i="16"/>
  <c r="G51" i="16" l="1"/>
  <c r="G52" i="16" s="1"/>
  <c r="G26" i="3" s="1"/>
  <c r="D33" i="29" s="1"/>
  <c r="J34" i="29"/>
  <c r="E27" i="30"/>
  <c r="F36" i="16"/>
  <c r="G40" i="16" s="1"/>
  <c r="G32" i="3" s="1"/>
  <c r="I32" i="3" s="1"/>
  <c r="C40" i="29" s="1"/>
  <c r="P55" i="16"/>
  <c r="E23" i="30" l="1"/>
  <c r="J33" i="29"/>
  <c r="E40" i="29"/>
  <c r="H40" i="29"/>
  <c r="E44" i="30" s="1"/>
  <c r="F40" i="29"/>
  <c r="E42" i="30" s="1"/>
  <c r="G40" i="29"/>
  <c r="E43" i="30" s="1"/>
  <c r="D40" i="29"/>
  <c r="J40" i="29" s="1"/>
  <c r="C37" i="16"/>
  <c r="C36" i="16"/>
  <c r="C38" i="16" s="1"/>
  <c r="C39" i="16" l="1"/>
  <c r="G24" i="3" s="1"/>
  <c r="B68" i="10"/>
  <c r="U18" i="36"/>
  <c r="U20" i="36" s="1"/>
  <c r="U22" i="36" s="1"/>
  <c r="U17" i="36"/>
  <c r="U16" i="36"/>
  <c r="U15" i="36"/>
  <c r="U14" i="36"/>
  <c r="U13" i="36"/>
  <c r="U12" i="36"/>
  <c r="U11" i="36"/>
  <c r="U10" i="36"/>
  <c r="U9" i="36"/>
  <c r="U8" i="36"/>
  <c r="U7" i="36"/>
  <c r="U6" i="36"/>
  <c r="U5" i="36"/>
  <c r="R29" i="36"/>
  <c r="H20" i="36"/>
  <c r="N24" i="36"/>
  <c r="N25" i="36" s="1"/>
  <c r="S17" i="36" l="1"/>
  <c r="S16" i="36"/>
  <c r="N26" i="36" s="1"/>
  <c r="N27" i="36" s="1"/>
  <c r="P18" i="36" l="1"/>
  <c r="O18" i="36"/>
  <c r="O20" i="36" s="1"/>
  <c r="N18" i="36"/>
  <c r="N20" i="36" s="1"/>
  <c r="N7" i="10"/>
  <c r="H28" i="16" l="1"/>
  <c r="P38" i="16"/>
  <c r="K51" i="16"/>
  <c r="P43" i="16"/>
  <c r="O36" i="16" l="1"/>
  <c r="O35" i="16"/>
  <c r="O34" i="16"/>
  <c r="O33" i="16"/>
  <c r="O32" i="16"/>
  <c r="O31" i="16"/>
  <c r="O30" i="16"/>
  <c r="O29" i="16"/>
  <c r="O28" i="16"/>
  <c r="O27" i="16"/>
  <c r="O26" i="16"/>
  <c r="N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K36" i="16"/>
  <c r="N36" i="16" s="1"/>
  <c r="K35" i="16"/>
  <c r="N35" i="16" s="1"/>
  <c r="K12" i="16"/>
  <c r="N12" i="16" s="1"/>
  <c r="P12" i="16" s="1"/>
  <c r="K10" i="16"/>
  <c r="N10" i="16" s="1"/>
  <c r="K8" i="16"/>
  <c r="N8" i="16" s="1"/>
  <c r="K23" i="16"/>
  <c r="N23" i="16" s="1"/>
  <c r="K21" i="16"/>
  <c r="N21" i="16" s="1"/>
  <c r="K73" i="16"/>
  <c r="K16" i="16"/>
  <c r="N16" i="16" s="1"/>
  <c r="K15" i="16"/>
  <c r="N15" i="16" s="1"/>
  <c r="K17" i="16"/>
  <c r="N17" i="16" s="1"/>
  <c r="K34" i="16"/>
  <c r="N34" i="16" s="1"/>
  <c r="K74" i="16"/>
  <c r="K18" i="16"/>
  <c r="N18" i="16" s="1"/>
  <c r="K20" i="16"/>
  <c r="N20" i="16" s="1"/>
  <c r="K22" i="16"/>
  <c r="N22" i="16" s="1"/>
  <c r="K72" i="16"/>
  <c r="K71" i="16"/>
  <c r="K24" i="16"/>
  <c r="N24" i="16" s="1"/>
  <c r="K19" i="16"/>
  <c r="N19" i="16" s="1"/>
  <c r="K31" i="16"/>
  <c r="N31" i="16" s="1"/>
  <c r="K70" i="16"/>
  <c r="K33" i="16"/>
  <c r="N33" i="16" s="1"/>
  <c r="K32" i="16"/>
  <c r="N32" i="16" s="1"/>
  <c r="K9" i="16"/>
  <c r="N9" i="16" s="1"/>
  <c r="K11" i="16"/>
  <c r="N11" i="16" s="1"/>
  <c r="K69" i="16"/>
  <c r="K68" i="16"/>
  <c r="K66" i="16"/>
  <c r="K14" i="16"/>
  <c r="N14" i="16" s="1"/>
  <c r="K7" i="16"/>
  <c r="N7" i="16" s="1"/>
  <c r="K13" i="16"/>
  <c r="N13" i="16" s="1"/>
  <c r="K29" i="16"/>
  <c r="N29" i="16" s="1"/>
  <c r="K67" i="16"/>
  <c r="K28" i="16"/>
  <c r="N28" i="16" s="1"/>
  <c r="K27" i="16"/>
  <c r="N27" i="16" s="1"/>
  <c r="K25" i="16"/>
  <c r="N25" i="16" s="1"/>
  <c r="K30" i="16"/>
  <c r="N30" i="16" s="1"/>
  <c r="C13" i="16"/>
  <c r="D16" i="16" s="1"/>
  <c r="C11" i="16"/>
  <c r="K49" i="16"/>
  <c r="P33" i="16" l="1"/>
  <c r="P25" i="16"/>
  <c r="P22" i="16"/>
  <c r="P15" i="16"/>
  <c r="P21" i="16"/>
  <c r="P13" i="16"/>
  <c r="P14" i="16"/>
  <c r="P31" i="16"/>
  <c r="P27" i="16"/>
  <c r="P24" i="16"/>
  <c r="P30" i="16"/>
  <c r="P11" i="16"/>
  <c r="P16" i="16"/>
  <c r="P7" i="16"/>
  <c r="P23" i="16"/>
  <c r="P28" i="16"/>
  <c r="P17" i="16"/>
  <c r="P35" i="16"/>
  <c r="P29" i="16"/>
  <c r="P36" i="16"/>
  <c r="P20" i="16"/>
  <c r="P8" i="16"/>
  <c r="P19" i="16"/>
  <c r="P9" i="16"/>
  <c r="P32" i="16"/>
  <c r="P18" i="16"/>
  <c r="P26" i="16"/>
  <c r="P10" i="16"/>
  <c r="P34" i="16"/>
  <c r="I13" i="3"/>
  <c r="P37" i="16" l="1"/>
  <c r="P39" i="16" s="1"/>
  <c r="H22" i="36"/>
  <c r="I21" i="36"/>
  <c r="D20" i="36"/>
  <c r="C20" i="36"/>
  <c r="M7" i="10"/>
  <c r="B73" i="10"/>
  <c r="F12" i="10" s="1"/>
  <c r="C72" i="10"/>
  <c r="D72" i="10" s="1"/>
  <c r="C71" i="10"/>
  <c r="D71" i="10" s="1"/>
  <c r="C70" i="10"/>
  <c r="D70" i="10" s="1"/>
  <c r="G18" i="36"/>
  <c r="G20" i="36" s="1"/>
  <c r="F18" i="36"/>
  <c r="F20" i="36" s="1"/>
  <c r="E18" i="36"/>
  <c r="E20" i="36" s="1"/>
  <c r="D18" i="36"/>
  <c r="C18" i="36"/>
  <c r="I18" i="36" s="1"/>
  <c r="Q62" i="10"/>
  <c r="P62" i="10"/>
  <c r="O62" i="10"/>
  <c r="D54" i="10"/>
  <c r="D53" i="10"/>
  <c r="D52" i="10"/>
  <c r="G19" i="31" s="1"/>
  <c r="G18" i="31" s="1"/>
  <c r="F16" i="35" s="1"/>
  <c r="C54" i="10"/>
  <c r="C53" i="10"/>
  <c r="C52" i="10"/>
  <c r="F19" i="31" s="1"/>
  <c r="F18" i="31" s="1"/>
  <c r="D16" i="35" s="1"/>
  <c r="E16" i="35" s="1"/>
  <c r="G16" i="35" s="1"/>
  <c r="J16" i="35" s="1"/>
  <c r="J17" i="35" s="1"/>
  <c r="G25" i="35" s="1"/>
  <c r="D38" i="10"/>
  <c r="D37" i="10"/>
  <c r="D36" i="10"/>
  <c r="D35" i="10"/>
  <c r="C38" i="10"/>
  <c r="C37" i="10"/>
  <c r="C36" i="10"/>
  <c r="C35" i="10"/>
  <c r="D14" i="31" s="1"/>
  <c r="D13" i="31" s="1"/>
  <c r="D13" i="35" s="1"/>
  <c r="E13" i="35" s="1"/>
  <c r="D21" i="10"/>
  <c r="C8" i="31" s="1"/>
  <c r="I8" i="31" s="1"/>
  <c r="R8" i="31" s="1"/>
  <c r="D20" i="10"/>
  <c r="C7" i="31" s="1"/>
  <c r="I7" i="31" s="1"/>
  <c r="R7" i="31" s="1"/>
  <c r="D19" i="10"/>
  <c r="C6" i="31" s="1"/>
  <c r="I6" i="31" s="1"/>
  <c r="R6" i="31" s="1"/>
  <c r="R13" i="31" s="1"/>
  <c r="D18" i="10"/>
  <c r="C21" i="10"/>
  <c r="B8" i="31" s="1"/>
  <c r="H8" i="31" s="1"/>
  <c r="Q8" i="31" s="1"/>
  <c r="C20" i="10"/>
  <c r="B7" i="31" s="1"/>
  <c r="H7" i="31" s="1"/>
  <c r="Q7" i="31" s="1"/>
  <c r="Q14" i="31" s="1"/>
  <c r="C19" i="10"/>
  <c r="B6" i="31" s="1"/>
  <c r="H6" i="31" s="1"/>
  <c r="Q6" i="31" s="1"/>
  <c r="Q13" i="31" s="1"/>
  <c r="S13" i="31" s="1"/>
  <c r="T13" i="31" s="1"/>
  <c r="C18" i="10"/>
  <c r="C69" i="10"/>
  <c r="C68" i="10"/>
  <c r="C67" i="10"/>
  <c r="E61" i="10"/>
  <c r="E60" i="10"/>
  <c r="E59" i="10"/>
  <c r="E46" i="10"/>
  <c r="E45" i="10"/>
  <c r="E44" i="10"/>
  <c r="E43" i="10"/>
  <c r="E29" i="10"/>
  <c r="E28" i="10"/>
  <c r="E27" i="10"/>
  <c r="E26" i="10"/>
  <c r="B61" i="10"/>
  <c r="B60" i="10"/>
  <c r="B59" i="10"/>
  <c r="G51" i="10"/>
  <c r="F51" i="10"/>
  <c r="E51" i="10"/>
  <c r="B46" i="10"/>
  <c r="B45" i="10"/>
  <c r="B44" i="10"/>
  <c r="B43" i="10"/>
  <c r="H34" i="10"/>
  <c r="G34" i="10"/>
  <c r="F34" i="10"/>
  <c r="E34" i="10"/>
  <c r="H35" i="1"/>
  <c r="D38" i="28" s="1"/>
  <c r="H34" i="1"/>
  <c r="D37" i="28" s="1"/>
  <c r="H33" i="1"/>
  <c r="D36" i="28" s="1"/>
  <c r="H31" i="1"/>
  <c r="D35" i="28" s="1"/>
  <c r="H30" i="1"/>
  <c r="D28" i="28" s="1"/>
  <c r="I28" i="28" s="1"/>
  <c r="H29" i="1"/>
  <c r="D27" i="28" s="1"/>
  <c r="I27" i="28" s="1"/>
  <c r="H28" i="1"/>
  <c r="D26" i="28" s="1"/>
  <c r="I26" i="28" s="1"/>
  <c r="H27" i="1"/>
  <c r="D25" i="28" s="1"/>
  <c r="F25" i="28" s="1"/>
  <c r="H26" i="1"/>
  <c r="D24" i="28" s="1"/>
  <c r="E24" i="28" s="1"/>
  <c r="H32" i="1"/>
  <c r="D29" i="28" s="1"/>
  <c r="D11" i="35" l="1"/>
  <c r="D17" i="35" s="1"/>
  <c r="B5" i="31"/>
  <c r="H5" i="31" s="1"/>
  <c r="Q5" i="31" s="1"/>
  <c r="T14" i="31"/>
  <c r="S14" i="31"/>
  <c r="F11" i="35"/>
  <c r="C5" i="31"/>
  <c r="I5" i="31" s="1"/>
  <c r="E35" i="10"/>
  <c r="E14" i="31"/>
  <c r="E13" i="31" s="1"/>
  <c r="F13" i="35" s="1"/>
  <c r="G13" i="35" s="1"/>
  <c r="I13" i="35" s="1"/>
  <c r="R14" i="31"/>
  <c r="U14" i="31" s="1"/>
  <c r="S7" i="31"/>
  <c r="F29" i="28"/>
  <c r="I29" i="28"/>
  <c r="H29" i="28"/>
  <c r="I20" i="36"/>
  <c r="I22" i="36" s="1"/>
  <c r="P52" i="16"/>
  <c r="P54" i="16" s="1"/>
  <c r="P56" i="16" s="1"/>
  <c r="G22" i="3" s="1"/>
  <c r="P46" i="16"/>
  <c r="P48" i="16" s="1"/>
  <c r="P50" i="16" s="1"/>
  <c r="G39" i="3" s="1"/>
  <c r="I39" i="3" s="1"/>
  <c r="P42" i="16"/>
  <c r="P44" i="16" s="1"/>
  <c r="G20" i="3" s="1"/>
  <c r="E53" i="10"/>
  <c r="F54" i="10"/>
  <c r="E54" i="10"/>
  <c r="F37" i="10"/>
  <c r="E36" i="10"/>
  <c r="G38" i="10"/>
  <c r="E37" i="10"/>
  <c r="C55" i="10"/>
  <c r="E8" i="10" s="1"/>
  <c r="E38" i="10"/>
  <c r="C39" i="10"/>
  <c r="E7" i="10" s="1"/>
  <c r="D55" i="10"/>
  <c r="F8" i="10" s="1"/>
  <c r="F38" i="10"/>
  <c r="E52" i="10"/>
  <c r="D39" i="10"/>
  <c r="F7" i="10" s="1"/>
  <c r="H25" i="1"/>
  <c r="D34" i="28" s="1"/>
  <c r="H24" i="1"/>
  <c r="D33" i="28" s="1"/>
  <c r="D39" i="28" s="1"/>
  <c r="H23" i="1"/>
  <c r="D23" i="28" s="1"/>
  <c r="H22" i="1"/>
  <c r="D22" i="28" s="1"/>
  <c r="I22" i="28" s="1"/>
  <c r="H21" i="1"/>
  <c r="D21" i="28" s="1"/>
  <c r="I21" i="28" s="1"/>
  <c r="H20" i="1"/>
  <c r="D20" i="28" s="1"/>
  <c r="I20" i="28" s="1"/>
  <c r="H19" i="1"/>
  <c r="D19" i="28" s="1"/>
  <c r="F19" i="28" s="1"/>
  <c r="H17" i="1"/>
  <c r="D17" i="28" s="1"/>
  <c r="G17" i="28" s="1"/>
  <c r="G31" i="28" s="1"/>
  <c r="H15" i="1"/>
  <c r="D15" i="28" s="1"/>
  <c r="H14" i="1"/>
  <c r="D14" i="28" s="1"/>
  <c r="E14" i="28" s="1"/>
  <c r="H13" i="1"/>
  <c r="D13" i="28" s="1"/>
  <c r="E13" i="28" s="1"/>
  <c r="H11" i="1"/>
  <c r="D11" i="28" s="1"/>
  <c r="H11" i="28" s="1"/>
  <c r="I11" i="28" s="1"/>
  <c r="H10" i="1"/>
  <c r="D10" i="28" s="1"/>
  <c r="G16" i="1"/>
  <c r="H16" i="1" s="1"/>
  <c r="D16" i="28" s="1"/>
  <c r="E16" i="28" s="1"/>
  <c r="G12" i="1"/>
  <c r="H12" i="1" s="1"/>
  <c r="D12" i="28" s="1"/>
  <c r="E12" i="28" s="1"/>
  <c r="F17" i="35" l="1"/>
  <c r="E10" i="28"/>
  <c r="D31" i="28"/>
  <c r="D42" i="28" s="1"/>
  <c r="E15" i="28"/>
  <c r="F15" i="28" s="1"/>
  <c r="I23" i="28"/>
  <c r="I31" i="28" s="1"/>
  <c r="F23" i="28"/>
  <c r="H23" i="28"/>
  <c r="H31" i="28" s="1"/>
  <c r="I20" i="3"/>
  <c r="C29" i="29" s="1"/>
  <c r="H38" i="1"/>
  <c r="H40" i="1" s="1"/>
  <c r="G38" i="3" s="1"/>
  <c r="C59" i="10"/>
  <c r="C62" i="10" s="1"/>
  <c r="F59" i="10"/>
  <c r="H38" i="10"/>
  <c r="C43" i="10"/>
  <c r="F43" i="10" s="1"/>
  <c r="C47" i="10"/>
  <c r="L18" i="5"/>
  <c r="H18" i="5"/>
  <c r="J18" i="5"/>
  <c r="F18" i="5"/>
  <c r="D18" i="5"/>
  <c r="L17" i="5"/>
  <c r="J17" i="5"/>
  <c r="H17" i="5"/>
  <c r="F17" i="5"/>
  <c r="D17" i="5"/>
  <c r="J15" i="5"/>
  <c r="H15" i="5"/>
  <c r="L15" i="5"/>
  <c r="F15" i="5"/>
  <c r="D15" i="5"/>
  <c r="K15" i="5"/>
  <c r="I15" i="5"/>
  <c r="G15" i="5"/>
  <c r="E15" i="5"/>
  <c r="C15" i="5"/>
  <c r="L14" i="5"/>
  <c r="J14" i="5"/>
  <c r="H14" i="5"/>
  <c r="F14" i="5"/>
  <c r="D14" i="5"/>
  <c r="L13" i="5"/>
  <c r="J13" i="5"/>
  <c r="H13" i="5"/>
  <c r="F13" i="5"/>
  <c r="D13" i="5"/>
  <c r="I34" i="3"/>
  <c r="I31" i="3"/>
  <c r="I30" i="3"/>
  <c r="F33" i="3"/>
  <c r="F29" i="3"/>
  <c r="I25" i="3"/>
  <c r="I10" i="3"/>
  <c r="I32" i="28" l="1"/>
  <c r="I40" i="28" s="1"/>
  <c r="I42" i="28" s="1"/>
  <c r="E65" i="30" s="1"/>
  <c r="E31" i="28"/>
  <c r="F31" i="28"/>
  <c r="F32" i="28" s="1"/>
  <c r="F40" i="28" s="1"/>
  <c r="F42" i="28" s="1"/>
  <c r="E62" i="30" s="1"/>
  <c r="H32" i="28"/>
  <c r="H40" i="28" s="1"/>
  <c r="H42" i="28" s="1"/>
  <c r="E64" i="30" s="1"/>
  <c r="G32" i="28"/>
  <c r="G40" i="28" s="1"/>
  <c r="G42" i="28" s="1"/>
  <c r="E63" i="30" s="1"/>
  <c r="E11" i="35"/>
  <c r="E32" i="28" l="1"/>
  <c r="E40" i="28" s="1"/>
  <c r="K40" i="28" s="1"/>
  <c r="K31" i="28"/>
  <c r="G12" i="35"/>
  <c r="H12" i="35" s="1"/>
  <c r="E17" i="35"/>
  <c r="G15" i="35"/>
  <c r="I15" i="35" s="1"/>
  <c r="G14" i="35"/>
  <c r="G11" i="35"/>
  <c r="E42" i="28" l="1"/>
  <c r="E61" i="30" s="1"/>
  <c r="I17" i="35"/>
  <c r="G24" i="35" s="1"/>
  <c r="H14" i="35"/>
  <c r="G17" i="35"/>
  <c r="H11" i="35"/>
  <c r="K42" i="28" l="1"/>
  <c r="H17" i="35"/>
  <c r="G23" i="35" s="1"/>
  <c r="G27" i="35" s="1"/>
  <c r="N5" i="31" l="1"/>
  <c r="R15" i="31"/>
  <c r="G9" i="31"/>
  <c r="F9" i="31"/>
  <c r="D9" i="31"/>
  <c r="C9" i="31"/>
  <c r="B9" i="31"/>
  <c r="H10" i="31" s="1"/>
  <c r="E9" i="31"/>
  <c r="R5" i="31" l="1"/>
  <c r="N6" i="31"/>
  <c r="N7" i="31" s="1"/>
  <c r="N8" i="31" s="1"/>
  <c r="I10" i="31"/>
  <c r="Q15" i="31"/>
  <c r="S8" i="31"/>
  <c r="L5" i="31"/>
  <c r="I9" i="31"/>
  <c r="H9" i="31"/>
  <c r="U15" i="31" l="1"/>
  <c r="S15" i="31"/>
  <c r="V15" i="31" s="1"/>
  <c r="T15" i="31"/>
  <c r="T16" i="31" s="1"/>
  <c r="F24" i="35" s="1"/>
  <c r="H24" i="35" s="1"/>
  <c r="F10" i="34" s="1"/>
  <c r="R12" i="31"/>
  <c r="S12" i="31" s="1"/>
  <c r="T5" i="31"/>
  <c r="T6" i="31"/>
  <c r="T7" i="31"/>
  <c r="Q12" i="31"/>
  <c r="L6" i="31"/>
  <c r="L7" i="31" s="1"/>
  <c r="L8" i="31" s="1"/>
  <c r="V16" i="31"/>
  <c r="F26" i="35" s="1"/>
  <c r="U16" i="31"/>
  <c r="S6" i="31"/>
  <c r="T8" i="31"/>
  <c r="O8" i="31"/>
  <c r="O6" i="31"/>
  <c r="O5" i="31"/>
  <c r="O7" i="31"/>
  <c r="M5" i="31"/>
  <c r="R16" i="31" l="1"/>
  <c r="T9" i="31"/>
  <c r="F14" i="34"/>
  <c r="F21" i="34"/>
  <c r="F25" i="35"/>
  <c r="H25" i="35" s="1"/>
  <c r="G10" i="34" s="1"/>
  <c r="G21" i="34" s="1"/>
  <c r="H26" i="35"/>
  <c r="H10" i="34" s="1"/>
  <c r="H21" i="34" s="1"/>
  <c r="S16" i="31"/>
  <c r="F23" i="35" s="1"/>
  <c r="S5" i="31"/>
  <c r="W16" i="31" l="1"/>
  <c r="G14" i="34"/>
  <c r="H14" i="34"/>
  <c r="F27" i="35"/>
  <c r="H23" i="35"/>
  <c r="M6" i="31"/>
  <c r="F28" i="26"/>
  <c r="F42" i="26"/>
  <c r="F23" i="26"/>
  <c r="H31" i="30"/>
  <c r="G16" i="32" s="1"/>
  <c r="H21" i="29"/>
  <c r="J20" i="29"/>
  <c r="J19" i="29"/>
  <c r="H13" i="29"/>
  <c r="H12" i="29"/>
  <c r="J11" i="29"/>
  <c r="J23" i="29"/>
  <c r="J16" i="29"/>
  <c r="J15" i="29"/>
  <c r="J14" i="29"/>
  <c r="J10" i="29"/>
  <c r="J9" i="29"/>
  <c r="E5" i="29"/>
  <c r="C25" i="29"/>
  <c r="J7" i="29"/>
  <c r="H5" i="29"/>
  <c r="F44" i="26"/>
  <c r="H27" i="35" l="1"/>
  <c r="D10" i="34" s="1"/>
  <c r="F11" i="34" s="1"/>
  <c r="E10" i="34"/>
  <c r="K10" i="34" s="1"/>
  <c r="J13" i="29"/>
  <c r="H37" i="29"/>
  <c r="J37" i="29" s="1"/>
  <c r="J12" i="29"/>
  <c r="H36" i="29"/>
  <c r="J21" i="29"/>
  <c r="H44" i="29"/>
  <c r="J25" i="30"/>
  <c r="H43" i="26"/>
  <c r="D25" i="26"/>
  <c r="H25" i="29"/>
  <c r="J24" i="29"/>
  <c r="E25" i="29"/>
  <c r="F5" i="29"/>
  <c r="J4" i="29"/>
  <c r="D5" i="29"/>
  <c r="G5" i="29"/>
  <c r="D38" i="26"/>
  <c r="F34" i="26"/>
  <c r="D40" i="26"/>
  <c r="F36" i="26"/>
  <c r="F21" i="26"/>
  <c r="H22" i="26" s="1"/>
  <c r="F39" i="26" s="1"/>
  <c r="J36" i="29" l="1"/>
  <c r="E34" i="30"/>
  <c r="J44" i="29"/>
  <c r="E51" i="30"/>
  <c r="J51" i="30" s="1"/>
  <c r="E21" i="34"/>
  <c r="J21" i="34" s="1"/>
  <c r="E11" i="34"/>
  <c r="E14" i="34"/>
  <c r="D14" i="34" s="1"/>
  <c r="G25" i="29"/>
  <c r="J5" i="29"/>
  <c r="H11" i="26"/>
  <c r="F19" i="26" s="1"/>
  <c r="F63" i="30"/>
  <c r="F69" i="30"/>
  <c r="F25" i="26"/>
  <c r="H25" i="26" s="1"/>
  <c r="D28" i="26" s="1"/>
  <c r="H28" i="26" s="1"/>
  <c r="F32" i="26" s="1"/>
  <c r="H31" i="26" s="1"/>
  <c r="D34" i="26" s="1"/>
  <c r="F25" i="29"/>
  <c r="D25" i="29"/>
  <c r="G65" i="30"/>
  <c r="H65" i="30" s="1"/>
  <c r="G25" i="32" s="1"/>
  <c r="H39" i="26"/>
  <c r="E15" i="34" l="1"/>
  <c r="F15" i="34"/>
  <c r="G11" i="34"/>
  <c r="H11" i="34"/>
  <c r="F49" i="30"/>
  <c r="G49" i="30" s="1"/>
  <c r="H49" i="30" s="1"/>
  <c r="F21" i="32" s="1"/>
  <c r="F32" i="30"/>
  <c r="G32" i="30" s="1"/>
  <c r="H32" i="30" s="1"/>
  <c r="H16" i="32" s="1"/>
  <c r="F70" i="30"/>
  <c r="F64" i="30"/>
  <c r="G64" i="30" s="1"/>
  <c r="H64" i="30" s="1"/>
  <c r="H25" i="32" s="1"/>
  <c r="F42" i="30"/>
  <c r="G42" i="30" s="1"/>
  <c r="H42" i="30" s="1"/>
  <c r="F20" i="32" s="1"/>
  <c r="F25" i="30"/>
  <c r="G25" i="30" s="1"/>
  <c r="H25" i="30" s="1"/>
  <c r="H14" i="32" s="1"/>
  <c r="F19" i="30"/>
  <c r="F52" i="30"/>
  <c r="G52" i="30" s="1"/>
  <c r="H52" i="30" s="1"/>
  <c r="F14" i="30"/>
  <c r="F40" i="30"/>
  <c r="G40" i="30" s="1"/>
  <c r="H40" i="30" s="1"/>
  <c r="K40" i="30" s="1"/>
  <c r="D19" i="32" s="1"/>
  <c r="F19" i="32" s="1"/>
  <c r="K19" i="32" s="1"/>
  <c r="F37" i="30"/>
  <c r="G37" i="30" s="1"/>
  <c r="H37" i="30" s="1"/>
  <c r="F18" i="32" s="1"/>
  <c r="H18" i="26"/>
  <c r="D36" i="26" s="1"/>
  <c r="I25" i="29"/>
  <c r="G63" i="30"/>
  <c r="H63" i="30" s="1"/>
  <c r="E25" i="32" s="1"/>
  <c r="G15" i="34"/>
  <c r="H15" i="34"/>
  <c r="F30" i="30"/>
  <c r="G30" i="30" s="1"/>
  <c r="H30" i="30" s="1"/>
  <c r="F16" i="32" s="1"/>
  <c r="F17" i="30"/>
  <c r="F12" i="30"/>
  <c r="F68" i="30"/>
  <c r="F24" i="30"/>
  <c r="G24" i="30" s="1"/>
  <c r="H24" i="30" s="1"/>
  <c r="F14" i="32" s="1"/>
  <c r="F62" i="30"/>
  <c r="G62" i="30" s="1"/>
  <c r="H62" i="30" s="1"/>
  <c r="J25" i="29"/>
  <c r="H35" i="26" l="1"/>
  <c r="D11" i="34"/>
  <c r="M7" i="31"/>
  <c r="F20" i="30"/>
  <c r="F34" i="30"/>
  <c r="F39" i="30"/>
  <c r="G39" i="30" s="1"/>
  <c r="H39" i="30" s="1"/>
  <c r="H18" i="32" s="1"/>
  <c r="F56" i="30"/>
  <c r="G56" i="30" s="1"/>
  <c r="H56" i="30" s="1"/>
  <c r="F44" i="30"/>
  <c r="F51" i="30"/>
  <c r="G51" i="30" s="1"/>
  <c r="H51" i="30" s="1"/>
  <c r="H21" i="32" s="1"/>
  <c r="F21" i="30"/>
  <c r="G21" i="30" s="1"/>
  <c r="H21" i="30" s="1"/>
  <c r="F48" i="30"/>
  <c r="G48" i="30" s="1"/>
  <c r="H48" i="30" s="1"/>
  <c r="F36" i="30"/>
  <c r="G36" i="30" s="1"/>
  <c r="H36" i="30" s="1"/>
  <c r="H22" i="32"/>
  <c r="K22" i="32" s="1"/>
  <c r="K52" i="30"/>
  <c r="D22" i="32" s="1"/>
  <c r="J65" i="30"/>
  <c r="D15" i="34"/>
  <c r="F29" i="30"/>
  <c r="G29" i="30" s="1"/>
  <c r="H29" i="30" s="1"/>
  <c r="E16" i="32" s="1"/>
  <c r="K16" i="32" s="1"/>
  <c r="F27" i="30"/>
  <c r="F67" i="30"/>
  <c r="F61" i="30"/>
  <c r="F23" i="30"/>
  <c r="G23" i="30" s="1"/>
  <c r="H23" i="30" s="1"/>
  <c r="E14" i="32" s="1"/>
  <c r="K14" i="32" s="1"/>
  <c r="F16" i="30"/>
  <c r="F11" i="30"/>
  <c r="E13" i="32" l="1"/>
  <c r="K21" i="30"/>
  <c r="D13" i="32" s="1"/>
  <c r="K51" i="30"/>
  <c r="D21" i="32" s="1"/>
  <c r="E21" i="32"/>
  <c r="K21" i="32" s="1"/>
  <c r="H24" i="32"/>
  <c r="K24" i="32" s="1"/>
  <c r="K56" i="30"/>
  <c r="D24" i="32" s="1"/>
  <c r="E18" i="32"/>
  <c r="K18" i="32" s="1"/>
  <c r="K39" i="30"/>
  <c r="D18" i="32" s="1"/>
  <c r="G61" i="30"/>
  <c r="H61" i="30" s="1"/>
  <c r="F25" i="32" s="1"/>
  <c r="K25" i="32" s="1"/>
  <c r="K25" i="30"/>
  <c r="D14" i="32" s="1"/>
  <c r="K13" i="32" l="1"/>
  <c r="K65" i="30"/>
  <c r="D25" i="32" s="1"/>
  <c r="I27" i="3" l="1"/>
  <c r="C34" i="29" s="1"/>
  <c r="J27" i="30" l="1"/>
  <c r="G27" i="30"/>
  <c r="H27" i="30" s="1"/>
  <c r="K27" i="30" l="1"/>
  <c r="D15" i="32" s="1"/>
  <c r="E15" i="32"/>
  <c r="K15" i="32" l="1"/>
  <c r="E27" i="32"/>
  <c r="M8" i="31" l="1"/>
  <c r="H43" i="30"/>
  <c r="G20" i="32" s="1"/>
  <c r="G44" i="30"/>
  <c r="H44" i="30" s="1"/>
  <c r="H20" i="32" s="1"/>
  <c r="K20" i="32" s="1"/>
  <c r="J32" i="30" l="1"/>
  <c r="K32" i="30" l="1"/>
  <c r="D16" i="32" s="1"/>
  <c r="J44" i="30"/>
  <c r="K44" i="30" l="1"/>
  <c r="D20" i="32" s="1"/>
  <c r="D69" i="10" l="1"/>
  <c r="D68" i="10"/>
  <c r="D67" i="10"/>
  <c r="D73" i="10" l="1"/>
  <c r="G12" i="10" s="1"/>
  <c r="I11" i="3" s="1"/>
  <c r="G11" i="3" s="1"/>
  <c r="M18" i="5"/>
  <c r="M17" i="5"/>
  <c r="M23" i="5" s="1"/>
  <c r="M14" i="5"/>
  <c r="M13" i="5"/>
  <c r="L20" i="5"/>
  <c r="K20" i="5"/>
  <c r="E20" i="5"/>
  <c r="I20" i="5"/>
  <c r="M12" i="5"/>
  <c r="M15" i="5" l="1"/>
  <c r="H20" i="5"/>
  <c r="J20" i="5"/>
  <c r="G20" i="5"/>
  <c r="D20" i="5"/>
  <c r="C20" i="5"/>
  <c r="F20" i="5" l="1"/>
  <c r="P20" i="5" s="1"/>
  <c r="M20" i="5"/>
  <c r="M24" i="5" l="1"/>
  <c r="P24" i="5" l="1"/>
  <c r="G49" i="27" l="1"/>
  <c r="H49" i="27"/>
  <c r="E49" i="27"/>
  <c r="E51" i="27" s="1"/>
  <c r="E67" i="30" s="1"/>
  <c r="I49" i="27"/>
  <c r="F49" i="27"/>
  <c r="F51" i="27" s="1"/>
  <c r="E68" i="30" s="1"/>
  <c r="E25" i="16"/>
  <c r="G25" i="16" s="1"/>
  <c r="H25" i="16" s="1"/>
  <c r="E24" i="16"/>
  <c r="E71" i="30" l="1"/>
  <c r="G71" i="30" s="1"/>
  <c r="H71" i="30" s="1"/>
  <c r="G12" i="33" s="1"/>
  <c r="I51" i="27"/>
  <c r="H51" i="27"/>
  <c r="E70" i="30" s="1"/>
  <c r="G70" i="30" s="1"/>
  <c r="H70" i="30" s="1"/>
  <c r="G51" i="27"/>
  <c r="E69" i="30" s="1"/>
  <c r="G69" i="30" s="1"/>
  <c r="H69" i="30" s="1"/>
  <c r="K49" i="27"/>
  <c r="G68" i="30"/>
  <c r="H68" i="30" s="1"/>
  <c r="G67" i="30"/>
  <c r="H67" i="30" s="1"/>
  <c r="E26" i="16"/>
  <c r="E27" i="16" s="1"/>
  <c r="F12" i="33" l="1"/>
  <c r="E12" i="33"/>
  <c r="J71" i="30"/>
  <c r="K71" i="30"/>
  <c r="D12" i="33" s="1"/>
  <c r="J12" i="33" l="1"/>
  <c r="I14" i="3"/>
  <c r="I35" i="3" l="1"/>
  <c r="E53" i="30" s="1"/>
  <c r="I33" i="3"/>
  <c r="I21" i="3"/>
  <c r="I29" i="3"/>
  <c r="I36" i="3"/>
  <c r="J53" i="30" l="1"/>
  <c r="G53" i="30"/>
  <c r="H53" i="30" s="1"/>
  <c r="G23" i="32" s="1"/>
  <c r="K23" i="32" s="1"/>
  <c r="J20" i="30" l="1"/>
  <c r="G20" i="30"/>
  <c r="H20" i="30" s="1"/>
  <c r="H12" i="32" s="1"/>
  <c r="K12" i="32" s="1"/>
  <c r="K53" i="30"/>
  <c r="D23" i="32" s="1"/>
  <c r="J34" i="30"/>
  <c r="G34" i="30"/>
  <c r="H34" i="30" s="1"/>
  <c r="H17" i="32" s="1"/>
  <c r="K17" i="32" s="1"/>
  <c r="G24" i="16"/>
  <c r="H24" i="16" s="1"/>
  <c r="K20" i="30" l="1"/>
  <c r="D12" i="32" s="1"/>
  <c r="K34" i="30"/>
  <c r="D17" i="32" s="1"/>
  <c r="H26" i="16"/>
  <c r="H27" i="16" s="1"/>
  <c r="H29" i="16" s="1"/>
  <c r="G23" i="3" s="1"/>
  <c r="H17" i="10"/>
  <c r="G17" i="10"/>
  <c r="F37" i="3"/>
  <c r="I24" i="3" l="1"/>
  <c r="C31" i="29" s="1"/>
  <c r="G54" i="10"/>
  <c r="G55" i="10" s="1"/>
  <c r="D61" i="10" s="1"/>
  <c r="F61" i="10" s="1"/>
  <c r="E31" i="29" l="1"/>
  <c r="H31" i="29"/>
  <c r="E19" i="30" s="1"/>
  <c r="G19" i="30" s="1"/>
  <c r="H19" i="30" s="1"/>
  <c r="H11" i="32" s="1"/>
  <c r="F31" i="29"/>
  <c r="E17" i="30" s="1"/>
  <c r="G17" i="30" s="1"/>
  <c r="H17" i="30" s="1"/>
  <c r="G31" i="29"/>
  <c r="E18" i="30" s="1"/>
  <c r="G18" i="30" s="1"/>
  <c r="H18" i="30" s="1"/>
  <c r="G11" i="32" s="1"/>
  <c r="D31" i="29"/>
  <c r="F53" i="10"/>
  <c r="F55" i="10" s="1"/>
  <c r="D60" i="10" s="1"/>
  <c r="E55" i="10"/>
  <c r="D59" i="10" s="1"/>
  <c r="H29" i="29"/>
  <c r="E14" i="30" s="1"/>
  <c r="E29" i="29"/>
  <c r="D29" i="29"/>
  <c r="F29" i="29"/>
  <c r="E12" i="30" s="1"/>
  <c r="G29" i="29"/>
  <c r="E13" i="30" s="1"/>
  <c r="E11" i="30" l="1"/>
  <c r="E16" i="30"/>
  <c r="J31" i="29"/>
  <c r="D62" i="10"/>
  <c r="F60" i="10"/>
  <c r="E48" i="29"/>
  <c r="F48" i="29"/>
  <c r="G12" i="30"/>
  <c r="H12" i="30" s="1"/>
  <c r="D48" i="29"/>
  <c r="J29" i="29"/>
  <c r="J39" i="29"/>
  <c r="G14" i="30"/>
  <c r="H14" i="30" s="1"/>
  <c r="H10" i="32" s="1"/>
  <c r="H27" i="32" s="1"/>
  <c r="D28" i="32" s="1"/>
  <c r="H48" i="29"/>
  <c r="G48" i="29"/>
  <c r="G13" i="30"/>
  <c r="H13" i="30" s="1"/>
  <c r="G10" i="32" s="1"/>
  <c r="G27" i="32" s="1"/>
  <c r="I28" i="3"/>
  <c r="F62" i="10" l="1"/>
  <c r="G8" i="10" s="1"/>
  <c r="J48" i="29"/>
  <c r="J19" i="30"/>
  <c r="G16" i="30"/>
  <c r="H16" i="30" s="1"/>
  <c r="F11" i="32" s="1"/>
  <c r="K11" i="32" s="1"/>
  <c r="I48" i="29"/>
  <c r="J14" i="30"/>
  <c r="E58" i="30"/>
  <c r="E73" i="30" s="1"/>
  <c r="G11" i="30"/>
  <c r="G58" i="30" l="1"/>
  <c r="H11" i="30"/>
  <c r="F10" i="32" s="1"/>
  <c r="K19" i="30"/>
  <c r="D11" i="32" s="1"/>
  <c r="J58" i="30"/>
  <c r="J73" i="30" s="1"/>
  <c r="K10" i="32" l="1"/>
  <c r="K27" i="32" s="1"/>
  <c r="F27" i="32"/>
  <c r="G73" i="30"/>
  <c r="G77" i="30" s="1"/>
  <c r="H58" i="30"/>
  <c r="K14" i="30"/>
  <c r="E18" i="10"/>
  <c r="G21" i="10"/>
  <c r="B28" i="10"/>
  <c r="K28" i="32" l="1"/>
  <c r="K58" i="30"/>
  <c r="D10" i="32"/>
  <c r="D27" i="32" s="1"/>
  <c r="D29" i="32" s="1"/>
  <c r="G33" i="2"/>
  <c r="G81" i="30"/>
  <c r="G82" i="30" s="1"/>
  <c r="H73" i="30"/>
  <c r="J60" i="30"/>
  <c r="E17" i="10"/>
  <c r="F17" i="10"/>
  <c r="B26" i="10"/>
  <c r="B27" i="10"/>
  <c r="B29" i="10"/>
  <c r="C22" i="10"/>
  <c r="F40" i="3"/>
  <c r="F16" i="3"/>
  <c r="D12" i="16"/>
  <c r="I15" i="3"/>
  <c r="J33" i="2" l="1"/>
  <c r="C69" i="15"/>
  <c r="D69" i="15" s="1"/>
  <c r="C68" i="15"/>
  <c r="D68" i="15" s="1"/>
  <c r="C67" i="15"/>
  <c r="D67" i="15" s="1"/>
  <c r="C72" i="15"/>
  <c r="D72" i="15" s="1"/>
  <c r="C71" i="15"/>
  <c r="D71" i="15" s="1"/>
  <c r="C70" i="15"/>
  <c r="D70" i="15" s="1"/>
  <c r="K73" i="30"/>
  <c r="L65" i="30"/>
  <c r="L71" i="30" s="1"/>
  <c r="G31" i="32"/>
  <c r="G33" i="32" s="1"/>
  <c r="G35" i="32" s="1"/>
  <c r="G11" i="33" s="1"/>
  <c r="G13" i="33" s="1"/>
  <c r="G21" i="33" s="1"/>
  <c r="D31" i="34" s="1"/>
  <c r="E31" i="32"/>
  <c r="F31" i="32"/>
  <c r="F33" i="32" s="1"/>
  <c r="F35" i="32" s="1"/>
  <c r="F11" i="33" s="1"/>
  <c r="F13" i="33" s="1"/>
  <c r="F21" i="33" s="1"/>
  <c r="D18" i="34" s="1"/>
  <c r="F18" i="34" s="1"/>
  <c r="J75" i="30"/>
  <c r="G37" i="10"/>
  <c r="F36" i="10"/>
  <c r="E39" i="10"/>
  <c r="D43" i="10" s="1"/>
  <c r="F20" i="10"/>
  <c r="C26" i="10"/>
  <c r="F26" i="10" s="1"/>
  <c r="E6" i="10"/>
  <c r="I48" i="3"/>
  <c r="E19" i="10"/>
  <c r="F19" i="10" s="1"/>
  <c r="E20" i="10"/>
  <c r="E21" i="10"/>
  <c r="E16" i="16"/>
  <c r="E18" i="16" s="1"/>
  <c r="C17" i="16"/>
  <c r="D22" i="10"/>
  <c r="F21" i="10"/>
  <c r="F41" i="3"/>
  <c r="D73" i="15" l="1"/>
  <c r="G12" i="15" s="1"/>
  <c r="E33" i="32"/>
  <c r="D31" i="32"/>
  <c r="H21" i="10"/>
  <c r="H22" i="10" s="1"/>
  <c r="G39" i="10"/>
  <c r="D45" i="10" s="1"/>
  <c r="F45" i="10" s="1"/>
  <c r="F39" i="10"/>
  <c r="D44" i="10" s="1"/>
  <c r="F44" i="10" s="1"/>
  <c r="H39" i="10"/>
  <c r="D46" i="10" s="1"/>
  <c r="F46" i="10" s="1"/>
  <c r="E9" i="10"/>
  <c r="D32" i="34" s="1"/>
  <c r="D33" i="34" s="1"/>
  <c r="I26" i="3"/>
  <c r="G20" i="10"/>
  <c r="G22" i="10" s="1"/>
  <c r="C30" i="10"/>
  <c r="F6" i="10"/>
  <c r="F22" i="10"/>
  <c r="E22" i="10"/>
  <c r="C33" i="29" l="1"/>
  <c r="C48" i="29" s="1"/>
  <c r="E35" i="32"/>
  <c r="E11" i="33" s="1"/>
  <c r="D33" i="32"/>
  <c r="D35" i="32" s="1"/>
  <c r="D11" i="33" s="1"/>
  <c r="D13" i="33" s="1"/>
  <c r="D21" i="33" s="1"/>
  <c r="F47" i="10"/>
  <c r="G7" i="10" s="1"/>
  <c r="D47" i="10"/>
  <c r="F9" i="10"/>
  <c r="D29" i="10"/>
  <c r="F29" i="10" s="1"/>
  <c r="D28" i="10"/>
  <c r="F28" i="10" s="1"/>
  <c r="D27" i="10"/>
  <c r="F27" i="10" s="1"/>
  <c r="D26" i="10"/>
  <c r="I38" i="3"/>
  <c r="C49" i="29" s="1"/>
  <c r="C50" i="29" l="1"/>
  <c r="E13" i="33"/>
  <c r="E21" i="33" s="1"/>
  <c r="J11" i="33"/>
  <c r="J13" i="33" s="1"/>
  <c r="F30" i="10"/>
  <c r="G6" i="10" s="1"/>
  <c r="G9" i="10" s="1"/>
  <c r="G11" i="10" s="1"/>
  <c r="D30" i="10"/>
  <c r="I37" i="3"/>
  <c r="I40" i="3" s="1"/>
  <c r="I9" i="3" l="1"/>
  <c r="M11" i="3" s="1"/>
  <c r="G13" i="10"/>
  <c r="J21" i="33"/>
  <c r="D17" i="34"/>
  <c r="F17" i="34" s="1"/>
  <c r="F19" i="34" s="1"/>
  <c r="F23" i="34" s="1"/>
  <c r="F25" i="34" s="1"/>
  <c r="G9" i="3"/>
  <c r="I52" i="3"/>
  <c r="I44" i="3"/>
  <c r="I47" i="3" s="1"/>
  <c r="I51" i="3" s="1"/>
  <c r="J13" i="15" s="1"/>
  <c r="G12" i="2" l="1"/>
  <c r="H17" i="34"/>
  <c r="G17" i="34"/>
  <c r="E17" i="34"/>
  <c r="I53" i="3"/>
  <c r="I16" i="3"/>
  <c r="I41" i="3" s="1"/>
  <c r="E27" i="15" l="1"/>
  <c r="F27" i="15" s="1"/>
  <c r="G18" i="2"/>
  <c r="K31" i="34"/>
  <c r="J17" i="34"/>
  <c r="I54" i="3"/>
  <c r="G10" i="15" s="1"/>
  <c r="E44" i="15" l="1"/>
  <c r="F44" i="15" s="1"/>
  <c r="E18" i="34"/>
  <c r="H18" i="34"/>
  <c r="H19" i="34" s="1"/>
  <c r="H23" i="34" s="1"/>
  <c r="H25" i="34" s="1"/>
  <c r="G18" i="34"/>
  <c r="G19" i="34" s="1"/>
  <c r="G23" i="34" s="1"/>
  <c r="G25" i="34" s="1"/>
  <c r="D19" i="34"/>
  <c r="D37" i="34" s="1"/>
  <c r="G29" i="2" l="1"/>
  <c r="G13" i="2"/>
  <c r="G30" i="2"/>
  <c r="G14" i="2"/>
  <c r="K32" i="34"/>
  <c r="G24" i="2"/>
  <c r="J18" i="34"/>
  <c r="E19" i="34"/>
  <c r="E29" i="15" l="1"/>
  <c r="F29" i="15" s="1"/>
  <c r="E61" i="15"/>
  <c r="F61" i="15" s="1"/>
  <c r="E60" i="15"/>
  <c r="F60" i="15" s="1"/>
  <c r="E28" i="15"/>
  <c r="F28" i="15" s="1"/>
  <c r="G20" i="2"/>
  <c r="G19" i="2"/>
  <c r="E23" i="34"/>
  <c r="E25" i="34" s="1"/>
  <c r="J19" i="34"/>
  <c r="G25" i="2"/>
  <c r="E46" i="15" l="1"/>
  <c r="F46" i="15" s="1"/>
  <c r="E45" i="15"/>
  <c r="F45" i="15" s="1"/>
  <c r="G11" i="2"/>
  <c r="E12" i="37" s="1"/>
  <c r="E13" i="37" l="1"/>
  <c r="F12" i="37"/>
  <c r="G12" i="37" s="1"/>
  <c r="J11" i="2"/>
  <c r="G17" i="2"/>
  <c r="E26" i="15"/>
  <c r="F26" i="15" s="1"/>
  <c r="F30" i="15" s="1"/>
  <c r="G6" i="15" s="1"/>
  <c r="O11" i="2"/>
  <c r="P11" i="2" s="1"/>
  <c r="Q11" i="2" s="1"/>
  <c r="E14" i="37" l="1"/>
  <c r="F13" i="37"/>
  <c r="G13" i="37" s="1"/>
  <c r="J17" i="2"/>
  <c r="G23" i="2"/>
  <c r="O12" i="2"/>
  <c r="P12" i="2" s="1"/>
  <c r="Q12" i="2" s="1"/>
  <c r="E43" i="15"/>
  <c r="F43" i="15" s="1"/>
  <c r="F47" i="15" s="1"/>
  <c r="G7" i="15" s="1"/>
  <c r="E15" i="37" l="1"/>
  <c r="F14" i="37"/>
  <c r="G14" i="37" s="1"/>
  <c r="G28" i="2"/>
  <c r="O13" i="2" s="1"/>
  <c r="P13" i="2" s="1"/>
  <c r="Q13" i="2" s="1"/>
  <c r="J23" i="2"/>
  <c r="E16" i="37" l="1"/>
  <c r="F15" i="37"/>
  <c r="G15" i="37" s="1"/>
  <c r="E59" i="15"/>
  <c r="F59" i="15" s="1"/>
  <c r="F62" i="15" s="1"/>
  <c r="G8" i="15" s="1"/>
  <c r="G9" i="15" s="1"/>
  <c r="G11" i="15" s="1"/>
  <c r="G13" i="15" s="1"/>
  <c r="J14" i="15" s="1"/>
  <c r="J28" i="2"/>
  <c r="E17" i="37" l="1"/>
  <c r="F16" i="37"/>
  <c r="G16" i="37" s="1"/>
  <c r="E18" i="37" l="1"/>
  <c r="F18" i="37" s="1"/>
  <c r="G18" i="37" s="1"/>
  <c r="F17" i="37"/>
  <c r="G1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</authors>
  <commentList>
    <comment ref="R5" authorId="0" shapeId="0" xr:uid="{0C63AABB-88F2-4B13-8CE2-FDBD10A00420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See email from Skip Campbell 12/13/22</t>
        </r>
      </text>
    </comment>
    <comment ref="J15" authorId="0" shapeId="0" xr:uid="{3880C7DF-3FB6-422A-B360-991067B3E0BF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Masion Lafferty</t>
        </r>
      </text>
    </comment>
    <comment ref="J16" authorId="0" shapeId="0" xr:uid="{F780A035-33DD-4D15-B13A-07D570439394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Masion Lafferty</t>
        </r>
      </text>
    </comment>
    <comment ref="J17" authorId="0" shapeId="0" xr:uid="{D0FDE188-CA08-42B5-8E1C-17A283A46FB7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David Matthews</t>
        </r>
      </text>
    </comment>
    <comment ref="J20" authorId="0" shapeId="0" xr:uid="{2AD2DB64-3525-4A63-BD9F-C05CC8C98F14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Christopher Jewel
</t>
        </r>
      </text>
    </comment>
    <comment ref="J21" authorId="0" shapeId="0" xr:uid="{8EFAEB83-9423-4AEA-94ED-F7E1BE028C02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Anis Key
</t>
        </r>
      </text>
    </comment>
    <comment ref="J33" authorId="0" shapeId="0" xr:uid="{4DE4A368-46AE-42EC-A336-EBFDB53BC58B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Jason Logsdon</t>
        </r>
      </text>
    </comment>
    <comment ref="C34" authorId="0" shapeId="0" xr:uid="{C610E837-DB62-4CCB-A146-35AD950412FC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See Leslie's email of 12/16/22
</t>
        </r>
      </text>
    </comment>
    <comment ref="J34" authorId="0" shapeId="0" xr:uid="{8C3A40AD-C044-415C-B524-08791238E7DD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
 Darrell McCorkle
</t>
        </r>
      </text>
    </comment>
    <comment ref="J73" authorId="0" shapeId="0" xr:uid="{03E8501B-6A5C-426D-90FC-A19FC2210A7C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Replaced Christopher Jewel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</authors>
  <commentList>
    <comment ref="D45" authorId="0" shapeId="0" xr:uid="{6DB6E347-E798-4508-85CB-8F7FC50C7133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Kenvirons
Util Accts spreadsheet</t>
        </r>
      </text>
    </comment>
    <comment ref="F45" authorId="0" shapeId="0" xr:uid="{D6233931-0657-41E1-8F5E-8606FFBFF430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Kenvirons
Exp. Summary Spreadsheet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N9" authorId="0" shapeId="0" xr:uid="{59E8A456-4BC8-41B0-A440-F98444A75A5E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See Lesliie's email of 
12/14/22</t>
        </r>
      </text>
    </comment>
  </commentList>
</comments>
</file>

<file path=xl/sharedStrings.xml><?xml version="1.0" encoding="utf-8"?>
<sst xmlns="http://schemas.openxmlformats.org/spreadsheetml/2006/main" count="1121" uniqueCount="615">
  <si>
    <t>Table B</t>
  </si>
  <si>
    <t>DEPRECIATION EXPENSE ADJUSTMENTS</t>
  </si>
  <si>
    <t>TOTALS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</si>
  <si>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</si>
  <si>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</si>
  <si>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</si>
  <si>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</si>
  <si>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</si>
  <si>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</si>
  <si>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</si>
  <si>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</si>
  <si>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</si>
  <si>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</si>
  <si>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</si>
  <si>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</si>
  <si>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</si>
  <si>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</si>
  <si>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</si>
  <si>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</si>
  <si>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</si>
  <si>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</si>
  <si>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</si>
  <si>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</si>
  <si>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</si>
  <si>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</si>
  <si>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</si>
  <si>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</si>
  <si>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</si>
  <si>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</si>
  <si>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</si>
  <si>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</si>
  <si>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</si>
  <si>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Depreciation</t>
  </si>
  <si>
    <t>DEBT SERVICE SCHDULE</t>
  </si>
  <si>
    <t>Principal</t>
  </si>
  <si>
    <t>Interest</t>
  </si>
  <si>
    <t>Totals</t>
  </si>
  <si>
    <t>REVENUE REQUIREMENTS</t>
  </si>
  <si>
    <t>Table A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</si>
  <si>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</si>
  <si>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</si>
  <si>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</si>
  <si>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</si>
  <si>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</si>
  <si>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</si>
  <si>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</si>
  <si>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</si>
  <si>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</si>
  <si>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</si>
  <si>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</si>
  <si>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</si>
  <si>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</si>
  <si>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</si>
  <si>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</si>
  <si>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</si>
  <si>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</si>
  <si>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</si>
  <si>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</si>
  <si>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</si>
  <si>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</si>
  <si>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</si>
  <si>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</si>
  <si>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</si>
  <si>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</si>
  <si>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</si>
  <si>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</si>
  <si>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</si>
  <si>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NEXT</t>
  </si>
  <si>
    <t>First</t>
  </si>
  <si>
    <t>Next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</si>
  <si>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</si>
  <si>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</si>
  <si>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</si>
  <si>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</si>
  <si>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</si>
  <si>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</si>
  <si>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</si>
  <si>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AND PROPOSED RATES</t>
  </si>
  <si>
    <t>Pro Forma</t>
  </si>
  <si>
    <t>Test Year</t>
  </si>
  <si>
    <t xml:space="preserve">  SUMMARY  </t>
  </si>
  <si>
    <t>Health Insurance Adjustment</t>
  </si>
  <si>
    <t xml:space="preserve">   Plus:</t>
  </si>
  <si>
    <t xml:space="preserve">   Less:</t>
  </si>
  <si>
    <t>A</t>
  </si>
  <si>
    <t>E</t>
  </si>
  <si>
    <t>G</t>
  </si>
  <si>
    <t>H</t>
  </si>
  <si>
    <t>J</t>
  </si>
  <si>
    <t>Revenue Required From Water Sales</t>
  </si>
  <si>
    <t>Table D</t>
  </si>
  <si>
    <t>5/8" x 3/4" METERS</t>
  </si>
  <si>
    <t>1" METERS</t>
  </si>
  <si>
    <t>2" METERS</t>
  </si>
  <si>
    <t xml:space="preserve">     5/8" X 3/4" Meters</t>
  </si>
  <si>
    <t xml:space="preserve">     1" Meters</t>
  </si>
  <si>
    <t xml:space="preserve">     2" Meters</t>
  </si>
  <si>
    <t>Dist. Contrib</t>
  </si>
  <si>
    <t>BLS avg.</t>
  </si>
  <si>
    <t>Empl. rate</t>
  </si>
  <si>
    <t>Premium</t>
  </si>
  <si>
    <t>Adj'mt.</t>
  </si>
  <si>
    <t>at 100% *</t>
  </si>
  <si>
    <t>Allowable monthly prem.</t>
  </si>
  <si>
    <t>Allowable annual prem.</t>
  </si>
  <si>
    <t>Less prem. pd. in test yr.</t>
  </si>
  <si>
    <t>5/8" x 3/4" Meters</t>
  </si>
  <si>
    <t>1" Meters</t>
  </si>
  <si>
    <t>2" Meters</t>
  </si>
  <si>
    <t>Pro Forma Salaries &amp; Wages Expense</t>
  </si>
  <si>
    <t xml:space="preserve"> </t>
  </si>
  <si>
    <t>Times: 7.65 Percent FICA Rate</t>
  </si>
  <si>
    <t>Pro Forma Payroll Taxes</t>
  </si>
  <si>
    <t>Less: Test Year Payroll Taxes</t>
  </si>
  <si>
    <t>Payroll Tax Adjustment</t>
  </si>
  <si>
    <t>Salaries &amp; Wages and Associated Adjustments</t>
  </si>
  <si>
    <t>Pro Forma Salaries &amp; Wages Adj'mt</t>
  </si>
  <si>
    <t>D</t>
  </si>
  <si>
    <t>Table C</t>
  </si>
  <si>
    <t>Percent</t>
  </si>
  <si>
    <t>Proposed</t>
  </si>
  <si>
    <t>Bad Debt</t>
  </si>
  <si>
    <t>Other Water Revenues</t>
  </si>
  <si>
    <t>Health (emp)</t>
  </si>
  <si>
    <t>1-1/2" Meters</t>
  </si>
  <si>
    <t>Total Retail Metered Sales</t>
  </si>
  <si>
    <t>Meters</t>
  </si>
  <si>
    <t>Addition to Depreciation Expense:</t>
  </si>
  <si>
    <t>Sales for Resale</t>
  </si>
  <si>
    <t>Chemicals</t>
  </si>
  <si>
    <t>Insurance</t>
  </si>
  <si>
    <t>WL &lt; 15% no adjmt req'd</t>
  </si>
  <si>
    <t>CY 2023</t>
  </si>
  <si>
    <t>CY 2024</t>
  </si>
  <si>
    <t>CY 2025</t>
  </si>
  <si>
    <t>CY 2026</t>
  </si>
  <si>
    <t>&amp; Fees</t>
  </si>
  <si>
    <t>SALES FOR RESALE</t>
  </si>
  <si>
    <t>K GALS</t>
  </si>
  <si>
    <t>Total Pro Forma Sales Revenue</t>
  </si>
  <si>
    <t>Wholesale Rates</t>
  </si>
  <si>
    <t>@ 100% ==&gt;</t>
  </si>
  <si>
    <t>Other Operating Revenues</t>
  </si>
  <si>
    <t xml:space="preserve">   All Water Sold</t>
  </si>
  <si>
    <t>Bills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</si>
  <si>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</si>
  <si>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</si>
  <si>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</si>
  <si>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</si>
  <si>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</si>
  <si>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</si>
  <si>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</si>
  <si>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</si>
  <si>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Size</t>
  </si>
  <si>
    <t>(feet)</t>
  </si>
  <si>
    <t>Mains</t>
  </si>
  <si>
    <t>Miles</t>
  </si>
  <si>
    <t>x 1,000</t>
  </si>
  <si>
    <t>Water Produced</t>
  </si>
  <si>
    <t xml:space="preserve">   Retail Sales</t>
  </si>
  <si>
    <t>Total Water Sold</t>
  </si>
  <si>
    <t>Water Used at WTP</t>
  </si>
  <si>
    <t>System Flushing</t>
  </si>
  <si>
    <t>Fire Dept. &amp; Other</t>
  </si>
  <si>
    <t>WHOLESALE ALLOCATION FACTORS</t>
  </si>
  <si>
    <t>FACTOR</t>
  </si>
  <si>
    <t>Plant Use Percentage</t>
  </si>
  <si>
    <t>Line Loss + Plant Use</t>
  </si>
  <si>
    <t>Joint Use Inch-miles</t>
  </si>
  <si>
    <t>Total Inch-Miles</t>
  </si>
  <si>
    <t>Production Multiplier</t>
  </si>
  <si>
    <t xml:space="preserve">                 --------------------------</t>
  </si>
  <si>
    <t>=</t>
  </si>
  <si>
    <t>-</t>
  </si>
  <si>
    <t>Joint Use Pipeline Ratio</t>
  </si>
  <si>
    <t>Joint Share of Line Loss</t>
  </si>
  <si>
    <t>x</t>
  </si>
  <si>
    <t>Joint Share Line Loss + Plant Use</t>
  </si>
  <si>
    <t>+</t>
  </si>
  <si>
    <t>Wholesale Production Multiplier</t>
  </si>
  <si>
    <t xml:space="preserve">                 ---------------------</t>
  </si>
  <si>
    <t>Production Allocation Factor</t>
  </si>
  <si>
    <t>-----------------</t>
  </si>
  <si>
    <t>Pipeline Transmission Factor</t>
  </si>
  <si>
    <t>Use Factor</t>
  </si>
  <si>
    <t>ALLOCATION OF DEPRECIATION EXPENSE</t>
  </si>
  <si>
    <t>Proforma</t>
  </si>
  <si>
    <t>Trans. &amp;</t>
  </si>
  <si>
    <t>Storage</t>
  </si>
  <si>
    <t>General</t>
  </si>
  <si>
    <t>Supply</t>
  </si>
  <si>
    <t>Distribution</t>
  </si>
  <si>
    <t>Tanks</t>
  </si>
  <si>
    <t>&amp; Admin.</t>
  </si>
  <si>
    <t>Customer</t>
  </si>
  <si>
    <t xml:space="preserve">     SUBTOTALS</t>
  </si>
  <si>
    <t xml:space="preserve">     SUBTOTAL PERCENTAGES</t>
  </si>
  <si>
    <t xml:space="preserve">     SUBTOTAL</t>
  </si>
  <si>
    <t xml:space="preserve">     PERCENTAGE ALLOCATIONS</t>
  </si>
  <si>
    <t xml:space="preserve">     TOTALS</t>
  </si>
  <si>
    <t>Table F</t>
  </si>
  <si>
    <t>Total</t>
  </si>
  <si>
    <t>Values</t>
  </si>
  <si>
    <t>Treatment</t>
  </si>
  <si>
    <t>Land and Land Rights</t>
  </si>
  <si>
    <t>Structures &amp; Improvements</t>
  </si>
  <si>
    <t>Supply Mains</t>
  </si>
  <si>
    <t>Pumping Equipment</t>
  </si>
  <si>
    <t>Water Treatment Equipment</t>
  </si>
  <si>
    <t>Services</t>
  </si>
  <si>
    <t>Hydrants</t>
  </si>
  <si>
    <t>Transportation Equipment</t>
  </si>
  <si>
    <t>Power Operated Equipment</t>
  </si>
  <si>
    <t>AS REPORTED:</t>
  </si>
  <si>
    <t>Trans &amp; Dist</t>
  </si>
  <si>
    <t>Admin</t>
  </si>
  <si>
    <t>Sal &amp; Wages - Empl</t>
  </si>
  <si>
    <t xml:space="preserve">     Allocation %'s</t>
  </si>
  <si>
    <t>Sal &amp; Wages - Comm</t>
  </si>
  <si>
    <t>Purch Water</t>
  </si>
  <si>
    <t>Purch Power</t>
  </si>
  <si>
    <t>Mat'ls &amp; Supplies</t>
  </si>
  <si>
    <t>Contr Serv - Acct.</t>
  </si>
  <si>
    <t>Contr Serv - Legal</t>
  </si>
  <si>
    <t>Contr Serv - Other</t>
  </si>
  <si>
    <t>Rentals - Equip</t>
  </si>
  <si>
    <t>Transportation</t>
  </si>
  <si>
    <t>Ins - Gen Liab</t>
  </si>
  <si>
    <t>Ins - Workers Comp</t>
  </si>
  <si>
    <t>Ins -  Other</t>
  </si>
  <si>
    <t>Miscellaneous</t>
  </si>
  <si>
    <t>PRO FORMA</t>
  </si>
  <si>
    <t>depreciation</t>
  </si>
  <si>
    <t>WHOLESALE RATE COMPUTATION</t>
  </si>
  <si>
    <t>Allocation</t>
  </si>
  <si>
    <t>Wholesale</t>
  </si>
  <si>
    <t>Retail</t>
  </si>
  <si>
    <t>Expenses</t>
  </si>
  <si>
    <t>Factor</t>
  </si>
  <si>
    <t>Salaries &amp; Wages</t>
  </si>
  <si>
    <t>Water Production</t>
  </si>
  <si>
    <t>Trans./Distribution</t>
  </si>
  <si>
    <t>Customer Accts.</t>
  </si>
  <si>
    <t>Admin &amp; General</t>
  </si>
  <si>
    <t>Employee Benefits + Taxes</t>
  </si>
  <si>
    <t>Salaries - Officers</t>
  </si>
  <si>
    <t>Materials &amp; Supplies</t>
  </si>
  <si>
    <t>Transportation Expense</t>
  </si>
  <si>
    <t>Miscellaneous Expense</t>
  </si>
  <si>
    <t>Trans. / Distribution</t>
  </si>
  <si>
    <t>Tanks &amp; Reservoirs</t>
  </si>
  <si>
    <t>Debt Service &amp; Coverage</t>
  </si>
  <si>
    <t>Total Revenue Required</t>
  </si>
  <si>
    <t>Wholesale Gallons Sold (x 1,000)</t>
  </si>
  <si>
    <t>Wholesale Rate per 1,000 Gallons</t>
  </si>
  <si>
    <t>------------------</t>
  </si>
  <si>
    <t>CHECKS w/ Total Op. Exp.</t>
  </si>
  <si>
    <t>Water Loss Percentage</t>
  </si>
  <si>
    <t>Water Sold to Wholesale Customers</t>
  </si>
  <si>
    <t>Table E</t>
  </si>
  <si>
    <t>Table G</t>
  </si>
  <si>
    <t>Lab Equipment</t>
  </si>
  <si>
    <t>5/8/ x 3/4" Meters</t>
  </si>
  <si>
    <t>2' Meters</t>
  </si>
  <si>
    <t>Up to:</t>
  </si>
  <si>
    <t>Usage</t>
  </si>
  <si>
    <t>Avg.</t>
  </si>
  <si>
    <t>BY BLOCKS</t>
  </si>
  <si>
    <t>ALLOCATION OF OPERATION &amp; MAINTENANCE EXPENSE - RETAIL</t>
  </si>
  <si>
    <t>Admin. &amp;</t>
  </si>
  <si>
    <t>Commodity</t>
  </si>
  <si>
    <t>Demand</t>
  </si>
  <si>
    <t>Salaries - Officers (A &amp; G)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</si>
  <si>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</si>
  <si>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</si>
  <si>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</si>
  <si>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</si>
  <si>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</si>
  <si>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</si>
  <si>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SUMMARY OF ALLOCATIONS - RETAIL</t>
  </si>
  <si>
    <t>Operation &amp; Maintenance Expenses</t>
  </si>
  <si>
    <t>Total Expenses - Retail</t>
  </si>
  <si>
    <t>Less:</t>
  </si>
  <si>
    <t xml:space="preserve">     Forfeited Discounts</t>
  </si>
  <si>
    <t>Revenue Required from Retail Rates</t>
  </si>
  <si>
    <t>CALCULATION OF WATER RATES - RETAIL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</si>
  <si>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</si>
  <si>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</si>
  <si>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</si>
  <si>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</si>
  <si>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</si>
  <si>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</si>
  <si>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</si>
  <si>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CALCULATED USAGE RATES</t>
  </si>
  <si>
    <t>PROPOSED USAGE RATES</t>
  </si>
  <si>
    <t>(adjusted per Billing Analysis to result in required revenue)</t>
  </si>
  <si>
    <t>CALCULATION OF CUSTOMER CHARGES:</t>
  </si>
  <si>
    <t>Expenses to be Allocated</t>
  </si>
  <si>
    <t>Unit Cost of Service</t>
  </si>
  <si>
    <t>5/8 x 3/4"</t>
  </si>
  <si>
    <t>1"</t>
  </si>
  <si>
    <t>2"</t>
  </si>
  <si>
    <t>Meter</t>
  </si>
  <si>
    <t>No. of</t>
  </si>
  <si>
    <t>No. of Gallons Sold x 1,000</t>
  </si>
  <si>
    <t>UNITS OF SERVICE</t>
  </si>
  <si>
    <t>Adjustment for Minimum Bill Usage:</t>
  </si>
  <si>
    <t>Gallons Not Used By Block</t>
  </si>
  <si>
    <t>Min. Bills</t>
  </si>
  <si>
    <t>Allowed</t>
  </si>
  <si>
    <t>Used</t>
  </si>
  <si>
    <t>Not Used</t>
  </si>
  <si>
    <t>Water Usage By Block:</t>
  </si>
  <si>
    <t>Annual</t>
  </si>
  <si>
    <t>Adjusted</t>
  </si>
  <si>
    <t>Block</t>
  </si>
  <si>
    <t>Sales</t>
  </si>
  <si>
    <t>for Min.</t>
  </si>
  <si>
    <t>Adjusted Commodity Sales</t>
  </si>
  <si>
    <t>Table J</t>
  </si>
  <si>
    <t>Table K</t>
  </si>
  <si>
    <t>Table L</t>
  </si>
  <si>
    <t>CUMULATIVE BILLED USAGE</t>
  </si>
  <si>
    <t>5/8 x 3/4</t>
  </si>
  <si>
    <t>Present</t>
  </si>
  <si>
    <t>Change ($)</t>
  </si>
  <si>
    <t>Change %</t>
  </si>
  <si>
    <t>Green River Valley Water District</t>
  </si>
  <si>
    <t>Sales to Irrigation Customers</t>
  </si>
  <si>
    <t>Purchased Water</t>
  </si>
  <si>
    <t>Contractual Services - Acct. &amp; Legal</t>
  </si>
  <si>
    <t>Contractual Services - Other</t>
  </si>
  <si>
    <t>Rental of Equipment</t>
  </si>
  <si>
    <t>Revenue from Contract Work</t>
  </si>
  <si>
    <t>CY 2023 - 2027</t>
  </si>
  <si>
    <t>KRWFC 2013</t>
  </si>
  <si>
    <t>KRWFC 2020</t>
  </si>
  <si>
    <t>KIA Loan</t>
  </si>
  <si>
    <t>RD Series 2019A</t>
  </si>
  <si>
    <t>RD Series 2019B</t>
  </si>
  <si>
    <t>CY 2027</t>
  </si>
  <si>
    <t>RD Series 2010</t>
  </si>
  <si>
    <t>River Intakes</t>
  </si>
  <si>
    <t>T &amp; D Mains</t>
  </si>
  <si>
    <t>Pro forma</t>
  </si>
  <si>
    <t>Asset</t>
  </si>
  <si>
    <t>Description</t>
  </si>
  <si>
    <t>Electric Pumping Equipment</t>
  </si>
  <si>
    <t>Tools, Shop &amp; Equipment</t>
  </si>
  <si>
    <t>Collecting &amp; Impounding Reservoirs</t>
  </si>
  <si>
    <t>Office Furniture</t>
  </si>
  <si>
    <t>Shop Equipment</t>
  </si>
  <si>
    <t>Backhoe</t>
  </si>
  <si>
    <t>CURRENT BILLING ANALYSIS - 2021 USAGE &amp; EXISTING RATES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</si>
  <si>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</si>
  <si>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</si>
  <si>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</si>
  <si>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</si>
  <si>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</si>
  <si>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</si>
  <si>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</si>
  <si>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</si>
  <si>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</si>
  <si>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</si>
  <si>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</si>
  <si>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</si>
  <si>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Munfordville</t>
  </si>
  <si>
    <t>Larue Co.</t>
  </si>
  <si>
    <t>Green-Taylor</t>
  </si>
  <si>
    <t>Caveland</t>
  </si>
  <si>
    <t>Cave City</t>
  </si>
  <si>
    <t>Horse Cave</t>
  </si>
  <si>
    <t xml:space="preserve">Totals </t>
  </si>
  <si>
    <t xml:space="preserve">     Less Billing Adjustments</t>
  </si>
  <si>
    <t>Pro forma Retail Sales</t>
  </si>
  <si>
    <t>by rates</t>
  </si>
  <si>
    <t>PSC report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</si>
  <si>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</si>
  <si>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</si>
  <si>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</si>
  <si>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</si>
  <si>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</si>
  <si>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</si>
  <si>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</si>
  <si>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</si>
  <si>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Less: Test Year Salaries &amp; Wages Exp</t>
  </si>
  <si>
    <t>Pension &amp; Benefits Adjustment</t>
  </si>
  <si>
    <t>Pensions &amp; Benefits</t>
  </si>
  <si>
    <t xml:space="preserve">  Dental Ins.</t>
  </si>
  <si>
    <t xml:space="preserve">  Health Ins.</t>
  </si>
  <si>
    <t xml:space="preserve">  Life Ins.</t>
  </si>
  <si>
    <t>OF &amp; Damage</t>
  </si>
  <si>
    <t>Aaron Boles</t>
  </si>
  <si>
    <t>Ashley Puckett</t>
  </si>
  <si>
    <t>Justin Smith</t>
  </si>
  <si>
    <t>Tony Thomas</t>
  </si>
  <si>
    <t>Noah Slaughter</t>
  </si>
  <si>
    <t>Michael Wilson</t>
  </si>
  <si>
    <t>Jon Bishop</t>
  </si>
  <si>
    <t>Morgan Christie</t>
  </si>
  <si>
    <t>Alex Ford</t>
  </si>
  <si>
    <t>Jacob Rock</t>
  </si>
  <si>
    <t>James Nunn</t>
  </si>
  <si>
    <t>Cody Carroll</t>
  </si>
  <si>
    <t>Madison Middleton</t>
  </si>
  <si>
    <t>Matthew Murphy</t>
  </si>
  <si>
    <t>Tyler Warnock</t>
  </si>
  <si>
    <t>Emily Hoffman</t>
  </si>
  <si>
    <t>Roddy Harper</t>
  </si>
  <si>
    <t>Andrew Tucker</t>
  </si>
  <si>
    <t>Allison Hatcher</t>
  </si>
  <si>
    <t>Leslie Roten</t>
  </si>
  <si>
    <t>Tina Walsh</t>
  </si>
  <si>
    <t>Candice Bailey</t>
  </si>
  <si>
    <t>Jason Wilson</t>
  </si>
  <si>
    <t>Lanny Bastin</t>
  </si>
  <si>
    <t>Katara Saltsman</t>
  </si>
  <si>
    <t>Caylin Thompson</t>
  </si>
  <si>
    <t>Charles Gordon</t>
  </si>
  <si>
    <t>Masion Lafferty</t>
  </si>
  <si>
    <t>William Pursley</t>
  </si>
  <si>
    <t>Darrell McCorkle</t>
  </si>
  <si>
    <t>Amis Key</t>
  </si>
  <si>
    <t>David Matthews</t>
  </si>
  <si>
    <t>Jacob Murray</t>
  </si>
  <si>
    <t>Donnie Self</t>
  </si>
  <si>
    <t>Michael Peterson</t>
  </si>
  <si>
    <t>not yet replaced</t>
  </si>
  <si>
    <t>replaced by Travez Lindsey</t>
  </si>
  <si>
    <t>replaced by Katara Saltsman</t>
  </si>
  <si>
    <t>retired, replaced by Michael P.</t>
  </si>
  <si>
    <t>Adrian Jordon</t>
  </si>
  <si>
    <t>Travez Lindsey</t>
  </si>
  <si>
    <t>replaced by Christopher Jewell</t>
  </si>
  <si>
    <t>replaced by adding Tyler Warnock full time</t>
  </si>
  <si>
    <t>replaced by Madison Middleton</t>
  </si>
  <si>
    <t>replaced by Alex Ford and Jacob Rock</t>
  </si>
  <si>
    <t>Charles Gordon Repl</t>
  </si>
  <si>
    <t>Salaries &amp; Wages + Commissioners</t>
  </si>
  <si>
    <t xml:space="preserve">  Flex Admin</t>
  </si>
  <si>
    <t xml:space="preserve">  Workers Comp</t>
  </si>
  <si>
    <t xml:space="preserve">Flex </t>
  </si>
  <si>
    <t>P&amp;B</t>
  </si>
  <si>
    <t>Health-life</t>
  </si>
  <si>
    <t>Total P&amp;B</t>
  </si>
  <si>
    <t>Wages applicable to Retmt Plan</t>
  </si>
  <si>
    <t>Times: Percent Ret. Contribution</t>
  </si>
  <si>
    <t>Housekeeper</t>
  </si>
  <si>
    <t xml:space="preserve">Subtotal </t>
  </si>
  <si>
    <t>Meter installations are capitalized</t>
  </si>
  <si>
    <t>from summary in Trial Balance:</t>
  </si>
  <si>
    <t>Dental</t>
  </si>
  <si>
    <t>Health Ins. Adjustment</t>
  </si>
  <si>
    <t>wages</t>
  </si>
  <si>
    <t>empl ins</t>
  </si>
  <si>
    <t xml:space="preserve">AR Code 101 </t>
  </si>
  <si>
    <t>Cycle 1</t>
  </si>
  <si>
    <t>AR Code 125</t>
  </si>
  <si>
    <t>Cycle 3</t>
  </si>
  <si>
    <t>leaks - usage</t>
  </si>
  <si>
    <t>not changed</t>
  </si>
  <si>
    <t>estimate err -</t>
  </si>
  <si>
    <t>usage is adj'd</t>
  </si>
  <si>
    <t>From Horse Cave Billling Sheets</t>
  </si>
  <si>
    <t>Gals x 1000</t>
  </si>
  <si>
    <t>Amt Billed</t>
  </si>
  <si>
    <t>Line Loss</t>
  </si>
  <si>
    <t>Jan - Dec</t>
  </si>
  <si>
    <t>Dec - Nov</t>
  </si>
  <si>
    <t>Water Purch</t>
  </si>
  <si>
    <t>Total Billed</t>
  </si>
  <si>
    <t>Cust Chg</t>
  </si>
  <si>
    <t>Dec - Nov gals.</t>
  </si>
  <si>
    <t>Jan - Dec gals.</t>
  </si>
  <si>
    <t xml:space="preserve">Horse Cave Sales Rev per PSC Report &amp; CY 21 Trial Balance = </t>
  </si>
  <si>
    <t>Gals Loss</t>
  </si>
  <si>
    <t>Gals Purch + Line Losses</t>
  </si>
  <si>
    <t>Reading or</t>
  </si>
  <si>
    <t>Horse Cave *</t>
  </si>
  <si>
    <t>*</t>
  </si>
  <si>
    <t>Includes Horse Cave line loss billings</t>
  </si>
  <si>
    <t>Plus Sales for Resale</t>
  </si>
  <si>
    <t>Flex Account Adjustment</t>
  </si>
  <si>
    <t>3 Year Avg.</t>
  </si>
  <si>
    <t>Amount</t>
  </si>
  <si>
    <t>less 2021 amt</t>
  </si>
  <si>
    <t>Flex Acct avg</t>
  </si>
  <si>
    <t>Total Pro Forma Ret. Contribution</t>
  </si>
  <si>
    <t>Less: Test Year Ret. Contribution</t>
  </si>
  <si>
    <t>ret less amt reported</t>
  </si>
  <si>
    <t>TB Health/Life =</t>
  </si>
  <si>
    <t>Flex Adjustment</t>
  </si>
  <si>
    <t xml:space="preserve">  P &amp; B - Ops (ret'mt)</t>
  </si>
  <si>
    <t>Fuel Adjustment</t>
  </si>
  <si>
    <t>Jan - Jun 2021</t>
  </si>
  <si>
    <t>Jan - Jun 2022</t>
  </si>
  <si>
    <t>WTP Power Expense</t>
  </si>
  <si>
    <t>Usage Month</t>
  </si>
  <si>
    <t>Sept</t>
  </si>
  <si>
    <t>Chemical Costs</t>
  </si>
  <si>
    <t>Six Month diff</t>
  </si>
  <si>
    <t>Total Chem. Exp Adjmt.</t>
  </si>
  <si>
    <t>Meter Installations</t>
  </si>
  <si>
    <t>Cost *</t>
  </si>
  <si>
    <t>TOTAL PRO FORMA DEPRECIATION EXPENSE</t>
  </si>
  <si>
    <t>Asset Class</t>
  </si>
  <si>
    <t>Constr. Cost</t>
  </si>
  <si>
    <t>%</t>
  </si>
  <si>
    <t>Project Cost</t>
  </si>
  <si>
    <t>Piping</t>
  </si>
  <si>
    <t>Treatment Equipment</t>
  </si>
  <si>
    <t>Laboratory Equipment</t>
  </si>
  <si>
    <t xml:space="preserve">     Totals</t>
  </si>
  <si>
    <t>New Water Treatment Plant</t>
  </si>
  <si>
    <t>varies</t>
  </si>
  <si>
    <t>Depreciation Expense Adjustment</t>
  </si>
  <si>
    <t xml:space="preserve">     Less Reported Depreciaton Expense</t>
  </si>
  <si>
    <t>Distr Reservoirs &amp; Standpipes</t>
  </si>
  <si>
    <t>depr adj Tbl A</t>
  </si>
  <si>
    <t>Jul - Dec 2022</t>
  </si>
  <si>
    <t>Jul - Dec 2021</t>
  </si>
  <si>
    <t>Total Fuel Cost Adjustment</t>
  </si>
  <si>
    <t>Fuel Expenses</t>
  </si>
  <si>
    <t>Chem Costs</t>
  </si>
  <si>
    <t>Difference</t>
  </si>
  <si>
    <t>Water Purchased, Sold and Used</t>
  </si>
  <si>
    <t xml:space="preserve">   Bulk Loading Sta.</t>
  </si>
  <si>
    <t>Line Losses</t>
  </si>
  <si>
    <t xml:space="preserve">   Wholesale Sales *</t>
  </si>
  <si>
    <t>* Includes Horse Cave line loss billings</t>
  </si>
  <si>
    <t>Water Supply</t>
  </si>
  <si>
    <t>&amp; Treatment</t>
  </si>
  <si>
    <t>Trans. &amp; Distribution Mains</t>
  </si>
  <si>
    <t>Other Plant</t>
  </si>
  <si>
    <t>Total Debt Service Allocations</t>
  </si>
  <si>
    <t>Ins - Vehicle</t>
  </si>
  <si>
    <t>Regulatory Comm. Exp.</t>
  </si>
  <si>
    <t>Empl. Pen &amp; Bene + Tax</t>
  </si>
  <si>
    <t>Empl. Pen &amp; Bene + Taxes</t>
  </si>
  <si>
    <t xml:space="preserve">     PLANT PERCENTAGES</t>
  </si>
  <si>
    <t>(based on plant percentages)</t>
  </si>
  <si>
    <t>Structure &amp; Improvements Office Bldg</t>
  </si>
  <si>
    <t>Structures &amp; Impr Office Bldg</t>
  </si>
  <si>
    <t>Collecting &amp; Impounding Res.</t>
  </si>
  <si>
    <t>Supply &amp;</t>
  </si>
  <si>
    <t>Contractual Serv. - Other</t>
  </si>
  <si>
    <t>Rentals - Equipment</t>
  </si>
  <si>
    <t>Rentals - Equipment (T &amp; D)</t>
  </si>
  <si>
    <t>Contr. Serv. - Acct &amp; Legal</t>
  </si>
  <si>
    <t>New WTP Loans:</t>
  </si>
  <si>
    <t>Avg Annual Principal &amp; Interest - New WTP Debt</t>
  </si>
  <si>
    <t>Avg Annual Coverage - New WTP Debt</t>
  </si>
  <si>
    <t>Avg Annual Principal &amp; Interest - Former Debt</t>
  </si>
  <si>
    <t>Avg Annual Coverage - Former Debt</t>
  </si>
  <si>
    <t>Former Debt Service Allocations</t>
  </si>
  <si>
    <t>New Water Plant Debt Service</t>
  </si>
  <si>
    <t>Contr. Services - Acct. &amp; Legal</t>
  </si>
  <si>
    <t>Contr. Services - Other</t>
  </si>
  <si>
    <t>Bad Debt Expense</t>
  </si>
  <si>
    <t>Regulatory Commission Exp.</t>
  </si>
  <si>
    <t xml:space="preserve">     Rev. from Maint. &amp; Contract Work</t>
  </si>
  <si>
    <t xml:space="preserve">    Other Water Revenues</t>
  </si>
  <si>
    <t xml:space="preserve">     Interest Income</t>
  </si>
  <si>
    <t xml:space="preserve">     Misc. Service Revenues</t>
  </si>
  <si>
    <t>over 30,000</t>
  </si>
  <si>
    <t>0 - 2</t>
  </si>
  <si>
    <t>2 - 10</t>
  </si>
  <si>
    <t>10 - 30</t>
  </si>
  <si>
    <t>30 +</t>
  </si>
  <si>
    <t>2 -10</t>
  </si>
  <si>
    <t>2 - 5</t>
  </si>
  <si>
    <t>10 - 15</t>
  </si>
  <si>
    <t xml:space="preserve"> 2 - 10</t>
  </si>
  <si>
    <t xml:space="preserve"> 0 - 2</t>
  </si>
  <si>
    <t>Over 30</t>
  </si>
  <si>
    <t>2000</t>
  </si>
  <si>
    <t>20,000</t>
  </si>
  <si>
    <t>8,000</t>
  </si>
  <si>
    <t>30,000</t>
  </si>
  <si>
    <t>Costs</t>
  </si>
  <si>
    <t>3 month avg</t>
  </si>
  <si>
    <t>Annual Diff</t>
  </si>
  <si>
    <t>Incr pwr cost</t>
  </si>
  <si>
    <t>PROPOSED BILLING ANALYSIS - 2021 USAGE &amp; PROPOSED RATES</t>
  </si>
  <si>
    <t>Req'd Sales from SAO</t>
  </si>
  <si>
    <t>ALLOCATION OF PLANT VALUE AND DEBT SERVICE</t>
  </si>
  <si>
    <t>Table H</t>
  </si>
  <si>
    <t>Table I</t>
  </si>
  <si>
    <t>Total Proposed Sales Revenue</t>
  </si>
  <si>
    <t>B</t>
  </si>
  <si>
    <t>C</t>
  </si>
  <si>
    <t>F</t>
  </si>
  <si>
    <t>I</t>
  </si>
  <si>
    <t>NEW WATER TREATMENT PLANT PROJECT</t>
  </si>
  <si>
    <t>Concrete Structures</t>
  </si>
  <si>
    <t>Current</t>
  </si>
  <si>
    <t>Rates</t>
  </si>
  <si>
    <t>Rate Case Expenses</t>
  </si>
  <si>
    <t xml:space="preserve">   Attorney Fees</t>
  </si>
  <si>
    <t xml:space="preserve">   KRWA Rate Study, etc.</t>
  </si>
  <si>
    <t>Total Estimate</t>
  </si>
  <si>
    <t>Amortized Cost</t>
  </si>
  <si>
    <t>Change in</t>
  </si>
  <si>
    <t>Minimum</t>
  </si>
  <si>
    <t>Rate case exp</t>
  </si>
  <si>
    <t>K</t>
  </si>
  <si>
    <t>COMPARISION OF EXISTING AND PROPOSED BILLS</t>
  </si>
  <si>
    <t>Existing</t>
  </si>
  <si>
    <t>per Month*</t>
  </si>
  <si>
    <t>Change</t>
  </si>
  <si>
    <t>Percentage</t>
  </si>
  <si>
    <t>* Highlighted usage represents the average residential bill.</t>
  </si>
  <si>
    <t>Table M</t>
  </si>
  <si>
    <t>Structure &amp; Impr Office Building</t>
  </si>
  <si>
    <t xml:space="preserve">  *  Costs from 06/30/22 Depr. Exp. Sch. associated with assets that contributed to depr. exp. in the test 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</si>
</sst>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0.000%"/>
    <numFmt numFmtId="170" formatCode="&quot;$&quot;#,##0.00"/>
    <numFmt numFmtId="171" formatCode="_(* #,##0.0000_);_(* \(#,##0.0000\);_(* &quot;-&quot;??_);_(@_)"/>
    <numFmt numFmtId="172" formatCode="#,##0.0"/>
    <numFmt numFmtId="173" formatCode="0.0000"/>
    <numFmt numFmtId="174" formatCode="#,##0.0000"/>
  </numFmts>
  <fonts count="5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egoe U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rgb="FFC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b/>
      <sz val="12"/>
      <name val="Calibri"/>
      <family val="2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u val="singleAccounting"/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1" applyNumberFormat="1" applyFont="1"/>
    <xf numFmtId="164" fontId="4" fillId="0" borderId="0" xfId="2" applyNumberFormat="1" applyFont="1" applyBorder="1"/>
    <xf numFmtId="166" fontId="4" fillId="0" borderId="0" xfId="1" applyNumberFormat="1" applyFont="1" applyBorder="1"/>
    <xf numFmtId="3" fontId="4" fillId="0" borderId="0" xfId="0" applyNumberFormat="1" applyFont="1" applyAlignment="1">
      <alignment horizontal="right"/>
    </xf>
    <xf numFmtId="164" fontId="4" fillId="0" borderId="0" xfId="4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6" fontId="4" fillId="0" borderId="0" xfId="5" applyNumberFormat="1" applyFont="1"/>
    <xf numFmtId="37" fontId="4" fillId="0" borderId="1" xfId="0" applyNumberFormat="1" applyFont="1" applyBorder="1"/>
    <xf numFmtId="166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/>
    <xf numFmtId="3" fontId="4" fillId="0" borderId="0" xfId="0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166" fontId="4" fillId="0" borderId="0" xfId="1" applyNumberFormat="1" applyFont="1" applyAlignment="1"/>
    <xf numFmtId="167" fontId="4" fillId="0" borderId="0" xfId="0" applyNumberFormat="1" applyFont="1" applyAlignment="1">
      <alignment vertical="center"/>
    </xf>
    <xf numFmtId="43" fontId="4" fillId="0" borderId="0" xfId="5" applyFont="1"/>
    <xf numFmtId="3" fontId="4" fillId="0" borderId="1" xfId="0" applyNumberFormat="1" applyFont="1" applyBorder="1"/>
    <xf numFmtId="169" fontId="4" fillId="0" borderId="0" xfId="6" applyNumberFormat="1" applyFont="1"/>
    <xf numFmtId="166" fontId="4" fillId="0" borderId="0" xfId="5" applyNumberFormat="1" applyFont="1" applyAlignment="1">
      <alignment vertical="center"/>
    </xf>
    <xf numFmtId="3" fontId="10" fillId="0" borderId="0" xfId="0" applyNumberFormat="1" applyFont="1"/>
    <xf numFmtId="0" fontId="4" fillId="0" borderId="3" xfId="0" applyFont="1" applyBorder="1"/>
    <xf numFmtId="0" fontId="4" fillId="0" borderId="2" xfId="0" applyFont="1" applyBorder="1"/>
    <xf numFmtId="3" fontId="4" fillId="0" borderId="6" xfId="0" applyNumberFormat="1" applyFont="1" applyBorder="1"/>
    <xf numFmtId="3" fontId="6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168" fontId="4" fillId="0" borderId="0" xfId="1" applyNumberFormat="1" applyFont="1" applyBorder="1"/>
    <xf numFmtId="168" fontId="4" fillId="0" borderId="0" xfId="1" applyNumberFormat="1" applyFont="1" applyAlignment="1"/>
    <xf numFmtId="168" fontId="4" fillId="0" borderId="1" xfId="1" applyNumberFormat="1" applyFont="1" applyBorder="1" applyAlignment="1"/>
    <xf numFmtId="3" fontId="16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166" fontId="8" fillId="0" borderId="0" xfId="1" applyNumberFormat="1" applyFont="1"/>
    <xf numFmtId="166" fontId="4" fillId="0" borderId="0" xfId="1" applyNumberFormat="1" applyFont="1" applyAlignment="1">
      <alignment horizontal="right"/>
    </xf>
    <xf numFmtId="164" fontId="4" fillId="0" borderId="0" xfId="2" applyNumberFormat="1" applyFont="1"/>
    <xf numFmtId="166" fontId="4" fillId="0" borderId="0" xfId="5" applyNumberFormat="1" applyFont="1" applyFill="1"/>
    <xf numFmtId="166" fontId="4" fillId="0" borderId="1" xfId="5" applyNumberFormat="1" applyFont="1" applyFill="1" applyBorder="1"/>
    <xf numFmtId="166" fontId="4" fillId="0" borderId="0" xfId="5" applyNumberFormat="1" applyFont="1" applyBorder="1"/>
    <xf numFmtId="166" fontId="4" fillId="0" borderId="0" xfId="0" applyNumberFormat="1" applyFont="1"/>
    <xf numFmtId="0" fontId="6" fillId="0" borderId="0" xfId="0" applyFont="1" applyAlignment="1">
      <alignment horizontal="right"/>
    </xf>
    <xf numFmtId="169" fontId="14" fillId="0" borderId="0" xfId="6" applyNumberFormat="1" applyFont="1"/>
    <xf numFmtId="166" fontId="4" fillId="0" borderId="1" xfId="1" applyNumberFormat="1" applyFont="1" applyBorder="1"/>
    <xf numFmtId="166" fontId="4" fillId="0" borderId="3" xfId="5" applyNumberFormat="1" applyFont="1" applyBorder="1"/>
    <xf numFmtId="166" fontId="4" fillId="0" borderId="4" xfId="5" applyNumberFormat="1" applyFont="1" applyBorder="1"/>
    <xf numFmtId="166" fontId="4" fillId="0" borderId="5" xfId="5" applyNumberFormat="1" applyFont="1" applyBorder="1"/>
    <xf numFmtId="166" fontId="4" fillId="0" borderId="2" xfId="5" applyNumberFormat="1" applyFont="1" applyBorder="1"/>
    <xf numFmtId="166" fontId="4" fillId="0" borderId="6" xfId="5" applyNumberFormat="1" applyFont="1" applyBorder="1"/>
    <xf numFmtId="166" fontId="4" fillId="0" borderId="7" xfId="5" applyNumberFormat="1" applyFont="1" applyBorder="1"/>
    <xf numFmtId="166" fontId="4" fillId="0" borderId="8" xfId="5" applyNumberFormat="1" applyFont="1" applyBorder="1"/>
    <xf numFmtId="166" fontId="11" fillId="0" borderId="0" xfId="1" applyNumberFormat="1" applyFont="1" applyAlignment="1"/>
    <xf numFmtId="0" fontId="11" fillId="0" borderId="2" xfId="0" applyFont="1" applyBorder="1"/>
    <xf numFmtId="0" fontId="11" fillId="0" borderId="3" xfId="0" applyFont="1" applyBorder="1"/>
    <xf numFmtId="0" fontId="11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6" fontId="4" fillId="0" borderId="0" xfId="1" applyNumberFormat="1" applyFont="1" applyBorder="1" applyAlignment="1"/>
    <xf numFmtId="166" fontId="4" fillId="0" borderId="1" xfId="1" applyNumberFormat="1" applyFont="1" applyBorder="1" applyAlignment="1"/>
    <xf numFmtId="0" fontId="4" fillId="0" borderId="8" xfId="0" applyFont="1" applyBorder="1"/>
    <xf numFmtId="0" fontId="14" fillId="0" borderId="0" xfId="0" applyFont="1" applyAlignment="1">
      <alignment horizontal="center"/>
    </xf>
    <xf numFmtId="44" fontId="4" fillId="0" borderId="0" xfId="0" applyNumberFormat="1" applyFont="1"/>
    <xf numFmtId="167" fontId="4" fillId="0" borderId="0" xfId="3" applyNumberFormat="1" applyFont="1" applyAlignment="1"/>
    <xf numFmtId="166" fontId="9" fillId="0" borderId="2" xfId="5" applyNumberFormat="1" applyFont="1" applyBorder="1" applyAlignment="1">
      <alignment horizontal="centerContinuous"/>
    </xf>
    <xf numFmtId="166" fontId="3" fillId="0" borderId="0" xfId="5" applyNumberFormat="1" applyFont="1" applyAlignment="1">
      <alignment horizontal="centerContinuous"/>
    </xf>
    <xf numFmtId="166" fontId="16" fillId="0" borderId="2" xfId="5" applyNumberFormat="1" applyFont="1" applyBorder="1" applyAlignment="1">
      <alignment horizontal="centerContinuous"/>
    </xf>
    <xf numFmtId="166" fontId="6" fillId="0" borderId="0" xfId="5" applyNumberFormat="1" applyFont="1" applyAlignment="1">
      <alignment horizontal="centerContinuous"/>
    </xf>
    <xf numFmtId="166" fontId="4" fillId="0" borderId="0" xfId="5" applyNumberFormat="1" applyFont="1" applyAlignment="1">
      <alignment horizontal="centerContinuous"/>
    </xf>
    <xf numFmtId="166" fontId="4" fillId="0" borderId="2" xfId="5" applyNumberFormat="1" applyFont="1" applyBorder="1" applyAlignment="1">
      <alignment horizontal="centerContinuous"/>
    </xf>
    <xf numFmtId="166" fontId="4" fillId="0" borderId="3" xfId="5" applyNumberFormat="1" applyFont="1" applyBorder="1" applyAlignment="1">
      <alignment horizontal="left"/>
    </xf>
    <xf numFmtId="166" fontId="4" fillId="0" borderId="2" xfId="5" applyNumberFormat="1" applyFont="1" applyBorder="1" applyAlignment="1">
      <alignment horizontal="center"/>
    </xf>
    <xf numFmtId="166" fontId="4" fillId="0" borderId="0" xfId="5" applyNumberFormat="1" applyFont="1" applyAlignment="1">
      <alignment horizontal="center"/>
    </xf>
    <xf numFmtId="166" fontId="4" fillId="0" borderId="2" xfId="5" quotePrefix="1" applyNumberFormat="1" applyFont="1" applyBorder="1" applyAlignment="1">
      <alignment horizontal="left"/>
    </xf>
    <xf numFmtId="166" fontId="3" fillId="0" borderId="2" xfId="5" applyNumberFormat="1" applyFont="1" applyBorder="1" applyAlignment="1">
      <alignment horizontal="center"/>
    </xf>
    <xf numFmtId="166" fontId="3" fillId="0" borderId="2" xfId="5" quotePrefix="1" applyNumberFormat="1" applyFont="1" applyBorder="1" applyAlignment="1">
      <alignment horizontal="left"/>
    </xf>
    <xf numFmtId="166" fontId="3" fillId="0" borderId="7" xfId="5" applyNumberFormat="1" applyFont="1" applyBorder="1" applyAlignment="1">
      <alignment horizontal="right"/>
    </xf>
    <xf numFmtId="166" fontId="3" fillId="0" borderId="1" xfId="5" applyNumberFormat="1" applyFont="1" applyBorder="1" applyAlignment="1">
      <alignment horizontal="right"/>
    </xf>
    <xf numFmtId="166" fontId="3" fillId="0" borderId="8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/>
    </xf>
    <xf numFmtId="166" fontId="3" fillId="0" borderId="0" xfId="5" applyNumberFormat="1" applyFont="1" applyAlignment="1">
      <alignment horizontal="right"/>
    </xf>
    <xf numFmtId="166" fontId="3" fillId="0" borderId="0" xfId="5" applyNumberFormat="1" applyFont="1"/>
    <xf numFmtId="164" fontId="3" fillId="0" borderId="0" xfId="4" applyNumberFormat="1" applyFont="1"/>
    <xf numFmtId="166" fontId="4" fillId="0" borderId="7" xfId="5" applyNumberFormat="1" applyFont="1" applyBorder="1" applyAlignment="1">
      <alignment horizontal="center"/>
    </xf>
    <xf numFmtId="166" fontId="4" fillId="0" borderId="1" xfId="5" applyNumberFormat="1" applyFont="1" applyBorder="1" applyAlignment="1">
      <alignment horizontal="center"/>
    </xf>
    <xf numFmtId="166" fontId="8" fillId="0" borderId="0" xfId="1" applyNumberFormat="1" applyFont="1" applyAlignment="1">
      <alignment horizontal="right"/>
    </xf>
    <xf numFmtId="0" fontId="13" fillId="0" borderId="0" xfId="0" applyFont="1"/>
    <xf numFmtId="3" fontId="9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6" fontId="8" fillId="0" borderId="0" xfId="1" applyNumberFormat="1" applyFont="1" applyFill="1"/>
    <xf numFmtId="0" fontId="4" fillId="0" borderId="1" xfId="0" applyFont="1" applyBorder="1" applyAlignment="1">
      <alignment horizontal="left"/>
    </xf>
    <xf numFmtId="166" fontId="4" fillId="0" borderId="4" xfId="5" applyNumberFormat="1" applyFont="1" applyBorder="1" applyAlignment="1">
      <alignment horizontal="left"/>
    </xf>
    <xf numFmtId="166" fontId="4" fillId="0" borderId="5" xfId="5" applyNumberFormat="1" applyFont="1" applyBorder="1" applyAlignment="1">
      <alignment horizontal="left"/>
    </xf>
    <xf numFmtId="166" fontId="7" fillId="0" borderId="0" xfId="5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3" fontId="4" fillId="0" borderId="0" xfId="1" applyFont="1"/>
    <xf numFmtId="43" fontId="8" fillId="0" borderId="0" xfId="1" applyFont="1"/>
    <xf numFmtId="43" fontId="4" fillId="0" borderId="0" xfId="1" applyFont="1" applyFill="1"/>
    <xf numFmtId="3" fontId="6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43" fontId="4" fillId="0" borderId="0" xfId="1" applyFont="1" applyAlignment="1"/>
    <xf numFmtId="43" fontId="8" fillId="0" borderId="0" xfId="5" applyFont="1" applyAlignment="1">
      <alignment horizontal="center"/>
    </xf>
    <xf numFmtId="9" fontId="4" fillId="0" borderId="0" xfId="3" applyFont="1"/>
    <xf numFmtId="43" fontId="4" fillId="0" borderId="0" xfId="1" applyFont="1" applyAlignment="1">
      <alignment horizontal="right"/>
    </xf>
    <xf numFmtId="165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10" fontId="4" fillId="0" borderId="1" xfId="0" applyNumberFormat="1" applyFont="1" applyBorder="1"/>
    <xf numFmtId="169" fontId="3" fillId="0" borderId="0" xfId="6" applyNumberFormat="1" applyFont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/>
    <xf numFmtId="166" fontId="3" fillId="0" borderId="0" xfId="1" applyNumberFormat="1" applyFont="1"/>
    <xf numFmtId="166" fontId="7" fillId="0" borderId="0" xfId="1" applyNumberFormat="1" applyFont="1"/>
    <xf numFmtId="166" fontId="3" fillId="0" borderId="0" xfId="0" applyNumberFormat="1" applyFont="1"/>
    <xf numFmtId="10" fontId="11" fillId="0" borderId="0" xfId="3" applyNumberFormat="1" applyFont="1" applyAlignment="1"/>
    <xf numFmtId="166" fontId="4" fillId="0" borderId="0" xfId="5" quotePrefix="1" applyNumberFormat="1" applyFont="1" applyBorder="1" applyAlignment="1">
      <alignment horizontal="center"/>
    </xf>
    <xf numFmtId="166" fontId="4" fillId="0" borderId="10" xfId="5" applyNumberFormat="1" applyFont="1" applyBorder="1" applyAlignment="1">
      <alignment horizontal="left"/>
    </xf>
    <xf numFmtId="166" fontId="4" fillId="0" borderId="11" xfId="5" applyNumberFormat="1" applyFont="1" applyBorder="1"/>
    <xf numFmtId="166" fontId="4" fillId="0" borderId="11" xfId="5" quotePrefix="1" applyNumberFormat="1" applyFont="1" applyBorder="1" applyAlignment="1">
      <alignment horizontal="center"/>
    </xf>
    <xf numFmtId="166" fontId="3" fillId="0" borderId="12" xfId="5" applyNumberFormat="1" applyFont="1" applyBorder="1" applyAlignment="1">
      <alignment horizontal="right"/>
    </xf>
    <xf numFmtId="3" fontId="21" fillId="0" borderId="0" xfId="0" applyNumberFormat="1" applyFont="1"/>
    <xf numFmtId="166" fontId="17" fillId="0" borderId="0" xfId="1" applyNumberFormat="1" applyFont="1"/>
    <xf numFmtId="166" fontId="4" fillId="0" borderId="0" xfId="1" applyNumberFormat="1" applyFont="1" applyFill="1" applyBorder="1"/>
    <xf numFmtId="43" fontId="4" fillId="0" borderId="0" xfId="1" quotePrefix="1" applyFont="1" applyAlignment="1">
      <alignment horizontal="right"/>
    </xf>
    <xf numFmtId="0" fontId="24" fillId="0" borderId="0" xfId="0" applyFont="1" applyAlignment="1">
      <alignment vertical="center"/>
    </xf>
    <xf numFmtId="10" fontId="12" fillId="0" borderId="0" xfId="3" applyNumberFormat="1" applyFont="1" applyAlignment="1"/>
    <xf numFmtId="0" fontId="12" fillId="0" borderId="0" xfId="0" applyFont="1"/>
    <xf numFmtId="10" fontId="4" fillId="0" borderId="0" xfId="3" applyNumberFormat="1" applyFont="1"/>
    <xf numFmtId="3" fontId="25" fillId="0" borderId="0" xfId="0" applyNumberFormat="1" applyFont="1" applyAlignment="1">
      <alignment horizontal="center"/>
    </xf>
    <xf numFmtId="166" fontId="11" fillId="0" borderId="2" xfId="5" applyNumberFormat="1" applyFont="1" applyBorder="1" applyAlignment="1">
      <alignment horizontal="centerContinuous"/>
    </xf>
    <xf numFmtId="166" fontId="7" fillId="0" borderId="0" xfId="5" applyNumberFormat="1" applyFont="1" applyAlignment="1">
      <alignment horizontal="center" vertical="center"/>
    </xf>
    <xf numFmtId="166" fontId="3" fillId="0" borderId="6" xfId="5" applyNumberFormat="1" applyFont="1" applyBorder="1" applyAlignment="1">
      <alignment horizontal="center" vertical="center"/>
    </xf>
    <xf numFmtId="166" fontId="3" fillId="0" borderId="0" xfId="5" applyNumberFormat="1" applyFont="1" applyAlignment="1">
      <alignment horizontal="center" vertical="center"/>
    </xf>
    <xf numFmtId="166" fontId="7" fillId="0" borderId="6" xfId="5" applyNumberFormat="1" applyFont="1" applyBorder="1" applyAlignment="1">
      <alignment horizontal="center" vertical="center"/>
    </xf>
    <xf numFmtId="166" fontId="4" fillId="0" borderId="11" xfId="5" applyNumberFormat="1" applyFont="1" applyBorder="1" applyAlignment="1">
      <alignment horizontal="left"/>
    </xf>
    <xf numFmtId="166" fontId="4" fillId="0" borderId="6" xfId="5" applyNumberFormat="1" applyFont="1" applyBorder="1" applyAlignment="1">
      <alignment horizontal="center"/>
    </xf>
    <xf numFmtId="166" fontId="4" fillId="0" borderId="0" xfId="5" quotePrefix="1" applyNumberFormat="1" applyFont="1" applyAlignment="1">
      <alignment horizontal="left"/>
    </xf>
    <xf numFmtId="166" fontId="4" fillId="0" borderId="6" xfId="5" quotePrefix="1" applyNumberFormat="1" applyFont="1" applyBorder="1" applyAlignment="1">
      <alignment horizontal="left"/>
    </xf>
    <xf numFmtId="166" fontId="3" fillId="0" borderId="0" xfId="5" quotePrefix="1" applyNumberFormat="1" applyFont="1" applyAlignment="1">
      <alignment horizontal="left"/>
    </xf>
    <xf numFmtId="166" fontId="3" fillId="0" borderId="6" xfId="5" quotePrefix="1" applyNumberFormat="1" applyFont="1" applyBorder="1" applyAlignment="1">
      <alignment horizontal="left"/>
    </xf>
    <xf numFmtId="164" fontId="3" fillId="0" borderId="0" xfId="4" quotePrefix="1" applyNumberFormat="1" applyFont="1" applyBorder="1" applyAlignment="1">
      <alignment horizontal="left"/>
    </xf>
    <xf numFmtId="166" fontId="3" fillId="0" borderId="6" xfId="5" applyNumberFormat="1" applyFont="1" applyBorder="1" applyAlignment="1">
      <alignment horizontal="right"/>
    </xf>
    <xf numFmtId="166" fontId="3" fillId="0" borderId="4" xfId="5" applyNumberFormat="1" applyFont="1" applyBorder="1" applyAlignment="1">
      <alignment horizontal="right"/>
    </xf>
    <xf numFmtId="166" fontId="3" fillId="0" borderId="2" xfId="5" applyNumberFormat="1" applyFont="1" applyBorder="1"/>
    <xf numFmtId="166" fontId="3" fillId="0" borderId="0" xfId="5" applyNumberFormat="1" applyFont="1" applyBorder="1"/>
    <xf numFmtId="166" fontId="4" fillId="0" borderId="0" xfId="5" applyNumberFormat="1" applyFont="1" applyAlignment="1">
      <alignment horizontal="left"/>
    </xf>
    <xf numFmtId="43" fontId="4" fillId="0" borderId="0" xfId="1" applyFont="1" applyBorder="1"/>
    <xf numFmtId="3" fontId="4" fillId="0" borderId="0" xfId="0" quotePrefix="1" applyNumberFormat="1" applyFont="1"/>
    <xf numFmtId="3" fontId="9" fillId="0" borderId="6" xfId="0" applyNumberFormat="1" applyFont="1" applyBorder="1" applyAlignment="1">
      <alignment horizontal="center" vertical="center"/>
    </xf>
    <xf numFmtId="167" fontId="4" fillId="0" borderId="0" xfId="3" applyNumberFormat="1" applyFont="1"/>
    <xf numFmtId="166" fontId="4" fillId="0" borderId="0" xfId="1" applyNumberFormat="1" applyFont="1" applyAlignment="1">
      <alignment horizontal="center"/>
    </xf>
    <xf numFmtId="166" fontId="27" fillId="0" borderId="0" xfId="1" applyNumberFormat="1" applyFont="1"/>
    <xf numFmtId="166" fontId="4" fillId="0" borderId="0" xfId="1" applyNumberFormat="1" applyFont="1" applyFill="1"/>
    <xf numFmtId="3" fontId="3" fillId="0" borderId="0" xfId="0" applyNumberFormat="1" applyFont="1" applyAlignment="1">
      <alignment horizontal="left"/>
    </xf>
    <xf numFmtId="164" fontId="3" fillId="0" borderId="0" xfId="0" applyNumberFormat="1" applyFont="1"/>
    <xf numFmtId="3" fontId="11" fillId="0" borderId="4" xfId="0" applyNumberFormat="1" applyFont="1" applyBorder="1"/>
    <xf numFmtId="3" fontId="25" fillId="0" borderId="4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1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0" borderId="6" xfId="1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0" fontId="25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166" fontId="11" fillId="0" borderId="6" xfId="1" applyNumberFormat="1" applyFont="1" applyBorder="1"/>
    <xf numFmtId="166" fontId="4" fillId="0" borderId="6" xfId="1" quotePrefix="1" applyNumberFormat="1" applyFont="1" applyBorder="1" applyAlignment="1">
      <alignment vertical="center"/>
    </xf>
    <xf numFmtId="164" fontId="4" fillId="0" borderId="6" xfId="2" applyNumberFormat="1" applyFont="1" applyBorder="1" applyAlignment="1">
      <alignment vertical="center"/>
    </xf>
    <xf numFmtId="10" fontId="4" fillId="0" borderId="6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center"/>
    </xf>
    <xf numFmtId="3" fontId="14" fillId="0" borderId="0" xfId="0" applyNumberFormat="1" applyFont="1" applyAlignment="1">
      <alignment vertical="center"/>
    </xf>
    <xf numFmtId="166" fontId="4" fillId="0" borderId="0" xfId="1" quotePrefix="1" applyNumberFormat="1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3" fontId="13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6" fontId="15" fillId="0" borderId="0" xfId="1" applyNumberFormat="1" applyFont="1" applyBorder="1" applyAlignment="1">
      <alignment vertical="center"/>
    </xf>
    <xf numFmtId="166" fontId="20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1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6" fontId="4" fillId="0" borderId="0" xfId="5" applyNumberFormat="1" applyFont="1" applyBorder="1" applyAlignment="1"/>
    <xf numFmtId="43" fontId="4" fillId="0" borderId="0" xfId="5" applyFont="1" applyBorder="1"/>
    <xf numFmtId="0" fontId="4" fillId="0" borderId="0" xfId="0" applyFont="1" applyAlignment="1">
      <alignment vertical="center"/>
    </xf>
    <xf numFmtId="172" fontId="5" fillId="0" borderId="0" xfId="0" applyNumberFormat="1" applyFont="1"/>
    <xf numFmtId="3" fontId="28" fillId="0" borderId="5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1" fontId="4" fillId="0" borderId="0" xfId="5" applyNumberFormat="1" applyFont="1" applyBorder="1" applyAlignment="1">
      <alignment vertical="center"/>
    </xf>
    <xf numFmtId="43" fontId="4" fillId="0" borderId="0" xfId="5" applyFont="1" applyBorder="1" applyAlignment="1">
      <alignment vertical="center"/>
    </xf>
    <xf numFmtId="166" fontId="4" fillId="0" borderId="0" xfId="5" applyNumberFormat="1" applyFont="1" applyBorder="1" applyAlignment="1">
      <alignment vertical="center"/>
    </xf>
    <xf numFmtId="173" fontId="4" fillId="0" borderId="0" xfId="0" applyNumberFormat="1" applyFont="1" applyAlignment="1">
      <alignment horizontal="left" vertical="center"/>
    </xf>
    <xf numFmtId="17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74" fontId="4" fillId="0" borderId="0" xfId="0" applyNumberFormat="1" applyFont="1" applyAlignment="1">
      <alignment vertical="center"/>
    </xf>
    <xf numFmtId="174" fontId="4" fillId="0" borderId="0" xfId="0" applyNumberFormat="1" applyFont="1" applyAlignment="1">
      <alignment horizontal="left" vertical="center"/>
    </xf>
    <xf numFmtId="171" fontId="29" fillId="0" borderId="0" xfId="5" applyNumberFormat="1" applyFont="1" applyBorder="1" applyAlignment="1">
      <alignment vertical="center"/>
    </xf>
    <xf numFmtId="173" fontId="4" fillId="0" borderId="0" xfId="0" applyNumberFormat="1" applyFont="1" applyAlignment="1">
      <alignment horizontal="center" vertical="center"/>
    </xf>
    <xf numFmtId="17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1" fontId="3" fillId="0" borderId="0" xfId="5" applyNumberFormat="1" applyFont="1" applyBorder="1" applyAlignment="1">
      <alignment vertical="center"/>
    </xf>
    <xf numFmtId="171" fontId="4" fillId="0" borderId="0" xfId="5" applyNumberFormat="1" applyFont="1" applyBorder="1" applyAlignment="1"/>
    <xf numFmtId="0" fontId="4" fillId="0" borderId="6" xfId="0" applyFont="1" applyBorder="1" applyAlignment="1">
      <alignment horizontal="centerContinuous"/>
    </xf>
    <xf numFmtId="3" fontId="12" fillId="0" borderId="0" xfId="0" applyNumberFormat="1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0" fontId="4" fillId="0" borderId="0" xfId="6" applyNumberFormat="1" applyFont="1" applyBorder="1"/>
    <xf numFmtId="10" fontId="4" fillId="0" borderId="6" xfId="6" applyNumberFormat="1" applyFont="1" applyBorder="1"/>
    <xf numFmtId="166" fontId="3" fillId="0" borderId="6" xfId="5" applyNumberFormat="1" applyFont="1" applyBorder="1"/>
    <xf numFmtId="3" fontId="9" fillId="0" borderId="6" xfId="0" applyNumberFormat="1" applyFont="1" applyBorder="1" applyAlignment="1">
      <alignment horizontal="center"/>
    </xf>
    <xf numFmtId="167" fontId="4" fillId="0" borderId="0" xfId="6" applyNumberFormat="1" applyFont="1" applyBorder="1" applyAlignment="1"/>
    <xf numFmtId="164" fontId="3" fillId="0" borderId="1" xfId="4" applyNumberFormat="1" applyFont="1" applyBorder="1"/>
    <xf numFmtId="10" fontId="4" fillId="0" borderId="0" xfId="3" applyNumberFormat="1" applyFont="1" applyFill="1"/>
    <xf numFmtId="0" fontId="14" fillId="0" borderId="6" xfId="0" applyFont="1" applyBorder="1" applyAlignment="1">
      <alignment horizontal="center"/>
    </xf>
    <xf numFmtId="174" fontId="4" fillId="0" borderId="0" xfId="0" applyNumberFormat="1" applyFont="1"/>
    <xf numFmtId="0" fontId="17" fillId="0" borderId="0" xfId="0" applyFont="1" applyAlignment="1">
      <alignment horizontal="center"/>
    </xf>
    <xf numFmtId="44" fontId="4" fillId="0" borderId="6" xfId="4" applyFont="1" applyBorder="1"/>
    <xf numFmtId="4" fontId="4" fillId="0" borderId="6" xfId="0" applyNumberFormat="1" applyFont="1" applyBorder="1"/>
    <xf numFmtId="10" fontId="4" fillId="0" borderId="0" xfId="6" applyNumberFormat="1" applyFont="1"/>
    <xf numFmtId="0" fontId="11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166" fontId="8" fillId="0" borderId="0" xfId="5" applyNumberFormat="1" applyFont="1" applyBorder="1" applyAlignment="1">
      <alignment horizontal="center"/>
    </xf>
    <xf numFmtId="166" fontId="12" fillId="0" borderId="1" xfId="5" applyNumberFormat="1" applyFont="1" applyBorder="1" applyAlignment="1">
      <alignment horizontal="center" vertical="center"/>
    </xf>
    <xf numFmtId="166" fontId="12" fillId="0" borderId="8" xfId="5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31" fillId="0" borderId="0" xfId="5" applyNumberFormat="1" applyFont="1" applyBorder="1" applyAlignment="1">
      <alignment vertical="top"/>
    </xf>
    <xf numFmtId="166" fontId="4" fillId="0" borderId="0" xfId="5" applyNumberFormat="1" applyFont="1" applyBorder="1" applyAlignment="1">
      <alignment horizontal="left"/>
    </xf>
    <xf numFmtId="3" fontId="30" fillId="0" borderId="4" xfId="0" applyNumberFormat="1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10" fontId="4" fillId="0" borderId="0" xfId="0" applyNumberFormat="1" applyFont="1"/>
    <xf numFmtId="166" fontId="8" fillId="0" borderId="0" xfId="1" applyNumberFormat="1" applyFont="1" applyBorder="1" applyAlignment="1">
      <alignment horizontal="center"/>
    </xf>
    <xf numFmtId="166" fontId="7" fillId="0" borderId="0" xfId="5" quotePrefix="1" applyNumberFormat="1" applyFont="1" applyBorder="1" applyAlignment="1">
      <alignment horizontal="center"/>
    </xf>
    <xf numFmtId="166" fontId="7" fillId="0" borderId="0" xfId="5" applyNumberFormat="1" applyFont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166" fontId="7" fillId="0" borderId="0" xfId="5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6" fontId="4" fillId="0" borderId="2" xfId="1" applyNumberFormat="1" applyFont="1" applyBorder="1"/>
    <xf numFmtId="166" fontId="8" fillId="0" borderId="2" xfId="1" applyNumberFormat="1" applyFont="1" applyBorder="1"/>
    <xf numFmtId="166" fontId="14" fillId="0" borderId="0" xfId="5" applyNumberFormat="1" applyFont="1" applyBorder="1" applyAlignment="1">
      <alignment horizontal="center"/>
    </xf>
    <xf numFmtId="166" fontId="8" fillId="0" borderId="0" xfId="5" applyNumberFormat="1" applyFont="1" applyBorder="1"/>
    <xf numFmtId="166" fontId="9" fillId="0" borderId="0" xfId="5" applyNumberFormat="1" applyFont="1" applyBorder="1" applyAlignment="1">
      <alignment horizontal="center" vertical="center"/>
    </xf>
    <xf numFmtId="166" fontId="9" fillId="0" borderId="6" xfId="5" applyNumberFormat="1" applyFont="1" applyBorder="1" applyAlignment="1">
      <alignment horizontal="center" vertical="center"/>
    </xf>
    <xf numFmtId="166" fontId="14" fillId="0" borderId="6" xfId="5" applyNumberFormat="1" applyFont="1" applyBorder="1" applyAlignment="1">
      <alignment horizontal="center"/>
    </xf>
    <xf numFmtId="166" fontId="8" fillId="0" borderId="6" xfId="5" applyNumberFormat="1" applyFont="1" applyBorder="1"/>
    <xf numFmtId="0" fontId="4" fillId="0" borderId="0" xfId="0" applyFont="1" applyAlignment="1">
      <alignment horizontal="left" vertical="top"/>
    </xf>
    <xf numFmtId="166" fontId="8" fillId="0" borderId="0" xfId="5" applyNumberFormat="1" applyFont="1"/>
    <xf numFmtId="166" fontId="4" fillId="0" borderId="0" xfId="5" applyNumberFormat="1" applyFont="1" applyBorder="1" applyAlignment="1">
      <alignment horizontal="center"/>
    </xf>
    <xf numFmtId="166" fontId="8" fillId="0" borderId="0" xfId="5" quotePrefix="1" applyNumberFormat="1" applyFont="1" applyBorder="1" applyAlignment="1">
      <alignment horizontal="center"/>
    </xf>
    <xf numFmtId="166" fontId="8" fillId="0" borderId="6" xfId="5" quotePrefix="1" applyNumberFormat="1" applyFont="1" applyBorder="1" applyAlignment="1">
      <alignment horizontal="center"/>
    </xf>
    <xf numFmtId="9" fontId="4" fillId="0" borderId="0" xfId="6" quotePrefix="1" applyFont="1"/>
    <xf numFmtId="43" fontId="4" fillId="0" borderId="6" xfId="5" applyFont="1" applyBorder="1"/>
    <xf numFmtId="170" fontId="4" fillId="0" borderId="0" xfId="5" applyNumberFormat="1" applyFont="1" applyBorder="1"/>
    <xf numFmtId="170" fontId="4" fillId="0" borderId="6" xfId="5" applyNumberFormat="1" applyFont="1" applyBorder="1"/>
    <xf numFmtId="170" fontId="3" fillId="0" borderId="0" xfId="5" applyNumberFormat="1" applyFont="1" applyBorder="1"/>
    <xf numFmtId="170" fontId="4" fillId="0" borderId="0" xfId="4" applyNumberFormat="1" applyFont="1" applyBorder="1"/>
    <xf numFmtId="170" fontId="4" fillId="0" borderId="8" xfId="5" applyNumberFormat="1" applyFont="1" applyBorder="1"/>
    <xf numFmtId="166" fontId="34" fillId="0" borderId="0" xfId="5" applyNumberFormat="1" applyFont="1" applyBorder="1"/>
    <xf numFmtId="166" fontId="33" fillId="0" borderId="0" xfId="5" applyNumberFormat="1" applyFont="1" applyBorder="1"/>
    <xf numFmtId="166" fontId="33" fillId="0" borderId="6" xfId="5" applyNumberFormat="1" applyFont="1" applyBorder="1"/>
    <xf numFmtId="166" fontId="34" fillId="0" borderId="0" xfId="5" applyNumberFormat="1" applyFont="1" applyBorder="1" applyAlignment="1">
      <alignment horizontal="center"/>
    </xf>
    <xf numFmtId="166" fontId="35" fillId="0" borderId="0" xfId="5" applyNumberFormat="1" applyFont="1" applyBorder="1" applyAlignment="1">
      <alignment horizontal="center"/>
    </xf>
    <xf numFmtId="166" fontId="36" fillId="0" borderId="0" xfId="5" applyNumberFormat="1" applyFont="1" applyBorder="1"/>
    <xf numFmtId="3" fontId="12" fillId="0" borderId="0" xfId="0" applyNumberFormat="1" applyFont="1" applyAlignment="1">
      <alignment vertical="center"/>
    </xf>
    <xf numFmtId="3" fontId="12" fillId="0" borderId="8" xfId="0" applyNumberFormat="1" applyFont="1" applyBorder="1" applyAlignment="1">
      <alignment vertical="center"/>
    </xf>
    <xf numFmtId="166" fontId="12" fillId="0" borderId="0" xfId="5" applyNumberFormat="1" applyFont="1" applyBorder="1"/>
    <xf numFmtId="166" fontId="11" fillId="0" borderId="0" xfId="5" applyNumberFormat="1" applyFont="1" applyBorder="1"/>
    <xf numFmtId="166" fontId="33" fillId="0" borderId="0" xfId="5" applyNumberFormat="1" applyFont="1"/>
    <xf numFmtId="166" fontId="33" fillId="0" borderId="3" xfId="5" applyNumberFormat="1" applyFont="1" applyBorder="1"/>
    <xf numFmtId="166" fontId="33" fillId="0" borderId="4" xfId="5" applyNumberFormat="1" applyFont="1" applyBorder="1"/>
    <xf numFmtId="166" fontId="33" fillId="0" borderId="5" xfId="5" applyNumberFormat="1" applyFont="1" applyBorder="1"/>
    <xf numFmtId="166" fontId="33" fillId="0" borderId="2" xfId="5" applyNumberFormat="1" applyFont="1" applyBorder="1"/>
    <xf numFmtId="166" fontId="12" fillId="0" borderId="6" xfId="5" applyNumberFormat="1" applyFont="1" applyBorder="1" applyAlignment="1">
      <alignment horizontal="center"/>
    </xf>
    <xf numFmtId="166" fontId="12" fillId="0" borderId="0" xfId="5" applyNumberFormat="1" applyFont="1" applyBorder="1" applyAlignment="1">
      <alignment horizontal="center"/>
    </xf>
    <xf numFmtId="43" fontId="37" fillId="0" borderId="1" xfId="5" applyFont="1" applyBorder="1" applyAlignment="1">
      <alignment horizontal="left"/>
    </xf>
    <xf numFmtId="43" fontId="34" fillId="0" borderId="1" xfId="5" applyFont="1" applyBorder="1" applyAlignment="1">
      <alignment horizontal="left"/>
    </xf>
    <xf numFmtId="166" fontId="35" fillId="0" borderId="6" xfId="5" applyNumberFormat="1" applyFont="1" applyBorder="1" applyAlignment="1">
      <alignment horizontal="center"/>
    </xf>
    <xf numFmtId="166" fontId="35" fillId="0" borderId="0" xfId="5" applyNumberFormat="1" applyFont="1" applyAlignment="1">
      <alignment horizontal="center"/>
    </xf>
    <xf numFmtId="166" fontId="35" fillId="0" borderId="0" xfId="5" quotePrefix="1" applyNumberFormat="1" applyFont="1" applyBorder="1" applyAlignment="1">
      <alignment horizontal="center"/>
    </xf>
    <xf numFmtId="166" fontId="35" fillId="0" borderId="6" xfId="5" quotePrefix="1" applyNumberFormat="1" applyFont="1" applyBorder="1" applyAlignment="1">
      <alignment horizontal="center"/>
    </xf>
    <xf numFmtId="166" fontId="35" fillId="0" borderId="0" xfId="5" quotePrefix="1" applyNumberFormat="1" applyFont="1" applyAlignment="1">
      <alignment horizontal="center"/>
    </xf>
    <xf numFmtId="166" fontId="33" fillId="0" borderId="0" xfId="5" quotePrefix="1" applyNumberFormat="1" applyFont="1" applyBorder="1" applyAlignment="1">
      <alignment horizontal="center"/>
    </xf>
    <xf numFmtId="166" fontId="33" fillId="0" borderId="0" xfId="5" applyNumberFormat="1" applyFont="1" applyBorder="1" applyAlignment="1">
      <alignment horizontal="center"/>
    </xf>
    <xf numFmtId="166" fontId="34" fillId="0" borderId="0" xfId="5" applyNumberFormat="1" applyFont="1" applyBorder="1" applyAlignment="1">
      <alignment horizontal="right"/>
    </xf>
    <xf numFmtId="166" fontId="37" fillId="0" borderId="1" xfId="5" applyNumberFormat="1" applyFont="1" applyBorder="1"/>
    <xf numFmtId="166" fontId="33" fillId="0" borderId="1" xfId="5" applyNumberFormat="1" applyFont="1" applyBorder="1"/>
    <xf numFmtId="166" fontId="33" fillId="0" borderId="0" xfId="5" quotePrefix="1" applyNumberFormat="1" applyFont="1" applyBorder="1"/>
    <xf numFmtId="166" fontId="33" fillId="0" borderId="7" xfId="5" applyNumberFormat="1" applyFont="1" applyBorder="1"/>
    <xf numFmtId="166" fontId="33" fillId="0" borderId="8" xfId="5" applyNumberFormat="1" applyFont="1" applyBorder="1"/>
    <xf numFmtId="166" fontId="12" fillId="0" borderId="1" xfId="5" applyNumberFormat="1" applyFont="1" applyBorder="1" applyAlignment="1">
      <alignment horizontal="center"/>
    </xf>
    <xf numFmtId="166" fontId="12" fillId="0" borderId="8" xfId="5" applyNumberFormat="1" applyFont="1" applyBorder="1" applyAlignment="1">
      <alignment horizontal="center"/>
    </xf>
    <xf numFmtId="43" fontId="35" fillId="0" borderId="0" xfId="1" quotePrefix="1" applyFont="1" applyBorder="1" applyAlignment="1">
      <alignment horizontal="center"/>
    </xf>
    <xf numFmtId="166" fontId="12" fillId="2" borderId="17" xfId="5" applyNumberFormat="1" applyFont="1" applyFill="1" applyBorder="1"/>
    <xf numFmtId="166" fontId="3" fillId="2" borderId="18" xfId="5" applyNumberFormat="1" applyFont="1" applyFill="1" applyBorder="1"/>
    <xf numFmtId="170" fontId="3" fillId="2" borderId="18" xfId="5" applyNumberFormat="1" applyFont="1" applyFill="1" applyBorder="1"/>
    <xf numFmtId="170" fontId="3" fillId="2" borderId="19" xfId="5" applyNumberFormat="1" applyFont="1" applyFill="1" applyBorder="1"/>
    <xf numFmtId="166" fontId="4" fillId="3" borderId="0" xfId="0" applyNumberFormat="1" applyFont="1" applyFill="1"/>
    <xf numFmtId="3" fontId="12" fillId="0" borderId="0" xfId="0" applyNumberFormat="1" applyFont="1"/>
    <xf numFmtId="166" fontId="4" fillId="4" borderId="0" xfId="5" applyNumberFormat="1" applyFont="1" applyFill="1"/>
    <xf numFmtId="166" fontId="4" fillId="2" borderId="3" xfId="1" applyNumberFormat="1" applyFont="1" applyFill="1" applyBorder="1"/>
    <xf numFmtId="166" fontId="4" fillId="2" borderId="4" xfId="1" applyNumberFormat="1" applyFont="1" applyFill="1" applyBorder="1"/>
    <xf numFmtId="166" fontId="7" fillId="2" borderId="4" xfId="5" applyNumberFormat="1" applyFont="1" applyFill="1" applyBorder="1" applyAlignment="1">
      <alignment horizontal="center"/>
    </xf>
    <xf numFmtId="166" fontId="7" fillId="2" borderId="4" xfId="1" quotePrefix="1" applyNumberFormat="1" applyFont="1" applyFill="1" applyBorder="1" applyAlignment="1">
      <alignment horizontal="center"/>
    </xf>
    <xf numFmtId="166" fontId="7" fillId="2" borderId="5" xfId="1" quotePrefix="1" applyNumberFormat="1" applyFont="1" applyFill="1" applyBorder="1" applyAlignment="1">
      <alignment horizontal="center"/>
    </xf>
    <xf numFmtId="166" fontId="4" fillId="2" borderId="2" xfId="1" applyNumberFormat="1" applyFont="1" applyFill="1" applyBorder="1"/>
    <xf numFmtId="166" fontId="4" fillId="2" borderId="0" xfId="1" quotePrefix="1" applyNumberFormat="1" applyFont="1" applyFill="1" applyBorder="1" applyAlignment="1">
      <alignment horizontal="right"/>
    </xf>
    <xf numFmtId="166" fontId="4" fillId="2" borderId="0" xfId="1" applyNumberFormat="1" applyFont="1" applyFill="1" applyBorder="1"/>
    <xf numFmtId="166" fontId="4" fillId="2" borderId="6" xfId="1" applyNumberFormat="1" applyFont="1" applyFill="1" applyBorder="1"/>
    <xf numFmtId="166" fontId="8" fillId="2" borderId="0" xfId="1" applyNumberFormat="1" applyFont="1" applyFill="1" applyBorder="1"/>
    <xf numFmtId="166" fontId="8" fillId="2" borderId="6" xfId="1" applyNumberFormat="1" applyFont="1" applyFill="1" applyBorder="1"/>
    <xf numFmtId="166" fontId="4" fillId="2" borderId="7" xfId="1" applyNumberFormat="1" applyFont="1" applyFill="1" applyBorder="1"/>
    <xf numFmtId="166" fontId="4" fillId="2" borderId="1" xfId="1" applyNumberFormat="1" applyFont="1" applyFill="1" applyBorder="1"/>
    <xf numFmtId="166" fontId="4" fillId="2" borderId="1" xfId="1" applyNumberFormat="1" applyFont="1" applyFill="1" applyBorder="1" applyAlignment="1">
      <alignment vertical="top"/>
    </xf>
    <xf numFmtId="166" fontId="4" fillId="2" borderId="8" xfId="1" applyNumberFormat="1" applyFont="1" applyFill="1" applyBorder="1" applyAlignment="1">
      <alignment vertical="top"/>
    </xf>
    <xf numFmtId="167" fontId="4" fillId="0" borderId="1" xfId="3" applyNumberFormat="1" applyFont="1" applyBorder="1"/>
    <xf numFmtId="166" fontId="4" fillId="0" borderId="4" xfId="1" applyNumberFormat="1" applyFont="1" applyBorder="1"/>
    <xf numFmtId="3" fontId="0" fillId="0" borderId="0" xfId="0" applyNumberFormat="1"/>
    <xf numFmtId="44" fontId="4" fillId="0" borderId="0" xfId="2" applyFont="1"/>
    <xf numFmtId="0" fontId="11" fillId="0" borderId="0" xfId="0" quotePrefix="1" applyFont="1"/>
    <xf numFmtId="43" fontId="11" fillId="0" borderId="0" xfId="1" applyFont="1" applyAlignment="1"/>
    <xf numFmtId="0" fontId="12" fillId="0" borderId="0" xfId="0" applyFont="1" applyAlignment="1">
      <alignment horizontal="center"/>
    </xf>
    <xf numFmtId="43" fontId="32" fillId="0" borderId="0" xfId="1" applyFont="1" applyAlignment="1">
      <alignment horizontal="center"/>
    </xf>
    <xf numFmtId="44" fontId="11" fillId="0" borderId="0" xfId="0" applyNumberFormat="1" applyFont="1"/>
    <xf numFmtId="166" fontId="11" fillId="0" borderId="0" xfId="1" applyNumberFormat="1" applyFont="1" applyBorder="1"/>
    <xf numFmtId="166" fontId="12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 vertical="center"/>
    </xf>
    <xf numFmtId="166" fontId="4" fillId="0" borderId="0" xfId="1" quotePrefix="1" applyNumberFormat="1" applyFont="1"/>
    <xf numFmtId="168" fontId="4" fillId="0" borderId="0" xfId="1" applyNumberFormat="1" applyFont="1" applyBorder="1" applyAlignment="1"/>
    <xf numFmtId="168" fontId="7" fillId="0" borderId="0" xfId="1" applyNumberFormat="1" applyFont="1" applyBorder="1" applyAlignment="1">
      <alignment horizontal="center"/>
    </xf>
    <xf numFmtId="166" fontId="17" fillId="0" borderId="0" xfId="1" applyNumberFormat="1" applyFont="1" applyBorder="1" applyAlignment="1">
      <alignment vertical="center"/>
    </xf>
    <xf numFmtId="43" fontId="4" fillId="0" borderId="1" xfId="1" applyFont="1" applyBorder="1"/>
    <xf numFmtId="164" fontId="17" fillId="0" borderId="0" xfId="2" applyNumberFormat="1" applyFont="1" applyBorder="1"/>
    <xf numFmtId="164" fontId="19" fillId="0" borderId="0" xfId="2" applyNumberFormat="1" applyFont="1" applyBorder="1"/>
    <xf numFmtId="164" fontId="19" fillId="0" borderId="9" xfId="4" applyNumberFormat="1" applyFont="1" applyBorder="1"/>
    <xf numFmtId="164" fontId="4" fillId="0" borderId="1" xfId="4" applyNumberFormat="1" applyFont="1" applyBorder="1"/>
    <xf numFmtId="43" fontId="17" fillId="0" borderId="0" xfId="5" applyFont="1"/>
    <xf numFmtId="43" fontId="17" fillId="0" borderId="0" xfId="1" applyFont="1"/>
    <xf numFmtId="43" fontId="4" fillId="0" borderId="1" xfId="1" applyFont="1" applyBorder="1" applyAlignment="1">
      <alignment horizontal="center"/>
    </xf>
    <xf numFmtId="43" fontId="21" fillId="0" borderId="0" xfId="1" applyFont="1"/>
    <xf numFmtId="43" fontId="38" fillId="0" borderId="0" xfId="1" applyFont="1"/>
    <xf numFmtId="43" fontId="39" fillId="0" borderId="0" xfId="1" applyFont="1"/>
    <xf numFmtId="166" fontId="39" fillId="0" borderId="0" xfId="5" applyNumberFormat="1" applyFont="1"/>
    <xf numFmtId="166" fontId="40" fillId="0" borderId="0" xfId="5" applyNumberFormat="1" applyFont="1"/>
    <xf numFmtId="164" fontId="41" fillId="0" borderId="0" xfId="2" applyNumberFormat="1" applyFont="1"/>
    <xf numFmtId="166" fontId="7" fillId="0" borderId="0" xfId="1" applyNumberFormat="1" applyFont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4" fontId="4" fillId="0" borderId="0" xfId="2" applyNumberFormat="1" applyFont="1" applyAlignment="1">
      <alignment vertical="center"/>
    </xf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right"/>
    </xf>
    <xf numFmtId="164" fontId="4" fillId="2" borderId="0" xfId="2" applyNumberFormat="1" applyFont="1" applyFill="1"/>
    <xf numFmtId="166" fontId="8" fillId="2" borderId="0" xfId="1" applyNumberFormat="1" applyFont="1" applyFill="1"/>
    <xf numFmtId="166" fontId="4" fillId="5" borderId="17" xfId="1" applyNumberFormat="1" applyFont="1" applyFill="1" applyBorder="1"/>
    <xf numFmtId="166" fontId="4" fillId="5" borderId="18" xfId="1" applyNumberFormat="1" applyFont="1" applyFill="1" applyBorder="1"/>
    <xf numFmtId="164" fontId="4" fillId="5" borderId="19" xfId="2" applyNumberFormat="1" applyFont="1" applyFill="1" applyBorder="1" applyAlignment="1">
      <alignment vertical="center"/>
    </xf>
    <xf numFmtId="166" fontId="4" fillId="0" borderId="0" xfId="1" applyNumberFormat="1" applyFont="1" applyFill="1" applyAlignment="1">
      <alignment horizontal="right"/>
    </xf>
    <xf numFmtId="164" fontId="4" fillId="0" borderId="0" xfId="2" applyNumberFormat="1" applyFont="1" applyFill="1"/>
    <xf numFmtId="166" fontId="4" fillId="0" borderId="0" xfId="1" quotePrefix="1" applyNumberFormat="1" applyFont="1" applyFill="1" applyAlignment="1">
      <alignment horizontal="right"/>
    </xf>
    <xf numFmtId="166" fontId="4" fillId="6" borderId="3" xfId="1" applyNumberFormat="1" applyFont="1" applyFill="1" applyBorder="1"/>
    <xf numFmtId="166" fontId="4" fillId="6" borderId="4" xfId="1" applyNumberFormat="1" applyFont="1" applyFill="1" applyBorder="1" applyAlignment="1">
      <alignment horizontal="right"/>
    </xf>
    <xf numFmtId="166" fontId="4" fillId="6" borderId="4" xfId="1" applyNumberFormat="1" applyFont="1" applyFill="1" applyBorder="1"/>
    <xf numFmtId="166" fontId="4" fillId="6" borderId="5" xfId="1" applyNumberFormat="1" applyFont="1" applyFill="1" applyBorder="1"/>
    <xf numFmtId="166" fontId="4" fillId="6" borderId="2" xfId="1" applyNumberFormat="1" applyFont="1" applyFill="1" applyBorder="1"/>
    <xf numFmtId="166" fontId="4" fillId="6" borderId="0" xfId="1" applyNumberFormat="1" applyFont="1" applyFill="1" applyBorder="1"/>
    <xf numFmtId="43" fontId="8" fillId="6" borderId="0" xfId="1" applyFont="1" applyFill="1" applyBorder="1"/>
    <xf numFmtId="166" fontId="4" fillId="6" borderId="6" xfId="1" applyNumberFormat="1" applyFont="1" applyFill="1" applyBorder="1"/>
    <xf numFmtId="164" fontId="4" fillId="6" borderId="0" xfId="2" applyNumberFormat="1" applyFont="1" applyFill="1" applyBorder="1"/>
    <xf numFmtId="166" fontId="4" fillId="6" borderId="7" xfId="1" applyNumberFormat="1" applyFont="1" applyFill="1" applyBorder="1"/>
    <xf numFmtId="166" fontId="4" fillId="6" borderId="1" xfId="1" applyNumberFormat="1" applyFont="1" applyFill="1" applyBorder="1"/>
    <xf numFmtId="166" fontId="4" fillId="6" borderId="8" xfId="1" applyNumberFormat="1" applyFont="1" applyFill="1" applyBorder="1"/>
    <xf numFmtId="166" fontId="4" fillId="6" borderId="0" xfId="1" applyNumberFormat="1" applyFont="1" applyFill="1"/>
    <xf numFmtId="164" fontId="3" fillId="0" borderId="9" xfId="4" applyNumberFormat="1" applyFont="1" applyBorder="1"/>
    <xf numFmtId="166" fontId="3" fillId="0" borderId="0" xfId="1" applyNumberFormat="1" applyFont="1" applyAlignment="1">
      <alignment horizontal="right"/>
    </xf>
    <xf numFmtId="0" fontId="4" fillId="0" borderId="0" xfId="1" quotePrefix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4" fillId="0" borderId="0" xfId="1" applyNumberFormat="1" applyFont="1" applyAlignment="1">
      <alignment horizontal="center"/>
    </xf>
    <xf numFmtId="166" fontId="17" fillId="0" borderId="1" xfId="1" applyNumberFormat="1" applyFont="1" applyBorder="1" applyAlignment="1"/>
    <xf numFmtId="166" fontId="8" fillId="0" borderId="0" xfId="1" applyNumberFormat="1" applyFont="1" applyBorder="1" applyAlignment="1"/>
    <xf numFmtId="166" fontId="4" fillId="0" borderId="6" xfId="1" applyNumberFormat="1" applyFont="1" applyBorder="1"/>
    <xf numFmtId="166" fontId="4" fillId="0" borderId="8" xfId="1" applyNumberFormat="1" applyFont="1" applyBorder="1"/>
    <xf numFmtId="166" fontId="8" fillId="0" borderId="0" xfId="1" applyNumberFormat="1" applyFont="1" applyBorder="1"/>
    <xf numFmtId="10" fontId="4" fillId="0" borderId="0" xfId="3" applyNumberFormat="1" applyFont="1" applyBorder="1" applyAlignment="1"/>
    <xf numFmtId="43" fontId="4" fillId="0" borderId="4" xfId="1" applyFont="1" applyBorder="1"/>
    <xf numFmtId="168" fontId="8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vertical="top"/>
    </xf>
    <xf numFmtId="166" fontId="8" fillId="0" borderId="0" xfId="1" applyNumberFormat="1" applyFont="1" applyBorder="1" applyAlignment="1">
      <alignment vertical="top"/>
    </xf>
    <xf numFmtId="166" fontId="3" fillId="0" borderId="0" xfId="1" applyNumberFormat="1" applyFont="1" applyBorder="1" applyAlignment="1">
      <alignment vertical="center"/>
    </xf>
    <xf numFmtId="168" fontId="4" fillId="0" borderId="0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42" fillId="0" borderId="0" xfId="0" applyFont="1"/>
    <xf numFmtId="0" fontId="43" fillId="0" borderId="0" xfId="0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42" fillId="0" borderId="13" xfId="0" applyFont="1" applyBorder="1"/>
    <xf numFmtId="3" fontId="42" fillId="0" borderId="0" xfId="0" applyNumberFormat="1" applyFont="1"/>
    <xf numFmtId="0" fontId="42" fillId="0" borderId="0" xfId="0" applyFont="1" applyAlignment="1">
      <alignment horizontal="centerContinuous"/>
    </xf>
    <xf numFmtId="0" fontId="42" fillId="0" borderId="14" xfId="0" applyFont="1" applyBorder="1" applyAlignment="1">
      <alignment horizontal="centerContinuous"/>
    </xf>
    <xf numFmtId="166" fontId="42" fillId="0" borderId="0" xfId="5" applyNumberFormat="1" applyFont="1"/>
    <xf numFmtId="0" fontId="45" fillId="0" borderId="0" xfId="0" applyFont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0" xfId="0" applyNumberFormat="1" applyFont="1" applyAlignment="1">
      <alignment horizontal="center"/>
    </xf>
    <xf numFmtId="166" fontId="42" fillId="0" borderId="0" xfId="5" applyNumberFormat="1" applyFont="1" applyBorder="1" applyAlignment="1"/>
    <xf numFmtId="168" fontId="42" fillId="0" borderId="0" xfId="5" applyNumberFormat="1" applyFont="1" applyBorder="1" applyAlignment="1"/>
    <xf numFmtId="43" fontId="42" fillId="0" borderId="0" xfId="5" applyFont="1" applyBorder="1"/>
    <xf numFmtId="168" fontId="42" fillId="0" borderId="14" xfId="5" applyNumberFormat="1" applyFont="1" applyBorder="1"/>
    <xf numFmtId="43" fontId="42" fillId="0" borderId="0" xfId="5" applyFont="1" applyBorder="1" applyAlignment="1"/>
    <xf numFmtId="168" fontId="42" fillId="0" borderId="2" xfId="5" applyNumberFormat="1" applyFont="1" applyBorder="1"/>
    <xf numFmtId="0" fontId="42" fillId="0" borderId="6" xfId="0" applyFont="1" applyBorder="1"/>
    <xf numFmtId="0" fontId="42" fillId="0" borderId="0" xfId="0" applyFont="1" applyAlignment="1">
      <alignment vertical="center"/>
    </xf>
    <xf numFmtId="172" fontId="42" fillId="0" borderId="0" xfId="0" applyNumberFormat="1" applyFont="1" applyAlignment="1">
      <alignment vertical="center"/>
    </xf>
    <xf numFmtId="10" fontId="42" fillId="0" borderId="0" xfId="0" applyNumberFormat="1" applyFont="1" applyAlignment="1">
      <alignment vertical="center"/>
    </xf>
    <xf numFmtId="0" fontId="0" fillId="0" borderId="7" xfId="0" applyBorder="1"/>
    <xf numFmtId="0" fontId="42" fillId="0" borderId="1" xfId="0" applyFont="1" applyBorder="1"/>
    <xf numFmtId="172" fontId="42" fillId="0" borderId="1" xfId="0" applyNumberFormat="1" applyFont="1" applyBorder="1"/>
    <xf numFmtId="0" fontId="0" fillId="0" borderId="8" xfId="0" applyBorder="1"/>
    <xf numFmtId="43" fontId="42" fillId="0" borderId="14" xfId="0" applyNumberFormat="1" applyFont="1" applyBorder="1"/>
    <xf numFmtId="43" fontId="42" fillId="0" borderId="14" xfId="0" applyNumberFormat="1" applyFont="1" applyBorder="1" applyAlignment="1">
      <alignment horizontal="center"/>
    </xf>
    <xf numFmtId="0" fontId="5" fillId="0" borderId="0" xfId="0" applyFont="1"/>
    <xf numFmtId="166" fontId="42" fillId="0" borderId="0" xfId="5" applyNumberFormat="1" applyFont="1" applyBorder="1"/>
    <xf numFmtId="166" fontId="0" fillId="0" borderId="0" xfId="5" applyNumberFormat="1" applyFont="1"/>
    <xf numFmtId="10" fontId="0" fillId="0" borderId="0" xfId="6" applyNumberFormat="1" applyFont="1"/>
    <xf numFmtId="3" fontId="3" fillId="0" borderId="0" xfId="0" applyNumberFormat="1" applyFont="1"/>
    <xf numFmtId="0" fontId="3" fillId="0" borderId="1" xfId="0" applyFont="1" applyBorder="1"/>
    <xf numFmtId="10" fontId="0" fillId="0" borderId="0" xfId="0" applyNumberFormat="1"/>
    <xf numFmtId="43" fontId="4" fillId="0" borderId="0" xfId="1" applyFont="1" applyAlignment="1">
      <alignment vertical="center"/>
    </xf>
    <xf numFmtId="166" fontId="46" fillId="0" borderId="0" xfId="1" applyNumberFormat="1" applyFont="1"/>
    <xf numFmtId="9" fontId="4" fillId="0" borderId="0" xfId="3" applyFont="1" applyFill="1"/>
    <xf numFmtId="43" fontId="0" fillId="0" borderId="0" xfId="1" applyFont="1"/>
    <xf numFmtId="166" fontId="8" fillId="0" borderId="0" xfId="1" applyNumberFormat="1" applyFont="1" applyAlignment="1">
      <alignment horizontal="right" vertical="center"/>
    </xf>
    <xf numFmtId="166" fontId="8" fillId="0" borderId="0" xfId="5" applyNumberFormat="1" applyFont="1" applyBorder="1" applyAlignment="1"/>
    <xf numFmtId="3" fontId="8" fillId="0" borderId="6" xfId="0" applyNumberFormat="1" applyFont="1" applyBorder="1"/>
    <xf numFmtId="3" fontId="8" fillId="0" borderId="0" xfId="0" applyNumberFormat="1" applyFont="1"/>
    <xf numFmtId="10" fontId="5" fillId="0" borderId="0" xfId="3" applyNumberFormat="1" applyFont="1"/>
    <xf numFmtId="166" fontId="8" fillId="0" borderId="0" xfId="1" applyNumberFormat="1" applyFont="1" applyAlignment="1">
      <alignment horizontal="center" vertical="center"/>
    </xf>
    <xf numFmtId="166" fontId="3" fillId="0" borderId="0" xfId="5" applyNumberFormat="1" applyFont="1" applyBorder="1" applyAlignment="1">
      <alignment horizontal="left"/>
    </xf>
    <xf numFmtId="10" fontId="3" fillId="0" borderId="0" xfId="3" applyNumberFormat="1" applyFont="1" applyBorder="1" applyAlignment="1"/>
    <xf numFmtId="166" fontId="9" fillId="0" borderId="1" xfId="5" applyNumberFormat="1" applyFont="1" applyBorder="1" applyAlignment="1">
      <alignment horizontal="center" vertical="center"/>
    </xf>
    <xf numFmtId="43" fontId="3" fillId="0" borderId="0" xfId="5" applyFont="1" applyBorder="1" applyAlignment="1">
      <alignment horizontal="center"/>
    </xf>
    <xf numFmtId="43" fontId="7" fillId="0" borderId="6" xfId="5" applyFont="1" applyBorder="1" applyAlignment="1">
      <alignment horizontal="center"/>
    </xf>
    <xf numFmtId="43" fontId="7" fillId="0" borderId="0" xfId="5" applyFont="1" applyBorder="1" applyAlignment="1">
      <alignment horizontal="center"/>
    </xf>
    <xf numFmtId="164" fontId="3" fillId="0" borderId="0" xfId="2" applyNumberFormat="1" applyFont="1" applyBorder="1" applyAlignment="1">
      <alignment vertical="center"/>
    </xf>
    <xf numFmtId="43" fontId="0" fillId="0" borderId="0" xfId="1" applyFont="1" applyBorder="1"/>
    <xf numFmtId="166" fontId="4" fillId="0" borderId="6" xfId="5" applyNumberFormat="1" applyFont="1" applyBorder="1" applyAlignment="1"/>
    <xf numFmtId="166" fontId="4" fillId="0" borderId="0" xfId="1" quotePrefix="1" applyNumberFormat="1" applyFont="1" applyBorder="1"/>
    <xf numFmtId="43" fontId="4" fillId="0" borderId="0" xfId="1" applyFont="1" applyAlignment="1">
      <alignment horizontal="centerContinuous"/>
    </xf>
    <xf numFmtId="43" fontId="12" fillId="0" borderId="1" xfId="1" applyFont="1" applyBorder="1" applyAlignment="1">
      <alignment horizontal="center" vertical="center"/>
    </xf>
    <xf numFmtId="43" fontId="11" fillId="0" borderId="0" xfId="1" applyFont="1"/>
    <xf numFmtId="166" fontId="4" fillId="0" borderId="0" xfId="1" applyNumberFormat="1" applyFont="1" applyAlignment="1">
      <alignment horizontal="centerContinuous"/>
    </xf>
    <xf numFmtId="166" fontId="14" fillId="0" borderId="0" xfId="1" applyNumberFormat="1" applyFont="1" applyAlignment="1">
      <alignment horizontal="center"/>
    </xf>
    <xf numFmtId="166" fontId="11" fillId="0" borderId="0" xfId="1" applyNumberFormat="1" applyFont="1"/>
    <xf numFmtId="166" fontId="0" fillId="0" borderId="0" xfId="1" applyNumberFormat="1" applyFont="1"/>
    <xf numFmtId="43" fontId="16" fillId="0" borderId="0" xfId="1" applyFont="1" applyAlignment="1">
      <alignment horizontal="centerContinuous"/>
    </xf>
    <xf numFmtId="43" fontId="12" fillId="0" borderId="0" xfId="1" applyFont="1" applyAlignment="1">
      <alignment horizontal="centerContinuous" vertical="center"/>
    </xf>
    <xf numFmtId="43" fontId="12" fillId="0" borderId="0" xfId="1" applyFont="1"/>
    <xf numFmtId="166" fontId="4" fillId="0" borderId="16" xfId="1" applyNumberFormat="1" applyFont="1" applyBorder="1"/>
    <xf numFmtId="44" fontId="12" fillId="0" borderId="0" xfId="2" applyFont="1"/>
    <xf numFmtId="166" fontId="4" fillId="0" borderId="11" xfId="5" applyNumberFormat="1" applyFont="1" applyBorder="1" applyAlignment="1">
      <alignment horizontal="right"/>
    </xf>
    <xf numFmtId="164" fontId="3" fillId="0" borderId="0" xfId="2" applyNumberFormat="1" applyFont="1" applyBorder="1" applyAlignment="1"/>
    <xf numFmtId="166" fontId="6" fillId="0" borderId="0" xfId="5" applyNumberFormat="1" applyFont="1" applyBorder="1" applyAlignment="1">
      <alignment horizontal="center"/>
    </xf>
    <xf numFmtId="0" fontId="38" fillId="0" borderId="0" xfId="0" applyFont="1" applyAlignment="1">
      <alignment horizontal="right"/>
    </xf>
    <xf numFmtId="3" fontId="38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right"/>
    </xf>
    <xf numFmtId="3" fontId="38" fillId="0" borderId="0" xfId="0" applyNumberFormat="1" applyFont="1"/>
    <xf numFmtId="4" fontId="38" fillId="0" borderId="0" xfId="0" applyNumberFormat="1" applyFont="1" applyAlignment="1">
      <alignment horizontal="right"/>
    </xf>
    <xf numFmtId="166" fontId="9" fillId="0" borderId="8" xfId="5" applyNumberFormat="1" applyFont="1" applyBorder="1" applyAlignment="1">
      <alignment horizontal="center" vertical="center"/>
    </xf>
    <xf numFmtId="167" fontId="14" fillId="0" borderId="0" xfId="3" applyNumberFormat="1" applyFont="1"/>
    <xf numFmtId="166" fontId="12" fillId="0" borderId="0" xfId="5" applyNumberFormat="1" applyFont="1" applyBorder="1" applyAlignment="1">
      <alignment horizontal="center" vertical="center"/>
    </xf>
    <xf numFmtId="166" fontId="12" fillId="0" borderId="6" xfId="5" applyNumberFormat="1" applyFont="1" applyBorder="1" applyAlignment="1">
      <alignment horizontal="center" vertical="center"/>
    </xf>
    <xf numFmtId="166" fontId="47" fillId="0" borderId="0" xfId="5" applyNumberFormat="1" applyFont="1" applyBorder="1"/>
    <xf numFmtId="166" fontId="4" fillId="0" borderId="0" xfId="1" quotePrefix="1" applyNumberFormat="1" applyFont="1" applyAlignment="1">
      <alignment horizontal="right"/>
    </xf>
    <xf numFmtId="166" fontId="4" fillId="0" borderId="3" xfId="1" applyNumberFormat="1" applyFont="1" applyBorder="1"/>
    <xf numFmtId="166" fontId="4" fillId="0" borderId="5" xfId="1" applyNumberFormat="1" applyFont="1" applyBorder="1"/>
    <xf numFmtId="166" fontId="4" fillId="0" borderId="7" xfId="1" applyNumberFormat="1" applyFont="1" applyBorder="1"/>
    <xf numFmtId="43" fontId="48" fillId="0" borderId="0" xfId="1" applyFont="1" applyAlignment="1"/>
    <xf numFmtId="10" fontId="48" fillId="0" borderId="0" xfId="3" applyNumberFormat="1" applyFont="1" applyAlignment="1"/>
    <xf numFmtId="166" fontId="14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 vertical="center"/>
    </xf>
    <xf numFmtId="43" fontId="7" fillId="0" borderId="0" xfId="1" applyFont="1" applyBorder="1" applyAlignment="1">
      <alignment horizontal="center"/>
    </xf>
    <xf numFmtId="166" fontId="4" fillId="0" borderId="0" xfId="1" applyNumberFormat="1" applyFont="1" applyBorder="1" applyAlignment="1">
      <alignment horizontal="right" vertical="center"/>
    </xf>
    <xf numFmtId="168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8" fillId="0" borderId="0" xfId="0" applyNumberFormat="1" applyFont="1"/>
    <xf numFmtId="172" fontId="4" fillId="0" borderId="0" xfId="0" applyNumberFormat="1" applyFont="1"/>
    <xf numFmtId="0" fontId="6" fillId="0" borderId="6" xfId="0" applyFont="1" applyBorder="1" applyAlignment="1">
      <alignment horizontal="center"/>
    </xf>
    <xf numFmtId="169" fontId="11" fillId="0" borderId="0" xfId="3" applyNumberFormat="1" applyFont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43" fontId="7" fillId="0" borderId="11" xfId="5" applyFont="1" applyBorder="1" applyAlignment="1">
      <alignment horizontal="center"/>
    </xf>
    <xf numFmtId="44" fontId="4" fillId="0" borderId="6" xfId="2" applyFont="1" applyBorder="1" applyAlignment="1"/>
    <xf numFmtId="43" fontId="4" fillId="0" borderId="6" xfId="1" applyFont="1" applyBorder="1" applyAlignment="1"/>
    <xf numFmtId="0" fontId="4" fillId="0" borderId="11" xfId="0" applyFont="1" applyBorder="1"/>
    <xf numFmtId="44" fontId="4" fillId="0" borderId="11" xfId="2" applyFont="1" applyBorder="1" applyAlignment="1"/>
    <xf numFmtId="43" fontId="4" fillId="0" borderId="11" xfId="1" applyFont="1" applyBorder="1" applyAlignment="1"/>
    <xf numFmtId="0" fontId="4" fillId="0" borderId="12" xfId="0" applyFont="1" applyBorder="1"/>
    <xf numFmtId="166" fontId="14" fillId="0" borderId="0" xfId="1" applyNumberFormat="1" applyFont="1"/>
    <xf numFmtId="166" fontId="0" fillId="0" borderId="0" xfId="0" applyNumberFormat="1"/>
    <xf numFmtId="0" fontId="49" fillId="0" borderId="0" xfId="0" quotePrefix="1" applyFont="1" applyAlignment="1">
      <alignment horizontal="center"/>
    </xf>
    <xf numFmtId="10" fontId="12" fillId="0" borderId="0" xfId="3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" xfId="0" applyFont="1" applyBorder="1"/>
    <xf numFmtId="0" fontId="11" fillId="0" borderId="8" xfId="0" applyFont="1" applyBorder="1"/>
    <xf numFmtId="166" fontId="8" fillId="0" borderId="2" xfId="5" applyNumberFormat="1" applyFont="1" applyBorder="1" applyAlignment="1">
      <alignment horizontal="center"/>
    </xf>
    <xf numFmtId="166" fontId="8" fillId="0" borderId="6" xfId="5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44" fontId="4" fillId="0" borderId="2" xfId="4" applyFont="1" applyBorder="1"/>
    <xf numFmtId="44" fontId="4" fillId="0" borderId="0" xfId="4" applyFont="1" applyBorder="1"/>
    <xf numFmtId="167" fontId="4" fillId="0" borderId="6" xfId="6" applyNumberFormat="1" applyFont="1" applyBorder="1"/>
    <xf numFmtId="167" fontId="4" fillId="0" borderId="0" xfId="0" applyNumberFormat="1" applyFont="1"/>
    <xf numFmtId="166" fontId="4" fillId="2" borderId="0" xfId="5" applyNumberFormat="1" applyFont="1" applyFill="1" applyBorder="1"/>
    <xf numFmtId="43" fontId="4" fillId="2" borderId="2" xfId="5" applyFont="1" applyFill="1" applyBorder="1"/>
    <xf numFmtId="43" fontId="4" fillId="2" borderId="0" xfId="5" applyFont="1" applyFill="1" applyBorder="1"/>
    <xf numFmtId="10" fontId="4" fillId="2" borderId="0" xfId="6" applyNumberFormat="1" applyFont="1" applyFill="1" applyBorder="1"/>
    <xf numFmtId="43" fontId="4" fillId="0" borderId="2" xfId="5" applyFont="1" applyFill="1" applyBorder="1"/>
    <xf numFmtId="43" fontId="4" fillId="0" borderId="7" xfId="5" applyFont="1" applyBorder="1"/>
    <xf numFmtId="166" fontId="4" fillId="0" borderId="0" xfId="5" quotePrefix="1" applyNumberFormat="1" applyFont="1"/>
    <xf numFmtId="0" fontId="3" fillId="2" borderId="17" xfId="0" applyFont="1" applyFill="1" applyBorder="1"/>
    <xf numFmtId="44" fontId="3" fillId="2" borderId="19" xfId="2" applyFont="1" applyFill="1" applyBorder="1"/>
    <xf numFmtId="3" fontId="1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 vertical="center"/>
    </xf>
    <xf numFmtId="168" fontId="7" fillId="0" borderId="0" xfId="1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166" fontId="7" fillId="0" borderId="2" xfId="5" applyNumberFormat="1" applyFont="1" applyBorder="1" applyAlignment="1">
      <alignment horizontal="center" vertical="center"/>
    </xf>
    <xf numFmtId="166" fontId="7" fillId="0" borderId="6" xfId="5" applyNumberFormat="1" applyFont="1" applyBorder="1" applyAlignment="1">
      <alignment horizontal="center" vertical="center"/>
    </xf>
    <xf numFmtId="166" fontId="12" fillId="0" borderId="0" xfId="5" applyNumberFormat="1" applyFont="1" applyBorder="1" applyAlignment="1">
      <alignment horizontal="center" vertical="center"/>
    </xf>
    <xf numFmtId="166" fontId="12" fillId="0" borderId="6" xfId="5" applyNumberFormat="1" applyFont="1" applyBorder="1" applyAlignment="1">
      <alignment horizontal="center" vertical="center"/>
    </xf>
    <xf numFmtId="166" fontId="12" fillId="0" borderId="0" xfId="5" applyNumberFormat="1" applyFont="1" applyAlignment="1">
      <alignment horizontal="center" vertical="center"/>
    </xf>
    <xf numFmtId="3" fontId="28" fillId="0" borderId="4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166" fontId="35" fillId="0" borderId="0" xfId="5" applyNumberFormat="1" applyFont="1" applyBorder="1" applyAlignment="1">
      <alignment horizontal="center"/>
    </xf>
    <xf numFmtId="166" fontId="32" fillId="0" borderId="0" xfId="5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7" fillId="0" borderId="0" xfId="5" quotePrefix="1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6" fontId="7" fillId="0" borderId="0" xfId="5" quotePrefix="1" applyNumberFormat="1" applyFont="1" applyAlignment="1">
      <alignment horizontal="center"/>
    </xf>
    <xf numFmtId="166" fontId="7" fillId="0" borderId="2" xfId="5" quotePrefix="1" applyNumberFormat="1" applyFont="1" applyBorder="1" applyAlignment="1">
      <alignment horizontal="center"/>
    </xf>
    <xf numFmtId="43" fontId="42" fillId="0" borderId="0" xfId="1" applyFont="1"/>
    <xf numFmtId="166" fontId="4" fillId="7" borderId="0" xfId="5" applyNumberFormat="1" applyFont="1" applyFill="1"/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CCFFFF"/>
      <color rgb="FFFFCC99"/>
      <color rgb="FFCBCF99"/>
      <color rgb="FFFFFF99"/>
      <color rgb="FFFFFFFF"/>
      <color rgb="FFCCFFCC"/>
      <color rgb="FF59B58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9853665552079"/>
          <c:y val="0.14072119613016712"/>
          <c:w val="0.75391620567976947"/>
          <c:h val="0.699223678834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Usage!$V$5:$V$8</c:f>
              <c:numCache>
                <c:formatCode>_(* #,##0_);_(* \(#,##0\);_(* "-"??_);_(@_)</c:formatCode>
                <c:ptCount val="4"/>
                <c:pt idx="0">
                  <c:v>0</c:v>
                </c:pt>
              </c:numCache>
            </c:numRef>
          </c:cat>
          <c:val>
            <c:numRef>
              <c:f>Usage!$W$5:$W$8</c:f>
              <c:numCache>
                <c:formatCode>_(* #,##0_);_(* \(#,##0\);_(* "-"??_);_(@_)</c:formatCode>
                <c:ptCount val="4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9-493B-912E-AECFCC27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361664"/>
        <c:axId val="701355008"/>
      </c:lineChart>
      <c:catAx>
        <c:axId val="7013616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??_);_(@_)" sourceLinked="1"/>
        <c:majorTickMark val="none"/>
        <c:minorTickMark val="none"/>
        <c:tickLblPos val="nextTo"/>
        <c:crossAx val="701355008"/>
        <c:crosses val="autoZero"/>
        <c:auto val="1"/>
        <c:lblAlgn val="ctr"/>
        <c:lblOffset val="100"/>
        <c:noMultiLvlLbl val="0"/>
      </c:catAx>
      <c:valAx>
        <c:axId val="7013550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7013616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361952</xdr:colOff>
      <xdr:row>15</xdr:row>
      <xdr:rowOff>104774</xdr:rowOff>
    </xdr:from>
    <xdr:to>
      <xdr:col>17</xdr:col>
      <xdr:colOff>228600</xdr:colOff>
      <xdr:row>25</xdr:row>
      <xdr:rowOff>152399</xdr:rowOff>
    </xdr:to>
    <xdr:cxnSp macro="">
      <xdr:nvCxnSpPr>
        <xdr:cNvPr id="11" name="Connector: Elbow 10">
          <a:extLst>
            <a:ext uri="{FF2B5EF4-FFF2-40B4-BE49-F238E27FC236}">
              <a16:creationId xmlns:a16="http://schemas.microsoft.com/office/drawing/2014/main" id="{74CF6BDE-AE8E-7580-E7BE-8BAC1C906C2F}"/>
            </a:ext>
          </a:extLst>
        </xdr:cNvPr>
        <xdr:cNvCxnSpPr/>
      </xdr:nvCxnSpPr>
      <xdr:spPr>
        <a:xfrm rot="10800000" flipV="1">
          <a:off x="12325352" y="3047999"/>
          <a:ext cx="2305048" cy="2009775"/>
        </a:xfrm>
        <a:prstGeom prst="bentConnector3">
          <a:avLst>
            <a:gd name="adj1" fmla="val 9917"/>
          </a:avLst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156210</xdr:colOff>
      <xdr:row>16</xdr:row>
      <xdr:rowOff>156210</xdr:rowOff>
    </xdr:from>
    <xdr:to>
      <xdr:col>28</xdr:col>
      <xdr:colOff>575310</xdr:colOff>
      <xdr:row>22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3B2850-89D8-000C-A8E3-6AE31B388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R55"/>
  <sheetViews>
    <sheetView tabSelected="1" workbookViewId="0"/>
  </sheetViews>
  <sheetFormatPr defaultColWidth="8.86328125" defaultRowHeight="15.6" x14ac:dyDescent="0.6"/>
  <cols>
    <col min="1" max="1" width="3.2265625" style="23" customWidth="1"/>
    <col min="2" max="2" width="1.76953125" style="23" customWidth="1"/>
    <col min="3" max="3" width="1.76953125" style="22" customWidth="1"/>
    <col min="4" max="4" width="3.76953125" style="22" customWidth="1"/>
    <col min="5" max="5" width="24.6796875" style="22" customWidth="1"/>
    <col min="6" max="6" width="9.76953125" style="22" customWidth="1"/>
    <col min="7" max="7" width="10.2265625" style="22" customWidth="1"/>
    <col min="8" max="8" width="4.86328125" style="141" customWidth="1"/>
    <col min="9" max="9" width="9.76953125" style="22" customWidth="1"/>
    <col min="10" max="10" width="1.76953125" style="22" customWidth="1"/>
    <col min="11" max="11" width="3.76953125" style="22" customWidth="1"/>
    <col min="12" max="12" width="9.6796875" style="22" customWidth="1"/>
    <col min="13" max="13" width="11.31640625" style="22" customWidth="1"/>
    <col min="14" max="252" width="9.6796875" style="22" customWidth="1"/>
    <col min="253" max="254" width="9.6796875" style="23" customWidth="1"/>
    <col min="255" max="16384" width="8.86328125" style="23"/>
  </cols>
  <sheetData>
    <row r="2" spans="2:16" ht="7" customHeight="1" x14ac:dyDescent="0.6">
      <c r="B2" s="65"/>
      <c r="C2" s="168"/>
      <c r="D2" s="168"/>
      <c r="E2" s="168"/>
      <c r="F2" s="168"/>
      <c r="G2" s="168"/>
      <c r="H2" s="169"/>
      <c r="I2" s="168"/>
      <c r="J2" s="170"/>
    </row>
    <row r="3" spans="2:16" ht="18" customHeight="1" x14ac:dyDescent="0.6">
      <c r="B3" s="64"/>
      <c r="C3" s="564" t="s">
        <v>24</v>
      </c>
      <c r="D3" s="564"/>
      <c r="E3" s="564"/>
      <c r="F3" s="564"/>
      <c r="G3" s="564"/>
      <c r="H3" s="564"/>
      <c r="I3" s="564"/>
      <c r="J3" s="161"/>
      <c r="K3" s="99"/>
      <c r="L3" s="21"/>
      <c r="M3" s="21"/>
    </row>
    <row r="4" spans="2:16" ht="18" customHeight="1" x14ac:dyDescent="0.6">
      <c r="B4" s="64"/>
      <c r="C4" s="563" t="s">
        <v>327</v>
      </c>
      <c r="D4" s="563"/>
      <c r="E4" s="563"/>
      <c r="F4" s="563"/>
      <c r="G4" s="563"/>
      <c r="H4" s="563"/>
      <c r="I4" s="563"/>
      <c r="J4" s="161"/>
      <c r="K4" s="99"/>
      <c r="L4" s="99"/>
      <c r="M4"/>
      <c r="N4" s="99"/>
      <c r="O4" s="99"/>
      <c r="P4" s="99"/>
    </row>
    <row r="5" spans="2:16" ht="7" customHeight="1" x14ac:dyDescent="0.6">
      <c r="B5" s="66"/>
      <c r="C5" s="171"/>
      <c r="D5" s="171"/>
      <c r="E5" s="171"/>
      <c r="F5" s="172"/>
      <c r="G5" s="172"/>
      <c r="H5" s="173"/>
      <c r="I5" s="172"/>
      <c r="J5" s="174"/>
      <c r="K5" s="175"/>
      <c r="L5" s="21"/>
      <c r="M5" s="21"/>
    </row>
    <row r="6" spans="2:16" ht="7" customHeight="1" x14ac:dyDescent="0.6">
      <c r="B6" s="64"/>
      <c r="C6" s="21"/>
      <c r="D6" s="21"/>
      <c r="E6" s="21"/>
      <c r="F6" s="175"/>
      <c r="G6" s="175"/>
      <c r="H6" s="176"/>
      <c r="I6" s="175"/>
      <c r="J6" s="198"/>
      <c r="K6" s="175"/>
      <c r="L6" s="21"/>
      <c r="M6" s="21"/>
    </row>
    <row r="7" spans="2:16" x14ac:dyDescent="0.6">
      <c r="B7" s="64"/>
      <c r="C7" s="24"/>
      <c r="D7" s="24"/>
      <c r="E7" s="24"/>
      <c r="F7" s="177" t="s">
        <v>79</v>
      </c>
      <c r="G7" s="177" t="s">
        <v>23</v>
      </c>
      <c r="H7" s="176" t="s">
        <v>39</v>
      </c>
      <c r="I7" s="177" t="s">
        <v>78</v>
      </c>
      <c r="J7" s="178"/>
      <c r="K7" s="177"/>
      <c r="L7" s="181"/>
      <c r="M7" s="25"/>
    </row>
    <row r="8" spans="2:16" ht="15" customHeight="1" x14ac:dyDescent="0.6">
      <c r="B8" s="64"/>
      <c r="C8" s="194" t="s">
        <v>6</v>
      </c>
      <c r="D8" s="24"/>
      <c r="E8" s="24"/>
      <c r="F8" s="24"/>
      <c r="G8" s="24"/>
      <c r="H8" s="179"/>
      <c r="I8" s="24"/>
      <c r="J8" s="180"/>
      <c r="K8" s="24"/>
      <c r="L8" s="181"/>
      <c r="M8" s="25"/>
    </row>
    <row r="9" spans="2:16" ht="15" customHeight="1" x14ac:dyDescent="0.6">
      <c r="B9" s="64"/>
      <c r="C9" s="24"/>
      <c r="D9" s="24" t="s">
        <v>125</v>
      </c>
      <c r="E9" s="24"/>
      <c r="F9" s="26">
        <v>3630630</v>
      </c>
      <c r="G9" s="181">
        <f>I9-F9</f>
        <v>-55441.349999999627</v>
      </c>
      <c r="H9" s="179" t="s">
        <v>84</v>
      </c>
      <c r="I9" s="26">
        <f>ExBA!G11</f>
        <v>3575188.6500000004</v>
      </c>
      <c r="J9" s="182"/>
      <c r="K9" s="26"/>
      <c r="L9" s="200"/>
      <c r="M9" s="25"/>
      <c r="N9" s="527"/>
    </row>
    <row r="10" spans="2:16" ht="15" customHeight="1" x14ac:dyDescent="0.6">
      <c r="B10" s="64"/>
      <c r="C10" s="24"/>
      <c r="D10" s="24" t="s">
        <v>328</v>
      </c>
      <c r="E10" s="24"/>
      <c r="F10" s="181">
        <v>73</v>
      </c>
      <c r="G10" s="181">
        <v>0</v>
      </c>
      <c r="H10" s="179"/>
      <c r="I10" s="181">
        <f>F10+G10</f>
        <v>73</v>
      </c>
      <c r="J10" s="182"/>
      <c r="K10" s="26"/>
      <c r="L10" s="200"/>
      <c r="M10" s="25"/>
    </row>
    <row r="11" spans="2:16" ht="15" customHeight="1" x14ac:dyDescent="0.6">
      <c r="B11" s="64"/>
      <c r="C11" s="24"/>
      <c r="D11" s="24" t="s">
        <v>128</v>
      </c>
      <c r="E11" s="24"/>
      <c r="F11" s="181">
        <v>1656028</v>
      </c>
      <c r="G11" s="5">
        <f>I11-F11</f>
        <v>-26236.40000000014</v>
      </c>
      <c r="H11" s="179" t="s">
        <v>84</v>
      </c>
      <c r="I11" s="181">
        <f>ExBA!G12</f>
        <v>1629791.5999999999</v>
      </c>
      <c r="J11" s="183"/>
      <c r="K11" s="181"/>
      <c r="L11" s="200"/>
      <c r="M11" s="25">
        <f>I9+I11+I10</f>
        <v>5205053.25</v>
      </c>
    </row>
    <row r="12" spans="2:16" ht="15" customHeight="1" x14ac:dyDescent="0.6">
      <c r="B12" s="64"/>
      <c r="C12" s="24"/>
      <c r="D12" s="24" t="s">
        <v>31</v>
      </c>
      <c r="E12" s="24"/>
      <c r="F12" s="26"/>
      <c r="G12" s="181"/>
      <c r="H12" s="179"/>
      <c r="I12" s="26"/>
      <c r="J12" s="182"/>
      <c r="K12" s="26"/>
      <c r="L12" s="181"/>
      <c r="M12" s="25"/>
    </row>
    <row r="13" spans="2:16" ht="15" customHeight="1" x14ac:dyDescent="0.6">
      <c r="B13" s="64"/>
      <c r="C13" s="24"/>
      <c r="D13" s="24"/>
      <c r="E13" s="24" t="s">
        <v>29</v>
      </c>
      <c r="F13" s="181">
        <v>83185</v>
      </c>
      <c r="G13" s="181"/>
      <c r="H13" s="179"/>
      <c r="I13" s="181">
        <f>F13+G13</f>
        <v>83185</v>
      </c>
      <c r="J13" s="183"/>
      <c r="K13" s="181"/>
      <c r="L13" s="200"/>
      <c r="M13" s="25"/>
    </row>
    <row r="14" spans="2:16" ht="15" customHeight="1" x14ac:dyDescent="0.6">
      <c r="B14" s="64"/>
      <c r="C14" s="24"/>
      <c r="D14" s="24"/>
      <c r="E14" s="24" t="s">
        <v>30</v>
      </c>
      <c r="F14" s="181">
        <v>2932</v>
      </c>
      <c r="G14" s="181"/>
      <c r="H14" s="179"/>
      <c r="I14" s="181">
        <f>F14+G14</f>
        <v>2932</v>
      </c>
      <c r="J14" s="183"/>
      <c r="K14" s="181"/>
      <c r="L14" s="200"/>
      <c r="M14" s="25"/>
    </row>
    <row r="15" spans="2:16" ht="15" customHeight="1" x14ac:dyDescent="0.6">
      <c r="B15" s="64"/>
      <c r="C15" s="24"/>
      <c r="D15" s="24"/>
      <c r="E15" s="24" t="s">
        <v>122</v>
      </c>
      <c r="F15" s="184">
        <v>22512</v>
      </c>
      <c r="G15" s="181"/>
      <c r="H15" s="179"/>
      <c r="I15" s="184">
        <f>F15+G15</f>
        <v>22512</v>
      </c>
      <c r="J15" s="185"/>
      <c r="K15" s="184"/>
      <c r="L15" s="200"/>
      <c r="M15" s="25"/>
    </row>
    <row r="16" spans="2:16" ht="15" customHeight="1" x14ac:dyDescent="0.6">
      <c r="B16" s="64"/>
      <c r="C16" s="188" t="s">
        <v>7</v>
      </c>
      <c r="D16" s="24"/>
      <c r="E16" s="24"/>
      <c r="F16" s="26">
        <f>SUM(F9:F15)</f>
        <v>5395360</v>
      </c>
      <c r="G16" s="181"/>
      <c r="H16" s="179"/>
      <c r="I16" s="26">
        <f>SUM(I9:I15)</f>
        <v>5313682.25</v>
      </c>
      <c r="J16" s="182"/>
      <c r="K16" s="26"/>
      <c r="L16" s="181"/>
      <c r="M16" s="25"/>
    </row>
    <row r="17" spans="2:13" ht="7" customHeight="1" x14ac:dyDescent="0.6">
      <c r="B17" s="64"/>
      <c r="C17" s="24"/>
      <c r="D17" s="24"/>
      <c r="E17" s="24"/>
      <c r="F17" s="27"/>
      <c r="G17" s="181"/>
      <c r="H17" s="179"/>
      <c r="I17" s="27"/>
      <c r="J17" s="186"/>
      <c r="K17" s="27"/>
      <c r="L17" s="181"/>
      <c r="M17" s="25"/>
    </row>
    <row r="18" spans="2:13" ht="15" customHeight="1" x14ac:dyDescent="0.6">
      <c r="B18" s="64"/>
      <c r="C18" s="194" t="s">
        <v>8</v>
      </c>
      <c r="D18" s="24"/>
      <c r="E18" s="24"/>
      <c r="F18" s="27"/>
      <c r="G18" s="181"/>
      <c r="H18" s="179"/>
      <c r="I18" s="27"/>
      <c r="J18" s="186"/>
      <c r="K18" s="27"/>
      <c r="L18" s="181"/>
      <c r="M18" s="25"/>
    </row>
    <row r="19" spans="2:13" ht="15" customHeight="1" x14ac:dyDescent="0.6">
      <c r="B19" s="64"/>
      <c r="C19" s="24"/>
      <c r="D19" s="24" t="s">
        <v>13</v>
      </c>
      <c r="E19" s="24"/>
      <c r="F19" s="27"/>
      <c r="G19" s="181"/>
      <c r="H19" s="179"/>
      <c r="I19" s="27"/>
      <c r="J19" s="186"/>
      <c r="K19" s="27"/>
      <c r="L19" s="181"/>
      <c r="M19" s="25"/>
    </row>
    <row r="20" spans="2:13" ht="15" customHeight="1" x14ac:dyDescent="0.6">
      <c r="B20" s="64"/>
      <c r="C20" s="24"/>
      <c r="D20" s="24"/>
      <c r="E20" s="24" t="s">
        <v>17</v>
      </c>
      <c r="F20" s="181">
        <v>1275763</v>
      </c>
      <c r="G20" s="181">
        <f>Adj!P44</f>
        <v>122556.27200000011</v>
      </c>
      <c r="H20" s="179" t="s">
        <v>589</v>
      </c>
      <c r="I20" s="181">
        <f>F20+G20</f>
        <v>1398319.2720000001</v>
      </c>
      <c r="J20" s="183"/>
      <c r="K20" s="181"/>
      <c r="L20" s="200" t="s">
        <v>453</v>
      </c>
      <c r="M20" s="25"/>
    </row>
    <row r="21" spans="2:13" ht="15" customHeight="1" x14ac:dyDescent="0.6">
      <c r="B21" s="64"/>
      <c r="C21" s="24"/>
      <c r="D21" s="24"/>
      <c r="E21" s="24" t="s">
        <v>18</v>
      </c>
      <c r="F21" s="181">
        <v>13350</v>
      </c>
      <c r="G21" s="362"/>
      <c r="H21" s="187"/>
      <c r="I21" s="181">
        <f t="shared" ref="I21:I36" si="0">F21+G21</f>
        <v>13350</v>
      </c>
      <c r="J21" s="183"/>
      <c r="K21" s="181"/>
      <c r="L21" s="200"/>
    </row>
    <row r="22" spans="2:13" ht="15" customHeight="1" x14ac:dyDescent="0.6">
      <c r="B22" s="64"/>
      <c r="C22" s="24"/>
      <c r="D22" s="24"/>
      <c r="E22" s="24" t="s">
        <v>19</v>
      </c>
      <c r="F22" s="181">
        <v>388683</v>
      </c>
      <c r="G22" s="181">
        <f>Adj!P56</f>
        <v>-10807.843679999991</v>
      </c>
      <c r="H22" s="187" t="s">
        <v>590</v>
      </c>
      <c r="I22" s="181"/>
      <c r="J22" s="183"/>
      <c r="K22" s="181"/>
      <c r="L22" s="200" t="s">
        <v>489</v>
      </c>
      <c r="M22" s="25"/>
    </row>
    <row r="23" spans="2:13" ht="15" customHeight="1" x14ac:dyDescent="0.6">
      <c r="B23" s="64"/>
      <c r="C23" s="24"/>
      <c r="D23" s="24"/>
      <c r="E23" s="24"/>
      <c r="F23" s="181"/>
      <c r="G23" s="181">
        <f>Adj!H29</f>
        <v>-60288.284799999994</v>
      </c>
      <c r="H23" s="179" t="s">
        <v>117</v>
      </c>
      <c r="I23" s="181"/>
      <c r="J23" s="183"/>
      <c r="K23" s="181"/>
      <c r="L23" s="200" t="s">
        <v>454</v>
      </c>
      <c r="M23" s="25"/>
    </row>
    <row r="24" spans="2:13" ht="15" customHeight="1" x14ac:dyDescent="0.6">
      <c r="B24" s="64"/>
      <c r="C24" s="24"/>
      <c r="D24" s="24"/>
      <c r="E24" s="24"/>
      <c r="F24" s="181"/>
      <c r="G24" s="181">
        <f>Adj!C39</f>
        <v>-12507.333333333336</v>
      </c>
      <c r="H24" s="179" t="s">
        <v>85</v>
      </c>
      <c r="I24" s="181">
        <f>SUM(F22:G24)</f>
        <v>305079.53818666673</v>
      </c>
      <c r="J24" s="183"/>
      <c r="K24" s="181"/>
      <c r="L24" s="200" t="s">
        <v>486</v>
      </c>
      <c r="M24" s="25"/>
    </row>
    <row r="25" spans="2:13" ht="15" customHeight="1" x14ac:dyDescent="0.6">
      <c r="B25" s="64"/>
      <c r="C25" s="24"/>
      <c r="D25" s="24"/>
      <c r="E25" s="24" t="s">
        <v>329</v>
      </c>
      <c r="F25" s="181">
        <v>6554</v>
      </c>
      <c r="G25" s="181"/>
      <c r="H25" s="187"/>
      <c r="I25" s="181">
        <f>F25+G25</f>
        <v>6554</v>
      </c>
      <c r="J25" s="183"/>
      <c r="K25" s="181"/>
      <c r="L25" s="200"/>
      <c r="M25" s="25"/>
    </row>
    <row r="26" spans="2:13" ht="15" customHeight="1" x14ac:dyDescent="0.6">
      <c r="B26" s="64"/>
      <c r="C26" s="24"/>
      <c r="D26" s="24"/>
      <c r="E26" s="24" t="s">
        <v>20</v>
      </c>
      <c r="F26" s="181">
        <v>353449</v>
      </c>
      <c r="G26" s="181">
        <f>Adj!G52</f>
        <v>75332.000000000015</v>
      </c>
      <c r="H26" s="187" t="s">
        <v>591</v>
      </c>
      <c r="I26" s="181">
        <f t="shared" si="0"/>
        <v>428781</v>
      </c>
      <c r="J26" s="183"/>
      <c r="K26" s="181"/>
      <c r="L26" s="200" t="s">
        <v>582</v>
      </c>
      <c r="M26" s="25"/>
    </row>
    <row r="27" spans="2:13" ht="15" customHeight="1" x14ac:dyDescent="0.6">
      <c r="B27" s="64"/>
      <c r="C27" s="24"/>
      <c r="D27" s="24"/>
      <c r="E27" s="24" t="s">
        <v>129</v>
      </c>
      <c r="F27" s="181">
        <v>197702</v>
      </c>
      <c r="G27" s="181">
        <f>Adj!G61</f>
        <v>23108</v>
      </c>
      <c r="H27" s="187" t="s">
        <v>86</v>
      </c>
      <c r="I27" s="181">
        <f>F27+G27</f>
        <v>220810</v>
      </c>
      <c r="J27" s="183"/>
      <c r="K27" s="181"/>
      <c r="L27" s="200" t="s">
        <v>523</v>
      </c>
      <c r="M27" s="25"/>
    </row>
    <row r="28" spans="2:13" ht="15" customHeight="1" x14ac:dyDescent="0.6">
      <c r="B28" s="64"/>
      <c r="C28" s="24"/>
      <c r="D28" s="24"/>
      <c r="E28" s="24" t="s">
        <v>66</v>
      </c>
      <c r="F28" s="181">
        <v>417662</v>
      </c>
      <c r="G28" s="181"/>
      <c r="H28" s="179"/>
      <c r="I28" s="181">
        <f t="shared" si="0"/>
        <v>417662</v>
      </c>
      <c r="J28" s="183"/>
      <c r="K28" s="181"/>
      <c r="L28" s="200"/>
      <c r="M28" s="25"/>
    </row>
    <row r="29" spans="2:13" ht="15" customHeight="1" x14ac:dyDescent="0.6">
      <c r="B29" s="64"/>
      <c r="C29" s="24"/>
      <c r="D29" s="24"/>
      <c r="E29" s="24" t="s">
        <v>330</v>
      </c>
      <c r="F29" s="181">
        <f>21950+17961</f>
        <v>39911</v>
      </c>
      <c r="G29" s="181"/>
      <c r="I29" s="181">
        <f t="shared" si="0"/>
        <v>39911</v>
      </c>
      <c r="J29" s="183"/>
      <c r="K29" s="181"/>
      <c r="L29" s="201"/>
      <c r="M29" s="25"/>
    </row>
    <row r="30" spans="2:13" ht="15" customHeight="1" x14ac:dyDescent="0.6">
      <c r="B30" s="64"/>
      <c r="C30" s="24"/>
      <c r="D30" s="24"/>
      <c r="E30" s="24" t="s">
        <v>331</v>
      </c>
      <c r="F30" s="181">
        <v>392332</v>
      </c>
      <c r="G30" s="181">
        <f>Adj!T14</f>
        <v>25000</v>
      </c>
      <c r="H30" s="187" t="s">
        <v>87</v>
      </c>
      <c r="I30" s="181">
        <f t="shared" si="0"/>
        <v>417332</v>
      </c>
      <c r="J30" s="183"/>
      <c r="K30" s="181"/>
      <c r="L30" s="200" t="s">
        <v>604</v>
      </c>
      <c r="M30" s="25"/>
    </row>
    <row r="31" spans="2:13" ht="15" customHeight="1" x14ac:dyDescent="0.6">
      <c r="B31" s="64"/>
      <c r="C31" s="24"/>
      <c r="D31" s="24"/>
      <c r="E31" s="24" t="s">
        <v>332</v>
      </c>
      <c r="F31" s="181">
        <v>27870</v>
      </c>
      <c r="G31" s="181"/>
      <c r="I31" s="181">
        <f t="shared" si="0"/>
        <v>27870</v>
      </c>
      <c r="J31" s="183"/>
      <c r="K31" s="181"/>
      <c r="L31" s="201"/>
      <c r="M31" s="25"/>
    </row>
    <row r="32" spans="2:13" ht="15" customHeight="1" x14ac:dyDescent="0.6">
      <c r="B32" s="64"/>
      <c r="C32" s="24"/>
      <c r="D32" s="24"/>
      <c r="E32" s="24" t="s">
        <v>25</v>
      </c>
      <c r="F32" s="181">
        <v>195302</v>
      </c>
      <c r="G32" s="181">
        <f>Adj!G40</f>
        <v>67796</v>
      </c>
      <c r="H32" s="179" t="s">
        <v>86</v>
      </c>
      <c r="I32" s="181">
        <f>F32+G32</f>
        <v>263098</v>
      </c>
      <c r="J32" s="183"/>
      <c r="K32" s="181"/>
      <c r="L32" s="200" t="s">
        <v>522</v>
      </c>
      <c r="M32" s="25"/>
    </row>
    <row r="33" spans="2:13" ht="15" customHeight="1" x14ac:dyDescent="0.6">
      <c r="B33" s="64"/>
      <c r="C33" s="24"/>
      <c r="D33" s="24"/>
      <c r="E33" s="24" t="s">
        <v>130</v>
      </c>
      <c r="F33" s="181">
        <f>8311+26191+27081+2013</f>
        <v>63596</v>
      </c>
      <c r="G33" s="181"/>
      <c r="H33" s="179"/>
      <c r="I33" s="181">
        <f t="shared" si="0"/>
        <v>63596</v>
      </c>
      <c r="J33" s="183"/>
      <c r="K33" s="181"/>
      <c r="L33" s="200"/>
      <c r="M33" s="25"/>
    </row>
    <row r="34" spans="2:13" ht="15" customHeight="1" x14ac:dyDescent="0.6">
      <c r="B34" s="64"/>
      <c r="C34" s="24"/>
      <c r="D34" s="24"/>
      <c r="E34" s="24" t="s">
        <v>536</v>
      </c>
      <c r="F34" s="181">
        <v>10293</v>
      </c>
      <c r="G34" s="181"/>
      <c r="H34" s="179"/>
      <c r="I34" s="181">
        <f t="shared" si="0"/>
        <v>10293</v>
      </c>
      <c r="J34" s="183"/>
      <c r="K34" s="181"/>
      <c r="L34" s="200"/>
      <c r="M34" s="25"/>
    </row>
    <row r="35" spans="2:13" ht="15" customHeight="1" x14ac:dyDescent="0.6">
      <c r="B35" s="64"/>
      <c r="C35" s="24"/>
      <c r="D35" s="24"/>
      <c r="E35" s="24" t="s">
        <v>121</v>
      </c>
      <c r="F35" s="181">
        <v>18762</v>
      </c>
      <c r="G35" s="181"/>
      <c r="H35" s="179"/>
      <c r="I35" s="181">
        <f t="shared" si="0"/>
        <v>18762</v>
      </c>
      <c r="J35" s="183"/>
      <c r="K35" s="181"/>
      <c r="L35" s="181"/>
      <c r="M35" s="25"/>
    </row>
    <row r="36" spans="2:13" ht="15" customHeight="1" x14ac:dyDescent="0.85">
      <c r="B36" s="64"/>
      <c r="C36" s="24"/>
      <c r="D36" s="24"/>
      <c r="E36" s="24" t="s">
        <v>21</v>
      </c>
      <c r="F36" s="184">
        <v>59965</v>
      </c>
      <c r="G36" s="411"/>
      <c r="H36" s="187"/>
      <c r="I36" s="184">
        <f t="shared" si="0"/>
        <v>59965</v>
      </c>
      <c r="J36" s="185"/>
      <c r="K36" s="184"/>
      <c r="L36" s="200"/>
      <c r="M36" s="25"/>
    </row>
    <row r="37" spans="2:13" ht="15" customHeight="1" x14ac:dyDescent="0.6">
      <c r="B37" s="64"/>
      <c r="C37" s="24"/>
      <c r="D37" s="188" t="s">
        <v>14</v>
      </c>
      <c r="E37" s="24"/>
      <c r="F37" s="181">
        <f>SUM(F20:F36)</f>
        <v>3461194</v>
      </c>
      <c r="G37" s="181"/>
      <c r="H37" s="179"/>
      <c r="I37" s="181">
        <f>SUM(I20:I36)</f>
        <v>3691382.8101866669</v>
      </c>
      <c r="J37" s="183"/>
      <c r="K37" s="181"/>
      <c r="L37" s="181"/>
      <c r="M37" s="25"/>
    </row>
    <row r="38" spans="2:13" ht="15" customHeight="1" x14ac:dyDescent="0.6">
      <c r="B38" s="64"/>
      <c r="C38" s="24"/>
      <c r="D38" s="24" t="s">
        <v>15</v>
      </c>
      <c r="E38" s="24"/>
      <c r="F38" s="181">
        <v>901466</v>
      </c>
      <c r="G38" s="181">
        <f>DeprAdj!H40</f>
        <v>427427.1811684703</v>
      </c>
      <c r="H38" s="141" t="s">
        <v>592</v>
      </c>
      <c r="I38" s="181">
        <f>F38+G38</f>
        <v>1328893.1811684703</v>
      </c>
      <c r="J38" s="183"/>
      <c r="K38" s="181"/>
      <c r="L38" s="200" t="s">
        <v>518</v>
      </c>
      <c r="M38" s="25"/>
    </row>
    <row r="39" spans="2:13" ht="15" customHeight="1" x14ac:dyDescent="0.6">
      <c r="B39" s="64"/>
      <c r="C39" s="24"/>
      <c r="D39" s="24" t="s">
        <v>16</v>
      </c>
      <c r="E39" s="24"/>
      <c r="F39" s="184">
        <v>97741</v>
      </c>
      <c r="G39" s="70">
        <f>Adj!P50</f>
        <v>10085.69930800001</v>
      </c>
      <c r="H39" s="187" t="s">
        <v>589</v>
      </c>
      <c r="I39" s="184">
        <f>F39+G39</f>
        <v>107826.69930800001</v>
      </c>
      <c r="J39" s="185"/>
      <c r="K39" s="184"/>
      <c r="L39" s="200" t="s">
        <v>453</v>
      </c>
      <c r="M39" s="25"/>
    </row>
    <row r="40" spans="2:13" ht="15" customHeight="1" x14ac:dyDescent="0.6">
      <c r="B40" s="64"/>
      <c r="C40" s="188" t="s">
        <v>9</v>
      </c>
      <c r="D40" s="24"/>
      <c r="E40" s="24"/>
      <c r="F40" s="26">
        <f>SUM(F37:F39)</f>
        <v>4460401</v>
      </c>
      <c r="G40" s="26"/>
      <c r="H40" s="179"/>
      <c r="I40" s="26">
        <f>SUM(I37:I39)</f>
        <v>5128102.6906631365</v>
      </c>
      <c r="J40" s="182"/>
      <c r="K40" s="26"/>
      <c r="L40" s="181"/>
      <c r="M40" s="25"/>
    </row>
    <row r="41" spans="2:13" ht="15" customHeight="1" x14ac:dyDescent="0.6">
      <c r="B41" s="64"/>
      <c r="C41" s="188" t="s">
        <v>26</v>
      </c>
      <c r="D41" s="24"/>
      <c r="E41" s="24"/>
      <c r="F41" s="26">
        <f>F16-F40</f>
        <v>934959</v>
      </c>
      <c r="G41" s="181"/>
      <c r="H41" s="179"/>
      <c r="I41" s="26">
        <f>I16-I40</f>
        <v>185579.55933686346</v>
      </c>
      <c r="J41" s="182"/>
      <c r="K41" s="26"/>
      <c r="L41" s="181"/>
      <c r="M41" s="25"/>
    </row>
    <row r="42" spans="2:13" ht="7" customHeight="1" x14ac:dyDescent="0.6">
      <c r="B42" s="64"/>
      <c r="C42" s="24"/>
      <c r="D42" s="24"/>
      <c r="E42" s="24"/>
      <c r="F42" s="27"/>
      <c r="G42" s="24"/>
      <c r="H42" s="179"/>
      <c r="I42" s="27"/>
      <c r="J42" s="186"/>
      <c r="K42" s="27"/>
      <c r="L42" s="181"/>
      <c r="M42" s="25"/>
    </row>
    <row r="43" spans="2:13" x14ac:dyDescent="0.6">
      <c r="B43" s="64"/>
      <c r="C43" s="563" t="s">
        <v>37</v>
      </c>
      <c r="D43" s="563"/>
      <c r="E43" s="563"/>
      <c r="F43" s="563"/>
      <c r="G43" s="563"/>
      <c r="H43" s="563"/>
      <c r="I43" s="563"/>
      <c r="J43" s="199"/>
      <c r="K43" s="232"/>
      <c r="L43" s="181"/>
      <c r="M43" s="25"/>
    </row>
    <row r="44" spans="2:13" ht="15" customHeight="1" x14ac:dyDescent="0.6">
      <c r="B44" s="64"/>
      <c r="C44" s="188" t="s">
        <v>10</v>
      </c>
      <c r="D44" s="24"/>
      <c r="E44" s="24"/>
      <c r="F44" s="20"/>
      <c r="G44" s="24"/>
      <c r="H44" s="179"/>
      <c r="I44" s="26">
        <f>I40</f>
        <v>5128102.6906631365</v>
      </c>
      <c r="J44" s="182"/>
      <c r="K44" s="26"/>
      <c r="L44" s="181"/>
      <c r="M44" s="26"/>
    </row>
    <row r="45" spans="2:13" ht="15" customHeight="1" x14ac:dyDescent="0.6">
      <c r="B45" s="64"/>
      <c r="C45" s="24" t="s">
        <v>82</v>
      </c>
      <c r="D45" s="24"/>
      <c r="E45" s="24" t="s">
        <v>41</v>
      </c>
      <c r="F45" s="20"/>
      <c r="G45" s="24"/>
      <c r="H45" s="187" t="s">
        <v>88</v>
      </c>
      <c r="I45" s="5">
        <f>DSch!M23+DSch!M26</f>
        <v>1000165.5499999999</v>
      </c>
      <c r="J45" s="189"/>
      <c r="K45" s="354"/>
      <c r="L45" s="181"/>
      <c r="M45" s="27"/>
    </row>
    <row r="46" spans="2:13" ht="15" customHeight="1" x14ac:dyDescent="0.6">
      <c r="B46" s="64"/>
      <c r="C46" s="24"/>
      <c r="D46" s="24"/>
      <c r="E46" s="24" t="s">
        <v>22</v>
      </c>
      <c r="F46" s="20"/>
      <c r="G46" s="24"/>
      <c r="H46" s="187" t="s">
        <v>605</v>
      </c>
      <c r="I46" s="184">
        <f>DSch!M24+DSch!M27</f>
        <v>200033.11</v>
      </c>
      <c r="J46" s="185"/>
      <c r="K46" s="184"/>
      <c r="L46" s="181"/>
      <c r="M46" s="27"/>
    </row>
    <row r="47" spans="2:13" ht="15" customHeight="1" x14ac:dyDescent="0.6">
      <c r="B47" s="64"/>
      <c r="C47" s="188" t="s">
        <v>27</v>
      </c>
      <c r="D47" s="24"/>
      <c r="E47" s="24"/>
      <c r="F47" s="20"/>
      <c r="G47" s="24"/>
      <c r="H47" s="179"/>
      <c r="I47" s="26">
        <f>SUM(I44:I46)</f>
        <v>6328301.3506631367</v>
      </c>
      <c r="J47" s="182"/>
      <c r="K47" s="26"/>
      <c r="L47" s="181"/>
      <c r="M47" s="26"/>
    </row>
    <row r="48" spans="2:13" ht="15" customHeight="1" x14ac:dyDescent="0.6">
      <c r="B48" s="64"/>
      <c r="C48" s="24" t="s">
        <v>83</v>
      </c>
      <c r="D48" s="24"/>
      <c r="E48" s="24" t="s">
        <v>142</v>
      </c>
      <c r="F48" s="20"/>
      <c r="G48" s="24"/>
      <c r="H48" s="179"/>
      <c r="I48" s="195">
        <f>-SUM(I13:I15)</f>
        <v>-108629</v>
      </c>
      <c r="J48" s="190"/>
      <c r="K48" s="195"/>
      <c r="L48" s="181"/>
      <c r="M48" s="187"/>
    </row>
    <row r="49" spans="2:13" ht="15" customHeight="1" x14ac:dyDescent="0.6">
      <c r="B49" s="64"/>
      <c r="C49" s="24"/>
      <c r="D49" s="24"/>
      <c r="E49" s="24" t="s">
        <v>333</v>
      </c>
      <c r="F49" s="20"/>
      <c r="G49" s="24"/>
      <c r="H49" s="179"/>
      <c r="I49" s="195">
        <v>-82823</v>
      </c>
      <c r="J49" s="190"/>
      <c r="K49" s="195"/>
      <c r="L49" s="181"/>
      <c r="M49" s="187"/>
    </row>
    <row r="50" spans="2:13" ht="15" customHeight="1" x14ac:dyDescent="0.6">
      <c r="B50" s="64"/>
      <c r="C50" s="24"/>
      <c r="D50" s="24"/>
      <c r="E50" s="24" t="s">
        <v>52</v>
      </c>
      <c r="F50" s="20"/>
      <c r="G50" s="24"/>
      <c r="H50" s="179"/>
      <c r="I50" s="515">
        <v>-12252</v>
      </c>
      <c r="J50" s="186"/>
      <c r="K50" s="27"/>
      <c r="L50" s="181"/>
      <c r="M50" s="25"/>
    </row>
    <row r="51" spans="2:13" ht="15" customHeight="1" x14ac:dyDescent="0.6">
      <c r="B51" s="64"/>
      <c r="C51" s="188" t="s">
        <v>89</v>
      </c>
      <c r="D51" s="24"/>
      <c r="E51" s="24"/>
      <c r="F51" s="20"/>
      <c r="G51" s="24"/>
      <c r="H51" s="179"/>
      <c r="I51" s="196">
        <f>I47+SUM(I48:I50)</f>
        <v>6124597.3506631367</v>
      </c>
      <c r="J51" s="191"/>
      <c r="K51" s="196"/>
      <c r="M51" s="20"/>
    </row>
    <row r="52" spans="2:13" ht="15" customHeight="1" x14ac:dyDescent="0.6">
      <c r="B52" s="64"/>
      <c r="C52" s="24"/>
      <c r="D52" s="24"/>
      <c r="E52" s="24" t="s">
        <v>28</v>
      </c>
      <c r="F52" s="20"/>
      <c r="G52" s="24"/>
      <c r="H52" s="179"/>
      <c r="I52" s="184">
        <f>SUM(I9:I11)</f>
        <v>5205053.25</v>
      </c>
      <c r="J52" s="185"/>
      <c r="K52" s="184"/>
      <c r="L52" s="181"/>
      <c r="M52" s="27"/>
    </row>
    <row r="53" spans="2:13" x14ac:dyDescent="0.6">
      <c r="B53" s="64"/>
      <c r="C53" s="188" t="s">
        <v>11</v>
      </c>
      <c r="D53" s="24"/>
      <c r="E53" s="24"/>
      <c r="F53" s="20"/>
      <c r="G53" s="24"/>
      <c r="H53" s="179"/>
      <c r="I53" s="26">
        <f>I51-I52</f>
        <v>919544.10066313669</v>
      </c>
      <c r="J53" s="182"/>
      <c r="K53" s="26"/>
      <c r="L53" s="181"/>
    </row>
    <row r="54" spans="2:13" x14ac:dyDescent="0.6">
      <c r="B54" s="64"/>
      <c r="C54" s="188" t="s">
        <v>12</v>
      </c>
      <c r="D54" s="24"/>
      <c r="E54" s="24"/>
      <c r="F54" s="20"/>
      <c r="G54" s="24"/>
      <c r="H54" s="179"/>
      <c r="I54" s="197">
        <f>ROUND(I53/I52,4)</f>
        <v>0.1767</v>
      </c>
      <c r="J54" s="192"/>
      <c r="K54" s="197"/>
      <c r="L54" s="21"/>
      <c r="M54" s="29"/>
    </row>
    <row r="55" spans="2:13" ht="7" customHeight="1" x14ac:dyDescent="0.6">
      <c r="B55" s="66"/>
      <c r="C55" s="31"/>
      <c r="D55" s="31"/>
      <c r="E55" s="31"/>
      <c r="F55" s="31"/>
      <c r="G55" s="31"/>
      <c r="H55" s="193"/>
      <c r="I55" s="31"/>
      <c r="J55" s="40"/>
      <c r="K55" s="20"/>
      <c r="M55" s="1"/>
    </row>
  </sheetData>
  <mergeCells count="3">
    <mergeCell ref="C4:I4"/>
    <mergeCell ref="C43:I43"/>
    <mergeCell ref="C3:I3"/>
  </mergeCells>
  <printOptions horizontalCentered="1"/>
  <pageMargins left="0.75" right="0.75" top="0.6" bottom="0.5" header="0" footer="0"/>
  <pageSetup scale="93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343-FBB6-48AA-B25F-8C792D35D055}">
  <dimension ref="B2:J50"/>
  <sheetViews>
    <sheetView workbookViewId="0"/>
  </sheetViews>
  <sheetFormatPr defaultColWidth="8.86328125" defaultRowHeight="14.4" x14ac:dyDescent="0.55000000000000004"/>
  <cols>
    <col min="1" max="1" width="8.86328125" style="3"/>
    <col min="2" max="2" width="18.54296875" style="3" customWidth="1"/>
    <col min="3" max="7" width="9.76953125" style="3" customWidth="1"/>
    <col min="8" max="8" width="10.86328125" style="3" customWidth="1"/>
    <col min="9" max="9" width="9.76953125" style="3" customWidth="1"/>
    <col min="10" max="10" width="9.6796875" style="3" customWidth="1"/>
    <col min="11" max="11" width="9.08984375" style="3" bestFit="1" customWidth="1"/>
    <col min="12" max="16384" width="8.86328125" style="3"/>
  </cols>
  <sheetData>
    <row r="2" spans="2:10" ht="16.2" x14ac:dyDescent="0.85">
      <c r="B2" s="125" t="s">
        <v>213</v>
      </c>
    </row>
    <row r="3" spans="2:10" ht="16.2" x14ac:dyDescent="0.85">
      <c r="C3" s="203" t="s">
        <v>201</v>
      </c>
      <c r="D3" s="203" t="s">
        <v>190</v>
      </c>
      <c r="E3" s="203" t="s">
        <v>203</v>
      </c>
      <c r="F3" s="203" t="s">
        <v>214</v>
      </c>
      <c r="G3" s="203" t="s">
        <v>194</v>
      </c>
      <c r="H3" s="203" t="s">
        <v>215</v>
      </c>
      <c r="I3" s="203"/>
    </row>
    <row r="4" spans="2:10" x14ac:dyDescent="0.55000000000000004">
      <c r="B4" s="3" t="s">
        <v>216</v>
      </c>
      <c r="C4" s="165">
        <v>1275763</v>
      </c>
      <c r="D4" s="165">
        <v>247538</v>
      </c>
      <c r="E4" s="165">
        <v>73150</v>
      </c>
      <c r="F4" s="165">
        <v>318713</v>
      </c>
      <c r="G4" s="165">
        <v>244624</v>
      </c>
      <c r="H4" s="165">
        <v>391738</v>
      </c>
      <c r="I4" s="165"/>
      <c r="J4" s="3">
        <f>SUM(D4:H4)</f>
        <v>1275763</v>
      </c>
    </row>
    <row r="5" spans="2:10" x14ac:dyDescent="0.55000000000000004">
      <c r="B5" s="124" t="s">
        <v>217</v>
      </c>
      <c r="C5" s="165"/>
      <c r="D5" s="241">
        <f>D4/$C4</f>
        <v>0.19403133654134819</v>
      </c>
      <c r="E5" s="241">
        <f>E4/$C4</f>
        <v>5.7338236020326658E-2</v>
      </c>
      <c r="F5" s="241">
        <f>F4/$C4</f>
        <v>0.24982147938135846</v>
      </c>
      <c r="G5" s="241">
        <f>G4/$C4</f>
        <v>0.19174721323631427</v>
      </c>
      <c r="H5" s="241">
        <f>H4/$C4</f>
        <v>0.30706173482065241</v>
      </c>
      <c r="I5" s="165"/>
      <c r="J5" s="140">
        <f>SUM(D5:H5)</f>
        <v>1</v>
      </c>
    </row>
    <row r="6" spans="2:10" x14ac:dyDescent="0.55000000000000004">
      <c r="B6" s="3" t="s">
        <v>218</v>
      </c>
      <c r="C6" s="165">
        <v>13350</v>
      </c>
      <c r="D6" s="165"/>
      <c r="E6" s="165"/>
      <c r="F6" s="165"/>
      <c r="G6" s="165"/>
      <c r="H6" s="165">
        <v>13350</v>
      </c>
      <c r="I6" s="165"/>
      <c r="J6" s="3">
        <f>SUM(D6:H6)</f>
        <v>13350</v>
      </c>
    </row>
    <row r="7" spans="2:10" x14ac:dyDescent="0.55000000000000004">
      <c r="B7" s="3" t="s">
        <v>537</v>
      </c>
      <c r="C7" s="165">
        <f>388683</f>
        <v>388683</v>
      </c>
      <c r="D7" s="165">
        <v>75417</v>
      </c>
      <c r="E7" s="165">
        <v>22286</v>
      </c>
      <c r="F7" s="165">
        <v>97101</v>
      </c>
      <c r="G7" s="165">
        <v>74529</v>
      </c>
      <c r="H7" s="165">
        <v>119350</v>
      </c>
      <c r="J7" s="165">
        <f>SUM(D7:H7)</f>
        <v>388683</v>
      </c>
    </row>
    <row r="8" spans="2:10" x14ac:dyDescent="0.55000000000000004">
      <c r="B8" s="3" t="s">
        <v>219</v>
      </c>
      <c r="C8" s="165">
        <v>6554</v>
      </c>
      <c r="D8" s="165">
        <v>6554</v>
      </c>
      <c r="E8" s="165"/>
      <c r="F8" s="165"/>
      <c r="G8" s="165"/>
      <c r="H8" s="165"/>
      <c r="I8" s="165"/>
    </row>
    <row r="9" spans="2:10" x14ac:dyDescent="0.55000000000000004">
      <c r="B9" s="3" t="s">
        <v>220</v>
      </c>
      <c r="C9" s="165">
        <v>353449</v>
      </c>
      <c r="D9" s="165">
        <v>223619</v>
      </c>
      <c r="E9" s="165">
        <v>0</v>
      </c>
      <c r="F9" s="165">
        <v>102472</v>
      </c>
      <c r="G9" s="165">
        <v>0</v>
      </c>
      <c r="H9" s="165">
        <v>27358</v>
      </c>
      <c r="I9" s="165"/>
      <c r="J9" s="3">
        <f t="shared" ref="J9:J25" si="0">SUM(D9:H9)</f>
        <v>353449</v>
      </c>
    </row>
    <row r="10" spans="2:10" x14ac:dyDescent="0.55000000000000004">
      <c r="B10" s="3" t="s">
        <v>129</v>
      </c>
      <c r="C10" s="165">
        <v>197702</v>
      </c>
      <c r="D10" s="165"/>
      <c r="E10" s="165">
        <f>C10</f>
        <v>197702</v>
      </c>
      <c r="F10" s="165"/>
      <c r="G10" s="165"/>
      <c r="H10" s="165"/>
      <c r="I10" s="165"/>
      <c r="J10" s="3">
        <f t="shared" si="0"/>
        <v>197702</v>
      </c>
    </row>
    <row r="11" spans="2:10" x14ac:dyDescent="0.55000000000000004">
      <c r="B11" s="3" t="s">
        <v>221</v>
      </c>
      <c r="C11" s="165">
        <v>417662</v>
      </c>
      <c r="D11" s="165">
        <v>22717</v>
      </c>
      <c r="E11" s="165">
        <v>18743</v>
      </c>
      <c r="F11" s="165">
        <v>302513</v>
      </c>
      <c r="G11" s="165">
        <v>57366</v>
      </c>
      <c r="H11" s="165">
        <v>16323</v>
      </c>
      <c r="I11" s="165"/>
      <c r="J11" s="3">
        <f t="shared" si="0"/>
        <v>417662</v>
      </c>
    </row>
    <row r="12" spans="2:10" x14ac:dyDescent="0.55000000000000004">
      <c r="B12" s="3" t="s">
        <v>222</v>
      </c>
      <c r="C12" s="165">
        <v>21950</v>
      </c>
      <c r="D12" s="165"/>
      <c r="E12" s="165"/>
      <c r="F12" s="165"/>
      <c r="G12" s="165"/>
      <c r="H12" s="165">
        <f>C12</f>
        <v>21950</v>
      </c>
      <c r="I12" s="165"/>
      <c r="J12" s="3">
        <f t="shared" si="0"/>
        <v>21950</v>
      </c>
    </row>
    <row r="13" spans="2:10" x14ac:dyDescent="0.55000000000000004">
      <c r="B13" s="3" t="s">
        <v>223</v>
      </c>
      <c r="C13" s="165">
        <v>17961</v>
      </c>
      <c r="D13" s="165"/>
      <c r="E13" s="165"/>
      <c r="F13" s="165"/>
      <c r="G13" s="165"/>
      <c r="H13" s="165">
        <f>C13</f>
        <v>17961</v>
      </c>
      <c r="I13" s="165"/>
      <c r="J13" s="3">
        <f t="shared" si="0"/>
        <v>17961</v>
      </c>
    </row>
    <row r="14" spans="2:10" x14ac:dyDescent="0.55000000000000004">
      <c r="B14" s="3" t="s">
        <v>224</v>
      </c>
      <c r="C14" s="165">
        <v>392332</v>
      </c>
      <c r="D14" s="165">
        <v>132308</v>
      </c>
      <c r="E14" s="165">
        <v>49006</v>
      </c>
      <c r="F14" s="165">
        <v>146394</v>
      </c>
      <c r="G14" s="165">
        <v>11304</v>
      </c>
      <c r="H14" s="165">
        <v>53320</v>
      </c>
      <c r="I14" s="165"/>
      <c r="J14" s="3">
        <f t="shared" si="0"/>
        <v>392332</v>
      </c>
    </row>
    <row r="15" spans="2:10" x14ac:dyDescent="0.55000000000000004">
      <c r="B15" s="3" t="s">
        <v>225</v>
      </c>
      <c r="C15" s="165">
        <v>27870</v>
      </c>
      <c r="D15" s="165"/>
      <c r="E15" s="165"/>
      <c r="F15" s="165">
        <f>C15</f>
        <v>27870</v>
      </c>
      <c r="G15" s="165"/>
      <c r="H15" s="165"/>
      <c r="I15" s="165"/>
      <c r="J15" s="3">
        <f t="shared" si="0"/>
        <v>27870</v>
      </c>
    </row>
    <row r="16" spans="2:10" x14ac:dyDescent="0.55000000000000004">
      <c r="B16" s="3" t="s">
        <v>226</v>
      </c>
      <c r="C16" s="165">
        <v>195302</v>
      </c>
      <c r="D16" s="165"/>
      <c r="E16" s="165"/>
      <c r="F16" s="165">
        <v>154502</v>
      </c>
      <c r="G16" s="165">
        <v>37200</v>
      </c>
      <c r="H16" s="165">
        <v>3600</v>
      </c>
      <c r="I16" s="165"/>
      <c r="J16" s="3">
        <f t="shared" si="0"/>
        <v>195302</v>
      </c>
    </row>
    <row r="17" spans="2:10" x14ac:dyDescent="0.55000000000000004">
      <c r="C17" s="165"/>
      <c r="D17" s="466">
        <f>D16/$C16</f>
        <v>0</v>
      </c>
      <c r="E17" s="466">
        <f t="shared" ref="E17:H17" si="1">E16/$C16</f>
        <v>0</v>
      </c>
      <c r="F17" s="466">
        <f t="shared" si="1"/>
        <v>0.79109276914726934</v>
      </c>
      <c r="G17" s="466">
        <f t="shared" si="1"/>
        <v>0.19047423989513676</v>
      </c>
      <c r="H17" s="466">
        <f t="shared" si="1"/>
        <v>1.8432990957593879E-2</v>
      </c>
      <c r="I17" s="165"/>
    </row>
    <row r="18" spans="2:10" x14ac:dyDescent="0.55000000000000004">
      <c r="B18" s="3" t="s">
        <v>535</v>
      </c>
      <c r="C18" s="165">
        <v>8311</v>
      </c>
      <c r="D18" s="165">
        <v>2078</v>
      </c>
      <c r="E18" s="165"/>
      <c r="F18" s="165">
        <v>2078</v>
      </c>
      <c r="G18" s="165">
        <v>2078</v>
      </c>
      <c r="H18" s="165">
        <v>2077</v>
      </c>
      <c r="I18" s="165"/>
      <c r="J18" s="3">
        <f t="shared" si="0"/>
        <v>8311</v>
      </c>
    </row>
    <row r="19" spans="2:10" x14ac:dyDescent="0.55000000000000004">
      <c r="B19" s="3" t="s">
        <v>227</v>
      </c>
      <c r="C19" s="165">
        <v>26191</v>
      </c>
      <c r="D19" s="165">
        <v>8730</v>
      </c>
      <c r="E19" s="165"/>
      <c r="F19" s="165">
        <v>8730</v>
      </c>
      <c r="G19" s="165"/>
      <c r="H19" s="165">
        <v>8731</v>
      </c>
      <c r="I19" s="165"/>
      <c r="J19" s="3">
        <f t="shared" si="0"/>
        <v>26191</v>
      </c>
    </row>
    <row r="20" spans="2:10" x14ac:dyDescent="0.55000000000000004">
      <c r="B20" s="3" t="s">
        <v>228</v>
      </c>
      <c r="C20" s="165">
        <v>27081</v>
      </c>
      <c r="D20" s="165">
        <v>5255</v>
      </c>
      <c r="E20" s="165">
        <v>1553</v>
      </c>
      <c r="F20" s="165">
        <v>6765</v>
      </c>
      <c r="G20" s="165">
        <v>5193</v>
      </c>
      <c r="H20" s="165">
        <v>8315</v>
      </c>
      <c r="I20" s="165"/>
      <c r="J20" s="3">
        <f t="shared" si="0"/>
        <v>27081</v>
      </c>
    </row>
    <row r="21" spans="2:10" x14ac:dyDescent="0.55000000000000004">
      <c r="B21" s="3" t="s">
        <v>229</v>
      </c>
      <c r="C21" s="165">
        <v>2013</v>
      </c>
      <c r="D21" s="165"/>
      <c r="E21" s="165"/>
      <c r="F21" s="165"/>
      <c r="G21" s="165"/>
      <c r="H21" s="165">
        <f>C21</f>
        <v>2013</v>
      </c>
      <c r="I21" s="165"/>
      <c r="J21" s="3">
        <f t="shared" si="0"/>
        <v>2013</v>
      </c>
    </row>
    <row r="22" spans="2:10" x14ac:dyDescent="0.55000000000000004">
      <c r="B22" s="464" t="s">
        <v>536</v>
      </c>
      <c r="C22" s="165">
        <v>10293</v>
      </c>
      <c r="D22" s="165"/>
      <c r="E22" s="165"/>
      <c r="F22" s="165"/>
      <c r="G22" s="165"/>
      <c r="H22" s="165">
        <f>C22</f>
        <v>10293</v>
      </c>
      <c r="I22" s="165"/>
      <c r="J22" s="3">
        <f t="shared" si="0"/>
        <v>10293</v>
      </c>
    </row>
    <row r="23" spans="2:10" x14ac:dyDescent="0.55000000000000004">
      <c r="B23" s="3" t="s">
        <v>121</v>
      </c>
      <c r="C23" s="165">
        <v>18762</v>
      </c>
      <c r="D23" s="165"/>
      <c r="E23" s="165"/>
      <c r="F23" s="165"/>
      <c r="G23" s="165">
        <f>C23</f>
        <v>18762</v>
      </c>
      <c r="H23" s="165"/>
      <c r="I23" s="165"/>
      <c r="J23" s="3">
        <f t="shared" si="0"/>
        <v>18762</v>
      </c>
    </row>
    <row r="24" spans="2:10" ht="16.2" x14ac:dyDescent="0.85">
      <c r="B24" s="3" t="s">
        <v>230</v>
      </c>
      <c r="C24" s="101">
        <v>59965</v>
      </c>
      <c r="D24" s="101">
        <v>0</v>
      </c>
      <c r="E24" s="101">
        <v>0</v>
      </c>
      <c r="F24" s="101">
        <v>0</v>
      </c>
      <c r="G24" s="101">
        <v>7147</v>
      </c>
      <c r="H24" s="101">
        <v>52819</v>
      </c>
      <c r="I24" s="165"/>
      <c r="J24" s="3">
        <f t="shared" si="0"/>
        <v>59966</v>
      </c>
    </row>
    <row r="25" spans="2:10" x14ac:dyDescent="0.55000000000000004">
      <c r="B25" s="3" t="s">
        <v>48</v>
      </c>
      <c r="C25" s="165">
        <f t="shared" ref="C25:H25" si="2">SUM(C4:C24)</f>
        <v>3461194</v>
      </c>
      <c r="D25" s="165">
        <f t="shared" si="2"/>
        <v>724216.19403133658</v>
      </c>
      <c r="E25" s="165">
        <f t="shared" si="2"/>
        <v>362440.05733823602</v>
      </c>
      <c r="F25" s="165">
        <f t="shared" si="2"/>
        <v>1167139.0409142487</v>
      </c>
      <c r="G25" s="165">
        <f t="shared" si="2"/>
        <v>458203.38222145312</v>
      </c>
      <c r="H25" s="165">
        <f t="shared" si="2"/>
        <v>749198.32549472584</v>
      </c>
      <c r="I25" s="165">
        <f>SUM(D25:H25)</f>
        <v>3461197.0000000005</v>
      </c>
      <c r="J25" s="3">
        <f t="shared" si="0"/>
        <v>3461197.0000000005</v>
      </c>
    </row>
    <row r="27" spans="2:10" ht="16.2" x14ac:dyDescent="0.85">
      <c r="B27" s="125" t="s">
        <v>231</v>
      </c>
    </row>
    <row r="28" spans="2:10" ht="16.2" x14ac:dyDescent="0.85">
      <c r="C28" s="203" t="s">
        <v>201</v>
      </c>
      <c r="D28" s="203" t="s">
        <v>190</v>
      </c>
      <c r="E28" s="203" t="s">
        <v>203</v>
      </c>
      <c r="F28" s="203" t="s">
        <v>214</v>
      </c>
      <c r="G28" s="203" t="s">
        <v>194</v>
      </c>
      <c r="H28" s="203" t="s">
        <v>215</v>
      </c>
      <c r="I28" s="203"/>
    </row>
    <row r="29" spans="2:10" x14ac:dyDescent="0.55000000000000004">
      <c r="B29" s="3" t="s">
        <v>216</v>
      </c>
      <c r="C29" s="164">
        <f>SAO!I20</f>
        <v>1398319.2720000001</v>
      </c>
      <c r="D29" s="165">
        <f>$C29*D$5</f>
        <v>271317.75725768501</v>
      </c>
      <c r="E29" s="165">
        <f t="shared" ref="E29:H31" si="3">$C29*E$5</f>
        <v>80177.160449707357</v>
      </c>
      <c r="F29" s="165">
        <f t="shared" si="3"/>
        <v>349330.18917850422</v>
      </c>
      <c r="G29" s="165">
        <f t="shared" si="3"/>
        <v>268123.82362063177</v>
      </c>
      <c r="H29" s="165">
        <f t="shared" si="3"/>
        <v>429370.34149347176</v>
      </c>
      <c r="I29" s="165"/>
      <c r="J29" s="3">
        <f t="shared" ref="J29:J39" si="4">SUM(D29:H29)</f>
        <v>1398319.2720000001</v>
      </c>
    </row>
    <row r="30" spans="2:10" x14ac:dyDescent="0.55000000000000004">
      <c r="B30" s="3" t="s">
        <v>218</v>
      </c>
      <c r="C30" s="3">
        <f>SAO!I21</f>
        <v>13350</v>
      </c>
      <c r="D30" s="165"/>
      <c r="E30" s="165"/>
      <c r="F30" s="165"/>
      <c r="G30" s="165"/>
      <c r="H30" s="165">
        <v>13350</v>
      </c>
      <c r="I30" s="165"/>
      <c r="J30" s="3">
        <f>SUM(D30:H30)</f>
        <v>13350</v>
      </c>
    </row>
    <row r="31" spans="2:10" x14ac:dyDescent="0.55000000000000004">
      <c r="B31" s="3" t="s">
        <v>538</v>
      </c>
      <c r="C31" s="164">
        <f>SAO!I24+SAO!I39</f>
        <v>412906.23749466671</v>
      </c>
      <c r="D31" s="165">
        <f>$C31*D$5</f>
        <v>80116.749127349525</v>
      </c>
      <c r="E31" s="165">
        <f t="shared" si="3"/>
        <v>23675.315299734251</v>
      </c>
      <c r="F31" s="165">
        <f t="shared" si="3"/>
        <v>103152.84709670818</v>
      </c>
      <c r="G31" s="165">
        <f t="shared" si="3"/>
        <v>79173.620367494077</v>
      </c>
      <c r="H31" s="165">
        <f t="shared" si="3"/>
        <v>126787.70560338067</v>
      </c>
      <c r="I31" s="165"/>
      <c r="J31" s="3">
        <f t="shared" ref="J31" si="5">SUM(D31:H31)</f>
        <v>412906.23749466671</v>
      </c>
    </row>
    <row r="32" spans="2:10" x14ac:dyDescent="0.55000000000000004">
      <c r="B32" s="3" t="s">
        <v>219</v>
      </c>
      <c r="C32" s="3">
        <f t="shared" ref="C32:H32" si="6">C8</f>
        <v>6554</v>
      </c>
      <c r="D32" s="165">
        <f t="shared" si="6"/>
        <v>6554</v>
      </c>
      <c r="E32" s="165">
        <f t="shared" si="6"/>
        <v>0</v>
      </c>
      <c r="F32" s="165">
        <f t="shared" si="6"/>
        <v>0</v>
      </c>
      <c r="G32" s="165">
        <f t="shared" si="6"/>
        <v>0</v>
      </c>
      <c r="H32" s="165">
        <f t="shared" si="6"/>
        <v>0</v>
      </c>
      <c r="I32" s="165"/>
      <c r="J32" s="3">
        <f>SUM(D32:H32)</f>
        <v>6554</v>
      </c>
    </row>
    <row r="33" spans="2:10" x14ac:dyDescent="0.55000000000000004">
      <c r="B33" s="3" t="s">
        <v>220</v>
      </c>
      <c r="C33" s="164">
        <f>SAO!I26</f>
        <v>428781</v>
      </c>
      <c r="D33" s="165">
        <f>D9+SAO!G26</f>
        <v>298951</v>
      </c>
      <c r="E33" s="165">
        <f>E9</f>
        <v>0</v>
      </c>
      <c r="F33" s="165">
        <f>F9</f>
        <v>102472</v>
      </c>
      <c r="G33" s="165">
        <f>G9</f>
        <v>0</v>
      </c>
      <c r="H33" s="165">
        <f>H9</f>
        <v>27358</v>
      </c>
      <c r="I33" s="165"/>
      <c r="J33" s="3">
        <f t="shared" ref="J33:J34" si="7">SUM(D33:H33)</f>
        <v>428781</v>
      </c>
    </row>
    <row r="34" spans="2:10" x14ac:dyDescent="0.55000000000000004">
      <c r="B34" s="3" t="s">
        <v>129</v>
      </c>
      <c r="C34" s="164">
        <f>SAO!I27</f>
        <v>220810</v>
      </c>
      <c r="D34" s="165">
        <f t="shared" ref="D34:D39" si="8">D10</f>
        <v>0</v>
      </c>
      <c r="E34" s="165">
        <f>E10+SAO!G27</f>
        <v>220810</v>
      </c>
      <c r="F34" s="165">
        <f t="shared" ref="F34:H37" si="9">F10</f>
        <v>0</v>
      </c>
      <c r="G34" s="165">
        <f t="shared" si="9"/>
        <v>0</v>
      </c>
      <c r="H34" s="165">
        <f t="shared" si="9"/>
        <v>0</v>
      </c>
      <c r="I34" s="165"/>
      <c r="J34" s="3">
        <f t="shared" si="7"/>
        <v>220810</v>
      </c>
    </row>
    <row r="35" spans="2:10" x14ac:dyDescent="0.55000000000000004">
      <c r="B35" s="3" t="s">
        <v>221</v>
      </c>
      <c r="C35" s="3">
        <f>C11</f>
        <v>417662</v>
      </c>
      <c r="D35" s="165">
        <f t="shared" si="8"/>
        <v>22717</v>
      </c>
      <c r="E35" s="165">
        <f>E11</f>
        <v>18743</v>
      </c>
      <c r="F35" s="165">
        <f t="shared" si="9"/>
        <v>302513</v>
      </c>
      <c r="G35" s="165">
        <f t="shared" si="9"/>
        <v>57366</v>
      </c>
      <c r="H35" s="165">
        <f t="shared" si="9"/>
        <v>16323</v>
      </c>
      <c r="I35" s="165"/>
      <c r="J35" s="3">
        <f t="shared" ref="J35:J38" si="10">SUM(D35:H35)</f>
        <v>417662</v>
      </c>
    </row>
    <row r="36" spans="2:10" x14ac:dyDescent="0.55000000000000004">
      <c r="B36" s="3" t="s">
        <v>222</v>
      </c>
      <c r="C36" s="3">
        <f>C12</f>
        <v>21950</v>
      </c>
      <c r="D36" s="165">
        <f t="shared" si="8"/>
        <v>0</v>
      </c>
      <c r="E36" s="165">
        <f>E12</f>
        <v>0</v>
      </c>
      <c r="F36" s="165">
        <f t="shared" si="9"/>
        <v>0</v>
      </c>
      <c r="G36" s="165">
        <f t="shared" si="9"/>
        <v>0</v>
      </c>
      <c r="H36" s="165">
        <f t="shared" si="9"/>
        <v>21950</v>
      </c>
      <c r="I36" s="165"/>
      <c r="J36" s="3">
        <f t="shared" si="10"/>
        <v>21950</v>
      </c>
    </row>
    <row r="37" spans="2:10" x14ac:dyDescent="0.55000000000000004">
      <c r="B37" s="3" t="s">
        <v>223</v>
      </c>
      <c r="C37" s="3">
        <f>C13</f>
        <v>17961</v>
      </c>
      <c r="D37" s="165">
        <f t="shared" si="8"/>
        <v>0</v>
      </c>
      <c r="E37" s="165">
        <f>E13</f>
        <v>0</v>
      </c>
      <c r="F37" s="165">
        <f t="shared" si="9"/>
        <v>0</v>
      </c>
      <c r="G37" s="165">
        <f t="shared" si="9"/>
        <v>0</v>
      </c>
      <c r="H37" s="165">
        <f t="shared" si="9"/>
        <v>17961</v>
      </c>
      <c r="I37" s="165"/>
      <c r="J37" s="3">
        <f t="shared" si="10"/>
        <v>17961</v>
      </c>
    </row>
    <row r="38" spans="2:10" x14ac:dyDescent="0.55000000000000004">
      <c r="B38" s="3" t="s">
        <v>224</v>
      </c>
      <c r="C38" s="134">
        <f>SAO!I30</f>
        <v>417332</v>
      </c>
      <c r="D38" s="165">
        <f t="shared" si="8"/>
        <v>132308</v>
      </c>
      <c r="E38" s="165">
        <f>E14</f>
        <v>49006</v>
      </c>
      <c r="F38" s="165">
        <f>F14</f>
        <v>146394</v>
      </c>
      <c r="G38" s="165">
        <f>G14</f>
        <v>11304</v>
      </c>
      <c r="H38" s="165">
        <f>H14+25000</f>
        <v>78320</v>
      </c>
      <c r="I38" s="165"/>
      <c r="J38" s="3">
        <f t="shared" si="10"/>
        <v>417332</v>
      </c>
    </row>
    <row r="39" spans="2:10" x14ac:dyDescent="0.55000000000000004">
      <c r="B39" s="3" t="s">
        <v>225</v>
      </c>
      <c r="C39" s="3">
        <f>C15</f>
        <v>27870</v>
      </c>
      <c r="D39" s="165">
        <f t="shared" si="8"/>
        <v>0</v>
      </c>
      <c r="E39" s="165">
        <f>E15</f>
        <v>0</v>
      </c>
      <c r="F39" s="165">
        <f>F15</f>
        <v>27870</v>
      </c>
      <c r="G39" s="165">
        <f>G15</f>
        <v>0</v>
      </c>
      <c r="H39" s="165">
        <f>H15</f>
        <v>0</v>
      </c>
      <c r="I39" s="165"/>
      <c r="J39" s="3">
        <f t="shared" si="4"/>
        <v>27870</v>
      </c>
    </row>
    <row r="40" spans="2:10" x14ac:dyDescent="0.55000000000000004">
      <c r="B40" s="3" t="s">
        <v>226</v>
      </c>
      <c r="C40" s="134">
        <f>SAO!I32</f>
        <v>263098</v>
      </c>
      <c r="D40" s="165">
        <f>$C40*D17</f>
        <v>0</v>
      </c>
      <c r="E40" s="165">
        <f>$C40*E17</f>
        <v>0</v>
      </c>
      <c r="F40" s="165">
        <f>$C40*F17</f>
        <v>208134.92537710827</v>
      </c>
      <c r="G40" s="165">
        <f>$C40*G17</f>
        <v>50113.391567930688</v>
      </c>
      <c r="H40" s="165">
        <f>$C40*H17</f>
        <v>4849.683054961034</v>
      </c>
      <c r="I40" s="165"/>
      <c r="J40" s="3">
        <f t="shared" ref="J40" si="11">SUM(D40:H40)</f>
        <v>263098</v>
      </c>
    </row>
    <row r="41" spans="2:10" x14ac:dyDescent="0.55000000000000004">
      <c r="B41" s="3" t="s">
        <v>535</v>
      </c>
      <c r="C41" s="3">
        <f t="shared" ref="C41:H47" si="12">C18</f>
        <v>8311</v>
      </c>
      <c r="D41" s="165">
        <f t="shared" si="12"/>
        <v>2078</v>
      </c>
      <c r="E41" s="165">
        <f t="shared" si="12"/>
        <v>0</v>
      </c>
      <c r="F41" s="165">
        <f t="shared" si="12"/>
        <v>2078</v>
      </c>
      <c r="G41" s="165">
        <f t="shared" si="12"/>
        <v>2078</v>
      </c>
      <c r="H41" s="165">
        <f t="shared" si="12"/>
        <v>2077</v>
      </c>
      <c r="I41" s="165"/>
      <c r="J41" s="3">
        <f t="shared" ref="J41:J47" si="13">SUM(D41:H41)</f>
        <v>8311</v>
      </c>
    </row>
    <row r="42" spans="2:10" x14ac:dyDescent="0.55000000000000004">
      <c r="B42" s="3" t="s">
        <v>227</v>
      </c>
      <c r="C42" s="3">
        <f t="shared" si="12"/>
        <v>26191</v>
      </c>
      <c r="D42" s="165">
        <f t="shared" si="12"/>
        <v>8730</v>
      </c>
      <c r="E42" s="165">
        <f t="shared" si="12"/>
        <v>0</v>
      </c>
      <c r="F42" s="165">
        <f t="shared" si="12"/>
        <v>8730</v>
      </c>
      <c r="G42" s="165">
        <f t="shared" si="12"/>
        <v>0</v>
      </c>
      <c r="H42" s="165">
        <f t="shared" si="12"/>
        <v>8731</v>
      </c>
      <c r="I42" s="165"/>
      <c r="J42" s="3">
        <f t="shared" si="13"/>
        <v>26191</v>
      </c>
    </row>
    <row r="43" spans="2:10" x14ac:dyDescent="0.55000000000000004">
      <c r="B43" s="3" t="s">
        <v>228</v>
      </c>
      <c r="C43" s="3">
        <f t="shared" si="12"/>
        <v>27081</v>
      </c>
      <c r="D43" s="165">
        <f t="shared" si="12"/>
        <v>5255</v>
      </c>
      <c r="E43" s="165">
        <f t="shared" si="12"/>
        <v>1553</v>
      </c>
      <c r="F43" s="165">
        <f t="shared" si="12"/>
        <v>6765</v>
      </c>
      <c r="G43" s="165">
        <f t="shared" si="12"/>
        <v>5193</v>
      </c>
      <c r="H43" s="165">
        <f t="shared" si="12"/>
        <v>8315</v>
      </c>
      <c r="I43" s="165"/>
      <c r="J43" s="3">
        <f t="shared" si="13"/>
        <v>27081</v>
      </c>
    </row>
    <row r="44" spans="2:10" x14ac:dyDescent="0.55000000000000004">
      <c r="B44" s="3" t="s">
        <v>229</v>
      </c>
      <c r="C44" s="3">
        <f t="shared" si="12"/>
        <v>2013</v>
      </c>
      <c r="D44" s="165">
        <f t="shared" si="12"/>
        <v>0</v>
      </c>
      <c r="E44" s="165">
        <f t="shared" si="12"/>
        <v>0</v>
      </c>
      <c r="F44" s="165">
        <f t="shared" si="12"/>
        <v>0</v>
      </c>
      <c r="G44" s="165">
        <f t="shared" si="12"/>
        <v>0</v>
      </c>
      <c r="H44" s="165">
        <f t="shared" si="12"/>
        <v>2013</v>
      </c>
      <c r="I44" s="165"/>
      <c r="J44" s="3">
        <f t="shared" si="13"/>
        <v>2013</v>
      </c>
    </row>
    <row r="45" spans="2:10" x14ac:dyDescent="0.55000000000000004">
      <c r="B45" s="464" t="s">
        <v>536</v>
      </c>
      <c r="C45" s="3">
        <f t="shared" si="12"/>
        <v>10293</v>
      </c>
      <c r="D45" s="165">
        <f t="shared" si="12"/>
        <v>0</v>
      </c>
      <c r="E45" s="165">
        <f t="shared" si="12"/>
        <v>0</v>
      </c>
      <c r="F45" s="165">
        <f t="shared" si="12"/>
        <v>0</v>
      </c>
      <c r="G45" s="165">
        <f t="shared" si="12"/>
        <v>0</v>
      </c>
      <c r="H45" s="165">
        <f t="shared" si="12"/>
        <v>10293</v>
      </c>
      <c r="I45" s="165"/>
      <c r="J45" s="3">
        <f t="shared" si="13"/>
        <v>10293</v>
      </c>
    </row>
    <row r="46" spans="2:10" x14ac:dyDescent="0.55000000000000004">
      <c r="B46" s="3" t="s">
        <v>121</v>
      </c>
      <c r="C46" s="3">
        <f t="shared" si="12"/>
        <v>18762</v>
      </c>
      <c r="D46" s="165">
        <f t="shared" si="12"/>
        <v>0</v>
      </c>
      <c r="E46" s="165">
        <f t="shared" si="12"/>
        <v>0</v>
      </c>
      <c r="F46" s="165">
        <f t="shared" si="12"/>
        <v>0</v>
      </c>
      <c r="G46" s="165">
        <f t="shared" si="12"/>
        <v>18762</v>
      </c>
      <c r="H46" s="165">
        <f t="shared" si="12"/>
        <v>0</v>
      </c>
      <c r="I46" s="165"/>
      <c r="J46" s="3">
        <f t="shared" si="13"/>
        <v>18762</v>
      </c>
    </row>
    <row r="47" spans="2:10" ht="16.2" x14ac:dyDescent="0.85">
      <c r="B47" s="3" t="s">
        <v>230</v>
      </c>
      <c r="C47" s="46">
        <f t="shared" si="12"/>
        <v>59965</v>
      </c>
      <c r="D47" s="101">
        <f t="shared" si="12"/>
        <v>0</v>
      </c>
      <c r="E47" s="101">
        <f t="shared" si="12"/>
        <v>0</v>
      </c>
      <c r="F47" s="101">
        <f t="shared" si="12"/>
        <v>0</v>
      </c>
      <c r="G47" s="101">
        <f t="shared" si="12"/>
        <v>7147</v>
      </c>
      <c r="H47" s="101">
        <f t="shared" si="12"/>
        <v>52819</v>
      </c>
      <c r="I47" s="165"/>
      <c r="J47" s="3">
        <f t="shared" si="13"/>
        <v>59966</v>
      </c>
    </row>
    <row r="48" spans="2:10" x14ac:dyDescent="0.55000000000000004">
      <c r="B48" s="3" t="s">
        <v>48</v>
      </c>
      <c r="C48" s="3">
        <f t="shared" ref="C48:H48" si="14">SUM(C29:C47)</f>
        <v>3799209.5094946669</v>
      </c>
      <c r="D48" s="3">
        <f t="shared" si="14"/>
        <v>828027.50638503453</v>
      </c>
      <c r="E48" s="3">
        <f t="shared" si="14"/>
        <v>393964.4757494416</v>
      </c>
      <c r="F48" s="3">
        <f t="shared" si="14"/>
        <v>1257439.9616523208</v>
      </c>
      <c r="G48" s="3">
        <f t="shared" si="14"/>
        <v>499260.83555605653</v>
      </c>
      <c r="H48" s="3">
        <f t="shared" si="14"/>
        <v>820517.73015181348</v>
      </c>
      <c r="I48" s="3">
        <f>SUM(D48:H48)</f>
        <v>3799210.5094946669</v>
      </c>
      <c r="J48" s="3">
        <f>SUM(J29:J47)</f>
        <v>3799210.5094946669</v>
      </c>
    </row>
    <row r="49" spans="2:3" ht="16.2" x14ac:dyDescent="0.85">
      <c r="B49" s="47" t="s">
        <v>232</v>
      </c>
      <c r="C49" s="465">
        <f>SAO!I38</f>
        <v>1328893.1811684703</v>
      </c>
    </row>
    <row r="50" spans="2:3" x14ac:dyDescent="0.55000000000000004">
      <c r="B50" s="3" t="s">
        <v>256</v>
      </c>
      <c r="C50" s="3">
        <f>SUM(C48:C49)</f>
        <v>5128102.6906631375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2758-8C79-46CE-B2D4-97D05FFED237}">
  <sheetPr>
    <pageSetUpPr fitToPage="1"/>
  </sheetPr>
  <dimension ref="B2:O85"/>
  <sheetViews>
    <sheetView zoomScaleNormal="100" workbookViewId="0"/>
  </sheetViews>
  <sheetFormatPr defaultRowHeight="15.3" x14ac:dyDescent="0.55000000000000004"/>
  <cols>
    <col min="2" max="2" width="1.76953125" customWidth="1"/>
    <col min="3" max="3" width="3.2265625" style="467" customWidth="1"/>
    <col min="4" max="4" width="18.31640625" style="467" customWidth="1"/>
    <col min="5" max="5" width="10.76953125" style="490" customWidth="1"/>
    <col min="6" max="6" width="10.76953125" customWidth="1"/>
    <col min="7" max="8" width="10.76953125" style="490" customWidth="1"/>
    <col min="9" max="9" width="1.76953125" customWidth="1"/>
    <col min="10" max="10" width="10.6796875" style="1" customWidth="1"/>
    <col min="11" max="11" width="10.6796875" style="499" customWidth="1"/>
  </cols>
  <sheetData>
    <row r="2" spans="2:12" ht="8.1" customHeight="1" x14ac:dyDescent="0.55000000000000004">
      <c r="B2" s="35"/>
      <c r="C2" s="416"/>
      <c r="D2" s="416"/>
      <c r="E2" s="346"/>
      <c r="F2" s="67"/>
      <c r="G2" s="346"/>
      <c r="H2" s="346"/>
      <c r="I2" s="68"/>
      <c r="L2" s="1"/>
    </row>
    <row r="3" spans="2:12" ht="18.3" x14ac:dyDescent="0.7">
      <c r="B3" s="36"/>
      <c r="C3" s="566" t="s">
        <v>260</v>
      </c>
      <c r="D3" s="566"/>
      <c r="E3" s="566"/>
      <c r="F3" s="566"/>
      <c r="G3" s="566"/>
      <c r="H3" s="566"/>
      <c r="I3" s="238"/>
      <c r="L3" s="1"/>
    </row>
    <row r="4" spans="2:12" ht="18.3" x14ac:dyDescent="0.7">
      <c r="B4" s="36"/>
      <c r="C4" s="491" t="s">
        <v>233</v>
      </c>
      <c r="D4" s="484"/>
      <c r="E4" s="487"/>
      <c r="F4" s="205"/>
      <c r="G4" s="487"/>
      <c r="H4" s="487"/>
      <c r="I4" s="231"/>
      <c r="K4" s="500"/>
      <c r="L4" s="1"/>
    </row>
    <row r="5" spans="2:12" ht="15.6" x14ac:dyDescent="0.55000000000000004">
      <c r="B5" s="36"/>
      <c r="C5" s="575" t="s">
        <v>327</v>
      </c>
      <c r="D5" s="575"/>
      <c r="E5" s="575"/>
      <c r="F5" s="575"/>
      <c r="G5" s="575"/>
      <c r="H5" s="575"/>
      <c r="I5" s="576"/>
      <c r="K5" s="500"/>
      <c r="L5" s="1"/>
    </row>
    <row r="6" spans="2:12" ht="8.1" customHeight="1" x14ac:dyDescent="0.55000000000000004">
      <c r="B6" s="39"/>
      <c r="C6" s="485"/>
      <c r="D6" s="485"/>
      <c r="E6" s="355"/>
      <c r="F6" s="233"/>
      <c r="G6" s="355"/>
      <c r="H6" s="355"/>
      <c r="I6" s="254"/>
      <c r="K6" s="500"/>
      <c r="L6" s="1"/>
    </row>
    <row r="7" spans="2:12" ht="15.6" x14ac:dyDescent="0.55000000000000004">
      <c r="B7" s="36"/>
      <c r="C7" s="492"/>
      <c r="D7" s="484"/>
      <c r="E7" s="487"/>
      <c r="F7" s="205"/>
      <c r="G7" s="487"/>
      <c r="H7" s="487"/>
      <c r="I7" s="231"/>
      <c r="K7" s="500"/>
      <c r="L7" s="1"/>
    </row>
    <row r="8" spans="2:12" x14ac:dyDescent="0.55000000000000004">
      <c r="B8" s="36"/>
      <c r="C8" s="107"/>
      <c r="D8" s="107"/>
      <c r="E8" s="488" t="s">
        <v>186</v>
      </c>
      <c r="F8" s="73" t="s">
        <v>234</v>
      </c>
      <c r="G8" s="488" t="s">
        <v>235</v>
      </c>
      <c r="H8" s="488" t="s">
        <v>236</v>
      </c>
      <c r="I8" s="242"/>
      <c r="J8" s="73"/>
      <c r="K8" s="488" t="s">
        <v>236</v>
      </c>
      <c r="L8" s="1"/>
    </row>
    <row r="9" spans="2:12" x14ac:dyDescent="0.55000000000000004">
      <c r="B9" s="36"/>
      <c r="C9" s="107"/>
      <c r="D9" s="107"/>
      <c r="E9" s="488" t="s">
        <v>237</v>
      </c>
      <c r="F9" s="73" t="s">
        <v>238</v>
      </c>
      <c r="G9" s="488" t="s">
        <v>234</v>
      </c>
      <c r="H9" s="488" t="s">
        <v>234</v>
      </c>
      <c r="I9" s="242"/>
      <c r="J9" s="73"/>
      <c r="K9" s="488" t="s">
        <v>234</v>
      </c>
      <c r="L9" s="1"/>
    </row>
    <row r="10" spans="2:12" x14ac:dyDescent="0.55000000000000004">
      <c r="B10" s="36"/>
      <c r="C10" s="107" t="s">
        <v>239</v>
      </c>
      <c r="D10" s="107"/>
      <c r="E10" s="3"/>
      <c r="F10" s="20"/>
      <c r="G10" s="3"/>
      <c r="H10" s="3"/>
      <c r="I10" s="37"/>
      <c r="K10" s="500"/>
      <c r="L10" s="1"/>
    </row>
    <row r="11" spans="2:12" x14ac:dyDescent="0.55000000000000004">
      <c r="B11" s="36"/>
      <c r="C11" s="107"/>
      <c r="D11" s="107" t="s">
        <v>240</v>
      </c>
      <c r="E11" s="3">
        <f>Mtrx!D29+Mtrx!E29</f>
        <v>351494.91770739236</v>
      </c>
      <c r="F11" s="243">
        <f>Fac!$H$35</f>
        <v>0.51082818629884086</v>
      </c>
      <c r="G11" s="3">
        <f>E11*F11</f>
        <v>179553.51130572756</v>
      </c>
      <c r="H11" s="3">
        <f>E11-G11</f>
        <v>171941.4064016648</v>
      </c>
      <c r="I11" s="37"/>
      <c r="J11" s="244"/>
      <c r="K11" s="500"/>
      <c r="L11" s="1"/>
    </row>
    <row r="12" spans="2:12" x14ac:dyDescent="0.55000000000000004">
      <c r="B12" s="36"/>
      <c r="C12" s="107"/>
      <c r="D12" s="107" t="s">
        <v>241</v>
      </c>
      <c r="E12" s="3">
        <f>Mtrx!F29</f>
        <v>349330.18917850422</v>
      </c>
      <c r="F12" s="243">
        <f>Fac!$H$39</f>
        <v>0.16514305524101269</v>
      </c>
      <c r="G12" s="3">
        <f>E12*F12</f>
        <v>57689.454728859135</v>
      </c>
      <c r="H12" s="3">
        <f>E12-G12</f>
        <v>291640.7344496451</v>
      </c>
      <c r="I12" s="37"/>
      <c r="J12" s="244"/>
      <c r="K12" s="500"/>
      <c r="L12" s="1"/>
    </row>
    <row r="13" spans="2:12" x14ac:dyDescent="0.55000000000000004">
      <c r="B13" s="36"/>
      <c r="C13" s="107"/>
      <c r="D13" s="107" t="s">
        <v>242</v>
      </c>
      <c r="E13" s="3">
        <f>Mtrx!G29</f>
        <v>268123.82362063177</v>
      </c>
      <c r="F13" s="20"/>
      <c r="G13" s="3">
        <f>E13*F13</f>
        <v>0</v>
      </c>
      <c r="H13" s="3">
        <f>E13-G13</f>
        <v>268123.82362063177</v>
      </c>
      <c r="I13" s="37"/>
      <c r="J13" s="244"/>
      <c r="K13" s="500"/>
      <c r="L13" s="1"/>
    </row>
    <row r="14" spans="2:12" x14ac:dyDescent="0.55000000000000004">
      <c r="B14" s="36"/>
      <c r="C14" s="107"/>
      <c r="D14" s="107" t="s">
        <v>243</v>
      </c>
      <c r="E14" s="3">
        <f>Mtrx!H29</f>
        <v>429370.34149347176</v>
      </c>
      <c r="F14" s="243">
        <f>Fac!$H$39</f>
        <v>0.16514305524101269</v>
      </c>
      <c r="G14" s="3">
        <f>E14*F14</f>
        <v>70907.530024108884</v>
      </c>
      <c r="H14" s="3">
        <f>E14-G14</f>
        <v>358462.81146936287</v>
      </c>
      <c r="I14" s="37"/>
      <c r="J14" s="20">
        <f>SUM(E11:E14)</f>
        <v>1398319.2720000001</v>
      </c>
      <c r="K14" s="500">
        <f>SUM(H11:H14)</f>
        <v>1090168.7759413044</v>
      </c>
      <c r="L14" s="1"/>
    </row>
    <row r="15" spans="2:12" x14ac:dyDescent="0.55000000000000004">
      <c r="B15" s="36"/>
      <c r="C15" s="107" t="s">
        <v>244</v>
      </c>
      <c r="D15" s="107"/>
      <c r="E15" s="3"/>
      <c r="F15" s="20"/>
      <c r="G15" s="3"/>
      <c r="H15" s="3"/>
      <c r="I15" s="37"/>
      <c r="J15" s="244"/>
      <c r="K15" s="500"/>
      <c r="L15" s="1"/>
    </row>
    <row r="16" spans="2:12" x14ac:dyDescent="0.55000000000000004">
      <c r="B16" s="36"/>
      <c r="C16" s="107"/>
      <c r="D16" s="107" t="s">
        <v>240</v>
      </c>
      <c r="E16" s="3">
        <f>Mtrx!D31+Mtrx!E31</f>
        <v>103792.06442708378</v>
      </c>
      <c r="F16" s="243">
        <f>Fac!$H$35</f>
        <v>0.51082818629884086</v>
      </c>
      <c r="G16" s="3">
        <f t="shared" ref="G16:G21" si="0">E16*F16</f>
        <v>53019.912023499644</v>
      </c>
      <c r="H16" s="3">
        <f t="shared" ref="H16:H21" si="1">E16-G16</f>
        <v>50772.152403584136</v>
      </c>
      <c r="I16" s="37"/>
      <c r="J16" s="244"/>
      <c r="K16" s="500"/>
      <c r="L16" s="1"/>
    </row>
    <row r="17" spans="2:12" x14ac:dyDescent="0.55000000000000004">
      <c r="B17" s="36"/>
      <c r="C17" s="107"/>
      <c r="D17" s="107" t="s">
        <v>241</v>
      </c>
      <c r="E17" s="3">
        <f>Mtrx!F31</f>
        <v>103152.84709670818</v>
      </c>
      <c r="F17" s="243">
        <f>Fac!$H$39</f>
        <v>0.16514305524101269</v>
      </c>
      <c r="G17" s="3">
        <f t="shared" si="0"/>
        <v>17034.976326359414</v>
      </c>
      <c r="H17" s="3">
        <f t="shared" si="1"/>
        <v>86117.87077034876</v>
      </c>
      <c r="I17" s="37"/>
      <c r="J17" s="244"/>
      <c r="K17" s="500"/>
      <c r="L17" s="1"/>
    </row>
    <row r="18" spans="2:12" x14ac:dyDescent="0.55000000000000004">
      <c r="B18" s="36"/>
      <c r="C18" s="107"/>
      <c r="D18" s="107" t="s">
        <v>242</v>
      </c>
      <c r="E18" s="3">
        <f>Mtrx!G31</f>
        <v>79173.620367494077</v>
      </c>
      <c r="F18" s="20"/>
      <c r="G18" s="3">
        <f t="shared" si="0"/>
        <v>0</v>
      </c>
      <c r="H18" s="3">
        <f t="shared" si="1"/>
        <v>79173.620367494077</v>
      </c>
      <c r="I18" s="37"/>
      <c r="J18" s="244"/>
      <c r="K18" s="500"/>
      <c r="L18" s="1"/>
    </row>
    <row r="19" spans="2:12" x14ac:dyDescent="0.55000000000000004">
      <c r="B19" s="36"/>
      <c r="C19" s="107"/>
      <c r="D19" s="107" t="s">
        <v>243</v>
      </c>
      <c r="E19" s="3">
        <f>Mtrx!H31</f>
        <v>126787.70560338067</v>
      </c>
      <c r="F19" s="243">
        <f>Fac!$H$39</f>
        <v>0.16514305524101269</v>
      </c>
      <c r="G19" s="3">
        <f t="shared" si="0"/>
        <v>20938.10907034035</v>
      </c>
      <c r="H19" s="3">
        <f t="shared" si="1"/>
        <v>105849.59653304033</v>
      </c>
      <c r="I19" s="37"/>
      <c r="J19" s="20">
        <f>SUM(E16:E19)</f>
        <v>412906.23749466671</v>
      </c>
      <c r="K19" s="500">
        <f>SUM(H16:H19)</f>
        <v>321913.24007446732</v>
      </c>
      <c r="L19" s="1"/>
    </row>
    <row r="20" spans="2:12" x14ac:dyDescent="0.55000000000000004">
      <c r="B20" s="36"/>
      <c r="C20" s="107" t="s">
        <v>245</v>
      </c>
      <c r="D20" s="107"/>
      <c r="E20" s="3">
        <f>Mtrx!C30</f>
        <v>13350</v>
      </c>
      <c r="F20" s="243">
        <f>Fac!$H$35</f>
        <v>0.51082818629884086</v>
      </c>
      <c r="G20" s="3">
        <f t="shared" si="0"/>
        <v>6819.5562870895255</v>
      </c>
      <c r="H20" s="3">
        <f t="shared" si="1"/>
        <v>6530.4437129104745</v>
      </c>
      <c r="I20" s="37"/>
      <c r="J20" s="20">
        <f>E20</f>
        <v>13350</v>
      </c>
      <c r="K20" s="500">
        <f>H20</f>
        <v>6530.4437129104745</v>
      </c>
      <c r="L20" s="1"/>
    </row>
    <row r="21" spans="2:12" x14ac:dyDescent="0.55000000000000004">
      <c r="B21" s="36"/>
      <c r="C21" s="107" t="s">
        <v>329</v>
      </c>
      <c r="D21" s="107"/>
      <c r="E21" s="3">
        <f>Mtrx!C32</f>
        <v>6554</v>
      </c>
      <c r="F21" s="243">
        <f>Fac!$H$35</f>
        <v>0.51082818629884086</v>
      </c>
      <c r="G21" s="3">
        <f t="shared" si="0"/>
        <v>3347.9679330026029</v>
      </c>
      <c r="H21" s="3">
        <f t="shared" si="1"/>
        <v>3206.0320669973971</v>
      </c>
      <c r="I21" s="37"/>
      <c r="J21" s="20">
        <f>E21</f>
        <v>6554</v>
      </c>
      <c r="K21" s="500">
        <f>H21</f>
        <v>3206.0320669973971</v>
      </c>
      <c r="L21" s="1"/>
    </row>
    <row r="22" spans="2:12" x14ac:dyDescent="0.55000000000000004">
      <c r="B22" s="36"/>
      <c r="C22" s="107" t="s">
        <v>20</v>
      </c>
      <c r="D22" s="107"/>
      <c r="E22" s="3"/>
      <c r="F22" s="20"/>
      <c r="G22" s="3"/>
      <c r="H22" s="3"/>
      <c r="I22" s="37"/>
      <c r="L22" s="1"/>
    </row>
    <row r="23" spans="2:12" x14ac:dyDescent="0.55000000000000004">
      <c r="B23" s="36"/>
      <c r="C23" s="107"/>
      <c r="D23" s="107" t="s">
        <v>240</v>
      </c>
      <c r="E23" s="3">
        <f>Mtrx!D33</f>
        <v>298951</v>
      </c>
      <c r="F23" s="243">
        <f>Fac!$H$35</f>
        <v>0.51082818629884086</v>
      </c>
      <c r="G23" s="3">
        <f>E23*F23</f>
        <v>152712.59712222478</v>
      </c>
      <c r="H23" s="3">
        <f>E23-G23</f>
        <v>146238.40287777522</v>
      </c>
      <c r="I23" s="37"/>
      <c r="L23" s="1"/>
    </row>
    <row r="24" spans="2:12" x14ac:dyDescent="0.55000000000000004">
      <c r="B24" s="36"/>
      <c r="C24" s="107"/>
      <c r="D24" s="107" t="s">
        <v>241</v>
      </c>
      <c r="E24" s="3">
        <f>Mtrx!F33</f>
        <v>102472</v>
      </c>
      <c r="F24" s="243">
        <f>Fac!$H$39</f>
        <v>0.16514305524101269</v>
      </c>
      <c r="G24" s="3">
        <f>E24*F24</f>
        <v>16922.539156657054</v>
      </c>
      <c r="H24" s="3">
        <f>E24-G24</f>
        <v>85549.460843342938</v>
      </c>
      <c r="I24" s="37"/>
      <c r="L24" s="1"/>
    </row>
    <row r="25" spans="2:12" x14ac:dyDescent="0.55000000000000004">
      <c r="B25" s="36"/>
      <c r="C25" s="107"/>
      <c r="D25" s="107" t="s">
        <v>243</v>
      </c>
      <c r="E25" s="3">
        <f>Mtrx!H33</f>
        <v>27358</v>
      </c>
      <c r="F25" s="243">
        <f>Fac!$H$39</f>
        <v>0.16514305524101269</v>
      </c>
      <c r="G25" s="3">
        <f>E25*F25</f>
        <v>4517.9837052836256</v>
      </c>
      <c r="H25" s="3">
        <f>E25-G25</f>
        <v>22840.016294716374</v>
      </c>
      <c r="I25" s="37"/>
      <c r="J25" s="20">
        <f>SUM(E23:E25)</f>
        <v>428781</v>
      </c>
      <c r="K25" s="500">
        <f>SUM(H23:H25)</f>
        <v>254627.88001583453</v>
      </c>
      <c r="L25" s="1"/>
    </row>
    <row r="26" spans="2:12" x14ac:dyDescent="0.55000000000000004">
      <c r="B26" s="36"/>
      <c r="C26" s="107" t="s">
        <v>129</v>
      </c>
      <c r="D26" s="107"/>
      <c r="E26" s="3"/>
      <c r="F26" s="243"/>
      <c r="G26" s="3"/>
      <c r="H26" s="3"/>
      <c r="I26" s="37"/>
      <c r="L26" s="1"/>
    </row>
    <row r="27" spans="2:12" x14ac:dyDescent="0.55000000000000004">
      <c r="B27" s="36"/>
      <c r="C27" s="107"/>
      <c r="D27" s="107" t="s">
        <v>240</v>
      </c>
      <c r="E27" s="3">
        <f>Mtrx!E34</f>
        <v>220810</v>
      </c>
      <c r="F27" s="243">
        <f>Fac!$H$35</f>
        <v>0.51082818629884086</v>
      </c>
      <c r="G27" s="3">
        <f>E27*F27</f>
        <v>112795.97181664706</v>
      </c>
      <c r="H27" s="3">
        <f>E27-G27</f>
        <v>108014.02818335294</v>
      </c>
      <c r="I27" s="37"/>
      <c r="J27" s="20">
        <f>E27</f>
        <v>220810</v>
      </c>
      <c r="K27" s="501">
        <f>H27</f>
        <v>108014.02818335294</v>
      </c>
      <c r="L27" s="1"/>
    </row>
    <row r="28" spans="2:12" x14ac:dyDescent="0.55000000000000004">
      <c r="B28" s="36"/>
      <c r="C28" s="107" t="s">
        <v>246</v>
      </c>
      <c r="D28" s="107"/>
      <c r="E28" s="3"/>
      <c r="F28" s="20"/>
      <c r="G28" s="3"/>
      <c r="H28" s="3"/>
      <c r="I28" s="37"/>
      <c r="L28" s="1"/>
    </row>
    <row r="29" spans="2:12" x14ac:dyDescent="0.55000000000000004">
      <c r="B29" s="36"/>
      <c r="C29" s="107"/>
      <c r="D29" s="107" t="s">
        <v>240</v>
      </c>
      <c r="E29" s="3">
        <f>Mtrx!D35+Mtrx!E35</f>
        <v>41460</v>
      </c>
      <c r="F29" s="243">
        <f>Fac!$H$35</f>
        <v>0.51082818629884086</v>
      </c>
      <c r="G29" s="3">
        <f>E29*F29</f>
        <v>21178.936603949944</v>
      </c>
      <c r="H29" s="3">
        <f>E29-G29</f>
        <v>20281.063396050056</v>
      </c>
      <c r="I29" s="37"/>
      <c r="L29" s="1"/>
    </row>
    <row r="30" spans="2:12" x14ac:dyDescent="0.55000000000000004">
      <c r="B30" s="36"/>
      <c r="C30" s="107"/>
      <c r="D30" s="107" t="s">
        <v>241</v>
      </c>
      <c r="E30" s="3">
        <f>Mtrx!F35</f>
        <v>302513</v>
      </c>
      <c r="F30" s="243">
        <f>Fac!$H$39</f>
        <v>0.16514305524101269</v>
      </c>
      <c r="G30" s="3">
        <f>E30*F30</f>
        <v>49957.921070124474</v>
      </c>
      <c r="H30" s="3">
        <f>E30-G30</f>
        <v>252555.07892987551</v>
      </c>
      <c r="I30" s="37"/>
      <c r="L30" s="1"/>
    </row>
    <row r="31" spans="2:12" x14ac:dyDescent="0.55000000000000004">
      <c r="B31" s="36"/>
      <c r="C31" s="107"/>
      <c r="D31" s="107" t="s">
        <v>242</v>
      </c>
      <c r="E31" s="3">
        <f>Mtrx!G35</f>
        <v>57366</v>
      </c>
      <c r="F31" s="20"/>
      <c r="G31" s="3">
        <v>0</v>
      </c>
      <c r="H31" s="3">
        <f>E31-G31</f>
        <v>57366</v>
      </c>
      <c r="I31" s="37"/>
      <c r="L31" s="1"/>
    </row>
    <row r="32" spans="2:12" x14ac:dyDescent="0.55000000000000004">
      <c r="B32" s="36"/>
      <c r="C32" s="107"/>
      <c r="D32" s="107" t="s">
        <v>243</v>
      </c>
      <c r="E32" s="3">
        <f>Mtrx!H35</f>
        <v>16323</v>
      </c>
      <c r="F32" s="243">
        <f>Fac!$H$39</f>
        <v>0.16514305524101269</v>
      </c>
      <c r="G32" s="3">
        <f>E32*F32</f>
        <v>2695.63009069905</v>
      </c>
      <c r="H32" s="3">
        <f>E32-G32</f>
        <v>13627.369909300949</v>
      </c>
      <c r="I32" s="37"/>
      <c r="J32" s="20">
        <f>SUM(E29:E32)</f>
        <v>417662</v>
      </c>
      <c r="K32" s="500">
        <f>SUM(H29:H32)</f>
        <v>343829.51223522652</v>
      </c>
      <c r="L32" s="1"/>
    </row>
    <row r="33" spans="2:12" x14ac:dyDescent="0.55000000000000004">
      <c r="B33" s="36"/>
      <c r="C33" s="107" t="s">
        <v>548</v>
      </c>
      <c r="D33" s="107"/>
      <c r="E33" s="3"/>
      <c r="F33" s="243"/>
      <c r="G33" s="3"/>
      <c r="H33" s="3"/>
      <c r="I33" s="37"/>
      <c r="L33" s="1"/>
    </row>
    <row r="34" spans="2:12" x14ac:dyDescent="0.55000000000000004">
      <c r="B34" s="36"/>
      <c r="C34" s="107"/>
      <c r="D34" s="107" t="s">
        <v>243</v>
      </c>
      <c r="E34" s="3">
        <f>Mtrx!H36+Mtrx!H37</f>
        <v>39911</v>
      </c>
      <c r="F34" s="243">
        <f>Fac!$H$35</f>
        <v>0.51082818629884086</v>
      </c>
      <c r="G34" s="3">
        <f>E34*F34</f>
        <v>20387.663743373036</v>
      </c>
      <c r="H34" s="3">
        <f>E34-G34</f>
        <v>19523.336256626964</v>
      </c>
      <c r="I34" s="37"/>
      <c r="J34" s="20">
        <f>E34</f>
        <v>39911</v>
      </c>
      <c r="K34" s="500">
        <f>H34</f>
        <v>19523.336256626964</v>
      </c>
      <c r="L34" s="1"/>
    </row>
    <row r="35" spans="2:12" x14ac:dyDescent="0.55000000000000004">
      <c r="B35" s="36"/>
      <c r="C35" s="107" t="s">
        <v>545</v>
      </c>
      <c r="D35" s="107"/>
      <c r="E35" s="3"/>
      <c r="F35" s="243"/>
      <c r="G35" s="3"/>
      <c r="H35" s="3"/>
      <c r="I35" s="37"/>
      <c r="J35" s="20"/>
      <c r="K35" s="500"/>
      <c r="L35" s="1"/>
    </row>
    <row r="36" spans="2:12" x14ac:dyDescent="0.55000000000000004">
      <c r="B36" s="36"/>
      <c r="C36" s="107"/>
      <c r="D36" s="107" t="s">
        <v>240</v>
      </c>
      <c r="E36" s="3">
        <f>Mtrx!D38+Mtrx!E38</f>
        <v>181314</v>
      </c>
      <c r="F36" s="243">
        <f>Fac!$H$35</f>
        <v>0.51082818629884086</v>
      </c>
      <c r="G36" s="3">
        <f>E36*F36</f>
        <v>92620.301770588034</v>
      </c>
      <c r="H36" s="3">
        <f>E36-G36</f>
        <v>88693.698229411966</v>
      </c>
      <c r="I36" s="37"/>
      <c r="J36" s="20"/>
      <c r="K36" s="500"/>
      <c r="L36" s="1"/>
    </row>
    <row r="37" spans="2:12" x14ac:dyDescent="0.55000000000000004">
      <c r="B37" s="36"/>
      <c r="C37" s="107"/>
      <c r="D37" s="107" t="s">
        <v>241</v>
      </c>
      <c r="E37" s="3">
        <f>Mtrx!F38</f>
        <v>146394</v>
      </c>
      <c r="F37" s="243">
        <f>Fac!$H$39</f>
        <v>0.16514305524101269</v>
      </c>
      <c r="G37" s="3">
        <f>E37*F37</f>
        <v>24175.952428952813</v>
      </c>
      <c r="H37" s="3">
        <f>E37-G37</f>
        <v>122218.04757104718</v>
      </c>
      <c r="I37" s="37"/>
      <c r="J37" s="20"/>
      <c r="K37" s="500"/>
      <c r="L37" s="1"/>
    </row>
    <row r="38" spans="2:12" x14ac:dyDescent="0.55000000000000004">
      <c r="B38" s="36"/>
      <c r="C38" s="107"/>
      <c r="D38" s="107" t="s">
        <v>242</v>
      </c>
      <c r="E38" s="3">
        <f>Mtrx!G38</f>
        <v>11304</v>
      </c>
      <c r="F38" s="20"/>
      <c r="G38" s="3">
        <v>0</v>
      </c>
      <c r="H38" s="3">
        <f>E38-G38</f>
        <v>11304</v>
      </c>
      <c r="I38" s="37"/>
      <c r="J38" s="20"/>
      <c r="K38" s="500"/>
      <c r="L38" s="1"/>
    </row>
    <row r="39" spans="2:12" x14ac:dyDescent="0.55000000000000004">
      <c r="B39" s="36"/>
      <c r="C39" s="107"/>
      <c r="D39" s="107" t="s">
        <v>243</v>
      </c>
      <c r="E39" s="3">
        <f>Mtrx!H38</f>
        <v>78320</v>
      </c>
      <c r="F39" s="243">
        <f>Fac!$H$35</f>
        <v>0.51082818629884086</v>
      </c>
      <c r="G39" s="3">
        <f>E39*F39</f>
        <v>40008.063550925217</v>
      </c>
      <c r="H39" s="3">
        <f>E39-G39</f>
        <v>38311.936449074783</v>
      </c>
      <c r="I39" s="37"/>
      <c r="J39" s="20">
        <f>SUM(E36:E39)</f>
        <v>417332</v>
      </c>
      <c r="K39" s="500">
        <f>SUM(H36:H39)</f>
        <v>260527.68224953394</v>
      </c>
      <c r="L39" s="1"/>
    </row>
    <row r="40" spans="2:12" x14ac:dyDescent="0.55000000000000004">
      <c r="B40" s="36"/>
      <c r="C40" s="107" t="s">
        <v>547</v>
      </c>
      <c r="D40" s="107"/>
      <c r="E40" s="3">
        <f>Mtrx!C39</f>
        <v>27870</v>
      </c>
      <c r="F40" s="243">
        <f>Fac!$H$39</f>
        <v>0.16514305524101269</v>
      </c>
      <c r="G40" s="3">
        <f>E40*F40</f>
        <v>4602.5369495670238</v>
      </c>
      <c r="H40" s="3">
        <f>E40-G40</f>
        <v>23267.463050432976</v>
      </c>
      <c r="I40" s="37"/>
      <c r="J40" s="20">
        <f>E40</f>
        <v>27870</v>
      </c>
      <c r="K40" s="500">
        <f>H40</f>
        <v>23267.463050432976</v>
      </c>
      <c r="L40" s="1"/>
    </row>
    <row r="41" spans="2:12" x14ac:dyDescent="0.55000000000000004">
      <c r="B41" s="36"/>
      <c r="C41" s="107" t="s">
        <v>247</v>
      </c>
      <c r="D41" s="107"/>
      <c r="E41" s="3"/>
      <c r="F41" s="243"/>
      <c r="G41" s="3"/>
      <c r="H41" s="3"/>
      <c r="I41" s="37"/>
      <c r="L41" s="1"/>
    </row>
    <row r="42" spans="2:12" x14ac:dyDescent="0.55000000000000004">
      <c r="B42" s="36"/>
      <c r="C42" s="107"/>
      <c r="D42" s="107" t="s">
        <v>241</v>
      </c>
      <c r="E42" s="3">
        <f>Mtrx!F40</f>
        <v>208134.92537710827</v>
      </c>
      <c r="F42" s="243">
        <f>Fac!$H$39</f>
        <v>0.16514305524101269</v>
      </c>
      <c r="G42" s="3">
        <f>E42*F42</f>
        <v>34372.037479135848</v>
      </c>
      <c r="H42" s="3">
        <f t="shared" ref="H42:H53" si="2">E42-G42</f>
        <v>173762.88789797242</v>
      </c>
      <c r="I42" s="37"/>
      <c r="L42" s="1"/>
    </row>
    <row r="43" spans="2:12" x14ac:dyDescent="0.55000000000000004">
      <c r="B43" s="36"/>
      <c r="C43" s="107"/>
      <c r="D43" s="107" t="s">
        <v>242</v>
      </c>
      <c r="E43" s="3">
        <f>Mtrx!G40</f>
        <v>50113.391567930688</v>
      </c>
      <c r="F43" s="20"/>
      <c r="G43" s="3">
        <v>0</v>
      </c>
      <c r="H43" s="3">
        <f t="shared" si="2"/>
        <v>50113.391567930688</v>
      </c>
      <c r="I43" s="37"/>
      <c r="K43" s="500"/>
      <c r="L43" s="1"/>
    </row>
    <row r="44" spans="2:12" x14ac:dyDescent="0.55000000000000004">
      <c r="B44" s="36"/>
      <c r="C44" s="107"/>
      <c r="D44" s="107" t="s">
        <v>243</v>
      </c>
      <c r="E44" s="3">
        <f>Mtrx!H40</f>
        <v>4849.683054961034</v>
      </c>
      <c r="F44" s="243">
        <f>Fac!$H$35</f>
        <v>0.51082818629884086</v>
      </c>
      <c r="G44" s="3">
        <f>E44*F44</f>
        <v>2477.3547990899669</v>
      </c>
      <c r="H44" s="3">
        <f t="shared" si="2"/>
        <v>2372.3282558710671</v>
      </c>
      <c r="I44" s="37"/>
      <c r="J44" s="20">
        <f>SUM(E42:E44)</f>
        <v>263098</v>
      </c>
      <c r="K44" s="500">
        <f>SUM(H42:H44)</f>
        <v>226248.6077217742</v>
      </c>
      <c r="L44" s="1"/>
    </row>
    <row r="45" spans="2:12" x14ac:dyDescent="0.55000000000000004">
      <c r="B45" s="36"/>
      <c r="C45" s="107"/>
      <c r="D45" s="107"/>
      <c r="E45" s="488" t="s">
        <v>186</v>
      </c>
      <c r="F45" s="73" t="s">
        <v>234</v>
      </c>
      <c r="G45" s="488" t="s">
        <v>235</v>
      </c>
      <c r="H45" s="488" t="s">
        <v>236</v>
      </c>
      <c r="I45" s="37"/>
      <c r="J45" s="20"/>
      <c r="K45" s="500"/>
      <c r="L45" s="1"/>
    </row>
    <row r="46" spans="2:12" x14ac:dyDescent="0.55000000000000004">
      <c r="B46" s="36"/>
      <c r="C46" s="107"/>
      <c r="D46" s="107"/>
      <c r="E46" s="488" t="s">
        <v>237</v>
      </c>
      <c r="F46" s="73" t="s">
        <v>238</v>
      </c>
      <c r="G46" s="488" t="s">
        <v>234</v>
      </c>
      <c r="H46" s="488" t="s">
        <v>234</v>
      </c>
      <c r="I46" s="37"/>
      <c r="J46" s="20"/>
      <c r="K46" s="500"/>
      <c r="L46" s="1"/>
    </row>
    <row r="47" spans="2:12" x14ac:dyDescent="0.55000000000000004">
      <c r="B47" s="36"/>
      <c r="C47" s="107" t="s">
        <v>130</v>
      </c>
      <c r="D47" s="107"/>
      <c r="E47" s="3"/>
      <c r="F47" s="243"/>
      <c r="G47" s="3"/>
      <c r="H47" s="3"/>
      <c r="I47" s="37"/>
      <c r="J47" s="20"/>
      <c r="K47" s="500"/>
      <c r="L47" s="1"/>
    </row>
    <row r="48" spans="2:12" x14ac:dyDescent="0.55000000000000004">
      <c r="B48" s="36"/>
      <c r="C48" s="107"/>
      <c r="D48" s="107" t="s">
        <v>240</v>
      </c>
      <c r="E48" s="3">
        <f>SUM(Mtrx!D41:D43)+Mtrx!E43</f>
        <v>17616</v>
      </c>
      <c r="F48" s="243">
        <f>Fac!$H$35</f>
        <v>0.51082818629884086</v>
      </c>
      <c r="G48" s="3">
        <f>E48*F48</f>
        <v>8998.7493298403806</v>
      </c>
      <c r="H48" s="3">
        <f>E48-G48</f>
        <v>8617.2506701596194</v>
      </c>
      <c r="I48" s="37"/>
      <c r="J48" s="20"/>
      <c r="K48" s="500"/>
      <c r="L48" s="1"/>
    </row>
    <row r="49" spans="2:13" x14ac:dyDescent="0.55000000000000004">
      <c r="B49" s="36"/>
      <c r="C49" s="107"/>
      <c r="D49" s="107" t="s">
        <v>241</v>
      </c>
      <c r="E49" s="3">
        <f>SUM(Mtrx!F41:F44)</f>
        <v>17573</v>
      </c>
      <c r="F49" s="243">
        <f>Fac!$H$39</f>
        <v>0.16514305524101269</v>
      </c>
      <c r="G49" s="3">
        <f>E49*F49</f>
        <v>2902.0589097503162</v>
      </c>
      <c r="H49" s="3">
        <f>E49-G49</f>
        <v>14670.941090249684</v>
      </c>
      <c r="I49" s="37"/>
      <c r="J49" s="20"/>
      <c r="K49" s="500"/>
      <c r="L49" s="1"/>
    </row>
    <row r="50" spans="2:13" x14ac:dyDescent="0.55000000000000004">
      <c r="B50" s="36"/>
      <c r="C50" s="107"/>
      <c r="D50" s="107" t="s">
        <v>242</v>
      </c>
      <c r="E50" s="3">
        <f>Mtrx!G41+Mtrx!G43</f>
        <v>7271</v>
      </c>
      <c r="F50" s="20"/>
      <c r="G50" s="3">
        <v>0</v>
      </c>
      <c r="H50" s="3">
        <f>E50-G50</f>
        <v>7271</v>
      </c>
      <c r="I50" s="37"/>
      <c r="J50" s="20"/>
      <c r="K50" s="500"/>
      <c r="L50" s="1"/>
    </row>
    <row r="51" spans="2:13" x14ac:dyDescent="0.55000000000000004">
      <c r="B51" s="36"/>
      <c r="C51" s="107"/>
      <c r="D51" s="107" t="s">
        <v>243</v>
      </c>
      <c r="E51" s="3">
        <f>SUM(Mtrx!H41:H44)</f>
        <v>21136</v>
      </c>
      <c r="F51" s="243">
        <f>Fac!$H$35</f>
        <v>0.51082818629884086</v>
      </c>
      <c r="G51" s="3">
        <f>E51*F51</f>
        <v>10796.864545612299</v>
      </c>
      <c r="H51" s="3">
        <f>E51-G51</f>
        <v>10339.135454387701</v>
      </c>
      <c r="I51" s="37"/>
      <c r="J51" s="20">
        <f>SUM(E48:E51)</f>
        <v>63596</v>
      </c>
      <c r="K51" s="500">
        <f>SUM(H48:H51)</f>
        <v>40898.327214797006</v>
      </c>
      <c r="L51" s="1"/>
    </row>
    <row r="52" spans="2:13" x14ac:dyDescent="0.55000000000000004">
      <c r="B52" s="36"/>
      <c r="C52" s="464" t="s">
        <v>536</v>
      </c>
      <c r="D52" s="107"/>
      <c r="E52" s="3">
        <f>Mtrx!C45</f>
        <v>10293</v>
      </c>
      <c r="F52" s="243">
        <f>Fac!$H$39</f>
        <v>0.16514305524101269</v>
      </c>
      <c r="G52" s="3">
        <f>E52*F52</f>
        <v>1699.8174675957437</v>
      </c>
      <c r="H52" s="3">
        <f>E52-G52</f>
        <v>8593.1825324042566</v>
      </c>
      <c r="I52" s="37"/>
      <c r="J52" s="20">
        <f>E52</f>
        <v>10293</v>
      </c>
      <c r="K52" s="500">
        <f>H52</f>
        <v>8593.1825324042566</v>
      </c>
      <c r="L52" s="1"/>
    </row>
    <row r="53" spans="2:13" x14ac:dyDescent="0.55000000000000004">
      <c r="B53" s="36"/>
      <c r="C53" s="107" t="s">
        <v>121</v>
      </c>
      <c r="D53" s="107"/>
      <c r="E53" s="3">
        <f>Mtrx!C46</f>
        <v>18762</v>
      </c>
      <c r="F53" s="243"/>
      <c r="G53" s="3">
        <f>E53*F53</f>
        <v>0</v>
      </c>
      <c r="H53" s="3">
        <f t="shared" si="2"/>
        <v>18762</v>
      </c>
      <c r="I53" s="37"/>
      <c r="J53" s="20">
        <f>E53</f>
        <v>18762</v>
      </c>
      <c r="K53" s="500">
        <f>H53</f>
        <v>18762</v>
      </c>
      <c r="L53" s="1"/>
    </row>
    <row r="54" spans="2:13" x14ac:dyDescent="0.55000000000000004">
      <c r="B54" s="36"/>
      <c r="C54" s="107" t="s">
        <v>248</v>
      </c>
      <c r="D54" s="107"/>
      <c r="E54" s="3"/>
      <c r="F54" s="243"/>
      <c r="G54" s="3"/>
      <c r="H54" s="3"/>
      <c r="I54" s="37"/>
      <c r="J54" s="20"/>
      <c r="K54" s="500"/>
      <c r="L54" s="1"/>
    </row>
    <row r="55" spans="2:13" x14ac:dyDescent="0.55000000000000004">
      <c r="B55" s="36"/>
      <c r="C55" s="107"/>
      <c r="D55" s="107" t="s">
        <v>242</v>
      </c>
      <c r="E55" s="3">
        <f>Mtrx!G47</f>
        <v>7147</v>
      </c>
      <c r="F55" s="20"/>
      <c r="G55" s="3">
        <v>0</v>
      </c>
      <c r="H55" s="3">
        <f>E55-G55</f>
        <v>7147</v>
      </c>
      <c r="I55" s="37"/>
      <c r="J55" s="20"/>
      <c r="K55" s="500"/>
      <c r="L55" s="1"/>
    </row>
    <row r="56" spans="2:13" x14ac:dyDescent="0.55000000000000004">
      <c r="B56" s="36"/>
      <c r="C56" s="107"/>
      <c r="D56" s="107" t="s">
        <v>243</v>
      </c>
      <c r="E56" s="3">
        <f>Mtrx!H47</f>
        <v>52819</v>
      </c>
      <c r="F56" s="243">
        <f>Fac!$H$35</f>
        <v>0.51082818629884086</v>
      </c>
      <c r="G56" s="3">
        <f>E56*F56</f>
        <v>26981.433972118477</v>
      </c>
      <c r="H56" s="3">
        <f>E56-G56</f>
        <v>25837.566027881523</v>
      </c>
      <c r="I56" s="37"/>
      <c r="J56" s="20">
        <f>SUM(E55:E56)</f>
        <v>59966</v>
      </c>
      <c r="K56" s="500">
        <f>SUM(H55:H56)</f>
        <v>32984.566027881519</v>
      </c>
      <c r="L56" s="1"/>
    </row>
    <row r="57" spans="2:13" ht="7" customHeight="1" x14ac:dyDescent="0.55000000000000004">
      <c r="B57" s="36"/>
      <c r="C57" s="107"/>
      <c r="D57" s="107"/>
      <c r="E57" s="3"/>
      <c r="F57" s="20"/>
      <c r="G57" s="3"/>
      <c r="H57" s="3"/>
      <c r="I57" s="37"/>
      <c r="J57" s="244"/>
      <c r="K57" s="500"/>
      <c r="L57" s="1"/>
    </row>
    <row r="58" spans="2:13" x14ac:dyDescent="0.55000000000000004">
      <c r="B58" s="36"/>
      <c r="C58" s="121" t="s">
        <v>9</v>
      </c>
      <c r="D58" s="107"/>
      <c r="E58" s="3">
        <f>SUM(E11:E57)</f>
        <v>3799210.5094946669</v>
      </c>
      <c r="F58" s="20"/>
      <c r="G58" s="3">
        <f>SUM(G11:G57)</f>
        <v>1040115.4322111224</v>
      </c>
      <c r="H58" s="3">
        <f>SUM(H11:H57)</f>
        <v>2759095.077283544</v>
      </c>
      <c r="I58" s="37"/>
      <c r="J58" s="20">
        <f>SUM(J14:J57)</f>
        <v>3799210.5094946669</v>
      </c>
      <c r="K58" s="502">
        <f>SUM(K14:K57)</f>
        <v>2759095.0772835445</v>
      </c>
      <c r="L58" s="1"/>
    </row>
    <row r="59" spans="2:13" ht="7" customHeight="1" x14ac:dyDescent="0.55000000000000004">
      <c r="B59" s="36"/>
      <c r="C59" s="107"/>
      <c r="D59" s="107"/>
      <c r="E59" s="3"/>
      <c r="F59" s="20"/>
      <c r="G59" s="3"/>
      <c r="H59" s="3"/>
      <c r="I59" s="37"/>
      <c r="J59" s="6"/>
      <c r="K59" s="500"/>
      <c r="L59" s="1"/>
    </row>
    <row r="60" spans="2:13" x14ac:dyDescent="0.55000000000000004">
      <c r="B60" s="36"/>
      <c r="C60" s="107" t="s">
        <v>15</v>
      </c>
      <c r="D60" s="107"/>
      <c r="E60" s="3"/>
      <c r="F60" s="20"/>
      <c r="G60" s="3"/>
      <c r="H60" s="3"/>
      <c r="I60" s="37"/>
      <c r="J60" s="6">
        <f>H58+G58</f>
        <v>3799210.5094946665</v>
      </c>
      <c r="K60" s="500"/>
      <c r="L60" s="1"/>
    </row>
    <row r="61" spans="2:13" x14ac:dyDescent="0.55000000000000004">
      <c r="B61" s="36"/>
      <c r="C61" s="107"/>
      <c r="D61" s="107" t="s">
        <v>240</v>
      </c>
      <c r="E61" s="3">
        <f>Al_Dpr!E42</f>
        <v>551186.43195229582</v>
      </c>
      <c r="F61" s="243">
        <f>Fac!$H$35</f>
        <v>0.51082818629884086</v>
      </c>
      <c r="G61" s="3">
        <f>E61*F61</f>
        <v>281561.56534672074</v>
      </c>
      <c r="H61" s="3">
        <f>E61-G61</f>
        <v>269624.86660557508</v>
      </c>
      <c r="I61" s="37"/>
      <c r="J61" s="244"/>
      <c r="K61" s="500"/>
      <c r="L61" s="1"/>
    </row>
    <row r="62" spans="2:13" ht="15.6" x14ac:dyDescent="0.6">
      <c r="B62" s="36"/>
      <c r="C62" s="107"/>
      <c r="D62" s="107" t="s">
        <v>249</v>
      </c>
      <c r="E62" s="3">
        <f>Al_Dpr!F42</f>
        <v>582544.37797698204</v>
      </c>
      <c r="F62" s="243">
        <f>Fac!$H$39</f>
        <v>0.16514305524101269</v>
      </c>
      <c r="G62" s="3">
        <f>E62*F62</f>
        <v>96203.158392594123</v>
      </c>
      <c r="H62" s="3">
        <f>E62-G62</f>
        <v>486341.2195843879</v>
      </c>
      <c r="I62" s="37"/>
      <c r="J62" s="244"/>
      <c r="K62" s="500"/>
      <c r="L62" s="1"/>
      <c r="M62" s="139"/>
    </row>
    <row r="63" spans="2:13" ht="15.6" x14ac:dyDescent="0.6">
      <c r="B63" s="36"/>
      <c r="C63" s="107"/>
      <c r="D63" s="107" t="s">
        <v>250</v>
      </c>
      <c r="E63" s="3">
        <f>Al_Dpr!G42</f>
        <v>72473.880596285395</v>
      </c>
      <c r="F63" s="243">
        <f>Fac!H43</f>
        <v>0.56741581139010167</v>
      </c>
      <c r="G63" s="3">
        <f>E63*F63</f>
        <v>41122.825763130626</v>
      </c>
      <c r="H63" s="3">
        <f>E63-G63</f>
        <v>31351.054833154769</v>
      </c>
      <c r="I63" s="37"/>
      <c r="J63" s="244"/>
      <c r="K63" s="500"/>
      <c r="L63" s="1"/>
      <c r="M63" s="139"/>
    </row>
    <row r="64" spans="2:13" ht="15.6" x14ac:dyDescent="0.6">
      <c r="B64" s="36"/>
      <c r="C64" s="107"/>
      <c r="D64" s="107" t="s">
        <v>243</v>
      </c>
      <c r="E64" s="3">
        <f>Al_Dpr!H42</f>
        <v>11025.085671829433</v>
      </c>
      <c r="F64" s="243">
        <f>Fac!$H$39</f>
        <v>0.16514305524101269</v>
      </c>
      <c r="G64" s="3">
        <f>E64*F64</f>
        <v>1820.7163321398255</v>
      </c>
      <c r="H64" s="3">
        <f>E64-G64</f>
        <v>9204.3693396896069</v>
      </c>
      <c r="I64" s="37"/>
      <c r="J64" s="244"/>
      <c r="K64" s="500"/>
      <c r="L64" s="1"/>
      <c r="M64" s="139"/>
    </row>
    <row r="65" spans="2:15" ht="15.6" x14ac:dyDescent="0.6">
      <c r="B65" s="36"/>
      <c r="C65" s="107"/>
      <c r="D65" s="107" t="s">
        <v>194</v>
      </c>
      <c r="E65" s="3">
        <f>Al_Dpr!I42</f>
        <v>111663.40497107751</v>
      </c>
      <c r="F65" s="20"/>
      <c r="G65" s="3">
        <f>E65*F65</f>
        <v>0</v>
      </c>
      <c r="H65" s="3">
        <f>E65-G65</f>
        <v>111663.40497107751</v>
      </c>
      <c r="I65" s="37"/>
      <c r="J65" s="6">
        <f>SUM(E61:E65)</f>
        <v>1328893.1811684703</v>
      </c>
      <c r="K65" s="500">
        <f>SUM(H61:H65)</f>
        <v>908184.91533388477</v>
      </c>
      <c r="L65" s="500">
        <f>K58+K65</f>
        <v>3667279.9926174292</v>
      </c>
      <c r="M65" s="328"/>
    </row>
    <row r="66" spans="2:15" ht="15.6" x14ac:dyDescent="0.6">
      <c r="B66" s="36"/>
      <c r="C66" s="107" t="s">
        <v>251</v>
      </c>
      <c r="D66" s="107"/>
      <c r="E66" s="3"/>
      <c r="F66" s="20"/>
      <c r="G66" s="3"/>
      <c r="H66" s="3"/>
      <c r="I66" s="37"/>
      <c r="J66" s="244"/>
      <c r="K66" s="500"/>
      <c r="L66" s="1"/>
      <c r="M66" s="139"/>
      <c r="O66" s="347"/>
    </row>
    <row r="67" spans="2:15" ht="15.6" x14ac:dyDescent="0.6">
      <c r="B67" s="36"/>
      <c r="C67" s="107"/>
      <c r="D67" s="107" t="s">
        <v>240</v>
      </c>
      <c r="E67" s="3">
        <f>Al_Plnt!E51</f>
        <v>692097.41367249051</v>
      </c>
      <c r="F67" s="243">
        <f>Fac!$H$35</f>
        <v>0.51082818629884086</v>
      </c>
      <c r="G67" s="3">
        <f>E67*F67</f>
        <v>353542.8665684369</v>
      </c>
      <c r="H67" s="3">
        <f>E67-G67</f>
        <v>338554.54710405361</v>
      </c>
      <c r="I67" s="37"/>
      <c r="J67" s="244"/>
      <c r="K67" s="500"/>
      <c r="L67" s="1"/>
      <c r="M67" s="139"/>
    </row>
    <row r="68" spans="2:15" ht="15.6" x14ac:dyDescent="0.6">
      <c r="B68" s="36"/>
      <c r="C68" s="107"/>
      <c r="D68" s="107" t="s">
        <v>249</v>
      </c>
      <c r="E68" s="3">
        <f>Al_Plnt!F51</f>
        <v>382384.99592740269</v>
      </c>
      <c r="F68" s="243">
        <f>Fac!$H$39</f>
        <v>0.16514305524101269</v>
      </c>
      <c r="G68" s="3">
        <f>E68*F68</f>
        <v>63148.226505773477</v>
      </c>
      <c r="H68" s="3">
        <f>E68-G68</f>
        <v>319236.7694216292</v>
      </c>
      <c r="I68" s="37"/>
      <c r="J68" s="244"/>
      <c r="K68" s="500"/>
      <c r="L68" s="1"/>
      <c r="M68" s="139"/>
    </row>
    <row r="69" spans="2:15" ht="15.6" x14ac:dyDescent="0.6">
      <c r="B69" s="36"/>
      <c r="C69" s="107"/>
      <c r="D69" s="107" t="s">
        <v>250</v>
      </c>
      <c r="E69" s="3">
        <f>Al_Plnt!G51</f>
        <v>52431.154479025645</v>
      </c>
      <c r="F69" s="243">
        <f>Fac!$H$43</f>
        <v>0.56741581139010167</v>
      </c>
      <c r="G69" s="3">
        <f>E69*F69</f>
        <v>29750.2660608361</v>
      </c>
      <c r="H69" s="3">
        <f>E69-G69</f>
        <v>22680.888418189545</v>
      </c>
      <c r="I69" s="37"/>
      <c r="J69" s="244"/>
      <c r="K69" s="500"/>
      <c r="L69" s="1"/>
      <c r="M69" s="139"/>
    </row>
    <row r="70" spans="2:15" ht="15.6" x14ac:dyDescent="0.6">
      <c r="B70" s="36"/>
      <c r="C70" s="107"/>
      <c r="D70" s="107" t="s">
        <v>243</v>
      </c>
      <c r="E70" s="3">
        <f>Al_Plnt!H51</f>
        <v>13758.167584892346</v>
      </c>
      <c r="F70" s="243">
        <f>Fac!$H$39</f>
        <v>0.16514305524101269</v>
      </c>
      <c r="G70" s="3">
        <f>E70*F70</f>
        <v>2272.0658294869868</v>
      </c>
      <c r="H70" s="3">
        <f>E70-G70</f>
        <v>11486.10175540536</v>
      </c>
      <c r="I70" s="37"/>
      <c r="J70" s="244"/>
      <c r="K70" s="500"/>
      <c r="L70" s="1"/>
      <c r="M70" s="139"/>
    </row>
    <row r="71" spans="2:15" ht="15.6" x14ac:dyDescent="0.6">
      <c r="B71" s="36"/>
      <c r="C71" s="107"/>
      <c r="D71" s="107" t="s">
        <v>194</v>
      </c>
      <c r="E71" s="3">
        <f>Al_Plnt!I49</f>
        <v>59526.928336188706</v>
      </c>
      <c r="F71" s="20"/>
      <c r="G71" s="3">
        <f>E71*F71</f>
        <v>0</v>
      </c>
      <c r="H71" s="3">
        <f>E71-G71</f>
        <v>59526.928336188706</v>
      </c>
      <c r="I71" s="37"/>
      <c r="J71" s="6">
        <f>SUM(E67:E71)</f>
        <v>1200198.6599999999</v>
      </c>
      <c r="K71" s="500">
        <f>SUM(H67:H71)</f>
        <v>751485.23503546638</v>
      </c>
      <c r="L71" s="500">
        <f>K71+L65</f>
        <v>4418765.2276528953</v>
      </c>
      <c r="M71" s="328"/>
    </row>
    <row r="72" spans="2:15" ht="7" customHeight="1" x14ac:dyDescent="0.6">
      <c r="B72" s="36"/>
      <c r="C72" s="107"/>
      <c r="D72" s="107"/>
      <c r="E72" s="3"/>
      <c r="F72" s="20"/>
      <c r="G72" s="3"/>
      <c r="H72" s="3"/>
      <c r="I72" s="37"/>
      <c r="K72" s="500"/>
      <c r="L72" s="1"/>
      <c r="M72" s="139"/>
    </row>
    <row r="73" spans="2:15" ht="15.6" x14ac:dyDescent="0.6">
      <c r="B73" s="36"/>
      <c r="C73" s="121" t="s">
        <v>252</v>
      </c>
      <c r="D73" s="107"/>
      <c r="E73" s="3">
        <f>SUM(E61:E71)+E58</f>
        <v>6328302.3506631367</v>
      </c>
      <c r="F73" s="20"/>
      <c r="G73" s="3">
        <f>SUM(G61:G71)+G58</f>
        <v>1909537.123010241</v>
      </c>
      <c r="H73" s="3">
        <f>SUM(H61:H71)+H58</f>
        <v>4418765.2276528953</v>
      </c>
      <c r="I73" s="37"/>
      <c r="J73" s="20">
        <f>J58+J65+J71</f>
        <v>6328302.3506631376</v>
      </c>
      <c r="K73" s="502">
        <f>K58+K65+K71</f>
        <v>4418765.2276528953</v>
      </c>
      <c r="L73" s="1"/>
      <c r="M73" s="139"/>
    </row>
    <row r="74" spans="2:15" ht="7" customHeight="1" x14ac:dyDescent="0.6">
      <c r="B74" s="36"/>
      <c r="C74" s="107"/>
      <c r="D74" s="107"/>
      <c r="E74" s="3"/>
      <c r="F74" s="20"/>
      <c r="G74" s="3"/>
      <c r="H74" s="3"/>
      <c r="I74" s="37"/>
      <c r="K74" s="500"/>
      <c r="L74" s="1"/>
      <c r="M74" s="139"/>
    </row>
    <row r="75" spans="2:15" x14ac:dyDescent="0.55000000000000004">
      <c r="B75" s="36"/>
      <c r="C75" s="107"/>
      <c r="D75" s="107" t="s">
        <v>253</v>
      </c>
      <c r="E75" s="3"/>
      <c r="F75" s="20"/>
      <c r="G75" s="3">
        <f>Sys!F37</f>
        <v>629263</v>
      </c>
      <c r="H75" s="5"/>
      <c r="I75" s="245"/>
      <c r="J75" s="20">
        <f>G73+H73</f>
        <v>6328302.3506631367</v>
      </c>
      <c r="K75" s="500"/>
      <c r="L75" s="1"/>
    </row>
    <row r="76" spans="2:15" ht="7" customHeight="1" x14ac:dyDescent="0.55000000000000004">
      <c r="B76" s="36"/>
      <c r="C76" s="107"/>
      <c r="D76" s="107"/>
      <c r="E76" s="3"/>
      <c r="F76" s="20"/>
      <c r="G76" s="3"/>
      <c r="H76" s="3"/>
      <c r="I76" s="37"/>
      <c r="K76" s="500"/>
      <c r="L76" s="1"/>
    </row>
    <row r="77" spans="2:15" ht="15.9" thickBot="1" x14ac:dyDescent="0.65">
      <c r="B77" s="36"/>
      <c r="C77" s="493" t="s">
        <v>254</v>
      </c>
      <c r="D77" s="486"/>
      <c r="E77" s="489"/>
      <c r="F77" s="22"/>
      <c r="G77" s="495">
        <f>ROUND(G73/G75,2)</f>
        <v>3.03</v>
      </c>
      <c r="H77" s="3"/>
      <c r="I77" s="246"/>
      <c r="J77" s="247"/>
      <c r="K77" s="503"/>
      <c r="L77" s="1"/>
    </row>
    <row r="78" spans="2:15" ht="15.6" thickTop="1" x14ac:dyDescent="0.55000000000000004">
      <c r="B78" s="39"/>
      <c r="C78" s="363"/>
      <c r="D78" s="363"/>
      <c r="E78" s="55"/>
      <c r="F78" s="31"/>
      <c r="G78" s="494"/>
      <c r="H78" s="55"/>
      <c r="I78" s="40"/>
      <c r="K78" s="500"/>
      <c r="L78" s="1"/>
    </row>
    <row r="79" spans="2:15" x14ac:dyDescent="0.55000000000000004">
      <c r="B79" s="1"/>
      <c r="C79" s="107"/>
      <c r="D79" s="107"/>
      <c r="E79" s="3"/>
      <c r="F79" s="1"/>
      <c r="G79" s="3"/>
      <c r="H79" s="3"/>
      <c r="I79" s="1"/>
      <c r="L79" s="1"/>
    </row>
    <row r="80" spans="2:15" x14ac:dyDescent="0.55000000000000004">
      <c r="B80" s="1"/>
      <c r="C80" s="107"/>
      <c r="D80" s="107"/>
      <c r="E80" s="3"/>
      <c r="F80" s="1"/>
      <c r="G80" s="3"/>
      <c r="H80" s="3"/>
      <c r="I80" s="1"/>
      <c r="L80" s="1"/>
    </row>
    <row r="81" spans="2:12" x14ac:dyDescent="0.55000000000000004">
      <c r="B81" s="1"/>
      <c r="C81" s="107"/>
      <c r="D81" s="107"/>
      <c r="E81" s="3"/>
      <c r="F81" s="1"/>
      <c r="G81" s="107">
        <f>G77-2.59</f>
        <v>0.43999999999999995</v>
      </c>
      <c r="H81" s="3"/>
      <c r="I81" s="20"/>
      <c r="L81" s="1"/>
    </row>
    <row r="82" spans="2:12" x14ac:dyDescent="0.55000000000000004">
      <c r="B82" s="1"/>
      <c r="C82" s="107"/>
      <c r="D82" s="107"/>
      <c r="E82" s="3"/>
      <c r="F82" s="1"/>
      <c r="G82" s="140">
        <f>G81/2.59</f>
        <v>0.16988416988416988</v>
      </c>
      <c r="H82" s="3"/>
      <c r="I82" s="1"/>
      <c r="J82" s="247"/>
      <c r="L82" s="1"/>
    </row>
    <row r="83" spans="2:12" x14ac:dyDescent="0.55000000000000004">
      <c r="B83" s="1"/>
      <c r="C83" s="107"/>
      <c r="D83" s="107"/>
      <c r="E83" s="3"/>
      <c r="F83" s="1"/>
      <c r="G83" s="3"/>
      <c r="H83" s="3"/>
      <c r="I83" s="1"/>
      <c r="L83" s="1"/>
    </row>
    <row r="84" spans="2:12" x14ac:dyDescent="0.55000000000000004">
      <c r="B84" s="1"/>
      <c r="C84" s="107"/>
      <c r="D84" s="107"/>
      <c r="E84" s="3"/>
      <c r="F84" s="1"/>
      <c r="G84" s="3"/>
      <c r="H84" s="3"/>
      <c r="I84" s="1"/>
      <c r="L84" s="1"/>
    </row>
    <row r="85" spans="2:12" x14ac:dyDescent="0.55000000000000004">
      <c r="B85" s="1"/>
      <c r="C85" s="107"/>
      <c r="D85" s="107"/>
      <c r="E85" s="3"/>
      <c r="F85" s="1"/>
      <c r="G85" s="3"/>
      <c r="H85" s="3"/>
      <c r="I85" s="1"/>
      <c r="L85" s="1"/>
    </row>
  </sheetData>
  <mergeCells count="2">
    <mergeCell ref="C3:H3"/>
    <mergeCell ref="C5:I5"/>
  </mergeCells>
  <printOptions horizontalCentered="1"/>
  <pageMargins left="0.7" right="0.7" top="1" bottom="1" header="0.3" footer="0.3"/>
  <pageSetup fitToHeight="2"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D9D2-BEF3-43DC-BFDF-6AF23C6B12AC}">
  <sheetPr>
    <pageSetUpPr fitToPage="1"/>
  </sheetPr>
  <dimension ref="B2:K36"/>
  <sheetViews>
    <sheetView workbookViewId="0"/>
  </sheetViews>
  <sheetFormatPr defaultRowHeight="15.3" x14ac:dyDescent="0.55000000000000004"/>
  <cols>
    <col min="2" max="2" width="1.76953125" customWidth="1"/>
    <col min="3" max="3" width="26.08984375" customWidth="1"/>
    <col min="4" max="4" width="10.2265625" bestFit="1" customWidth="1"/>
    <col min="5" max="5" width="8.86328125"/>
    <col min="6" max="8" width="9" bestFit="1" customWidth="1"/>
    <col min="9" max="9" width="1.76953125" customWidth="1"/>
    <col min="10" max="10" width="2.26953125" customWidth="1"/>
    <col min="11" max="11" width="9.86328125" style="1" bestFit="1" customWidth="1"/>
  </cols>
  <sheetData>
    <row r="2" spans="2:11" x14ac:dyDescent="0.55000000000000004">
      <c r="B2" s="56"/>
      <c r="C2" s="57"/>
      <c r="D2" s="57"/>
      <c r="E2" s="57"/>
      <c r="F2" s="57"/>
      <c r="G2" s="57"/>
      <c r="H2" s="57"/>
      <c r="I2" s="58"/>
    </row>
    <row r="3" spans="2:11" ht="18.3" x14ac:dyDescent="0.7">
      <c r="B3" s="59"/>
      <c r="C3" s="566" t="s">
        <v>586</v>
      </c>
      <c r="D3" s="566"/>
      <c r="E3" s="566"/>
      <c r="F3" s="566"/>
      <c r="G3" s="566"/>
      <c r="H3" s="566"/>
      <c r="I3" s="60"/>
    </row>
    <row r="4" spans="2:11" ht="18.3" x14ac:dyDescent="0.7">
      <c r="B4" s="59"/>
      <c r="C4" s="580" t="s">
        <v>268</v>
      </c>
      <c r="D4" s="580"/>
      <c r="E4" s="580"/>
      <c r="F4" s="580"/>
      <c r="G4" s="580"/>
      <c r="H4" s="580"/>
      <c r="I4" s="60"/>
    </row>
    <row r="5" spans="2:11" ht="15.6" x14ac:dyDescent="0.55000000000000004">
      <c r="B5" s="59"/>
      <c r="C5" s="575" t="s">
        <v>327</v>
      </c>
      <c r="D5" s="575"/>
      <c r="E5" s="575"/>
      <c r="F5" s="575"/>
      <c r="G5" s="575"/>
      <c r="H5" s="575"/>
      <c r="I5" s="60"/>
    </row>
    <row r="6" spans="2:11" ht="15" customHeight="1" x14ac:dyDescent="0.55000000000000004">
      <c r="B6" s="61"/>
      <c r="C6" s="476"/>
      <c r="D6" s="476"/>
      <c r="E6" s="476"/>
      <c r="F6" s="476"/>
      <c r="G6" s="476"/>
      <c r="H6" s="476"/>
      <c r="I6" s="62"/>
    </row>
    <row r="7" spans="2:11" ht="7" customHeight="1" x14ac:dyDescent="0.55000000000000004">
      <c r="B7" s="59"/>
      <c r="C7" s="51"/>
      <c r="D7" s="51"/>
      <c r="E7" s="51"/>
      <c r="F7" s="51"/>
      <c r="G7" s="51"/>
      <c r="H7" s="51"/>
      <c r="I7" s="60"/>
    </row>
    <row r="8" spans="2:11" x14ac:dyDescent="0.55000000000000004">
      <c r="B8" s="59"/>
      <c r="C8" s="51"/>
      <c r="D8" s="498" t="s">
        <v>201</v>
      </c>
      <c r="E8" s="498"/>
      <c r="F8" s="498"/>
      <c r="G8" s="498"/>
      <c r="H8" s="498" t="s">
        <v>269</v>
      </c>
      <c r="I8" s="60"/>
    </row>
    <row r="9" spans="2:11" x14ac:dyDescent="0.55000000000000004">
      <c r="B9" s="59"/>
      <c r="C9" s="51"/>
      <c r="D9" s="498" t="s">
        <v>202</v>
      </c>
      <c r="E9" s="498" t="s">
        <v>270</v>
      </c>
      <c r="F9" s="498" t="s">
        <v>271</v>
      </c>
      <c r="G9" s="498" t="s">
        <v>194</v>
      </c>
      <c r="H9" s="498" t="s">
        <v>189</v>
      </c>
      <c r="I9" s="60"/>
    </row>
    <row r="10" spans="2:11" x14ac:dyDescent="0.55000000000000004">
      <c r="B10" s="59"/>
      <c r="C10" s="206" t="s">
        <v>239</v>
      </c>
      <c r="D10" s="51">
        <f>Whol!K14</f>
        <v>1090168.7759413044</v>
      </c>
      <c r="E10" s="51"/>
      <c r="F10" s="51">
        <f>Whol!H11+Whol!H12</f>
        <v>463582.14085130987</v>
      </c>
      <c r="G10" s="51">
        <f>Whol!H13</f>
        <v>268123.82362063177</v>
      </c>
      <c r="H10" s="51">
        <f>Whol!H14</f>
        <v>358462.81146936287</v>
      </c>
      <c r="I10" s="60"/>
      <c r="K10" s="52">
        <f>SUM(E10:H10)</f>
        <v>1090168.7759413044</v>
      </c>
    </row>
    <row r="11" spans="2:11" x14ac:dyDescent="0.55000000000000004">
      <c r="B11" s="59"/>
      <c r="C11" s="206" t="s">
        <v>244</v>
      </c>
      <c r="D11" s="51">
        <f>Whol!K19</f>
        <v>321913.24007446732</v>
      </c>
      <c r="E11" s="51"/>
      <c r="F11" s="51">
        <f>Whol!H16+Whol!H17</f>
        <v>136890.02317393289</v>
      </c>
      <c r="G11" s="51">
        <f>Whol!H18</f>
        <v>79173.620367494077</v>
      </c>
      <c r="H11" s="51">
        <f>Whol!H19</f>
        <v>105849.59653304033</v>
      </c>
      <c r="I11" s="60"/>
      <c r="K11" s="52">
        <f t="shared" ref="K11:K25" si="0">SUM(E11:H11)</f>
        <v>321913.24007446732</v>
      </c>
    </row>
    <row r="12" spans="2:11" x14ac:dyDescent="0.55000000000000004">
      <c r="B12" s="59"/>
      <c r="C12" s="51" t="s">
        <v>272</v>
      </c>
      <c r="D12" s="51">
        <f>Whol!K20</f>
        <v>6530.4437129104745</v>
      </c>
      <c r="E12" s="51"/>
      <c r="F12" s="51"/>
      <c r="G12" s="51"/>
      <c r="H12" s="51">
        <f>Whol!H20</f>
        <v>6530.4437129104745</v>
      </c>
      <c r="I12" s="60"/>
      <c r="K12" s="52">
        <f t="shared" si="0"/>
        <v>6530.4437129104745</v>
      </c>
    </row>
    <row r="13" spans="2:11" x14ac:dyDescent="0.55000000000000004">
      <c r="B13" s="59"/>
      <c r="C13" s="51" t="s">
        <v>329</v>
      </c>
      <c r="D13" s="51">
        <f>Whol!K21</f>
        <v>3206.0320669973971</v>
      </c>
      <c r="E13" s="51">
        <f>Whol!H21</f>
        <v>3206.0320669973971</v>
      </c>
      <c r="F13" s="51"/>
      <c r="G13" s="51"/>
      <c r="H13" s="51"/>
      <c r="I13" s="60"/>
      <c r="K13" s="52">
        <f t="shared" si="0"/>
        <v>3206.0320669973971</v>
      </c>
    </row>
    <row r="14" spans="2:11" x14ac:dyDescent="0.55000000000000004">
      <c r="B14" s="59"/>
      <c r="C14" s="51" t="s">
        <v>20</v>
      </c>
      <c r="D14" s="51">
        <f>Whol!K25</f>
        <v>254627.88001583453</v>
      </c>
      <c r="E14" s="51">
        <f>Whol!H23</f>
        <v>146238.40287777522</v>
      </c>
      <c r="F14" s="51">
        <f>Whol!H24</f>
        <v>85549.460843342938</v>
      </c>
      <c r="G14" s="51"/>
      <c r="H14" s="51">
        <f>Whol!H25</f>
        <v>22840.016294716374</v>
      </c>
      <c r="I14" s="60"/>
      <c r="K14" s="52">
        <f t="shared" si="0"/>
        <v>254627.88001583453</v>
      </c>
    </row>
    <row r="15" spans="2:11" x14ac:dyDescent="0.55000000000000004">
      <c r="B15" s="59"/>
      <c r="C15" s="51" t="s">
        <v>129</v>
      </c>
      <c r="D15" s="51">
        <f>Whol!K27</f>
        <v>108014.02818335294</v>
      </c>
      <c r="E15" s="51">
        <f>Whol!H27</f>
        <v>108014.02818335294</v>
      </c>
      <c r="F15" s="51"/>
      <c r="G15" s="51"/>
      <c r="H15" s="51"/>
      <c r="I15" s="60"/>
      <c r="K15" s="52">
        <f t="shared" si="0"/>
        <v>108014.02818335294</v>
      </c>
    </row>
    <row r="16" spans="2:11" x14ac:dyDescent="0.55000000000000004">
      <c r="B16" s="59"/>
      <c r="C16" s="51" t="s">
        <v>246</v>
      </c>
      <c r="D16" s="51">
        <f>Whol!K32</f>
        <v>343829.51223522652</v>
      </c>
      <c r="E16" s="51">
        <f>Whol!H29</f>
        <v>20281.063396050056</v>
      </c>
      <c r="F16" s="51">
        <f>Whol!H30</f>
        <v>252555.07892987551</v>
      </c>
      <c r="G16" s="51">
        <f>Whol!H31</f>
        <v>57366</v>
      </c>
      <c r="H16" s="51">
        <f>Whol!H32</f>
        <v>13627.369909300949</v>
      </c>
      <c r="I16" s="60"/>
      <c r="K16" s="52">
        <f t="shared" si="0"/>
        <v>343829.51223522652</v>
      </c>
    </row>
    <row r="17" spans="2:11" x14ac:dyDescent="0.55000000000000004">
      <c r="B17" s="59"/>
      <c r="C17" s="206" t="s">
        <v>556</v>
      </c>
      <c r="D17" s="51">
        <f>Whol!K34</f>
        <v>19523.336256626964</v>
      </c>
      <c r="E17" s="51"/>
      <c r="F17" s="51"/>
      <c r="G17" s="51"/>
      <c r="H17" s="51">
        <f>Whol!H34</f>
        <v>19523.336256626964</v>
      </c>
      <c r="I17" s="60"/>
      <c r="K17" s="52">
        <f t="shared" si="0"/>
        <v>19523.336256626964</v>
      </c>
    </row>
    <row r="18" spans="2:11" x14ac:dyDescent="0.55000000000000004">
      <c r="B18" s="59"/>
      <c r="C18" s="206" t="s">
        <v>557</v>
      </c>
      <c r="D18" s="51">
        <f>Whol!K39</f>
        <v>260527.68224953394</v>
      </c>
      <c r="E18" s="51">
        <f>Whol!H36</f>
        <v>88693.698229411966</v>
      </c>
      <c r="F18" s="51">
        <f>Whol!H37</f>
        <v>122218.04757104718</v>
      </c>
      <c r="G18" s="51">
        <f>Whol!H38</f>
        <v>11304</v>
      </c>
      <c r="H18" s="51">
        <f>Whol!H39</f>
        <v>38311.936449074783</v>
      </c>
      <c r="I18" s="60"/>
      <c r="K18" s="52">
        <f t="shared" si="0"/>
        <v>260527.68224953394</v>
      </c>
    </row>
    <row r="19" spans="2:11" x14ac:dyDescent="0.55000000000000004">
      <c r="B19" s="59"/>
      <c r="C19" s="206" t="s">
        <v>546</v>
      </c>
      <c r="D19" s="51">
        <f>Whol!K40</f>
        <v>23267.463050432976</v>
      </c>
      <c r="E19" s="51"/>
      <c r="F19" s="51">
        <f>D19</f>
        <v>23267.463050432976</v>
      </c>
      <c r="G19" s="51"/>
      <c r="H19" s="51"/>
      <c r="I19" s="60"/>
      <c r="K19" s="52">
        <f t="shared" si="0"/>
        <v>23267.463050432976</v>
      </c>
    </row>
    <row r="20" spans="2:11" x14ac:dyDescent="0.55000000000000004">
      <c r="B20" s="59"/>
      <c r="C20" s="51" t="s">
        <v>247</v>
      </c>
      <c r="D20" s="51">
        <f>Whol!K44</f>
        <v>226248.6077217742</v>
      </c>
      <c r="E20" s="51"/>
      <c r="F20" s="51">
        <f>Whol!H42</f>
        <v>173762.88789797242</v>
      </c>
      <c r="G20" s="51">
        <f>Whol!H43</f>
        <v>50113.391567930688</v>
      </c>
      <c r="H20" s="51">
        <f>Whol!H44</f>
        <v>2372.3282558710671</v>
      </c>
      <c r="I20" s="60"/>
      <c r="K20" s="52">
        <f t="shared" si="0"/>
        <v>226248.6077217742</v>
      </c>
    </row>
    <row r="21" spans="2:11" x14ac:dyDescent="0.55000000000000004">
      <c r="B21" s="59"/>
      <c r="C21" s="51" t="s">
        <v>130</v>
      </c>
      <c r="D21" s="51">
        <f>Whol!K51</f>
        <v>40898.327214797006</v>
      </c>
      <c r="E21" s="51">
        <f>Whol!H48</f>
        <v>8617.2506701596194</v>
      </c>
      <c r="F21" s="51">
        <f>Whol!H49</f>
        <v>14670.941090249684</v>
      </c>
      <c r="G21" s="51">
        <f>Whol!H50</f>
        <v>7271</v>
      </c>
      <c r="H21" s="51">
        <f>Whol!H51</f>
        <v>10339.135454387701</v>
      </c>
      <c r="I21" s="60"/>
      <c r="K21" s="52">
        <f t="shared" si="0"/>
        <v>40898.327214797006</v>
      </c>
    </row>
    <row r="22" spans="2:11" x14ac:dyDescent="0.55000000000000004">
      <c r="B22" s="59"/>
      <c r="C22" s="51" t="s">
        <v>559</v>
      </c>
      <c r="D22" s="51">
        <f>Whol!K52</f>
        <v>8593.1825324042566</v>
      </c>
      <c r="E22" s="51"/>
      <c r="F22" s="51"/>
      <c r="G22" s="51"/>
      <c r="H22" s="51">
        <f>Whol!H52</f>
        <v>8593.1825324042566</v>
      </c>
      <c r="I22" s="60"/>
      <c r="K22" s="52">
        <f t="shared" si="0"/>
        <v>8593.1825324042566</v>
      </c>
    </row>
    <row r="23" spans="2:11" x14ac:dyDescent="0.55000000000000004">
      <c r="B23" s="59"/>
      <c r="C23" s="51" t="s">
        <v>558</v>
      </c>
      <c r="D23" s="51">
        <f>Whol!K53</f>
        <v>18762</v>
      </c>
      <c r="E23" s="51"/>
      <c r="F23" s="51"/>
      <c r="G23" s="51">
        <f>Whol!H53</f>
        <v>18762</v>
      </c>
      <c r="H23" s="51"/>
      <c r="I23" s="60"/>
      <c r="K23" s="52">
        <f t="shared" si="0"/>
        <v>18762</v>
      </c>
    </row>
    <row r="24" spans="2:11" x14ac:dyDescent="0.55000000000000004">
      <c r="B24" s="59"/>
      <c r="C24" s="51" t="s">
        <v>273</v>
      </c>
      <c r="D24" s="51">
        <f>Whol!K56</f>
        <v>32984.566027881519</v>
      </c>
      <c r="E24" s="51"/>
      <c r="F24" s="51"/>
      <c r="G24" s="51">
        <f>Whol!H55</f>
        <v>7147</v>
      </c>
      <c r="H24" s="51">
        <f>Whol!H56</f>
        <v>25837.566027881523</v>
      </c>
      <c r="I24" s="60"/>
      <c r="K24" s="52">
        <f t="shared" si="0"/>
        <v>32984.566027881519</v>
      </c>
    </row>
    <row r="25" spans="2:11" x14ac:dyDescent="0.55000000000000004">
      <c r="B25" s="59"/>
      <c r="C25" s="51" t="s">
        <v>32</v>
      </c>
      <c r="D25" s="51">
        <f>Whol!K65</f>
        <v>908184.91533388477</v>
      </c>
      <c r="E25" s="51">
        <f>Whol!H63</f>
        <v>31351.054833154769</v>
      </c>
      <c r="F25" s="51">
        <f>Whol!H61+Whol!H62</f>
        <v>755966.08618996292</v>
      </c>
      <c r="G25" s="51">
        <f>Whol!H65</f>
        <v>111663.40497107751</v>
      </c>
      <c r="H25" s="51">
        <f>Whol!H64</f>
        <v>9204.3693396896069</v>
      </c>
      <c r="I25" s="60"/>
      <c r="K25" s="52">
        <f t="shared" si="0"/>
        <v>908184.91533388477</v>
      </c>
    </row>
    <row r="26" spans="2:11" ht="7" customHeight="1" x14ac:dyDescent="0.55000000000000004">
      <c r="B26" s="59"/>
      <c r="C26" s="51"/>
      <c r="D26" s="51"/>
      <c r="E26" s="51"/>
      <c r="F26" s="51"/>
      <c r="G26" s="51"/>
      <c r="H26" s="51"/>
      <c r="I26" s="60"/>
    </row>
    <row r="27" spans="2:11" x14ac:dyDescent="0.55000000000000004">
      <c r="B27" s="59"/>
      <c r="C27" s="51" t="s">
        <v>36</v>
      </c>
      <c r="D27" s="51">
        <f>SUM(D10:D26)</f>
        <v>3667279.9926174292</v>
      </c>
      <c r="E27" s="51">
        <f>SUM(E10:E26)</f>
        <v>406401.53025690204</v>
      </c>
      <c r="F27" s="51">
        <f>SUM(F10:F26)</f>
        <v>2028462.1295981265</v>
      </c>
      <c r="G27" s="51">
        <f>SUM(G10:G26)</f>
        <v>610924.24052713404</v>
      </c>
      <c r="H27" s="51">
        <f>SUM(H10:H26)</f>
        <v>621492.09223526693</v>
      </c>
      <c r="I27" s="60"/>
      <c r="K27" s="52">
        <f>SUM(K10:K26)</f>
        <v>3667279.9926174292</v>
      </c>
    </row>
    <row r="28" spans="2:11" ht="17.100000000000001" x14ac:dyDescent="0.85">
      <c r="B28" s="59"/>
      <c r="C28" s="51" t="s">
        <v>274</v>
      </c>
      <c r="D28" s="271">
        <f>H27</f>
        <v>621492.09223526693</v>
      </c>
      <c r="E28" s="51"/>
      <c r="F28" s="51"/>
      <c r="G28" s="51"/>
      <c r="H28" s="51"/>
      <c r="I28" s="60"/>
      <c r="K28" s="52">
        <f>SUM(E27:H27)</f>
        <v>3667279.9926174292</v>
      </c>
    </row>
    <row r="29" spans="2:11" x14ac:dyDescent="0.55000000000000004">
      <c r="B29" s="59"/>
      <c r="C29" s="51" t="s">
        <v>275</v>
      </c>
      <c r="D29" s="51">
        <f>+D27-D28</f>
        <v>3045787.9003821621</v>
      </c>
      <c r="E29" s="51"/>
      <c r="F29" s="51"/>
      <c r="G29" s="51"/>
      <c r="H29" s="51"/>
      <c r="I29" s="60"/>
    </row>
    <row r="30" spans="2:11" ht="7" customHeight="1" x14ac:dyDescent="0.55000000000000004">
      <c r="B30" s="59"/>
      <c r="C30" s="51"/>
      <c r="D30" s="51"/>
      <c r="E30" s="51"/>
      <c r="F30" s="51"/>
      <c r="G30" s="51"/>
      <c r="H30" s="51"/>
      <c r="I30" s="60"/>
    </row>
    <row r="31" spans="2:11" x14ac:dyDescent="0.55000000000000004">
      <c r="B31" s="59"/>
      <c r="C31" s="51" t="s">
        <v>276</v>
      </c>
      <c r="D31" s="235">
        <f>SUM(E31:G31)</f>
        <v>1</v>
      </c>
      <c r="E31" s="235">
        <f>E27/$D$29</f>
        <v>0.13343067329340624</v>
      </c>
      <c r="F31" s="235">
        <f t="shared" ref="F31:G31" si="1">F27/$D$29</f>
        <v>0.6659892927355876</v>
      </c>
      <c r="G31" s="235">
        <f t="shared" si="1"/>
        <v>0.20058003397100629</v>
      </c>
      <c r="H31" s="51"/>
      <c r="I31" s="60"/>
    </row>
    <row r="32" spans="2:11" ht="7" customHeight="1" x14ac:dyDescent="0.55000000000000004">
      <c r="B32" s="59"/>
      <c r="C32" s="51"/>
      <c r="D32" s="51"/>
      <c r="E32" s="51"/>
      <c r="F32" s="51"/>
      <c r="G32" s="51"/>
      <c r="H32" s="51"/>
      <c r="I32" s="60"/>
    </row>
    <row r="33" spans="2:9" x14ac:dyDescent="0.55000000000000004">
      <c r="B33" s="59"/>
      <c r="C33" s="51" t="s">
        <v>277</v>
      </c>
      <c r="D33" s="51">
        <f>SUM(E33:G33)</f>
        <v>621492.09223526705</v>
      </c>
      <c r="E33" s="51">
        <f>E31*$H$27</f>
        <v>82926.108313479403</v>
      </c>
      <c r="F33" s="51">
        <f t="shared" ref="F33:G33" si="2">F31*$H$27</f>
        <v>413907.078948526</v>
      </c>
      <c r="G33" s="51">
        <f t="shared" si="2"/>
        <v>124658.90497326161</v>
      </c>
      <c r="H33" s="51"/>
      <c r="I33" s="60"/>
    </row>
    <row r="34" spans="2:9" ht="7" customHeight="1" x14ac:dyDescent="0.55000000000000004">
      <c r="B34" s="59"/>
      <c r="C34" s="51"/>
      <c r="D34" s="51"/>
      <c r="E34" s="51"/>
      <c r="F34" s="51"/>
      <c r="G34" s="51"/>
      <c r="H34" s="51"/>
      <c r="I34" s="60"/>
    </row>
    <row r="35" spans="2:9" x14ac:dyDescent="0.55000000000000004">
      <c r="B35" s="59"/>
      <c r="C35" s="157" t="s">
        <v>278</v>
      </c>
      <c r="D35" s="157">
        <f>D33+D29</f>
        <v>3667279.9926174292</v>
      </c>
      <c r="E35" s="157">
        <f>E33+E27</f>
        <v>489327.63857038144</v>
      </c>
      <c r="F35" s="157">
        <f t="shared" ref="F35:G35" si="3">F33+F27</f>
        <v>2442369.2085466525</v>
      </c>
      <c r="G35" s="157">
        <f t="shared" si="3"/>
        <v>735583.14550039568</v>
      </c>
      <c r="H35" s="51"/>
      <c r="I35" s="60"/>
    </row>
    <row r="36" spans="2:9" x14ac:dyDescent="0.55000000000000004">
      <c r="B36" s="61"/>
      <c r="C36" s="15"/>
      <c r="D36" s="15"/>
      <c r="E36" s="15"/>
      <c r="F36" s="15"/>
      <c r="G36" s="15"/>
      <c r="H36" s="15"/>
      <c r="I36" s="62"/>
    </row>
  </sheetData>
  <mergeCells count="3">
    <mergeCell ref="C3:H3"/>
    <mergeCell ref="C4:H4"/>
    <mergeCell ref="C5:H5"/>
  </mergeCells>
  <printOptions horizontalCentered="1"/>
  <pageMargins left="0.45" right="0.45" top="1.2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75D-7259-44E7-B43A-3662FCD88845}">
  <sheetPr>
    <pageSetUpPr fitToPage="1"/>
  </sheetPr>
  <dimension ref="B2:K22"/>
  <sheetViews>
    <sheetView workbookViewId="0"/>
  </sheetViews>
  <sheetFormatPr defaultRowHeight="15.3" x14ac:dyDescent="0.55000000000000004"/>
  <cols>
    <col min="2" max="2" width="1.76953125" customWidth="1"/>
    <col min="3" max="3" width="31.08984375" customWidth="1"/>
    <col min="4" max="4" width="9" bestFit="1" customWidth="1"/>
    <col min="5" max="7" width="8.86328125"/>
    <col min="8" max="8" width="1.76953125" customWidth="1"/>
    <col min="9" max="9" width="2.81640625" customWidth="1"/>
    <col min="10" max="10" width="9.86328125" style="1" bestFit="1" customWidth="1"/>
  </cols>
  <sheetData>
    <row r="2" spans="2:10" x14ac:dyDescent="0.55000000000000004">
      <c r="B2" s="56"/>
      <c r="C2" s="57"/>
      <c r="D2" s="57"/>
      <c r="E2" s="57"/>
      <c r="F2" s="57"/>
      <c r="G2" s="57"/>
      <c r="H2" s="58"/>
    </row>
    <row r="3" spans="2:10" ht="18.3" x14ac:dyDescent="0.7">
      <c r="B3" s="59"/>
      <c r="C3" s="566" t="s">
        <v>587</v>
      </c>
      <c r="D3" s="566"/>
      <c r="E3" s="566"/>
      <c r="F3" s="566"/>
      <c r="G3" s="566"/>
      <c r="H3" s="238"/>
    </row>
    <row r="4" spans="2:10" ht="18.3" x14ac:dyDescent="0.7">
      <c r="B4" s="59"/>
      <c r="C4" s="580" t="s">
        <v>279</v>
      </c>
      <c r="D4" s="580"/>
      <c r="E4" s="580"/>
      <c r="F4" s="580"/>
      <c r="G4" s="580"/>
      <c r="H4" s="251"/>
    </row>
    <row r="5" spans="2:10" ht="18.3" x14ac:dyDescent="0.55000000000000004">
      <c r="B5" s="59"/>
      <c r="C5" s="575" t="s">
        <v>327</v>
      </c>
      <c r="D5" s="575"/>
      <c r="E5" s="575"/>
      <c r="F5" s="575"/>
      <c r="G5" s="575"/>
      <c r="H5" s="273"/>
    </row>
    <row r="6" spans="2:10" ht="18.3" x14ac:dyDescent="0.55000000000000004">
      <c r="B6" s="61"/>
      <c r="C6" s="476"/>
      <c r="D6" s="476"/>
      <c r="E6" s="476"/>
      <c r="F6" s="476"/>
      <c r="G6" s="476"/>
      <c r="H6" s="504"/>
    </row>
    <row r="7" spans="2:10" ht="18.3" x14ac:dyDescent="0.55000000000000004">
      <c r="B7" s="59"/>
      <c r="C7" s="272"/>
      <c r="D7" s="272"/>
      <c r="E7" s="272"/>
      <c r="F7" s="272"/>
      <c r="G7" s="272"/>
      <c r="H7" s="273"/>
    </row>
    <row r="8" spans="2:10" x14ac:dyDescent="0.55000000000000004">
      <c r="B8" s="59"/>
      <c r="C8" s="51"/>
      <c r="D8" s="270" t="s">
        <v>201</v>
      </c>
      <c r="E8" s="270"/>
      <c r="F8" s="270"/>
      <c r="G8" s="270"/>
      <c r="H8" s="274"/>
    </row>
    <row r="9" spans="2:10" x14ac:dyDescent="0.55000000000000004">
      <c r="B9" s="59"/>
      <c r="C9" s="51"/>
      <c r="D9" s="270" t="s">
        <v>202</v>
      </c>
      <c r="E9" s="270" t="s">
        <v>270</v>
      </c>
      <c r="F9" s="270" t="s">
        <v>271</v>
      </c>
      <c r="G9" s="270" t="s">
        <v>194</v>
      </c>
      <c r="H9" s="274"/>
    </row>
    <row r="10" spans="2:10" x14ac:dyDescent="0.55000000000000004">
      <c r="B10" s="59"/>
      <c r="C10" s="51"/>
      <c r="D10" s="270"/>
      <c r="E10" s="270"/>
      <c r="F10" s="270"/>
      <c r="G10" s="270"/>
      <c r="H10" s="274"/>
    </row>
    <row r="11" spans="2:10" x14ac:dyDescent="0.55000000000000004">
      <c r="B11" s="59"/>
      <c r="C11" s="51" t="s">
        <v>280</v>
      </c>
      <c r="D11" s="51">
        <f>AlocOM_R!D35</f>
        <v>3667279.9926174292</v>
      </c>
      <c r="E11" s="51">
        <f>AlocOM_R!E35</f>
        <v>489327.63857038144</v>
      </c>
      <c r="F11" s="51">
        <f>AlocOM_R!F35</f>
        <v>2442369.2085466525</v>
      </c>
      <c r="G11" s="51">
        <f>AlocOM_R!G35</f>
        <v>735583.14550039568</v>
      </c>
      <c r="H11" s="60"/>
      <c r="J11" s="52">
        <f>SUM(E11:G11)</f>
        <v>3667279.9926174292</v>
      </c>
    </row>
    <row r="12" spans="2:10" ht="17.100000000000001" x14ac:dyDescent="0.85">
      <c r="B12" s="59"/>
      <c r="C12" s="51" t="s">
        <v>251</v>
      </c>
      <c r="D12" s="271">
        <f>Whol!K71</f>
        <v>751485.23503546638</v>
      </c>
      <c r="E12" s="271">
        <f>Whol!H69+Whol!H70</f>
        <v>34166.990173594902</v>
      </c>
      <c r="F12" s="271">
        <f>Whol!H67+Whol!H68</f>
        <v>657791.31652568281</v>
      </c>
      <c r="G12" s="271">
        <f>Whol!H71</f>
        <v>59526.928336188706</v>
      </c>
      <c r="H12" s="275"/>
      <c r="J12" s="52">
        <f>SUM(E12:G12)</f>
        <v>751485.23503546638</v>
      </c>
    </row>
    <row r="13" spans="2:10" x14ac:dyDescent="0.55000000000000004">
      <c r="B13" s="59"/>
      <c r="C13" s="157" t="s">
        <v>281</v>
      </c>
      <c r="D13" s="51">
        <f>D12+D11</f>
        <v>4418765.2276528953</v>
      </c>
      <c r="E13" s="51">
        <f t="shared" ref="E13:G13" si="0">E12+E11</f>
        <v>523494.62874397635</v>
      </c>
      <c r="F13" s="51">
        <f t="shared" si="0"/>
        <v>3100160.5250723353</v>
      </c>
      <c r="G13" s="51">
        <f t="shared" si="0"/>
        <v>795110.07383658434</v>
      </c>
      <c r="H13" s="60"/>
      <c r="J13" s="52">
        <f>J11+J12</f>
        <v>4418765.2276528953</v>
      </c>
    </row>
    <row r="14" spans="2:10" x14ac:dyDescent="0.55000000000000004">
      <c r="B14" s="59"/>
      <c r="C14" s="157" t="s">
        <v>282</v>
      </c>
      <c r="D14" s="51"/>
      <c r="E14" s="51"/>
      <c r="F14" s="51"/>
      <c r="G14" s="51"/>
      <c r="H14" s="60"/>
    </row>
    <row r="15" spans="2:10" x14ac:dyDescent="0.55000000000000004">
      <c r="B15" s="59"/>
      <c r="C15" s="276" t="s">
        <v>562</v>
      </c>
      <c r="D15" s="51">
        <f>-SAO!I50</f>
        <v>12252</v>
      </c>
      <c r="E15" s="51">
        <f>-SAO!I50</f>
        <v>12252</v>
      </c>
      <c r="F15" s="51"/>
      <c r="G15" s="51"/>
      <c r="H15" s="60"/>
    </row>
    <row r="16" spans="2:10" x14ac:dyDescent="0.55000000000000004">
      <c r="B16" s="59"/>
      <c r="C16" s="276" t="s">
        <v>560</v>
      </c>
      <c r="D16" s="51">
        <f>-SAO!I49</f>
        <v>82823</v>
      </c>
      <c r="E16" s="51">
        <f>D16</f>
        <v>82823</v>
      </c>
      <c r="F16" s="51"/>
      <c r="G16" s="51"/>
      <c r="H16" s="60"/>
    </row>
    <row r="17" spans="2:11" x14ac:dyDescent="0.55000000000000004">
      <c r="B17" s="59"/>
      <c r="C17" s="276" t="s">
        <v>283</v>
      </c>
      <c r="D17" s="51">
        <f>SAO!I13</f>
        <v>83185</v>
      </c>
      <c r="E17" s="51"/>
      <c r="F17" s="51"/>
      <c r="G17" s="51">
        <f>D17</f>
        <v>83185</v>
      </c>
      <c r="H17" s="60"/>
    </row>
    <row r="18" spans="2:11" x14ac:dyDescent="0.55000000000000004">
      <c r="B18" s="59"/>
      <c r="C18" s="276" t="s">
        <v>563</v>
      </c>
      <c r="D18" s="51">
        <f>SAO!I14</f>
        <v>2932</v>
      </c>
      <c r="E18" s="51"/>
      <c r="F18" s="51"/>
      <c r="G18" s="51">
        <f>D18</f>
        <v>2932</v>
      </c>
      <c r="H18" s="60"/>
    </row>
    <row r="19" spans="2:11" ht="17.100000000000001" x14ac:dyDescent="0.85">
      <c r="B19" s="59"/>
      <c r="C19" s="51" t="s">
        <v>561</v>
      </c>
      <c r="D19" s="271">
        <f>SAO!F15</f>
        <v>22512</v>
      </c>
      <c r="E19" s="271">
        <f>D19</f>
        <v>22512</v>
      </c>
      <c r="F19" s="271">
        <v>0</v>
      </c>
      <c r="G19" s="271">
        <v>0</v>
      </c>
      <c r="H19" s="275"/>
      <c r="J19" s="52">
        <f>SUM(D15:D19)</f>
        <v>203704</v>
      </c>
      <c r="K19" s="538"/>
    </row>
    <row r="20" spans="2:11" x14ac:dyDescent="0.55000000000000004">
      <c r="B20" s="59"/>
      <c r="C20" s="51"/>
      <c r="D20" s="51"/>
      <c r="E20" s="51"/>
      <c r="F20" s="51">
        <v>0</v>
      </c>
      <c r="G20" s="51"/>
      <c r="H20" s="60"/>
    </row>
    <row r="21" spans="2:11" x14ac:dyDescent="0.55000000000000004">
      <c r="B21" s="59"/>
      <c r="C21" s="157" t="s">
        <v>284</v>
      </c>
      <c r="D21" s="51">
        <f>D13-SUM(D15:D20)</f>
        <v>4215061.2276528953</v>
      </c>
      <c r="E21" s="51">
        <f t="shared" ref="E21:G21" si="1">E13-SUM(E15:E20)</f>
        <v>405907.62874397635</v>
      </c>
      <c r="F21" s="51">
        <f t="shared" si="1"/>
        <v>3100160.5250723353</v>
      </c>
      <c r="G21" s="51">
        <f t="shared" si="1"/>
        <v>708993.07383658434</v>
      </c>
      <c r="H21" s="60"/>
      <c r="J21" s="52">
        <f>SUM(E21:G21)</f>
        <v>4215061.2276528962</v>
      </c>
    </row>
    <row r="22" spans="2:11" x14ac:dyDescent="0.55000000000000004">
      <c r="B22" s="61"/>
      <c r="C22" s="15"/>
      <c r="D22" s="15"/>
      <c r="E22" s="15"/>
      <c r="F22" s="15"/>
      <c r="G22" s="15"/>
      <c r="H22" s="62"/>
    </row>
  </sheetData>
  <mergeCells count="3">
    <mergeCell ref="C3:G3"/>
    <mergeCell ref="C4:G4"/>
    <mergeCell ref="C5:G5"/>
  </mergeCells>
  <printOptions horizontalCentered="1"/>
  <pageMargins left="0.45" right="0.45" top="1.2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384-9C2D-442E-8400-5CA78B010D32}">
  <sheetPr>
    <pageSetUpPr fitToPage="1"/>
  </sheetPr>
  <dimension ref="A1:L29"/>
  <sheetViews>
    <sheetView workbookViewId="0"/>
  </sheetViews>
  <sheetFormatPr defaultRowHeight="15" x14ac:dyDescent="0.5"/>
  <cols>
    <col min="2" max="2" width="1.31640625" customWidth="1"/>
    <col min="3" max="3" width="8.453125" customWidth="1"/>
    <col min="4" max="5" width="9.31640625" customWidth="1"/>
    <col min="6" max="6" width="10.6796875" customWidth="1"/>
    <col min="7" max="7" width="9.31640625" customWidth="1"/>
    <col min="8" max="8" width="10.40625" customWidth="1"/>
    <col min="9" max="9" width="8.6796875" customWidth="1"/>
    <col min="10" max="10" width="7.453125" customWidth="1"/>
    <col min="11" max="11" width="0.86328125" customWidth="1"/>
  </cols>
  <sheetData>
    <row r="1" spans="1:12" ht="15.3" x14ac:dyDescent="0.55000000000000004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2" ht="15.3" x14ac:dyDescent="0.55000000000000004">
      <c r="A2" s="298"/>
      <c r="B2" s="299"/>
      <c r="C2" s="300"/>
      <c r="D2" s="300"/>
      <c r="E2" s="300"/>
      <c r="F2" s="300"/>
      <c r="G2" s="300"/>
      <c r="H2" s="300"/>
      <c r="I2" s="300"/>
      <c r="J2" s="300"/>
      <c r="K2" s="301"/>
      <c r="L2" s="298"/>
    </row>
    <row r="3" spans="1:12" ht="18.3" x14ac:dyDescent="0.7">
      <c r="A3" s="298"/>
      <c r="B3" s="302"/>
      <c r="C3" s="566" t="s">
        <v>319</v>
      </c>
      <c r="D3" s="566"/>
      <c r="E3" s="566"/>
      <c r="F3" s="566"/>
      <c r="G3" s="566"/>
      <c r="H3" s="566"/>
      <c r="I3" s="566"/>
      <c r="J3" s="566"/>
      <c r="K3" s="238"/>
      <c r="L3" s="249"/>
    </row>
    <row r="4" spans="1:12" ht="18.3" x14ac:dyDescent="0.7">
      <c r="A4" s="298"/>
      <c r="B4" s="302"/>
      <c r="C4" s="580" t="s">
        <v>305</v>
      </c>
      <c r="D4" s="580"/>
      <c r="E4" s="580"/>
      <c r="F4" s="580"/>
      <c r="G4" s="580"/>
      <c r="H4" s="580"/>
      <c r="I4" s="580"/>
      <c r="J4" s="580"/>
      <c r="K4" s="251"/>
      <c r="L4" s="250"/>
    </row>
    <row r="5" spans="1:12" ht="15.6" x14ac:dyDescent="0.6">
      <c r="A5" s="298"/>
      <c r="B5" s="302"/>
      <c r="C5" s="575" t="s">
        <v>327</v>
      </c>
      <c r="D5" s="575"/>
      <c r="E5" s="575"/>
      <c r="F5" s="575"/>
      <c r="G5" s="575"/>
      <c r="H5" s="575"/>
      <c r="I5" s="575"/>
      <c r="J5" s="575"/>
      <c r="K5" s="303"/>
      <c r="L5" s="304"/>
    </row>
    <row r="6" spans="1:12" ht="8.1" customHeight="1" x14ac:dyDescent="0.6">
      <c r="A6" s="298"/>
      <c r="B6" s="318"/>
      <c r="C6" s="320"/>
      <c r="D6" s="320"/>
      <c r="E6" s="320"/>
      <c r="F6" s="320"/>
      <c r="G6" s="320"/>
      <c r="H6" s="320"/>
      <c r="I6" s="320"/>
      <c r="J6" s="320"/>
      <c r="K6" s="321"/>
      <c r="L6" s="304"/>
    </row>
    <row r="7" spans="1:12" ht="15.6" x14ac:dyDescent="0.6">
      <c r="A7" s="298"/>
      <c r="B7" s="302"/>
      <c r="C7" s="304"/>
      <c r="D7" s="304"/>
      <c r="E7" s="304"/>
      <c r="F7" s="304"/>
      <c r="G7" s="304"/>
      <c r="H7" s="304"/>
      <c r="I7" s="304"/>
      <c r="J7" s="304"/>
      <c r="K7" s="303"/>
      <c r="L7" s="304"/>
    </row>
    <row r="8" spans="1:12" ht="15.6" x14ac:dyDescent="0.6">
      <c r="A8" s="298"/>
      <c r="B8" s="302"/>
      <c r="C8" s="305" t="s">
        <v>306</v>
      </c>
      <c r="D8" s="306"/>
      <c r="E8" s="306"/>
      <c r="F8" s="289"/>
      <c r="G8" s="289"/>
      <c r="H8" s="289"/>
      <c r="I8" s="289"/>
      <c r="J8" s="289"/>
      <c r="K8" s="290"/>
      <c r="L8" s="298"/>
    </row>
    <row r="9" spans="1:12" ht="17.100000000000001" x14ac:dyDescent="0.85">
      <c r="A9" s="298"/>
      <c r="B9" s="302"/>
      <c r="C9" s="291" t="s">
        <v>302</v>
      </c>
      <c r="D9" s="291" t="s">
        <v>303</v>
      </c>
      <c r="E9" s="291" t="s">
        <v>75</v>
      </c>
      <c r="F9" s="291" t="s">
        <v>75</v>
      </c>
      <c r="G9" s="291" t="s">
        <v>75</v>
      </c>
      <c r="H9" s="582" t="s">
        <v>307</v>
      </c>
      <c r="I9" s="582"/>
      <c r="J9" s="582"/>
      <c r="K9" s="307"/>
      <c r="L9" s="308"/>
    </row>
    <row r="10" spans="1:12" ht="17.100000000000001" x14ac:dyDescent="0.85">
      <c r="A10" s="298"/>
      <c r="B10" s="302"/>
      <c r="C10" s="292" t="s">
        <v>153</v>
      </c>
      <c r="D10" s="292" t="s">
        <v>308</v>
      </c>
      <c r="E10" s="292" t="s">
        <v>309</v>
      </c>
      <c r="F10" s="292" t="s">
        <v>310</v>
      </c>
      <c r="G10" s="292" t="s">
        <v>311</v>
      </c>
      <c r="H10" s="309" t="s">
        <v>565</v>
      </c>
      <c r="I10" s="309" t="s">
        <v>569</v>
      </c>
      <c r="J10" s="322" t="s">
        <v>567</v>
      </c>
      <c r="K10" s="310"/>
      <c r="L10" s="311"/>
    </row>
    <row r="11" spans="1:12" ht="15.3" x14ac:dyDescent="0.55000000000000004">
      <c r="A11" s="298"/>
      <c r="B11" s="302"/>
      <c r="C11" s="312" t="s">
        <v>299</v>
      </c>
      <c r="D11" s="289">
        <f>ExBA!C18</f>
        <v>30191</v>
      </c>
      <c r="E11" s="289">
        <f>D11*2000</f>
        <v>60382000</v>
      </c>
      <c r="F11" s="289">
        <f>ExBA!D18</f>
        <v>28449100</v>
      </c>
      <c r="G11" s="289">
        <f>E11-F11</f>
        <v>31932900</v>
      </c>
      <c r="H11" s="289">
        <f>G11</f>
        <v>31932900</v>
      </c>
      <c r="I11" s="289"/>
      <c r="J11" s="289"/>
      <c r="K11" s="290"/>
      <c r="L11" s="298"/>
    </row>
    <row r="12" spans="1:12" ht="15.3" x14ac:dyDescent="0.55000000000000004">
      <c r="A12" s="298"/>
      <c r="B12" s="302"/>
      <c r="C12" s="313" t="s">
        <v>300</v>
      </c>
      <c r="D12" s="289">
        <f>Usage!D12</f>
        <v>381</v>
      </c>
      <c r="E12" s="289">
        <f>D12*5000</f>
        <v>1905000</v>
      </c>
      <c r="F12" s="289">
        <f>Usage!E12</f>
        <v>235500</v>
      </c>
      <c r="G12" s="289">
        <f t="shared" ref="G12:G15" si="0">E12-F12</f>
        <v>1669500</v>
      </c>
      <c r="H12" s="289">
        <f>G12</f>
        <v>1669500</v>
      </c>
      <c r="I12" s="289"/>
      <c r="J12" s="289"/>
      <c r="K12" s="290"/>
      <c r="L12" s="298"/>
    </row>
    <row r="13" spans="1:12" ht="15.3" x14ac:dyDescent="0.55000000000000004">
      <c r="A13" s="298"/>
      <c r="B13" s="302"/>
      <c r="C13" s="313"/>
      <c r="D13" s="289">
        <f>Usage!D13</f>
        <v>312</v>
      </c>
      <c r="E13" s="289">
        <f>D13*5000</f>
        <v>1560000</v>
      </c>
      <c r="F13" s="289">
        <f>Usage!E13</f>
        <v>1147300</v>
      </c>
      <c r="G13" s="289">
        <f t="shared" ref="G13" si="1">E13-F13</f>
        <v>412700</v>
      </c>
      <c r="H13" s="508"/>
      <c r="I13" s="289">
        <f>G13</f>
        <v>412700</v>
      </c>
      <c r="J13" s="289"/>
      <c r="K13" s="290"/>
      <c r="L13" s="298"/>
    </row>
    <row r="14" spans="1:12" ht="15.3" x14ac:dyDescent="0.55000000000000004">
      <c r="A14" s="298"/>
      <c r="B14" s="302"/>
      <c r="C14" s="313" t="s">
        <v>301</v>
      </c>
      <c r="D14" s="289">
        <f>Usage!F16</f>
        <v>74</v>
      </c>
      <c r="E14" s="289">
        <f>D14*15000</f>
        <v>1110000</v>
      </c>
      <c r="F14" s="289">
        <f>Usage!G16</f>
        <v>14200</v>
      </c>
      <c r="G14" s="289">
        <f t="shared" si="0"/>
        <v>1095800</v>
      </c>
      <c r="H14" s="289">
        <f>G14</f>
        <v>1095800</v>
      </c>
      <c r="I14" s="289"/>
      <c r="J14" s="289"/>
      <c r="K14" s="290"/>
      <c r="L14" s="298"/>
    </row>
    <row r="15" spans="1:12" ht="15.3" x14ac:dyDescent="0.55000000000000004">
      <c r="A15" s="298"/>
      <c r="B15" s="302"/>
      <c r="C15" s="313"/>
      <c r="D15" s="289">
        <f>Usage!F17</f>
        <v>38</v>
      </c>
      <c r="E15" s="289">
        <f t="shared" ref="E15:E16" si="2">D15*15000</f>
        <v>570000</v>
      </c>
      <c r="F15" s="289">
        <f>Usage!G17</f>
        <v>200200</v>
      </c>
      <c r="G15" s="289">
        <f t="shared" si="0"/>
        <v>369800</v>
      </c>
      <c r="H15" s="289"/>
      <c r="I15" s="289">
        <f>G15</f>
        <v>369800</v>
      </c>
      <c r="J15" s="289"/>
      <c r="K15" s="290"/>
      <c r="L15" s="298"/>
    </row>
    <row r="16" spans="1:12" ht="17.100000000000001" x14ac:dyDescent="0.85">
      <c r="A16" s="298"/>
      <c r="B16" s="302"/>
      <c r="C16" s="313"/>
      <c r="D16" s="293">
        <f>Usage!F18</f>
        <v>21</v>
      </c>
      <c r="E16" s="293">
        <f t="shared" si="2"/>
        <v>315000</v>
      </c>
      <c r="F16" s="293">
        <f>Usage!G18</f>
        <v>302800</v>
      </c>
      <c r="G16" s="293">
        <f t="shared" ref="G16" si="3">E16-F16</f>
        <v>12200</v>
      </c>
      <c r="H16" s="293">
        <v>0</v>
      </c>
      <c r="I16" s="293">
        <v>0</v>
      </c>
      <c r="J16" s="293">
        <f>G16</f>
        <v>12200</v>
      </c>
      <c r="K16" s="290"/>
      <c r="L16" s="298"/>
    </row>
    <row r="17" spans="1:12" ht="15.3" x14ac:dyDescent="0.55000000000000004">
      <c r="A17" s="298"/>
      <c r="B17" s="302"/>
      <c r="C17" s="314" t="s">
        <v>36</v>
      </c>
      <c r="D17" s="289">
        <f>SUM(D11:D16)</f>
        <v>31017</v>
      </c>
      <c r="E17" s="289">
        <f t="shared" ref="E17:G17" si="4">SUM(E11:E16)</f>
        <v>65842000</v>
      </c>
      <c r="F17" s="289">
        <f t="shared" si="4"/>
        <v>30349100</v>
      </c>
      <c r="G17" s="289">
        <f t="shared" si="4"/>
        <v>35492900</v>
      </c>
      <c r="H17" s="289">
        <f>SUM(H11:H16)</f>
        <v>34698200</v>
      </c>
      <c r="I17" s="289">
        <f t="shared" ref="I17:J17" si="5">SUM(I11:I16)</f>
        <v>782500</v>
      </c>
      <c r="J17" s="289">
        <f t="shared" si="5"/>
        <v>12200</v>
      </c>
      <c r="K17" s="290"/>
      <c r="L17" s="298"/>
    </row>
    <row r="18" spans="1:12" ht="15.3" x14ac:dyDescent="0.55000000000000004">
      <c r="A18" s="298"/>
      <c r="B18" s="302"/>
      <c r="C18" s="314"/>
      <c r="D18" s="289"/>
      <c r="E18" s="289"/>
      <c r="F18" s="289"/>
      <c r="G18" s="289"/>
      <c r="H18" s="289"/>
      <c r="I18" s="289"/>
      <c r="J18" s="289"/>
      <c r="K18" s="290"/>
      <c r="L18" s="298"/>
    </row>
    <row r="19" spans="1:12" ht="15.3" x14ac:dyDescent="0.55000000000000004">
      <c r="A19" s="298"/>
      <c r="B19" s="302"/>
      <c r="C19" s="289"/>
      <c r="D19" s="289"/>
      <c r="E19" s="289"/>
      <c r="F19" s="289"/>
      <c r="G19" s="289"/>
      <c r="H19" s="289"/>
      <c r="I19" s="289"/>
      <c r="K19" s="290"/>
      <c r="L19" s="298"/>
    </row>
    <row r="20" spans="1:12" ht="15.6" x14ac:dyDescent="0.6">
      <c r="A20" s="298"/>
      <c r="B20" s="302"/>
      <c r="E20" s="315" t="s">
        <v>312</v>
      </c>
      <c r="F20" s="316"/>
      <c r="G20" s="289"/>
      <c r="H20" s="289"/>
      <c r="I20" s="289"/>
      <c r="J20" s="289"/>
      <c r="K20" s="290"/>
      <c r="L20" s="298"/>
    </row>
    <row r="21" spans="1:12" ht="15.3" x14ac:dyDescent="0.55000000000000004">
      <c r="A21" s="298"/>
      <c r="B21" s="302"/>
      <c r="E21" s="291" t="s">
        <v>265</v>
      </c>
      <c r="F21" s="291" t="s">
        <v>313</v>
      </c>
      <c r="G21" s="291" t="s">
        <v>5</v>
      </c>
      <c r="H21" s="291" t="s">
        <v>314</v>
      </c>
      <c r="I21" s="289"/>
      <c r="J21" s="289"/>
      <c r="K21" s="290"/>
      <c r="L21" s="298"/>
    </row>
    <row r="22" spans="1:12" ht="17.100000000000001" x14ac:dyDescent="0.85">
      <c r="A22" s="298"/>
      <c r="B22" s="302"/>
      <c r="E22" s="292" t="s">
        <v>315</v>
      </c>
      <c r="F22" s="292" t="s">
        <v>316</v>
      </c>
      <c r="G22" s="292" t="s">
        <v>317</v>
      </c>
      <c r="H22" s="292" t="s">
        <v>316</v>
      </c>
      <c r="I22" s="289"/>
      <c r="J22" s="289"/>
      <c r="K22" s="290"/>
      <c r="L22" s="298"/>
    </row>
    <row r="23" spans="1:12" ht="15.3" x14ac:dyDescent="0.55000000000000004">
      <c r="A23" s="298"/>
      <c r="B23" s="302"/>
      <c r="E23" s="317" t="s">
        <v>573</v>
      </c>
      <c r="F23" s="289">
        <f>Usage!S16</f>
        <v>144531600</v>
      </c>
      <c r="G23" s="289">
        <f>H17</f>
        <v>34698200</v>
      </c>
      <c r="H23" s="289">
        <f>F23+G23</f>
        <v>179229800</v>
      </c>
      <c r="I23" s="289"/>
      <c r="J23" s="289"/>
      <c r="K23" s="290"/>
      <c r="L23" s="298"/>
    </row>
    <row r="24" spans="1:12" ht="15.3" x14ac:dyDescent="0.55000000000000004">
      <c r="A24" s="298"/>
      <c r="B24" s="302"/>
      <c r="E24" s="317" t="s">
        <v>572</v>
      </c>
      <c r="F24" s="289">
        <f>Usage!T16</f>
        <v>186101900</v>
      </c>
      <c r="G24" s="289">
        <f>I17</f>
        <v>782500</v>
      </c>
      <c r="H24" s="289">
        <f>F24+G24</f>
        <v>186884400</v>
      </c>
      <c r="I24" s="289"/>
      <c r="J24" s="289"/>
      <c r="K24" s="290"/>
      <c r="L24" s="298"/>
    </row>
    <row r="25" spans="1:12" ht="15.3" x14ac:dyDescent="0.55000000000000004">
      <c r="A25" s="298"/>
      <c r="B25" s="302"/>
      <c r="E25" s="317" t="s">
        <v>567</v>
      </c>
      <c r="F25" s="289">
        <f>Usage!U16</f>
        <v>61563500</v>
      </c>
      <c r="G25" s="289">
        <f>J17</f>
        <v>12200</v>
      </c>
      <c r="H25" s="289">
        <f>F25+G25</f>
        <v>61575700</v>
      </c>
      <c r="I25" s="289"/>
      <c r="J25" s="289"/>
      <c r="K25" s="290"/>
      <c r="L25" s="298"/>
    </row>
    <row r="26" spans="1:12" ht="17.100000000000001" x14ac:dyDescent="0.85">
      <c r="A26" s="298"/>
      <c r="B26" s="302"/>
      <c r="E26" s="317" t="s">
        <v>574</v>
      </c>
      <c r="F26" s="293">
        <f>Usage!V16</f>
        <v>66355500</v>
      </c>
      <c r="G26" s="293">
        <v>0</v>
      </c>
      <c r="H26" s="293">
        <f>F26+G26</f>
        <v>66355500</v>
      </c>
      <c r="I26" s="289"/>
      <c r="J26" s="289"/>
      <c r="K26" s="290"/>
      <c r="L26" s="298"/>
    </row>
    <row r="27" spans="1:12" ht="15.3" x14ac:dyDescent="0.55000000000000004">
      <c r="A27" s="298"/>
      <c r="B27" s="302"/>
      <c r="E27" s="288" t="s">
        <v>36</v>
      </c>
      <c r="F27" s="289">
        <f>SUM(F23:F26)</f>
        <v>458552500</v>
      </c>
      <c r="G27" s="289">
        <f>SUM(G23:G26)</f>
        <v>35492900</v>
      </c>
      <c r="H27" s="289">
        <f>SUM(H23:H26)</f>
        <v>494045400</v>
      </c>
      <c r="I27" s="289"/>
      <c r="J27" s="289"/>
      <c r="K27" s="290"/>
      <c r="L27" s="298"/>
    </row>
    <row r="28" spans="1:12" ht="15.3" x14ac:dyDescent="0.55000000000000004">
      <c r="A28" s="298"/>
      <c r="B28" s="318"/>
      <c r="C28" s="316"/>
      <c r="D28" s="316"/>
      <c r="E28" s="316"/>
      <c r="F28" s="316"/>
      <c r="G28" s="316"/>
      <c r="H28" s="316"/>
      <c r="I28" s="316"/>
      <c r="J28" s="316"/>
      <c r="K28" s="319"/>
      <c r="L28" s="298"/>
    </row>
    <row r="29" spans="1:12" ht="15.3" x14ac:dyDescent="0.55000000000000004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</row>
  </sheetData>
  <mergeCells count="4">
    <mergeCell ref="C3:J3"/>
    <mergeCell ref="C4:J4"/>
    <mergeCell ref="C5:J5"/>
    <mergeCell ref="H9:J9"/>
  </mergeCells>
  <printOptions horizontalCentered="1"/>
  <pageMargins left="0.7" right="0.45" top="1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FAF7-035C-4167-87E7-E7C5753BD75D}">
  <sheetPr>
    <pageSetUpPr fitToPage="1"/>
  </sheetPr>
  <dimension ref="A2:R37"/>
  <sheetViews>
    <sheetView workbookViewId="0"/>
  </sheetViews>
  <sheetFormatPr defaultRowHeight="15" x14ac:dyDescent="0.5"/>
  <cols>
    <col min="2" max="2" width="1.76953125" customWidth="1"/>
    <col min="3" max="3" width="21.453125" customWidth="1"/>
    <col min="4" max="4" width="12.08984375" customWidth="1"/>
    <col min="5" max="6" width="12" customWidth="1"/>
    <col min="7" max="8" width="10.76953125" customWidth="1"/>
    <col min="9" max="9" width="1.76953125" customWidth="1"/>
    <col min="11" max="11" width="11.2265625" customWidth="1"/>
    <col min="12" max="12" width="9.76953125" bestFit="1" customWidth="1"/>
    <col min="13" max="13" width="10.76953125" customWidth="1"/>
    <col min="14" max="14" width="9" bestFit="1" customWidth="1"/>
    <col min="15" max="15" width="14" customWidth="1"/>
  </cols>
  <sheetData>
    <row r="2" spans="1:18" ht="15.3" x14ac:dyDescent="0.55000000000000004">
      <c r="A2" s="13"/>
      <c r="B2" s="56"/>
      <c r="C2" s="57"/>
      <c r="D2" s="57"/>
      <c r="E2" s="57"/>
      <c r="F2" s="57"/>
      <c r="G2" s="57"/>
      <c r="H2" s="57"/>
      <c r="I2" s="58"/>
      <c r="J2" s="13"/>
      <c r="K2" s="13"/>
      <c r="L2" s="13"/>
      <c r="M2" s="13"/>
      <c r="N2" s="13"/>
      <c r="O2" s="13"/>
    </row>
    <row r="3" spans="1:18" ht="18.3" x14ac:dyDescent="0.7">
      <c r="A3" s="13"/>
      <c r="B3" s="59"/>
      <c r="C3" s="566" t="s">
        <v>320</v>
      </c>
      <c r="D3" s="566"/>
      <c r="E3" s="566"/>
      <c r="F3" s="566"/>
      <c r="G3" s="566"/>
      <c r="H3" s="566"/>
      <c r="I3" s="238"/>
      <c r="J3" s="13"/>
      <c r="K3" s="13"/>
      <c r="L3" s="13"/>
      <c r="M3" s="13"/>
      <c r="N3" s="13"/>
      <c r="O3" s="13"/>
    </row>
    <row r="4" spans="1:18" ht="18.3" x14ac:dyDescent="0.7">
      <c r="A4" s="13"/>
      <c r="B4" s="59"/>
      <c r="C4" s="580" t="s">
        <v>285</v>
      </c>
      <c r="D4" s="580"/>
      <c r="E4" s="580"/>
      <c r="F4" s="580"/>
      <c r="G4" s="580"/>
      <c r="H4" s="580"/>
      <c r="I4" s="251"/>
      <c r="J4" s="13"/>
      <c r="K4" s="13"/>
      <c r="L4" s="13"/>
      <c r="M4" s="13"/>
      <c r="N4" s="13"/>
      <c r="O4" s="13"/>
    </row>
    <row r="5" spans="1:18" ht="15.6" x14ac:dyDescent="0.55000000000000004">
      <c r="A5" s="13"/>
      <c r="B5" s="59"/>
      <c r="C5" s="575" t="s">
        <v>327</v>
      </c>
      <c r="D5" s="575"/>
      <c r="E5" s="575"/>
      <c r="F5" s="575"/>
      <c r="G5" s="575"/>
      <c r="H5" s="575"/>
      <c r="I5" s="507"/>
      <c r="J5" s="506"/>
      <c r="M5" s="13"/>
      <c r="N5" s="13"/>
      <c r="O5" s="13"/>
    </row>
    <row r="6" spans="1:18" ht="15.6" x14ac:dyDescent="0.55000000000000004">
      <c r="A6" s="13"/>
      <c r="B6" s="61"/>
      <c r="C6" s="233"/>
      <c r="D6" s="233"/>
      <c r="E6" s="233"/>
      <c r="F6" s="233"/>
      <c r="G6" s="233"/>
      <c r="H6" s="233"/>
      <c r="I6" s="295"/>
      <c r="J6" s="294"/>
      <c r="M6" s="13"/>
      <c r="N6" s="13"/>
      <c r="O6" s="13"/>
    </row>
    <row r="7" spans="1:18" ht="18.3" x14ac:dyDescent="0.55000000000000004">
      <c r="A7" s="13"/>
      <c r="B7" s="59"/>
      <c r="C7" s="272"/>
      <c r="D7" s="272"/>
      <c r="E7" s="272"/>
      <c r="F7" s="272"/>
      <c r="G7" s="272"/>
      <c r="H7" s="272"/>
      <c r="I7" s="273"/>
      <c r="J7" s="13"/>
      <c r="K7" s="13"/>
      <c r="L7" s="13"/>
      <c r="M7" s="13"/>
      <c r="N7" s="13"/>
      <c r="O7" s="13"/>
    </row>
    <row r="8" spans="1:18" ht="15.3" x14ac:dyDescent="0.55000000000000004">
      <c r="A8" s="13"/>
      <c r="B8" s="59"/>
      <c r="C8" s="51"/>
      <c r="D8" s="278"/>
      <c r="E8" s="278" t="s">
        <v>68</v>
      </c>
      <c r="F8" s="278" t="s">
        <v>69</v>
      </c>
      <c r="G8" s="278" t="s">
        <v>69</v>
      </c>
      <c r="H8" s="278" t="s">
        <v>70</v>
      </c>
      <c r="I8" s="148"/>
      <c r="J8" s="13"/>
      <c r="K8" s="13"/>
      <c r="L8" s="13"/>
      <c r="M8" s="13"/>
      <c r="N8" s="84"/>
      <c r="O8" s="84"/>
    </row>
    <row r="9" spans="1:18" ht="17.100000000000001" x14ac:dyDescent="0.85">
      <c r="A9" s="13"/>
      <c r="B9" s="59"/>
      <c r="C9" s="51"/>
      <c r="D9" s="252" t="s">
        <v>201</v>
      </c>
      <c r="E9" s="279" t="s">
        <v>575</v>
      </c>
      <c r="F9" s="279" t="s">
        <v>577</v>
      </c>
      <c r="G9" s="279" t="s">
        <v>576</v>
      </c>
      <c r="H9" s="279" t="s">
        <v>578</v>
      </c>
      <c r="I9" s="280"/>
      <c r="J9" s="13"/>
      <c r="K9" s="13"/>
      <c r="L9" s="13"/>
      <c r="M9" s="13"/>
      <c r="N9" s="13"/>
      <c r="O9" s="13"/>
    </row>
    <row r="10" spans="1:18" ht="17.100000000000001" x14ac:dyDescent="0.85">
      <c r="A10" s="13"/>
      <c r="B10" s="59"/>
      <c r="C10" s="51" t="s">
        <v>318</v>
      </c>
      <c r="D10" s="51">
        <f>Units!H27</f>
        <v>494045400</v>
      </c>
      <c r="E10" s="51">
        <f>Units!H23</f>
        <v>179229800</v>
      </c>
      <c r="F10" s="51">
        <f>Units!H24</f>
        <v>186884400</v>
      </c>
      <c r="G10" s="51">
        <f>Units!H25</f>
        <v>61575700</v>
      </c>
      <c r="H10" s="51">
        <f>Units!H26</f>
        <v>66355500</v>
      </c>
      <c r="I10" s="60"/>
      <c r="J10" s="13"/>
      <c r="K10" s="13">
        <f>SUM(E10:H10)</f>
        <v>494045400</v>
      </c>
      <c r="L10" s="267"/>
      <c r="M10" s="267"/>
      <c r="N10" s="267"/>
      <c r="O10" s="267"/>
    </row>
    <row r="11" spans="1:18" ht="15.3" x14ac:dyDescent="0.55000000000000004">
      <c r="A11" s="13"/>
      <c r="B11" s="59"/>
      <c r="C11" s="51" t="s">
        <v>286</v>
      </c>
      <c r="D11" s="235">
        <f>SUM(E11:H11)</f>
        <v>1</v>
      </c>
      <c r="E11" s="235">
        <f>E10/$D$10</f>
        <v>0.36278001981194441</v>
      </c>
      <c r="F11" s="235">
        <f>F10/$D$10</f>
        <v>0.37827373759577559</v>
      </c>
      <c r="G11" s="235">
        <f>G10/$D$10</f>
        <v>0.12463571161678663</v>
      </c>
      <c r="H11" s="235">
        <f>H10/$D$10</f>
        <v>0.13431053097549334</v>
      </c>
      <c r="I11" s="236"/>
      <c r="J11" s="13"/>
      <c r="K11" s="281"/>
      <c r="L11" s="13"/>
      <c r="M11" s="13"/>
      <c r="N11" s="13"/>
      <c r="O11" s="13"/>
    </row>
    <row r="12" spans="1:18" ht="8.1" customHeight="1" x14ac:dyDescent="0.55000000000000004">
      <c r="A12" s="13"/>
      <c r="B12" s="59"/>
      <c r="C12" s="51"/>
      <c r="D12" s="51"/>
      <c r="E12" s="51"/>
      <c r="F12" s="51"/>
      <c r="G12" s="51"/>
      <c r="H12" s="51"/>
      <c r="I12" s="60"/>
      <c r="J12" s="13"/>
      <c r="K12" s="13"/>
      <c r="L12" s="13"/>
      <c r="M12" s="13"/>
      <c r="N12" s="13"/>
      <c r="O12" s="13"/>
    </row>
    <row r="13" spans="1:18" ht="15.3" x14ac:dyDescent="0.55000000000000004">
      <c r="A13" s="13"/>
      <c r="B13" s="59"/>
      <c r="C13" s="51" t="s">
        <v>287</v>
      </c>
      <c r="D13" s="51"/>
      <c r="E13" s="207">
        <v>2</v>
      </c>
      <c r="F13" s="207">
        <v>1.5</v>
      </c>
      <c r="G13" s="207">
        <v>1.25</v>
      </c>
      <c r="H13" s="207">
        <v>1</v>
      </c>
      <c r="I13" s="282"/>
      <c r="J13" s="13"/>
      <c r="K13" s="13"/>
      <c r="L13" s="13"/>
      <c r="M13" s="207"/>
      <c r="N13" s="207"/>
      <c r="O13" s="207"/>
      <c r="P13" s="1"/>
      <c r="Q13" s="1"/>
      <c r="R13" s="1"/>
    </row>
    <row r="14" spans="1:18" ht="15.3" x14ac:dyDescent="0.55000000000000004">
      <c r="A14" s="13"/>
      <c r="B14" s="59"/>
      <c r="C14" s="51" t="s">
        <v>288</v>
      </c>
      <c r="D14" s="51">
        <f>SUM(E14:H14)</f>
        <v>782111325</v>
      </c>
      <c r="E14" s="51">
        <f>E13*E10</f>
        <v>358459600</v>
      </c>
      <c r="F14" s="51">
        <f>F13*F10</f>
        <v>280326600</v>
      </c>
      <c r="G14" s="51">
        <f>G13*G10</f>
        <v>76969625</v>
      </c>
      <c r="H14" s="51">
        <f>H13*H10</f>
        <v>66355500</v>
      </c>
      <c r="I14" s="60"/>
      <c r="J14" s="13"/>
      <c r="K14" s="13"/>
      <c r="L14" s="13"/>
      <c r="M14" s="13"/>
      <c r="N14" s="13"/>
      <c r="O14" s="13"/>
      <c r="P14" s="1"/>
      <c r="Q14" s="1"/>
      <c r="R14" s="1"/>
    </row>
    <row r="15" spans="1:18" ht="15.3" x14ac:dyDescent="0.55000000000000004">
      <c r="A15" s="13"/>
      <c r="B15" s="59"/>
      <c r="C15" s="51" t="s">
        <v>289</v>
      </c>
      <c r="D15" s="235">
        <f>SUM(E15:H15)</f>
        <v>1</v>
      </c>
      <c r="E15" s="235">
        <f>E14/$D$14</f>
        <v>0.45832298873820809</v>
      </c>
      <c r="F15" s="235">
        <f>F14/$D$14</f>
        <v>0.35842288819945167</v>
      </c>
      <c r="G15" s="235">
        <f>G14/$D$14</f>
        <v>9.841262047957175E-2</v>
      </c>
      <c r="H15" s="235">
        <f>H14/$D$14</f>
        <v>8.4841502582768513E-2</v>
      </c>
      <c r="I15" s="236"/>
      <c r="J15" s="13"/>
      <c r="K15" s="13"/>
      <c r="L15" s="13"/>
      <c r="M15" s="207"/>
      <c r="N15" s="207"/>
      <c r="O15" s="207"/>
      <c r="P15" s="1"/>
      <c r="Q15" s="1"/>
      <c r="R15" s="1"/>
    </row>
    <row r="16" spans="1:18" ht="8.1" customHeight="1" x14ac:dyDescent="0.55000000000000004">
      <c r="A16" s="13"/>
      <c r="B16" s="59"/>
      <c r="C16" s="51"/>
      <c r="D16" s="51"/>
      <c r="E16" s="51"/>
      <c r="F16" s="51"/>
      <c r="G16" s="51"/>
      <c r="H16" s="51"/>
      <c r="I16" s="60"/>
      <c r="J16" s="13"/>
      <c r="K16" s="13"/>
      <c r="L16" s="13"/>
      <c r="M16" s="13"/>
      <c r="N16" s="13"/>
      <c r="O16" s="13"/>
      <c r="P16" s="1"/>
      <c r="Q16" s="1"/>
      <c r="R16" s="1"/>
    </row>
    <row r="17" spans="1:18" ht="15.3" x14ac:dyDescent="0.55000000000000004">
      <c r="A17" s="13"/>
      <c r="B17" s="59"/>
      <c r="C17" s="51" t="s">
        <v>290</v>
      </c>
      <c r="D17" s="51">
        <f>AlocSum!E21</f>
        <v>405907.62874397635</v>
      </c>
      <c r="E17" s="51">
        <f>$D17*E11</f>
        <v>147255.17759755912</v>
      </c>
      <c r="F17" s="51">
        <f>$D17*F11</f>
        <v>153544.19584362241</v>
      </c>
      <c r="G17" s="51">
        <f>$D17*G11</f>
        <v>50590.586159187929</v>
      </c>
      <c r="H17" s="51">
        <f>$D17*H11</f>
        <v>54517.669143606887</v>
      </c>
      <c r="I17" s="60"/>
      <c r="J17" s="13">
        <f>SUM(E17:H17)</f>
        <v>405907.62874397635</v>
      </c>
      <c r="K17" s="13"/>
      <c r="L17" s="13"/>
      <c r="M17" s="13"/>
      <c r="N17" s="13"/>
      <c r="O17" s="13"/>
      <c r="P17" s="1"/>
      <c r="Q17" s="1"/>
      <c r="R17" s="1"/>
    </row>
    <row r="18" spans="1:18" ht="17.100000000000001" x14ac:dyDescent="0.85">
      <c r="A18" s="13"/>
      <c r="B18" s="59"/>
      <c r="C18" s="51" t="s">
        <v>291</v>
      </c>
      <c r="D18" s="271">
        <f>AlocSum!F21</f>
        <v>3100160.5250723353</v>
      </c>
      <c r="E18" s="271">
        <f>$D18*E15</f>
        <v>1420874.8374193653</v>
      </c>
      <c r="F18" s="271">
        <f>$D18*F15</f>
        <v>1111168.4892783549</v>
      </c>
      <c r="G18" s="271">
        <f>$D18*G15</f>
        <v>305094.9211796936</v>
      </c>
      <c r="H18" s="271">
        <f>$D18*H15</f>
        <v>263022.27719492151</v>
      </c>
      <c r="I18" s="60"/>
      <c r="J18" s="13">
        <f>SUM(E18:H18)</f>
        <v>3100160.5250723353</v>
      </c>
      <c r="L18" s="1"/>
      <c r="M18" s="1"/>
      <c r="N18" s="1"/>
      <c r="O18" s="1"/>
      <c r="P18" s="1"/>
      <c r="Q18" s="1"/>
      <c r="R18" s="1"/>
    </row>
    <row r="19" spans="1:18" ht="15.3" x14ac:dyDescent="0.55000000000000004">
      <c r="A19" s="13"/>
      <c r="B19" s="59"/>
      <c r="C19" s="51" t="s">
        <v>292</v>
      </c>
      <c r="D19" s="51">
        <f>SUM(D17:D18)</f>
        <v>3506068.1538163116</v>
      </c>
      <c r="E19" s="51">
        <f>SUM(E17:E18)</f>
        <v>1568130.0150169244</v>
      </c>
      <c r="F19" s="51">
        <f>SUM(F17:F18)</f>
        <v>1264712.6851219772</v>
      </c>
      <c r="G19" s="51">
        <f>SUM(G17:G18)</f>
        <v>355685.50733888155</v>
      </c>
      <c r="H19" s="51">
        <f>SUM(H17:H18)</f>
        <v>317539.94633852842</v>
      </c>
      <c r="I19" s="60"/>
      <c r="J19" s="13">
        <f>SUM(E19:H19)</f>
        <v>3506068.1538163112</v>
      </c>
      <c r="L19" s="1"/>
      <c r="M19" s="348"/>
      <c r="N19" s="1"/>
      <c r="O19" s="1"/>
      <c r="P19" s="1"/>
      <c r="Q19" s="1"/>
      <c r="R19" s="1"/>
    </row>
    <row r="20" spans="1:18" ht="8.1" customHeight="1" x14ac:dyDescent="0.55000000000000004">
      <c r="A20" s="13"/>
      <c r="B20" s="59"/>
      <c r="C20" s="51"/>
      <c r="D20" s="51"/>
      <c r="E20" s="51"/>
      <c r="F20" s="51"/>
      <c r="G20" s="51"/>
      <c r="H20" s="51"/>
      <c r="I20" s="60"/>
      <c r="J20" s="13"/>
      <c r="L20" s="1"/>
      <c r="M20" s="1"/>
      <c r="N20" s="1"/>
      <c r="O20" s="1"/>
      <c r="P20" s="1"/>
      <c r="Q20" s="1"/>
      <c r="R20" s="1"/>
    </row>
    <row r="21" spans="1:18" ht="15.3" x14ac:dyDescent="0.55000000000000004">
      <c r="A21" s="13"/>
      <c r="B21" s="59"/>
      <c r="C21" s="51" t="s">
        <v>304</v>
      </c>
      <c r="D21" s="51"/>
      <c r="E21" s="51">
        <f>E10/1000</f>
        <v>179229.8</v>
      </c>
      <c r="F21" s="51">
        <f>F10/1000</f>
        <v>186884.4</v>
      </c>
      <c r="G21" s="51">
        <f>G10/1000</f>
        <v>61575.7</v>
      </c>
      <c r="H21" s="51">
        <f>H10/1000</f>
        <v>66355.5</v>
      </c>
      <c r="I21" s="60"/>
      <c r="J21" s="13">
        <f>SUM(E21:H21)</f>
        <v>494045.39999999997</v>
      </c>
      <c r="L21" s="1"/>
      <c r="M21" s="1"/>
      <c r="N21" s="1"/>
      <c r="O21" s="1"/>
      <c r="P21" s="1"/>
      <c r="Q21" s="1"/>
      <c r="R21" s="1"/>
    </row>
    <row r="22" spans="1:18" ht="8.1" customHeight="1" x14ac:dyDescent="0.55000000000000004">
      <c r="A22" s="13"/>
      <c r="B22" s="59"/>
      <c r="C22" s="51"/>
      <c r="D22" s="51"/>
      <c r="E22" s="51"/>
      <c r="F22" s="51"/>
      <c r="G22" s="51"/>
      <c r="H22" s="51"/>
      <c r="I22" s="60"/>
      <c r="J22" s="13"/>
      <c r="L22" s="1"/>
      <c r="M22" s="1"/>
      <c r="N22" s="1"/>
      <c r="O22" s="1"/>
      <c r="P22" s="1"/>
      <c r="Q22" s="1"/>
      <c r="R22" s="1"/>
    </row>
    <row r="23" spans="1:18" ht="15.6" x14ac:dyDescent="0.6">
      <c r="A23" s="13"/>
      <c r="B23" s="59"/>
      <c r="C23" s="296" t="s">
        <v>293</v>
      </c>
      <c r="D23" s="51"/>
      <c r="E23" s="283">
        <f>ROUND(E19/E21,2)</f>
        <v>8.75</v>
      </c>
      <c r="F23" s="283">
        <f>ROUND(F19/F21,2)</f>
        <v>6.77</v>
      </c>
      <c r="G23" s="283">
        <f>ROUND(G19/G21,2)</f>
        <v>5.78</v>
      </c>
      <c r="H23" s="283">
        <f>ROUND(H19/H21,2)</f>
        <v>4.79</v>
      </c>
      <c r="I23" s="284"/>
      <c r="J23" s="13"/>
      <c r="L23" s="1"/>
      <c r="M23" s="1"/>
      <c r="N23" s="1"/>
      <c r="O23" s="1"/>
      <c r="P23" s="1"/>
      <c r="Q23" s="1"/>
      <c r="R23" s="1"/>
    </row>
    <row r="24" spans="1:18" ht="8.1" customHeight="1" x14ac:dyDescent="0.6">
      <c r="A24" s="13"/>
      <c r="B24" s="59"/>
      <c r="C24" s="297"/>
      <c r="D24" s="51"/>
      <c r="E24" s="283"/>
      <c r="F24" s="283"/>
      <c r="G24" s="283"/>
      <c r="H24" s="283"/>
      <c r="I24" s="284"/>
      <c r="J24" s="13"/>
      <c r="L24" s="1"/>
      <c r="M24" s="1"/>
      <c r="N24" s="1"/>
      <c r="O24" s="1"/>
      <c r="P24" s="1"/>
      <c r="Q24" s="1"/>
      <c r="R24" s="1"/>
    </row>
    <row r="25" spans="1:18" ht="15.6" x14ac:dyDescent="0.6">
      <c r="A25" s="13"/>
      <c r="B25" s="59"/>
      <c r="C25" s="323" t="s">
        <v>294</v>
      </c>
      <c r="D25" s="324"/>
      <c r="E25" s="325">
        <f>E23+0.1</f>
        <v>8.85</v>
      </c>
      <c r="F25" s="325">
        <f>F23+0.23</f>
        <v>7</v>
      </c>
      <c r="G25" s="325">
        <f>G23+0.12</f>
        <v>5.9</v>
      </c>
      <c r="H25" s="326">
        <f>H23+0.16</f>
        <v>4.95</v>
      </c>
      <c r="I25" s="284"/>
      <c r="J25" s="13"/>
      <c r="L25" s="1"/>
      <c r="M25" s="1"/>
      <c r="N25" s="1"/>
      <c r="O25" s="1"/>
      <c r="P25" s="1"/>
      <c r="Q25" s="1"/>
      <c r="R25" s="1"/>
    </row>
    <row r="26" spans="1:18" ht="15.3" x14ac:dyDescent="0.55000000000000004">
      <c r="A26" s="13"/>
      <c r="B26" s="59"/>
      <c r="C26" s="51" t="s">
        <v>295</v>
      </c>
      <c r="D26" s="51"/>
      <c r="E26" s="207"/>
      <c r="F26" s="207"/>
      <c r="G26" s="207"/>
      <c r="H26" s="207"/>
      <c r="I26" s="282"/>
      <c r="J26" s="13"/>
      <c r="K26" s="13"/>
      <c r="L26" s="13"/>
      <c r="M26" s="13"/>
      <c r="N26" s="13"/>
      <c r="O26" s="13"/>
    </row>
    <row r="27" spans="1:18" ht="15.3" x14ac:dyDescent="0.55000000000000004">
      <c r="A27" s="13"/>
      <c r="B27" s="59"/>
      <c r="C27" s="51"/>
      <c r="D27" s="51"/>
      <c r="E27" s="207"/>
      <c r="F27" s="207"/>
      <c r="G27" s="207"/>
      <c r="H27" s="207"/>
      <c r="I27" s="282"/>
      <c r="J27" s="13"/>
      <c r="K27" s="13"/>
      <c r="L27" s="13"/>
      <c r="M27" s="13"/>
      <c r="N27" s="13"/>
      <c r="O27" s="13"/>
    </row>
    <row r="28" spans="1:18" ht="18.3" x14ac:dyDescent="0.55000000000000004">
      <c r="A28" s="13"/>
      <c r="B28" s="59"/>
      <c r="C28" s="583" t="s">
        <v>296</v>
      </c>
      <c r="D28" s="583"/>
      <c r="E28" s="157"/>
      <c r="F28" s="157"/>
      <c r="G28" s="285"/>
      <c r="H28" s="285"/>
      <c r="I28" s="282"/>
      <c r="J28" s="13"/>
      <c r="K28" s="13"/>
      <c r="L28" s="13"/>
      <c r="M28" s="13"/>
      <c r="N28" s="13"/>
      <c r="O28" s="13"/>
    </row>
    <row r="29" spans="1:18" ht="15.3" x14ac:dyDescent="0.55000000000000004">
      <c r="A29" s="13"/>
      <c r="B29" s="59"/>
      <c r="C29" s="1"/>
      <c r="D29" s="84" t="s">
        <v>194</v>
      </c>
      <c r="E29" s="84"/>
      <c r="F29" s="84"/>
      <c r="G29" s="285"/>
      <c r="H29" s="285"/>
      <c r="I29" s="282"/>
      <c r="J29" s="13"/>
      <c r="K29" s="13"/>
      <c r="L29" s="13"/>
      <c r="M29" s="13"/>
      <c r="N29" s="13"/>
      <c r="O29" s="13"/>
    </row>
    <row r="30" spans="1:18" ht="17.100000000000001" x14ac:dyDescent="0.85">
      <c r="A30" s="13"/>
      <c r="B30" s="59"/>
      <c r="C30" s="1"/>
      <c r="D30" s="267" t="s">
        <v>579</v>
      </c>
      <c r="E30" s="267"/>
      <c r="F30" s="267"/>
      <c r="G30" s="285"/>
      <c r="H30" s="285"/>
      <c r="I30" s="282"/>
      <c r="J30" s="13"/>
      <c r="K30" s="13"/>
      <c r="L30" s="13"/>
      <c r="M30" s="13"/>
      <c r="N30" s="13"/>
      <c r="O30" s="13"/>
    </row>
    <row r="31" spans="1:18" ht="15.3" x14ac:dyDescent="0.55000000000000004">
      <c r="A31" s="13"/>
      <c r="B31" s="59"/>
      <c r="C31" s="1" t="s">
        <v>297</v>
      </c>
      <c r="D31" s="51">
        <f>AlocSum!G21</f>
        <v>708993.07383658434</v>
      </c>
      <c r="E31" s="51"/>
      <c r="F31" s="51"/>
      <c r="G31" s="283"/>
      <c r="H31" s="283"/>
      <c r="I31" s="282"/>
      <c r="J31" s="13"/>
      <c r="K31" s="327">
        <f>D31+E31</f>
        <v>708993.07383658434</v>
      </c>
      <c r="L31" s="13"/>
      <c r="M31" s="13"/>
      <c r="N31" s="13"/>
      <c r="O31" s="13"/>
    </row>
    <row r="32" spans="1:18" ht="15.3" x14ac:dyDescent="0.55000000000000004">
      <c r="A32" s="13"/>
      <c r="B32" s="59"/>
      <c r="C32" s="1" t="s">
        <v>71</v>
      </c>
      <c r="D32" s="51">
        <f>ExBA!E9</f>
        <v>88563</v>
      </c>
      <c r="E32" s="51"/>
      <c r="F32" s="51"/>
      <c r="G32" s="283"/>
      <c r="H32" s="283"/>
      <c r="I32" s="282"/>
      <c r="J32" s="13"/>
      <c r="K32" s="329">
        <f>D19+D31+E31</f>
        <v>4215061.2276528962</v>
      </c>
      <c r="L32" s="17"/>
      <c r="M32" s="13"/>
      <c r="N32" s="13"/>
      <c r="O32" s="13"/>
    </row>
    <row r="33" spans="1:15" ht="15.3" x14ac:dyDescent="0.55000000000000004">
      <c r="A33" s="13"/>
      <c r="B33" s="59"/>
      <c r="C33" s="561" t="s">
        <v>298</v>
      </c>
      <c r="D33" s="562">
        <f>D31/D32-0.01</f>
        <v>7.9955223268925444</v>
      </c>
      <c r="E33" s="286"/>
      <c r="F33" s="286"/>
      <c r="G33" s="283"/>
      <c r="H33" s="283"/>
      <c r="I33" s="282"/>
      <c r="J33" s="13"/>
      <c r="K33" s="13"/>
      <c r="L33" s="17"/>
      <c r="M33" s="13"/>
      <c r="N33" s="13"/>
      <c r="O33" s="13"/>
    </row>
    <row r="34" spans="1:15" ht="15.3" x14ac:dyDescent="0.55000000000000004">
      <c r="A34" s="13"/>
      <c r="B34" s="61"/>
      <c r="C34" s="15"/>
      <c r="D34" s="15"/>
      <c r="E34" s="15"/>
      <c r="F34" s="15"/>
      <c r="G34" s="15"/>
      <c r="H34" s="15"/>
      <c r="I34" s="287"/>
      <c r="J34" s="13"/>
      <c r="K34" s="13"/>
      <c r="L34" s="13"/>
      <c r="M34" s="592"/>
      <c r="N34" s="13"/>
      <c r="O34" s="13"/>
    </row>
    <row r="35" spans="1:15" ht="15.3" x14ac:dyDescent="0.5500000000000000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3" x14ac:dyDescent="0.5500000000000000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3" x14ac:dyDescent="0.55000000000000004">
      <c r="A37" s="13"/>
      <c r="B37" s="13"/>
      <c r="C37" s="13"/>
      <c r="D37" s="13">
        <f>D19+D31</f>
        <v>4215061.2276528962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4">
    <mergeCell ref="C3:H3"/>
    <mergeCell ref="C4:H4"/>
    <mergeCell ref="C5:H5"/>
    <mergeCell ref="C28:D28"/>
  </mergeCells>
  <printOptions horizontalCentered="1"/>
  <pageMargins left="0.7" right="0.7" top="1.25" bottom="0.75" header="0.3" footer="0.3"/>
  <pageSetup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39"/>
  <sheetViews>
    <sheetView workbookViewId="0"/>
  </sheetViews>
  <sheetFormatPr defaultColWidth="8.86328125" defaultRowHeight="15.6" x14ac:dyDescent="0.6"/>
  <cols>
    <col min="1" max="1" width="9.6796875" style="23" customWidth="1"/>
    <col min="2" max="2" width="1.08984375" style="23" customWidth="1"/>
    <col min="3" max="3" width="3.76953125" style="23" bestFit="1" customWidth="1"/>
    <col min="4" max="4" width="7.2265625" style="23" customWidth="1"/>
    <col min="5" max="5" width="5.6796875" style="23" bestFit="1" customWidth="1"/>
    <col min="6" max="7" width="8.58984375" style="23" customWidth="1"/>
    <col min="8" max="8" width="13.26953125" style="23" customWidth="1"/>
    <col min="9" max="204" width="9.6796875" style="23" customWidth="1"/>
    <col min="205" max="16384" width="8.86328125" style="23"/>
  </cols>
  <sheetData>
    <row r="2" spans="2:21" x14ac:dyDescent="0.6">
      <c r="B2" s="35"/>
      <c r="C2" s="67"/>
      <c r="D2" s="67"/>
      <c r="E2" s="67"/>
      <c r="F2" s="67"/>
      <c r="G2" s="67"/>
      <c r="H2" s="68"/>
    </row>
    <row r="3" spans="2:21" ht="18.3" x14ac:dyDescent="0.7">
      <c r="B3" s="36"/>
      <c r="C3" s="584" t="s">
        <v>321</v>
      </c>
      <c r="D3" s="584"/>
      <c r="E3" s="584"/>
      <c r="F3" s="584"/>
      <c r="G3" s="584"/>
      <c r="H3" s="585"/>
    </row>
    <row r="4" spans="2:21" ht="18.3" x14ac:dyDescent="0.7">
      <c r="B4" s="36"/>
      <c r="C4" s="584" t="s">
        <v>77</v>
      </c>
      <c r="D4" s="584"/>
      <c r="E4" s="584"/>
      <c r="F4" s="584"/>
      <c r="G4" s="584"/>
      <c r="H4" s="585"/>
    </row>
    <row r="5" spans="2:21" ht="18.3" x14ac:dyDescent="0.6">
      <c r="B5" s="36"/>
      <c r="C5" s="575" t="s">
        <v>327</v>
      </c>
      <c r="D5" s="575"/>
      <c r="E5" s="575"/>
      <c r="F5" s="575"/>
      <c r="G5" s="575"/>
      <c r="H5" s="576"/>
      <c r="I5" s="99"/>
      <c r="J5" s="99"/>
      <c r="K5" s="99"/>
      <c r="L5" s="99"/>
      <c r="M5" s="99"/>
      <c r="N5" s="99"/>
      <c r="O5" s="99"/>
    </row>
    <row r="6" spans="2:21" x14ac:dyDescent="0.6">
      <c r="B6" s="36"/>
      <c r="C6" s="1"/>
      <c r="D6" s="1"/>
      <c r="E6" s="1"/>
      <c r="F6" s="1"/>
      <c r="G6" s="1"/>
      <c r="H6" s="69"/>
    </row>
    <row r="7" spans="2:21" x14ac:dyDescent="0.6">
      <c r="B7" s="35"/>
      <c r="C7" s="67"/>
      <c r="D7" s="67"/>
      <c r="E7" s="67"/>
      <c r="F7" s="528"/>
      <c r="G7" s="68"/>
      <c r="H7" s="68"/>
    </row>
    <row r="8" spans="2:21" x14ac:dyDescent="0.6">
      <c r="B8" s="36"/>
      <c r="C8" s="255"/>
      <c r="D8" s="255"/>
      <c r="E8" s="255"/>
      <c r="F8" s="529" t="s">
        <v>595</v>
      </c>
      <c r="G8" s="529" t="s">
        <v>120</v>
      </c>
      <c r="H8" s="526"/>
      <c r="J8" s="540" t="s">
        <v>602</v>
      </c>
      <c r="K8" s="138"/>
      <c r="L8" s="139"/>
      <c r="M8" s="139"/>
      <c r="N8" s="139"/>
      <c r="O8" s="139"/>
    </row>
    <row r="9" spans="2:21" ht="17.100000000000001" x14ac:dyDescent="0.85">
      <c r="B9" s="36"/>
      <c r="C9" s="1"/>
      <c r="D9" s="1"/>
      <c r="E9" s="1"/>
      <c r="F9" s="530" t="s">
        <v>596</v>
      </c>
      <c r="G9" s="530" t="s">
        <v>596</v>
      </c>
      <c r="H9" s="69"/>
      <c r="J9" s="541" t="s">
        <v>603</v>
      </c>
      <c r="K9" s="539"/>
      <c r="L9" s="351"/>
      <c r="M9" s="351" t="s">
        <v>266</v>
      </c>
      <c r="N9" s="351" t="s">
        <v>324</v>
      </c>
      <c r="O9" s="351" t="s">
        <v>120</v>
      </c>
      <c r="P9" s="351"/>
      <c r="Q9" s="351"/>
    </row>
    <row r="10" spans="2:21" ht="18.3" x14ac:dyDescent="1.05">
      <c r="B10" s="36"/>
      <c r="C10" s="8" t="s">
        <v>106</v>
      </c>
      <c r="D10" s="1"/>
      <c r="E10" s="1"/>
      <c r="F10" s="533"/>
      <c r="G10" s="242"/>
      <c r="H10" s="69"/>
      <c r="J10" s="539"/>
      <c r="K10" s="539"/>
      <c r="L10" s="352"/>
      <c r="M10" s="352" t="s">
        <v>265</v>
      </c>
      <c r="N10" s="352" t="s">
        <v>76</v>
      </c>
      <c r="O10" s="352" t="s">
        <v>76</v>
      </c>
      <c r="P10" s="352" t="s">
        <v>325</v>
      </c>
      <c r="Q10" s="352" t="s">
        <v>326</v>
      </c>
    </row>
    <row r="11" spans="2:21" x14ac:dyDescent="0.6">
      <c r="B11" s="36"/>
      <c r="C11" s="11" t="s">
        <v>68</v>
      </c>
      <c r="D11" s="70">
        <v>2000</v>
      </c>
      <c r="E11" s="1" t="s">
        <v>72</v>
      </c>
      <c r="F11" s="534">
        <v>22.1</v>
      </c>
      <c r="G11" s="531">
        <f>CalcRet!D33+2*CalcRet!E25</f>
        <v>25.695522326892544</v>
      </c>
      <c r="H11" s="69" t="s">
        <v>73</v>
      </c>
      <c r="J11" s="127">
        <f>(G11-F11)/F11</f>
        <v>0.16269331795893854</v>
      </c>
      <c r="K11" s="127"/>
      <c r="L11" s="349" t="s">
        <v>323</v>
      </c>
      <c r="M11" s="63">
        <v>4000</v>
      </c>
      <c r="N11" s="353">
        <f>F11+2*F12</f>
        <v>34</v>
      </c>
      <c r="O11" s="353">
        <f>G11+2*G12</f>
        <v>39.695522326892544</v>
      </c>
      <c r="P11" s="353">
        <f>O11-N11</f>
        <v>5.6955223268925437</v>
      </c>
      <c r="Q11" s="127">
        <f>P11/N11</f>
        <v>0.16751536255566304</v>
      </c>
    </row>
    <row r="12" spans="2:21" x14ac:dyDescent="0.6">
      <c r="B12" s="36"/>
      <c r="C12" s="11" t="s">
        <v>69</v>
      </c>
      <c r="D12" s="70">
        <v>8000</v>
      </c>
      <c r="E12" s="1" t="s">
        <v>72</v>
      </c>
      <c r="F12" s="535">
        <v>5.95</v>
      </c>
      <c r="G12" s="532">
        <f>CalcRet!F25</f>
        <v>7</v>
      </c>
      <c r="H12" s="69" t="s">
        <v>74</v>
      </c>
      <c r="K12" s="127"/>
      <c r="L12" s="23" t="s">
        <v>300</v>
      </c>
      <c r="M12" s="63">
        <v>20000</v>
      </c>
      <c r="N12" s="350">
        <f>F17+5*F18+10*F19</f>
        <v>118.2</v>
      </c>
      <c r="O12" s="350">
        <f>G17+5*G18+10*G19</f>
        <v>140.69552232689256</v>
      </c>
      <c r="P12" s="350">
        <f t="shared" ref="P12" si="0">O12-N12</f>
        <v>22.495522326892555</v>
      </c>
      <c r="Q12" s="127">
        <f t="shared" ref="Q12" si="1">P12/N12</f>
        <v>0.19031744777404869</v>
      </c>
    </row>
    <row r="13" spans="2:21" x14ac:dyDescent="0.6">
      <c r="B13" s="36"/>
      <c r="C13" s="11" t="s">
        <v>69</v>
      </c>
      <c r="D13" s="70">
        <v>20000</v>
      </c>
      <c r="E13" s="1" t="s">
        <v>72</v>
      </c>
      <c r="F13" s="535">
        <v>4.8499999999999996</v>
      </c>
      <c r="G13" s="532">
        <f>CalcRet!G25</f>
        <v>5.9</v>
      </c>
      <c r="H13" s="69" t="s">
        <v>74</v>
      </c>
      <c r="K13" s="127"/>
      <c r="L13" s="23" t="s">
        <v>301</v>
      </c>
      <c r="M13" s="63">
        <v>80000</v>
      </c>
      <c r="N13" s="350">
        <f>F28+15*F29+50*F30</f>
        <v>359.2</v>
      </c>
      <c r="O13" s="350">
        <f>G28+15*G29+50*G30</f>
        <v>447.19552232689256</v>
      </c>
      <c r="P13" s="350">
        <f>O13-N13</f>
        <v>87.995522326892569</v>
      </c>
      <c r="Q13" s="127">
        <f>P13/N13</f>
        <v>0.24497639846016864</v>
      </c>
    </row>
    <row r="14" spans="2:21" x14ac:dyDescent="0.6">
      <c r="B14" s="36"/>
      <c r="C14" s="11" t="s">
        <v>70</v>
      </c>
      <c r="D14" s="70">
        <v>30000</v>
      </c>
      <c r="E14" s="1" t="s">
        <v>72</v>
      </c>
      <c r="F14" s="535">
        <v>3.85</v>
      </c>
      <c r="G14" s="532">
        <f>CalcRet!H25</f>
        <v>4.95</v>
      </c>
      <c r="H14" s="69" t="s">
        <v>74</v>
      </c>
      <c r="K14" s="127"/>
    </row>
    <row r="15" spans="2:21" x14ac:dyDescent="0.6">
      <c r="B15" s="36"/>
      <c r="C15" s="70"/>
      <c r="D15" s="1"/>
      <c r="E15" s="1"/>
      <c r="F15" s="533"/>
      <c r="G15" s="69"/>
      <c r="H15" s="69"/>
      <c r="Q15" s="63"/>
      <c r="R15" s="513"/>
      <c r="S15" s="513"/>
      <c r="T15" s="513"/>
      <c r="U15" s="514"/>
    </row>
    <row r="16" spans="2:21" x14ac:dyDescent="0.6">
      <c r="B16" s="36"/>
      <c r="C16" s="8" t="s">
        <v>107</v>
      </c>
      <c r="D16" s="1"/>
      <c r="E16" s="1"/>
      <c r="F16" s="533"/>
      <c r="G16" s="69"/>
      <c r="H16" s="69"/>
    </row>
    <row r="17" spans="2:18" x14ac:dyDescent="0.6">
      <c r="B17" s="36"/>
      <c r="C17" s="11" t="s">
        <v>68</v>
      </c>
      <c r="D17" s="70">
        <v>5000</v>
      </c>
      <c r="E17" s="1" t="s">
        <v>72</v>
      </c>
      <c r="F17" s="534">
        <v>39.950000000000003</v>
      </c>
      <c r="G17" s="531">
        <f>G11+3*CalcRet!F25</f>
        <v>46.695522326892544</v>
      </c>
      <c r="H17" s="69" t="s">
        <v>73</v>
      </c>
      <c r="J17" s="127">
        <f>(G17-F17)/F17</f>
        <v>0.16884911957177823</v>
      </c>
      <c r="K17" s="127"/>
    </row>
    <row r="18" spans="2:18" x14ac:dyDescent="0.6">
      <c r="B18" s="36"/>
      <c r="C18" s="11" t="s">
        <v>69</v>
      </c>
      <c r="D18" s="70">
        <v>5000</v>
      </c>
      <c r="E18" s="1" t="s">
        <v>72</v>
      </c>
      <c r="F18" s="535">
        <v>5.95</v>
      </c>
      <c r="G18" s="532">
        <f>G12</f>
        <v>7</v>
      </c>
      <c r="H18" s="69" t="s">
        <v>74</v>
      </c>
      <c r="J18" s="127"/>
      <c r="K18" s="127"/>
    </row>
    <row r="19" spans="2:18" x14ac:dyDescent="0.6">
      <c r="B19" s="36"/>
      <c r="C19" s="11" t="s">
        <v>69</v>
      </c>
      <c r="D19" s="70">
        <v>20000</v>
      </c>
      <c r="E19" s="1" t="s">
        <v>72</v>
      </c>
      <c r="F19" s="535">
        <v>4.8499999999999996</v>
      </c>
      <c r="G19" s="532">
        <f t="shared" ref="G19:G20" si="2">G13</f>
        <v>5.9</v>
      </c>
      <c r="H19" s="69" t="s">
        <v>74</v>
      </c>
      <c r="J19" s="127"/>
      <c r="K19" s="127"/>
    </row>
    <row r="20" spans="2:18" x14ac:dyDescent="0.6">
      <c r="B20" s="36"/>
      <c r="C20" s="11" t="s">
        <v>70</v>
      </c>
      <c r="D20" s="70">
        <v>30000</v>
      </c>
      <c r="E20" s="1" t="s">
        <v>72</v>
      </c>
      <c r="F20" s="535">
        <v>3.85</v>
      </c>
      <c r="G20" s="532">
        <f t="shared" si="2"/>
        <v>4.95</v>
      </c>
      <c r="H20" s="69" t="s">
        <v>74</v>
      </c>
      <c r="J20" s="127"/>
      <c r="K20" s="127"/>
    </row>
    <row r="21" spans="2:18" x14ac:dyDescent="0.6">
      <c r="B21" s="36"/>
      <c r="C21" s="11"/>
      <c r="D21" s="70"/>
      <c r="E21" s="1"/>
      <c r="F21" s="535"/>
      <c r="G21" s="532"/>
      <c r="H21" s="69"/>
      <c r="J21" s="127"/>
      <c r="K21" s="127"/>
    </row>
    <row r="22" spans="2:18" x14ac:dyDescent="0.6">
      <c r="B22" s="36"/>
      <c r="C22" s="8" t="s">
        <v>124</v>
      </c>
      <c r="D22" s="1"/>
      <c r="E22" s="1"/>
      <c r="F22" s="533"/>
      <c r="G22" s="69"/>
      <c r="H22" s="69"/>
      <c r="J22" s="127"/>
      <c r="K22" s="127"/>
    </row>
    <row r="23" spans="2:18" x14ac:dyDescent="0.6">
      <c r="B23" s="36"/>
      <c r="C23" s="11" t="s">
        <v>68</v>
      </c>
      <c r="D23" s="70">
        <v>10000</v>
      </c>
      <c r="E23" s="1" t="s">
        <v>72</v>
      </c>
      <c r="F23" s="534">
        <v>69.7</v>
      </c>
      <c r="G23" s="531">
        <f>G17+5*CalcRet!F25</f>
        <v>81.695522326892544</v>
      </c>
      <c r="H23" s="69" t="s">
        <v>73</v>
      </c>
      <c r="J23" s="127">
        <f>(G23-F23)/F23</f>
        <v>0.17210218546474232</v>
      </c>
      <c r="K23" s="127"/>
    </row>
    <row r="24" spans="2:18" x14ac:dyDescent="0.6">
      <c r="B24" s="36"/>
      <c r="C24" s="11" t="s">
        <v>69</v>
      </c>
      <c r="D24" s="70">
        <v>20000</v>
      </c>
      <c r="E24" s="1" t="s">
        <v>72</v>
      </c>
      <c r="F24" s="535">
        <v>4.8499999999999996</v>
      </c>
      <c r="G24" s="532">
        <f>CalcRet!$G$25</f>
        <v>5.9</v>
      </c>
      <c r="H24" s="69" t="s">
        <v>74</v>
      </c>
      <c r="J24" s="127"/>
      <c r="K24" s="127"/>
    </row>
    <row r="25" spans="2:18" x14ac:dyDescent="0.6">
      <c r="B25" s="36"/>
      <c r="C25" s="11" t="s">
        <v>70</v>
      </c>
      <c r="D25" s="70">
        <v>30000</v>
      </c>
      <c r="E25" s="1" t="s">
        <v>72</v>
      </c>
      <c r="F25" s="535">
        <v>3.85</v>
      </c>
      <c r="G25" s="532">
        <f>$G$14</f>
        <v>4.95</v>
      </c>
      <c r="H25" s="69" t="s">
        <v>74</v>
      </c>
    </row>
    <row r="26" spans="2:18" x14ac:dyDescent="0.6">
      <c r="B26" s="36"/>
      <c r="C26" s="11"/>
      <c r="D26" s="70"/>
      <c r="E26" s="1"/>
      <c r="F26" s="535"/>
      <c r="G26" s="532"/>
      <c r="H26" s="69"/>
      <c r="J26" s="127"/>
      <c r="K26" s="127"/>
    </row>
    <row r="27" spans="2:18" x14ac:dyDescent="0.6">
      <c r="B27" s="36"/>
      <c r="C27" s="8" t="s">
        <v>108</v>
      </c>
      <c r="D27" s="1"/>
      <c r="E27" s="1"/>
      <c r="F27" s="533"/>
      <c r="G27" s="69"/>
      <c r="H27" s="69"/>
      <c r="J27" s="127"/>
      <c r="K27" s="127"/>
    </row>
    <row r="28" spans="2:18" x14ac:dyDescent="0.6">
      <c r="B28" s="36"/>
      <c r="C28" s="11" t="s">
        <v>68</v>
      </c>
      <c r="D28" s="70">
        <v>15000</v>
      </c>
      <c r="E28" s="1" t="s">
        <v>72</v>
      </c>
      <c r="F28" s="534">
        <v>93.95</v>
      </c>
      <c r="G28" s="531">
        <f>G23+5*CalcRet!G25</f>
        <v>111.19552232689254</v>
      </c>
      <c r="H28" s="69" t="s">
        <v>73</v>
      </c>
      <c r="J28" s="127">
        <f>(G28-F28)/F28</f>
        <v>0.18356064211700415</v>
      </c>
      <c r="K28" s="127"/>
    </row>
    <row r="29" spans="2:18" x14ac:dyDescent="0.6">
      <c r="B29" s="36"/>
      <c r="C29" s="11" t="s">
        <v>69</v>
      </c>
      <c r="D29" s="70">
        <v>15000</v>
      </c>
      <c r="E29" s="1" t="s">
        <v>72</v>
      </c>
      <c r="F29" s="535">
        <v>4.8499999999999996</v>
      </c>
      <c r="G29" s="531">
        <f>CalcRet!G25</f>
        <v>5.9</v>
      </c>
      <c r="H29" s="69" t="s">
        <v>74</v>
      </c>
      <c r="J29" s="127"/>
      <c r="K29" s="127"/>
    </row>
    <row r="30" spans="2:18" x14ac:dyDescent="0.6">
      <c r="B30" s="36"/>
      <c r="C30" s="11" t="s">
        <v>70</v>
      </c>
      <c r="D30" s="70">
        <v>30000</v>
      </c>
      <c r="E30" s="1" t="s">
        <v>72</v>
      </c>
      <c r="F30" s="535">
        <v>3.85</v>
      </c>
      <c r="G30" s="532">
        <f>CalcRet!H25</f>
        <v>4.95</v>
      </c>
      <c r="H30" s="69" t="s">
        <v>74</v>
      </c>
      <c r="J30" s="127"/>
      <c r="K30" s="127"/>
    </row>
    <row r="31" spans="2:18" x14ac:dyDescent="0.6">
      <c r="B31" s="36"/>
      <c r="C31" s="11"/>
      <c r="D31" s="70"/>
      <c r="E31" s="1"/>
      <c r="F31" s="535"/>
      <c r="G31" s="69"/>
      <c r="H31" s="69"/>
    </row>
    <row r="32" spans="2:18" x14ac:dyDescent="0.6">
      <c r="B32" s="36"/>
      <c r="C32" s="8" t="s">
        <v>140</v>
      </c>
      <c r="D32" s="70"/>
      <c r="E32" s="1"/>
      <c r="F32" s="535"/>
      <c r="G32" s="69"/>
      <c r="H32" s="69"/>
      <c r="L32" s="1"/>
      <c r="M32" s="1"/>
      <c r="N32" s="1"/>
      <c r="O32" s="1"/>
      <c r="P32" s="73"/>
      <c r="Q32" s="73"/>
      <c r="R32" s="73"/>
    </row>
    <row r="33" spans="2:18" x14ac:dyDescent="0.6">
      <c r="B33" s="36"/>
      <c r="C33" s="106" t="s">
        <v>143</v>
      </c>
      <c r="D33" s="70"/>
      <c r="E33" s="1"/>
      <c r="F33" s="534">
        <v>2.59</v>
      </c>
      <c r="G33" s="531">
        <f>Whol!G77</f>
        <v>3.03</v>
      </c>
      <c r="H33" s="69" t="s">
        <v>74</v>
      </c>
      <c r="J33" s="127">
        <f>(G33-F33)/F33</f>
        <v>0.16988416988416988</v>
      </c>
      <c r="K33" s="127"/>
      <c r="L33" s="28"/>
      <c r="M33" s="28"/>
      <c r="N33" s="28"/>
      <c r="O33" s="28"/>
      <c r="P33" s="74"/>
      <c r="Q33" s="74"/>
      <c r="R33" s="75"/>
    </row>
    <row r="34" spans="2:18" x14ac:dyDescent="0.6">
      <c r="B34" s="39"/>
      <c r="C34" s="71"/>
      <c r="D34" s="18"/>
      <c r="E34" s="18"/>
      <c r="F34" s="536"/>
      <c r="G34" s="72"/>
      <c r="H34" s="72"/>
      <c r="L34" s="28"/>
      <c r="M34" s="28"/>
      <c r="N34" s="28"/>
      <c r="O34" s="28"/>
      <c r="P34" s="112"/>
      <c r="Q34" s="112"/>
      <c r="R34" s="75"/>
    </row>
    <row r="35" spans="2:18" x14ac:dyDescent="0.6">
      <c r="C35" s="63"/>
      <c r="L35" s="28"/>
      <c r="M35" s="28"/>
      <c r="N35" s="28"/>
      <c r="O35" s="28"/>
      <c r="P35" s="112"/>
      <c r="Q35" s="112"/>
      <c r="R35" s="75"/>
    </row>
    <row r="36" spans="2:18" x14ac:dyDescent="0.6">
      <c r="C36" s="63"/>
      <c r="I36" s="63"/>
      <c r="J36" s="63"/>
      <c r="K36" s="63"/>
      <c r="L36" s="28"/>
      <c r="M36" s="28"/>
      <c r="N36" s="28"/>
      <c r="O36" s="28"/>
      <c r="P36" s="112"/>
      <c r="Q36" s="112"/>
      <c r="R36" s="75"/>
    </row>
    <row r="37" spans="2:18" x14ac:dyDescent="0.6">
      <c r="C37" s="63"/>
    </row>
    <row r="38" spans="2:18" x14ac:dyDescent="0.6">
      <c r="C38" s="63"/>
    </row>
    <row r="39" spans="2:18" x14ac:dyDescent="0.6">
      <c r="C39" s="63"/>
    </row>
  </sheetData>
  <mergeCells count="3">
    <mergeCell ref="C3:H3"/>
    <mergeCell ref="C4:H4"/>
    <mergeCell ref="C5:H5"/>
  </mergeCells>
  <printOptions horizontalCentered="1"/>
  <pageMargins left="0.8" right="0.55000000000000004" top="1.2" bottom="0.5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13F7-DAB9-4B2D-B3C2-584B1C1D9B84}">
  <dimension ref="A2:J22"/>
  <sheetViews>
    <sheetView workbookViewId="0"/>
  </sheetViews>
  <sheetFormatPr defaultRowHeight="15" x14ac:dyDescent="0.5"/>
  <cols>
    <col min="2" max="2" width="1.76953125" customWidth="1"/>
    <col min="3" max="3" width="10.31640625" customWidth="1"/>
    <col min="4" max="7" width="9.76953125" customWidth="1"/>
    <col min="8" max="8" width="1.76953125" customWidth="1"/>
  </cols>
  <sheetData>
    <row r="2" spans="1:10" ht="15.6" x14ac:dyDescent="0.6">
      <c r="A2" s="23"/>
      <c r="B2" s="23"/>
      <c r="C2" s="23"/>
      <c r="D2" s="23"/>
      <c r="E2" s="23"/>
      <c r="F2" s="23"/>
      <c r="G2" s="23"/>
      <c r="H2" s="23"/>
      <c r="I2" s="23"/>
    </row>
    <row r="3" spans="1:10" ht="15.6" x14ac:dyDescent="0.6">
      <c r="A3" s="23"/>
      <c r="B3" s="65"/>
      <c r="C3" s="542"/>
      <c r="D3" s="542"/>
      <c r="E3" s="542"/>
      <c r="F3" s="542"/>
      <c r="G3" s="542"/>
      <c r="H3" s="543"/>
      <c r="I3" s="23"/>
    </row>
    <row r="4" spans="1:10" ht="18.3" x14ac:dyDescent="0.7">
      <c r="A4" s="23"/>
      <c r="B4" s="64"/>
      <c r="C4" s="566" t="s">
        <v>612</v>
      </c>
      <c r="D4" s="566"/>
      <c r="E4" s="566"/>
      <c r="F4" s="566"/>
      <c r="G4" s="566"/>
      <c r="H4" s="238"/>
      <c r="I4" s="23"/>
    </row>
    <row r="5" spans="1:10" ht="18.3" x14ac:dyDescent="0.7">
      <c r="A5" s="23"/>
      <c r="B5" s="64"/>
      <c r="C5" s="584" t="s">
        <v>606</v>
      </c>
      <c r="D5" s="584"/>
      <c r="E5" s="584"/>
      <c r="F5" s="584"/>
      <c r="G5" s="584"/>
      <c r="H5" s="544"/>
      <c r="I5" s="23"/>
    </row>
    <row r="6" spans="1:10" ht="15.6" x14ac:dyDescent="0.6">
      <c r="A6" s="23"/>
      <c r="B6" s="64"/>
      <c r="C6" s="586" t="s">
        <v>327</v>
      </c>
      <c r="D6" s="586"/>
      <c r="E6" s="586"/>
      <c r="F6" s="586"/>
      <c r="G6" s="586"/>
      <c r="H6" s="544"/>
      <c r="I6" s="23"/>
    </row>
    <row r="7" spans="1:10" ht="15.6" x14ac:dyDescent="0.6">
      <c r="A7" s="23"/>
      <c r="B7" s="66"/>
      <c r="C7" s="545"/>
      <c r="D7" s="545"/>
      <c r="E7" s="545"/>
      <c r="F7" s="545"/>
      <c r="G7" s="545"/>
      <c r="H7" s="546"/>
      <c r="I7" s="23"/>
    </row>
    <row r="8" spans="1:10" ht="15.3" x14ac:dyDescent="0.55000000000000004">
      <c r="B8" s="56"/>
      <c r="C8" s="57"/>
      <c r="D8" s="56"/>
      <c r="E8" s="57"/>
      <c r="F8" s="57"/>
      <c r="G8" s="57"/>
      <c r="H8" s="58"/>
    </row>
    <row r="9" spans="1:10" ht="17.100000000000001" x14ac:dyDescent="0.85">
      <c r="B9" s="59"/>
      <c r="C9" s="252" t="s">
        <v>75</v>
      </c>
      <c r="D9" s="547" t="s">
        <v>607</v>
      </c>
      <c r="E9" s="252" t="s">
        <v>120</v>
      </c>
      <c r="F9" s="252"/>
      <c r="G9" s="252"/>
      <c r="H9" s="548"/>
    </row>
    <row r="10" spans="1:10" ht="17.100000000000001" x14ac:dyDescent="0.85">
      <c r="B10" s="59"/>
      <c r="C10" s="252" t="s">
        <v>608</v>
      </c>
      <c r="D10" s="547" t="s">
        <v>76</v>
      </c>
      <c r="E10" s="252" t="s">
        <v>76</v>
      </c>
      <c r="F10" s="252" t="s">
        <v>609</v>
      </c>
      <c r="G10" s="252" t="s">
        <v>610</v>
      </c>
      <c r="H10" s="548"/>
      <c r="I10" s="1"/>
      <c r="J10" s="1"/>
    </row>
    <row r="11" spans="1:10" ht="17.100000000000001" x14ac:dyDescent="0.85">
      <c r="B11" s="59"/>
      <c r="C11" s="252"/>
      <c r="D11" s="547"/>
      <c r="E11" s="252"/>
      <c r="F11" s="252"/>
      <c r="G11" s="252"/>
      <c r="H11" s="548"/>
      <c r="I11" s="1"/>
      <c r="J11" s="549"/>
    </row>
    <row r="12" spans="1:10" ht="15.3" x14ac:dyDescent="0.55000000000000004">
      <c r="B12" s="59"/>
      <c r="C12" s="51">
        <v>2000</v>
      </c>
      <c r="D12" s="550">
        <f>Rates!F11</f>
        <v>22.1</v>
      </c>
      <c r="E12" s="551">
        <f>Rates!G11</f>
        <v>25.695522326892544</v>
      </c>
      <c r="F12" s="551">
        <f t="shared" ref="F12:F18" si="0">E12-D12</f>
        <v>3.5955223268925423</v>
      </c>
      <c r="G12" s="235">
        <f t="shared" ref="G12:G18" si="1">F12/D12</f>
        <v>0.16269331795893854</v>
      </c>
      <c r="H12" s="552"/>
      <c r="I12" s="1"/>
      <c r="J12" s="553"/>
    </row>
    <row r="13" spans="1:10" ht="15.3" x14ac:dyDescent="0.55000000000000004">
      <c r="B13" s="59"/>
      <c r="C13" s="554">
        <v>4000</v>
      </c>
      <c r="D13" s="555">
        <f>D12+2*Rates!F12</f>
        <v>34</v>
      </c>
      <c r="E13" s="556">
        <f>E12+2*Rates!G12</f>
        <v>39.695522326892544</v>
      </c>
      <c r="F13" s="556">
        <f t="shared" si="0"/>
        <v>5.6955223268925437</v>
      </c>
      <c r="G13" s="557">
        <f t="shared" si="1"/>
        <v>0.16751536255566304</v>
      </c>
      <c r="H13" s="552"/>
      <c r="I13" s="1"/>
      <c r="J13" s="553"/>
    </row>
    <row r="14" spans="1:10" ht="15.3" x14ac:dyDescent="0.55000000000000004">
      <c r="B14" s="59"/>
      <c r="C14" s="51">
        <v>6000</v>
      </c>
      <c r="D14" s="558">
        <f>D13+2*Rates!F12</f>
        <v>45.9</v>
      </c>
      <c r="E14" s="207">
        <f>E13+2*Rates!G12</f>
        <v>53.695522326892544</v>
      </c>
      <c r="F14" s="207">
        <f t="shared" si="0"/>
        <v>7.7955223268925451</v>
      </c>
      <c r="G14" s="235">
        <f t="shared" si="1"/>
        <v>0.16983708773186373</v>
      </c>
      <c r="H14" s="552"/>
      <c r="I14" s="1"/>
      <c r="J14" s="553"/>
    </row>
    <row r="15" spans="1:10" ht="15.3" x14ac:dyDescent="0.55000000000000004">
      <c r="B15" s="59"/>
      <c r="C15" s="51">
        <v>10000</v>
      </c>
      <c r="D15" s="558">
        <f>D14+4*Rates!F12</f>
        <v>69.7</v>
      </c>
      <c r="E15" s="207">
        <f>E14+4*Rates!G12</f>
        <v>81.695522326892544</v>
      </c>
      <c r="F15" s="207">
        <f t="shared" si="0"/>
        <v>11.995522326892541</v>
      </c>
      <c r="G15" s="235">
        <f t="shared" si="1"/>
        <v>0.17210218546474232</v>
      </c>
      <c r="H15" s="552"/>
      <c r="I15" s="1"/>
      <c r="J15" s="553"/>
    </row>
    <row r="16" spans="1:10" ht="15.3" x14ac:dyDescent="0.55000000000000004">
      <c r="B16" s="59"/>
      <c r="C16" s="51">
        <v>30000</v>
      </c>
      <c r="D16" s="558">
        <f>D15+20*Rates!F13</f>
        <v>166.7</v>
      </c>
      <c r="E16" s="207">
        <f>E15+20*Rates!G13</f>
        <v>199.69552232689256</v>
      </c>
      <c r="F16" s="207">
        <f t="shared" si="0"/>
        <v>32.995522326892569</v>
      </c>
      <c r="G16" s="235">
        <f t="shared" si="1"/>
        <v>0.19793354725190504</v>
      </c>
      <c r="H16" s="552"/>
      <c r="I16" s="1"/>
      <c r="J16" s="553"/>
    </row>
    <row r="17" spans="2:10" ht="15.3" x14ac:dyDescent="0.55000000000000004">
      <c r="B17" s="59"/>
      <c r="C17" s="51">
        <v>60000</v>
      </c>
      <c r="D17" s="558">
        <f>D16+30*Rates!F14</f>
        <v>282.2</v>
      </c>
      <c r="E17" s="207">
        <f>E16+30*Rates!G14</f>
        <v>348.19552232689256</v>
      </c>
      <c r="F17" s="207">
        <f t="shared" si="0"/>
        <v>65.995522326892569</v>
      </c>
      <c r="G17" s="235">
        <f t="shared" si="1"/>
        <v>0.23386081618317708</v>
      </c>
      <c r="H17" s="552"/>
      <c r="I17" s="1"/>
      <c r="J17" s="553"/>
    </row>
    <row r="18" spans="2:10" ht="15.3" x14ac:dyDescent="0.55000000000000004">
      <c r="B18" s="59"/>
      <c r="C18" s="51">
        <v>100000</v>
      </c>
      <c r="D18" s="558">
        <f>D17+40*Rates!F14</f>
        <v>436.2</v>
      </c>
      <c r="E18" s="207">
        <f>E17+40*Rates!G14</f>
        <v>546.19552232689261</v>
      </c>
      <c r="F18" s="207">
        <f t="shared" si="0"/>
        <v>109.99552232689263</v>
      </c>
      <c r="G18" s="235">
        <f t="shared" si="1"/>
        <v>0.25216763486220228</v>
      </c>
      <c r="H18" s="552"/>
      <c r="I18" s="1"/>
      <c r="J18" s="553"/>
    </row>
    <row r="19" spans="2:10" ht="15.3" x14ac:dyDescent="0.55000000000000004">
      <c r="B19" s="61"/>
      <c r="C19" s="15"/>
      <c r="D19" s="559"/>
      <c r="E19" s="19"/>
      <c r="F19" s="19"/>
      <c r="G19" s="15"/>
      <c r="H19" s="62"/>
      <c r="I19" s="1"/>
      <c r="J19" s="1"/>
    </row>
    <row r="21" spans="2:10" ht="15.3" x14ac:dyDescent="0.55000000000000004">
      <c r="C21" s="560" t="s">
        <v>611</v>
      </c>
    </row>
    <row r="22" spans="2:10" ht="15.3" x14ac:dyDescent="0.55000000000000004">
      <c r="C22" s="560"/>
    </row>
  </sheetData>
  <mergeCells count="3">
    <mergeCell ref="C4:G4"/>
    <mergeCell ref="C5:G5"/>
    <mergeCell ref="C6:G6"/>
  </mergeCells>
  <printOptions horizontalCentered="1"/>
  <pageMargins left="0.7" right="0.7" top="1.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A0C2-735D-4E87-8CD0-CB46EDA521D8}">
  <dimension ref="A2:W19"/>
  <sheetViews>
    <sheetView workbookViewId="0"/>
  </sheetViews>
  <sheetFormatPr defaultColWidth="8.86328125" defaultRowHeight="14.4" x14ac:dyDescent="0.55000000000000004"/>
  <cols>
    <col min="1" max="2" width="8.86328125" style="3"/>
    <col min="3" max="3" width="11.31640625" style="3" customWidth="1"/>
    <col min="4" max="4" width="8.90625" style="3" bestFit="1" customWidth="1"/>
    <col min="5" max="5" width="10.58984375" style="3" bestFit="1" customWidth="1"/>
    <col min="6" max="6" width="8.86328125" style="3"/>
    <col min="7" max="7" width="9.31640625" style="3" bestFit="1" customWidth="1"/>
    <col min="8" max="8" width="8.86328125" style="3"/>
    <col min="9" max="9" width="10.31640625" style="3" customWidth="1"/>
    <col min="10" max="10" width="2.6796875" style="3" customWidth="1"/>
    <col min="11" max="11" width="9.31640625" style="3" customWidth="1"/>
    <col min="12" max="12" width="8.31640625" style="3" customWidth="1"/>
    <col min="13" max="13" width="6.86328125" style="3" customWidth="1"/>
    <col min="14" max="14" width="11.54296875" style="3" customWidth="1"/>
    <col min="15" max="15" width="6.2265625" style="3" customWidth="1"/>
    <col min="16" max="16" width="8.76953125" style="3" customWidth="1"/>
    <col min="17" max="17" width="8.86328125" style="3"/>
    <col min="18" max="18" width="10.6796875" style="3" customWidth="1"/>
    <col min="19" max="19" width="11.81640625" style="3" customWidth="1"/>
    <col min="20" max="20" width="10.1796875" style="3" bestFit="1" customWidth="1"/>
    <col min="21" max="21" width="10.54296875" style="3" customWidth="1"/>
    <col min="22" max="22" width="10.1796875" style="3" bestFit="1" customWidth="1"/>
    <col min="23" max="23" width="11.08984375" style="3" customWidth="1"/>
    <col min="24" max="16384" width="8.86328125" style="3"/>
  </cols>
  <sheetData>
    <row r="2" spans="1:23" x14ac:dyDescent="0.55000000000000004">
      <c r="H2" s="268"/>
      <c r="I2" s="5"/>
    </row>
    <row r="3" spans="1:23" ht="16.2" x14ac:dyDescent="0.85">
      <c r="A3" s="13"/>
      <c r="B3" s="589" t="s">
        <v>262</v>
      </c>
      <c r="C3" s="589"/>
      <c r="D3" s="589" t="s">
        <v>107</v>
      </c>
      <c r="E3" s="589"/>
      <c r="F3" s="589" t="s">
        <v>263</v>
      </c>
      <c r="G3" s="589"/>
      <c r="H3" s="590" t="s">
        <v>2</v>
      </c>
      <c r="I3" s="587"/>
      <c r="J3" s="263"/>
      <c r="K3" s="263"/>
      <c r="L3" s="587" t="s">
        <v>322</v>
      </c>
      <c r="M3" s="587"/>
      <c r="N3" s="587"/>
      <c r="O3" s="587"/>
      <c r="P3" s="263"/>
      <c r="Q3" s="588" t="s">
        <v>267</v>
      </c>
      <c r="R3" s="588"/>
      <c r="S3" s="588"/>
    </row>
    <row r="4" spans="1:23" ht="16.2" x14ac:dyDescent="0.85">
      <c r="A4" s="267" t="s">
        <v>264</v>
      </c>
      <c r="B4" s="264" t="s">
        <v>144</v>
      </c>
      <c r="C4" s="264" t="s">
        <v>265</v>
      </c>
      <c r="D4" s="264" t="s">
        <v>144</v>
      </c>
      <c r="E4" s="264" t="s">
        <v>265</v>
      </c>
      <c r="F4" s="264" t="s">
        <v>144</v>
      </c>
      <c r="G4" s="264" t="s">
        <v>265</v>
      </c>
      <c r="H4" s="265" t="s">
        <v>144</v>
      </c>
      <c r="I4" s="266" t="s">
        <v>265</v>
      </c>
      <c r="J4" s="266"/>
      <c r="K4" s="266" t="s">
        <v>264</v>
      </c>
      <c r="L4" s="266" t="s">
        <v>144</v>
      </c>
      <c r="M4" s="266"/>
      <c r="N4" s="266" t="s">
        <v>265</v>
      </c>
      <c r="O4" s="266"/>
      <c r="P4" s="266"/>
      <c r="Q4" s="266" t="s">
        <v>144</v>
      </c>
      <c r="R4" s="266" t="s">
        <v>265</v>
      </c>
      <c r="S4" s="266" t="s">
        <v>266</v>
      </c>
    </row>
    <row r="5" spans="1:23" x14ac:dyDescent="0.55000000000000004">
      <c r="A5" s="3">
        <v>2000</v>
      </c>
      <c r="B5" s="3">
        <f>ExBA!C18</f>
        <v>30191</v>
      </c>
      <c r="C5" s="3">
        <f>ExBA!D18</f>
        <v>28449100</v>
      </c>
      <c r="D5" s="3">
        <f>61+26+47+33+81+133</f>
        <v>381</v>
      </c>
      <c r="E5" s="3">
        <f>35700+35400+86100+78300</f>
        <v>235500</v>
      </c>
      <c r="F5" s="3">
        <f>1+7+9+57</f>
        <v>74</v>
      </c>
      <c r="G5" s="3">
        <f>2900+10100</f>
        <v>13000</v>
      </c>
      <c r="H5" s="268">
        <f>B5+D5+F5</f>
        <v>30646</v>
      </c>
      <c r="I5" s="5">
        <f>C5+E5+G5</f>
        <v>28697600</v>
      </c>
      <c r="K5" s="3">
        <v>2000</v>
      </c>
      <c r="L5" s="3">
        <f>H5</f>
        <v>30646</v>
      </c>
      <c r="M5" s="162">
        <f>L5/$H$9</f>
        <v>0.34603615505346474</v>
      </c>
      <c r="N5" s="3">
        <f>I5</f>
        <v>28697600</v>
      </c>
      <c r="O5" s="162">
        <f>N5/$I$9</f>
        <v>6.2583019392545014E-2</v>
      </c>
      <c r="Q5" s="3">
        <f>H5</f>
        <v>30646</v>
      </c>
      <c r="R5" s="3">
        <f>N5</f>
        <v>28697600</v>
      </c>
      <c r="S5" s="3">
        <f>R5/Q5</f>
        <v>936.42237159825095</v>
      </c>
      <c r="T5" s="162">
        <f>R5/$I$9</f>
        <v>6.2583019392545014E-2</v>
      </c>
      <c r="V5" s="3">
        <v>0</v>
      </c>
      <c r="W5" s="3">
        <v>0</v>
      </c>
    </row>
    <row r="6" spans="1:23" x14ac:dyDescent="0.55000000000000004">
      <c r="A6" s="3">
        <v>10000</v>
      </c>
      <c r="B6" s="3">
        <f>ExBA!C19</f>
        <v>49534</v>
      </c>
      <c r="C6" s="3">
        <f>ExBA!D19</f>
        <v>220986600</v>
      </c>
      <c r="D6" s="3">
        <f>219+55+214+64</f>
        <v>552</v>
      </c>
      <c r="E6" s="3">
        <f>1135600+258600+1119700+305200</f>
        <v>2819100</v>
      </c>
      <c r="F6" s="3">
        <f>6+1+4+27</f>
        <v>38</v>
      </c>
      <c r="G6" s="3">
        <f>32700+38500+129000</f>
        <v>200200</v>
      </c>
      <c r="H6" s="268">
        <f t="shared" ref="H6:H8" si="0">B6+D6+F6</f>
        <v>50124</v>
      </c>
      <c r="I6" s="5">
        <f t="shared" ref="I6:I8" si="1">C6+E6+G6</f>
        <v>224005900</v>
      </c>
      <c r="K6" s="55">
        <v>10000</v>
      </c>
      <c r="L6" s="55">
        <f>L5+H6</f>
        <v>80770</v>
      </c>
      <c r="M6" s="345">
        <f>L6/$H$9</f>
        <v>0.912006142520014</v>
      </c>
      <c r="N6" s="55">
        <f>N5+I6</f>
        <v>252703500</v>
      </c>
      <c r="O6" s="345">
        <f>N6/$I$9</f>
        <v>0.55108956989657676</v>
      </c>
      <c r="Q6" s="3">
        <f>H6</f>
        <v>50124</v>
      </c>
      <c r="R6" s="3">
        <f>I6</f>
        <v>224005900</v>
      </c>
      <c r="S6" s="3">
        <f>R6/Q6</f>
        <v>4469.0347937115948</v>
      </c>
      <c r="T6" s="162">
        <f>R6/$I$9</f>
        <v>0.48850655050403169</v>
      </c>
      <c r="U6" s="162"/>
    </row>
    <row r="7" spans="1:23" x14ac:dyDescent="0.55000000000000004">
      <c r="A7" s="3">
        <v>30000</v>
      </c>
      <c r="B7" s="3">
        <f>ExBA!C20</f>
        <v>6088</v>
      </c>
      <c r="C7" s="3">
        <f>ExBA!D20</f>
        <v>93147600</v>
      </c>
      <c r="D7" s="3">
        <f>133+22+99+39</f>
        <v>293</v>
      </c>
      <c r="E7" s="3">
        <f>2293000+396200+1552400+693800</f>
        <v>4935400</v>
      </c>
      <c r="F7" s="3">
        <f>37+11+39</f>
        <v>87</v>
      </c>
      <c r="G7" s="3">
        <f>735500+225400+699600</f>
        <v>1660500</v>
      </c>
      <c r="H7" s="268">
        <f t="shared" si="0"/>
        <v>6468</v>
      </c>
      <c r="I7" s="5">
        <f t="shared" si="1"/>
        <v>99743500</v>
      </c>
      <c r="K7" s="3">
        <v>30000</v>
      </c>
      <c r="L7" s="3">
        <f>L6+H7</f>
        <v>87238</v>
      </c>
      <c r="M7" s="162">
        <f>L7/$H$9</f>
        <v>0.98503889886295626</v>
      </c>
      <c r="N7" s="3">
        <f>N6+I7</f>
        <v>352447000</v>
      </c>
      <c r="O7" s="162">
        <f>N7/$I$9</f>
        <v>0.76860773848141706</v>
      </c>
      <c r="Q7" s="3">
        <f>H7</f>
        <v>6468</v>
      </c>
      <c r="R7" s="3">
        <f>I7</f>
        <v>99743500</v>
      </c>
      <c r="S7" s="3">
        <f>R7/Q7</f>
        <v>15421.072974644403</v>
      </c>
      <c r="T7" s="162">
        <f>R7/$I$9</f>
        <v>0.21751816858484033</v>
      </c>
    </row>
    <row r="8" spans="1:23" ht="16.2" x14ac:dyDescent="0.85">
      <c r="A8" s="163" t="s">
        <v>564</v>
      </c>
      <c r="B8" s="3">
        <f>ExBA!C21</f>
        <v>954</v>
      </c>
      <c r="C8" s="3">
        <f>ExBA!D21</f>
        <v>53926800</v>
      </c>
      <c r="D8" s="46">
        <f>(457+206+483+309)-SUM(D5:D7)-19</f>
        <v>210</v>
      </c>
      <c r="E8" s="46">
        <f>(5864000+11588100+8556300+7570000)-SUM(E5:E7)-167200</f>
        <v>25421200</v>
      </c>
      <c r="F8" s="46">
        <f>(91+42+231)-SUM(F5:F7)-4</f>
        <v>161</v>
      </c>
      <c r="G8" s="46">
        <f>(4798900+1393700+22791500)-SUM(G5:G7)-352900</f>
        <v>26757500</v>
      </c>
      <c r="H8" s="269">
        <f t="shared" si="0"/>
        <v>1325</v>
      </c>
      <c r="I8" s="414">
        <f t="shared" si="1"/>
        <v>106105500</v>
      </c>
      <c r="J8" s="46"/>
      <c r="K8" s="163" t="s">
        <v>564</v>
      </c>
      <c r="L8" s="3">
        <f>L7+H8</f>
        <v>88563</v>
      </c>
      <c r="M8" s="162">
        <f>L8/$H$9</f>
        <v>1</v>
      </c>
      <c r="N8" s="3">
        <f>N7+I8</f>
        <v>458552500</v>
      </c>
      <c r="O8" s="162">
        <f>N8/$I$9</f>
        <v>1</v>
      </c>
      <c r="Q8" s="3">
        <f>H8</f>
        <v>1325</v>
      </c>
      <c r="R8" s="3">
        <f>I8</f>
        <v>106105500</v>
      </c>
      <c r="S8" s="3">
        <f>R8/Q8</f>
        <v>80079.622641509428</v>
      </c>
      <c r="T8" s="505">
        <f>R8/$I$9</f>
        <v>0.23139226151858294</v>
      </c>
      <c r="U8" s="162"/>
    </row>
    <row r="9" spans="1:23" x14ac:dyDescent="0.55000000000000004">
      <c r="A9" s="3" t="s">
        <v>36</v>
      </c>
      <c r="B9" s="3">
        <f t="shared" ref="B9:I9" si="2">SUM(B5:B8)</f>
        <v>86767</v>
      </c>
      <c r="C9" s="3">
        <f t="shared" si="2"/>
        <v>396510100</v>
      </c>
      <c r="D9" s="3">
        <f t="shared" si="2"/>
        <v>1436</v>
      </c>
      <c r="E9" s="3">
        <f t="shared" si="2"/>
        <v>33411200</v>
      </c>
      <c r="F9" s="3">
        <f t="shared" si="2"/>
        <v>360</v>
      </c>
      <c r="G9" s="3">
        <f t="shared" si="2"/>
        <v>28631200</v>
      </c>
      <c r="H9" s="268">
        <f t="shared" si="2"/>
        <v>88563</v>
      </c>
      <c r="I9" s="5">
        <f t="shared" si="2"/>
        <v>458552500</v>
      </c>
      <c r="T9" s="162">
        <f>SUM(T5:T8)</f>
        <v>1</v>
      </c>
    </row>
    <row r="10" spans="1:23" x14ac:dyDescent="0.55000000000000004">
      <c r="H10" s="268">
        <f>B9+D9+F9</f>
        <v>88563</v>
      </c>
      <c r="I10" s="5">
        <f>C9+E9+G9</f>
        <v>458552500</v>
      </c>
    </row>
    <row r="11" spans="1:23" ht="20.100000000000001" customHeight="1" x14ac:dyDescent="0.85">
      <c r="H11" s="268"/>
      <c r="I11" s="5"/>
      <c r="O11" s="330"/>
      <c r="P11" s="331"/>
      <c r="Q11" s="332" t="s">
        <v>144</v>
      </c>
      <c r="R11" s="332" t="s">
        <v>265</v>
      </c>
      <c r="S11" s="333" t="s">
        <v>565</v>
      </c>
      <c r="T11" s="333" t="s">
        <v>566</v>
      </c>
      <c r="U11" s="333" t="s">
        <v>567</v>
      </c>
      <c r="V11" s="334" t="s">
        <v>568</v>
      </c>
    </row>
    <row r="12" spans="1:23" x14ac:dyDescent="0.55000000000000004">
      <c r="C12" s="509" t="s">
        <v>565</v>
      </c>
      <c r="D12" s="3">
        <f>61+26+47+33+81+133</f>
        <v>381</v>
      </c>
      <c r="E12" s="3">
        <f>35700+35400+86100+78300</f>
        <v>235500</v>
      </c>
      <c r="O12" s="335"/>
      <c r="P12" s="336" t="s">
        <v>565</v>
      </c>
      <c r="Q12" s="337">
        <f t="shared" ref="Q12:R15" si="3">Q5</f>
        <v>30646</v>
      </c>
      <c r="R12" s="337">
        <f t="shared" si="3"/>
        <v>28697600</v>
      </c>
      <c r="S12" s="337">
        <f>R12</f>
        <v>28697600</v>
      </c>
      <c r="T12" s="337"/>
      <c r="U12" s="337"/>
      <c r="V12" s="338"/>
    </row>
    <row r="13" spans="1:23" ht="16.2" x14ac:dyDescent="0.85">
      <c r="C13" s="509" t="s">
        <v>570</v>
      </c>
      <c r="D13" s="46">
        <f>D14-D12</f>
        <v>312</v>
      </c>
      <c r="E13" s="46">
        <f>E14-E12</f>
        <v>1147300</v>
      </c>
      <c r="O13" s="335"/>
      <c r="P13" s="336" t="s">
        <v>566</v>
      </c>
      <c r="Q13" s="337">
        <f t="shared" si="3"/>
        <v>50124</v>
      </c>
      <c r="R13" s="337">
        <f t="shared" si="3"/>
        <v>224005900</v>
      </c>
      <c r="S13" s="337">
        <f>Q13*2000</f>
        <v>100248000</v>
      </c>
      <c r="T13" s="337">
        <f>R13-S13</f>
        <v>123757900</v>
      </c>
      <c r="U13" s="337"/>
      <c r="V13" s="338"/>
    </row>
    <row r="14" spans="1:23" x14ac:dyDescent="0.55000000000000004">
      <c r="B14" s="1"/>
      <c r="C14" s="1"/>
      <c r="D14" s="3">
        <f>ExBA!C35</f>
        <v>693</v>
      </c>
      <c r="E14" s="3">
        <f>ExBA!D35</f>
        <v>1382800</v>
      </c>
      <c r="O14" s="335"/>
      <c r="P14" s="336" t="s">
        <v>567</v>
      </c>
      <c r="Q14" s="337">
        <f t="shared" si="3"/>
        <v>6468</v>
      </c>
      <c r="R14" s="337">
        <f t="shared" si="3"/>
        <v>99743500</v>
      </c>
      <c r="S14" s="337">
        <f>Q14*2000</f>
        <v>12936000</v>
      </c>
      <c r="T14" s="337">
        <f>Q14*8000</f>
        <v>51744000</v>
      </c>
      <c r="U14" s="337">
        <f>R14-S14-T14</f>
        <v>35063500</v>
      </c>
      <c r="V14" s="338"/>
    </row>
    <row r="15" spans="1:23" ht="16.2" x14ac:dyDescent="0.85">
      <c r="B15" s="1"/>
      <c r="C15" s="1"/>
      <c r="E15" s="1"/>
      <c r="O15" s="335"/>
      <c r="P15" s="336" t="s">
        <v>568</v>
      </c>
      <c r="Q15" s="337">
        <f t="shared" si="3"/>
        <v>1325</v>
      </c>
      <c r="R15" s="339">
        <f t="shared" si="3"/>
        <v>106105500</v>
      </c>
      <c r="S15" s="339">
        <f>Q15*2000</f>
        <v>2650000</v>
      </c>
      <c r="T15" s="339">
        <f>Q15*8000</f>
        <v>10600000</v>
      </c>
      <c r="U15" s="339">
        <f>Q15*20000</f>
        <v>26500000</v>
      </c>
      <c r="V15" s="340">
        <f>R15-S15-T15-U15</f>
        <v>66355500</v>
      </c>
    </row>
    <row r="16" spans="1:23" ht="20.100000000000001" customHeight="1" x14ac:dyDescent="0.55000000000000004">
      <c r="B16" s="1"/>
      <c r="E16" s="509" t="s">
        <v>565</v>
      </c>
      <c r="F16" s="3">
        <f>1+7+9+57</f>
        <v>74</v>
      </c>
      <c r="G16" s="3">
        <f>2900+1200+10100</f>
        <v>14200</v>
      </c>
      <c r="O16" s="341"/>
      <c r="P16" s="342"/>
      <c r="Q16" s="342"/>
      <c r="R16" s="343">
        <f>SUM(R12:R15)</f>
        <v>458552500</v>
      </c>
      <c r="S16" s="343">
        <f>SUM(S12:S15)</f>
        <v>144531600</v>
      </c>
      <c r="T16" s="343">
        <f>SUM(T12:T15)</f>
        <v>186101900</v>
      </c>
      <c r="U16" s="343">
        <f>SUM(U12:U15)</f>
        <v>61563500</v>
      </c>
      <c r="V16" s="344">
        <f>SUM(V12:V15)</f>
        <v>66355500</v>
      </c>
      <c r="W16" s="3">
        <f>SUM(S16:V16)</f>
        <v>458552500</v>
      </c>
    </row>
    <row r="17" spans="5:7" x14ac:dyDescent="0.55000000000000004">
      <c r="E17" s="509" t="s">
        <v>566</v>
      </c>
      <c r="F17" s="3">
        <f>6+5+27</f>
        <v>38</v>
      </c>
      <c r="G17" s="3">
        <f>3600+19300+9800+3200+35300+34100+60000+34900</f>
        <v>200200</v>
      </c>
    </row>
    <row r="18" spans="5:7" ht="16.2" x14ac:dyDescent="0.85">
      <c r="E18" s="509" t="s">
        <v>571</v>
      </c>
      <c r="F18" s="46">
        <f>F19-F16-F17</f>
        <v>21</v>
      </c>
      <c r="G18" s="46">
        <f>G19-G16-G17</f>
        <v>302800</v>
      </c>
    </row>
    <row r="19" spans="5:7" x14ac:dyDescent="0.55000000000000004">
      <c r="F19" s="3">
        <f>ExBA!C52</f>
        <v>133</v>
      </c>
      <c r="G19" s="3">
        <f>ExBA!D52</f>
        <v>517200</v>
      </c>
    </row>
  </sheetData>
  <mergeCells count="6">
    <mergeCell ref="L3:O3"/>
    <mergeCell ref="Q3:S3"/>
    <mergeCell ref="B3:C3"/>
    <mergeCell ref="D3:E3"/>
    <mergeCell ref="F3:G3"/>
    <mergeCell ref="H3:I3"/>
  </mergeCells>
  <printOptions horizontalCentered="1"/>
  <pageMargins left="0.7" right="0.7" top="1.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5"/>
  <sheetViews>
    <sheetView workbookViewId="0">
      <selection activeCell="A4" sqref="A4"/>
    </sheetView>
  </sheetViews>
  <sheetFormatPr defaultColWidth="8.86328125" defaultRowHeight="14.4" x14ac:dyDescent="0.55000000000000004"/>
  <cols>
    <col min="1" max="1" width="11.2265625" style="1" customWidth="1"/>
    <col min="2" max="2" width="7.76953125" style="1" customWidth="1"/>
    <col min="3" max="3" width="7.2265625" style="1" customWidth="1"/>
    <col min="4" max="4" width="11.54296875" style="1" customWidth="1"/>
    <col min="5" max="7" width="10.76953125" style="1" customWidth="1"/>
    <col min="8" max="8" width="9.76953125" style="1" customWidth="1"/>
    <col min="9" max="9" width="11" style="1" customWidth="1"/>
    <col min="10" max="10" width="5.2265625" style="1" customWidth="1"/>
    <col min="11" max="11" width="8.86328125" style="1"/>
    <col min="12" max="12" width="7.54296875" style="1" customWidth="1"/>
    <col min="13" max="13" width="10.31640625" style="1" customWidth="1"/>
    <col min="14" max="14" width="11.453125" style="1" customWidth="1"/>
    <col min="15" max="16" width="10.76953125" style="1" customWidth="1"/>
    <col min="17" max="17" width="10.2265625" style="1" bestFit="1" customWidth="1"/>
    <col min="18" max="16384" width="8.86328125" style="1"/>
  </cols>
  <sheetData>
    <row r="1" spans="1:14" ht="18.3" x14ac:dyDescent="0.7">
      <c r="A1" s="584" t="s">
        <v>353</v>
      </c>
      <c r="B1" s="584"/>
      <c r="C1" s="584"/>
      <c r="D1" s="584"/>
      <c r="E1" s="584"/>
      <c r="F1" s="584"/>
      <c r="G1" s="584"/>
      <c r="H1" s="584"/>
      <c r="I1" s="202"/>
    </row>
    <row r="2" spans="1:14" ht="18.3" x14ac:dyDescent="0.55000000000000004">
      <c r="A2" s="563" t="s">
        <v>327</v>
      </c>
      <c r="B2" s="563"/>
      <c r="C2" s="563"/>
      <c r="D2" s="563"/>
      <c r="E2" s="563"/>
      <c r="F2" s="563"/>
      <c r="G2" s="563"/>
      <c r="H2" s="563"/>
      <c r="I2" s="99"/>
    </row>
    <row r="3" spans="1:14" ht="7" customHeight="1" x14ac:dyDescent="0.55000000000000004"/>
    <row r="4" spans="1:14" x14ac:dyDescent="0.55000000000000004">
      <c r="C4" s="53" t="s">
        <v>80</v>
      </c>
      <c r="M4" s="73" t="s">
        <v>455</v>
      </c>
      <c r="N4" s="73" t="s">
        <v>457</v>
      </c>
    </row>
    <row r="5" spans="1:14" x14ac:dyDescent="0.55000000000000004">
      <c r="C5" s="102"/>
      <c r="D5" s="18"/>
      <c r="E5" s="9" t="s">
        <v>71</v>
      </c>
      <c r="F5" s="9" t="s">
        <v>42</v>
      </c>
      <c r="G5" s="9" t="s">
        <v>40</v>
      </c>
      <c r="H5" s="2"/>
      <c r="J5" s="107"/>
      <c r="L5" s="1" t="s">
        <v>456</v>
      </c>
      <c r="M5" s="48">
        <v>24204</v>
      </c>
      <c r="N5" s="48">
        <v>19732</v>
      </c>
    </row>
    <row r="6" spans="1:14" ht="16.2" x14ac:dyDescent="0.85">
      <c r="C6" s="1" t="s">
        <v>94</v>
      </c>
      <c r="E6" s="3">
        <f>C22</f>
        <v>86767</v>
      </c>
      <c r="F6" s="47">
        <f>D22</f>
        <v>396510100</v>
      </c>
      <c r="G6" s="48">
        <f>F30</f>
        <v>3324632.6100000003</v>
      </c>
      <c r="H6" s="48"/>
      <c r="J6" s="107"/>
      <c r="L6" s="1" t="s">
        <v>458</v>
      </c>
      <c r="M6" s="46">
        <v>36417</v>
      </c>
      <c r="N6" s="46">
        <v>37955</v>
      </c>
    </row>
    <row r="7" spans="1:14" x14ac:dyDescent="0.55000000000000004">
      <c r="C7" s="1" t="s">
        <v>95</v>
      </c>
      <c r="E7" s="3">
        <f>C39</f>
        <v>1436</v>
      </c>
      <c r="F7" s="47">
        <f>D39</f>
        <v>33411200</v>
      </c>
      <c r="G7" s="3">
        <f>F47</f>
        <v>179343.09000000003</v>
      </c>
      <c r="H7" s="3"/>
      <c r="M7" s="48">
        <f>SUM(M5:M6)</f>
        <v>60621</v>
      </c>
      <c r="N7" s="48">
        <f>SUM(N5:N6)</f>
        <v>57687</v>
      </c>
    </row>
    <row r="8" spans="1:14" ht="16.2" x14ac:dyDescent="0.85">
      <c r="C8" s="1" t="s">
        <v>96</v>
      </c>
      <c r="E8" s="46">
        <f>C55</f>
        <v>360</v>
      </c>
      <c r="F8" s="97">
        <f>D55</f>
        <v>28631200</v>
      </c>
      <c r="G8" s="46">
        <f>F62</f>
        <v>131833.95000000001</v>
      </c>
      <c r="H8" s="3"/>
      <c r="J8" s="107"/>
    </row>
    <row r="9" spans="1:14" x14ac:dyDescent="0.55000000000000004">
      <c r="D9" s="11" t="s">
        <v>372</v>
      </c>
      <c r="E9" s="52">
        <f>SUM(E6:E8)</f>
        <v>88563</v>
      </c>
      <c r="F9" s="52">
        <f>SUM(F6:F8)</f>
        <v>458552500</v>
      </c>
      <c r="G9" s="100">
        <f>SUM(G6:G8)</f>
        <v>3635809.6500000004</v>
      </c>
      <c r="H9" s="364"/>
      <c r="I9" s="3"/>
      <c r="J9" s="107"/>
      <c r="M9" s="1" t="s">
        <v>194</v>
      </c>
      <c r="N9" s="1" t="s">
        <v>477</v>
      </c>
    </row>
    <row r="10" spans="1:14" ht="16.2" x14ac:dyDescent="0.85">
      <c r="C10" s="1" t="s">
        <v>373</v>
      </c>
      <c r="D10" s="11"/>
      <c r="E10" s="52"/>
      <c r="F10" s="52"/>
      <c r="G10" s="46">
        <v>-60621</v>
      </c>
      <c r="H10" s="364"/>
      <c r="I10" s="3"/>
      <c r="J10" s="107"/>
      <c r="M10" s="1" t="s">
        <v>459</v>
      </c>
      <c r="N10" s="1" t="s">
        <v>461</v>
      </c>
    </row>
    <row r="11" spans="1:14" x14ac:dyDescent="0.55000000000000004">
      <c r="C11" s="1" t="s">
        <v>374</v>
      </c>
      <c r="E11" s="52"/>
      <c r="F11" s="52"/>
      <c r="G11" s="100">
        <f>G9+G10</f>
        <v>3575188.6500000004</v>
      </c>
      <c r="H11" s="364"/>
      <c r="I11" s="3"/>
      <c r="J11" s="107"/>
      <c r="M11" s="1" t="s">
        <v>460</v>
      </c>
      <c r="N11" s="1" t="s">
        <v>462</v>
      </c>
    </row>
    <row r="12" spans="1:14" ht="16.2" x14ac:dyDescent="0.85">
      <c r="D12" s="115" t="s">
        <v>481</v>
      </c>
      <c r="F12" s="47">
        <f>B73*1000</f>
        <v>629263166.02316606</v>
      </c>
      <c r="G12" s="46">
        <f>D73</f>
        <v>1629791.5999999999</v>
      </c>
      <c r="H12" s="46"/>
      <c r="I12" s="3"/>
      <c r="J12" s="107"/>
    </row>
    <row r="13" spans="1:14" ht="20.100000000000001" customHeight="1" x14ac:dyDescent="0.55000000000000004">
      <c r="C13" s="166" t="s">
        <v>139</v>
      </c>
      <c r="D13" s="123"/>
      <c r="E13" s="123"/>
      <c r="F13" s="123"/>
      <c r="G13" s="167">
        <f>G11+G12</f>
        <v>5204980.25</v>
      </c>
      <c r="H13" s="100"/>
      <c r="I13" s="100"/>
      <c r="J13" s="107"/>
    </row>
    <row r="14" spans="1:14" ht="7" customHeight="1" x14ac:dyDescent="0.85">
      <c r="F14" s="11"/>
      <c r="G14" s="101"/>
      <c r="I14" s="100"/>
      <c r="J14" s="107"/>
    </row>
    <row r="15" spans="1:14" ht="15.6" x14ac:dyDescent="0.6">
      <c r="A15" s="98" t="s">
        <v>91</v>
      </c>
      <c r="K15"/>
    </row>
    <row r="16" spans="1:14" ht="15.3" x14ac:dyDescent="0.55000000000000004">
      <c r="E16" s="2" t="s">
        <v>43</v>
      </c>
      <c r="F16" s="2" t="s">
        <v>67</v>
      </c>
      <c r="G16" s="2" t="s">
        <v>67</v>
      </c>
      <c r="H16" s="2" t="s">
        <v>44</v>
      </c>
      <c r="I16"/>
      <c r="K16"/>
    </row>
    <row r="17" spans="1:11" ht="15.3" x14ac:dyDescent="0.55000000000000004">
      <c r="B17" s="9" t="s">
        <v>45</v>
      </c>
      <c r="C17" s="10" t="s">
        <v>46</v>
      </c>
      <c r="D17" s="10" t="s">
        <v>47</v>
      </c>
      <c r="E17" s="10">
        <f>B18</f>
        <v>2000</v>
      </c>
      <c r="F17" s="10">
        <f>B19</f>
        <v>8000</v>
      </c>
      <c r="G17" s="10">
        <f>B20</f>
        <v>20000</v>
      </c>
      <c r="H17" s="10">
        <f>B21</f>
        <v>30000</v>
      </c>
      <c r="I17"/>
      <c r="K17"/>
    </row>
    <row r="18" spans="1:11" ht="15.3" x14ac:dyDescent="0.55000000000000004">
      <c r="A18" s="11" t="s">
        <v>43</v>
      </c>
      <c r="B18" s="12">
        <v>2000</v>
      </c>
      <c r="C18" s="49">
        <f>11762+752+17156+521</f>
        <v>30191</v>
      </c>
      <c r="D18" s="49">
        <f>11712300+430500+16060200+246100</f>
        <v>28449100</v>
      </c>
      <c r="E18" s="49">
        <f>D18</f>
        <v>28449100</v>
      </c>
      <c r="F18" s="49">
        <v>0</v>
      </c>
      <c r="G18" s="49"/>
      <c r="H18" s="49">
        <v>0</v>
      </c>
      <c r="I18"/>
      <c r="K18"/>
    </row>
    <row r="19" spans="1:11" ht="15.3" x14ac:dyDescent="0.55000000000000004">
      <c r="A19" s="11" t="s">
        <v>67</v>
      </c>
      <c r="B19" s="12">
        <v>8000</v>
      </c>
      <c r="C19" s="49">
        <f>19870+286+29060+318</f>
        <v>49534</v>
      </c>
      <c r="D19" s="49">
        <f>87268100+1350100+130722300+1646100</f>
        <v>220986600</v>
      </c>
      <c r="E19" s="49">
        <f>C19*E$17</f>
        <v>99068000</v>
      </c>
      <c r="F19" s="49">
        <f>D19-E19</f>
        <v>121918600</v>
      </c>
      <c r="G19" s="49"/>
      <c r="H19" s="49">
        <v>0</v>
      </c>
      <c r="I19"/>
      <c r="K19"/>
    </row>
    <row r="20" spans="1:11" ht="15.3" x14ac:dyDescent="0.55000000000000004">
      <c r="A20" s="11" t="s">
        <v>67</v>
      </c>
      <c r="B20" s="12">
        <v>20000</v>
      </c>
      <c r="C20" s="49">
        <f>2177+117+3688+106</f>
        <v>6088</v>
      </c>
      <c r="D20" s="49">
        <f>33138600+1873400+56443300+1692300</f>
        <v>93147600</v>
      </c>
      <c r="E20" s="49">
        <f>C20*E$17</f>
        <v>12176000</v>
      </c>
      <c r="F20" s="49">
        <f>$C20*F$17</f>
        <v>48704000</v>
      </c>
      <c r="G20" s="49">
        <f>D20-(E20+F20)</f>
        <v>32267600</v>
      </c>
      <c r="H20" s="49"/>
      <c r="I20"/>
      <c r="K20"/>
    </row>
    <row r="21" spans="1:11" ht="15.3" x14ac:dyDescent="0.55000000000000004">
      <c r="A21" s="11" t="s">
        <v>44</v>
      </c>
      <c r="B21" s="14">
        <v>30000</v>
      </c>
      <c r="C21" s="50">
        <f>243+69+19+22+6+1+432+97+26+8+23+8</f>
        <v>954</v>
      </c>
      <c r="D21" s="50">
        <f>9715600+5342900+3850500+942600+436600+111500+17470000+7585600+4935900+295200+2088400+1152000</f>
        <v>53926800</v>
      </c>
      <c r="E21" s="50">
        <f>C21*E$17</f>
        <v>1908000</v>
      </c>
      <c r="F21" s="50">
        <f>$C21*F$17</f>
        <v>7632000</v>
      </c>
      <c r="G21" s="50">
        <f>$C21*G$17</f>
        <v>19080000</v>
      </c>
      <c r="H21" s="50">
        <f>D21-(F21+E21+G21)</f>
        <v>25306800</v>
      </c>
      <c r="I21"/>
      <c r="K21"/>
    </row>
    <row r="22" spans="1:11" ht="15.3" x14ac:dyDescent="0.55000000000000004">
      <c r="A22" s="11"/>
      <c r="B22" s="12"/>
      <c r="C22" s="51">
        <f t="shared" ref="C22:H22" si="0">SUM(C18:C21)</f>
        <v>86767</v>
      </c>
      <c r="D22" s="51">
        <f t="shared" si="0"/>
        <v>396510100</v>
      </c>
      <c r="E22" s="51">
        <f t="shared" si="0"/>
        <v>141601100</v>
      </c>
      <c r="F22" s="51">
        <f t="shared" si="0"/>
        <v>178254600</v>
      </c>
      <c r="G22" s="51">
        <f t="shared" si="0"/>
        <v>51347600</v>
      </c>
      <c r="H22" s="51">
        <f t="shared" si="0"/>
        <v>25306800</v>
      </c>
      <c r="I22"/>
      <c r="J22" s="52"/>
      <c r="K22"/>
    </row>
    <row r="23" spans="1:11" ht="15.3" x14ac:dyDescent="0.55000000000000004">
      <c r="A23" s="11"/>
      <c r="B23" s="12"/>
      <c r="D23" s="12"/>
      <c r="E23" s="12"/>
      <c r="F23" s="12"/>
      <c r="G23" s="12"/>
      <c r="H23" s="12"/>
      <c r="I23" s="12"/>
      <c r="K23"/>
    </row>
    <row r="24" spans="1:11" ht="15.3" x14ac:dyDescent="0.55000000000000004">
      <c r="A24" s="16" t="s">
        <v>49</v>
      </c>
      <c r="B24" s="16"/>
      <c r="D24" s="12"/>
      <c r="E24" s="12"/>
      <c r="F24" s="12"/>
      <c r="G24" s="12"/>
      <c r="H24" s="12"/>
      <c r="I24" s="12"/>
      <c r="K24"/>
    </row>
    <row r="25" spans="1:11" ht="15.3" x14ac:dyDescent="0.55000000000000004">
      <c r="A25" s="11"/>
      <c r="B25" s="9"/>
      <c r="C25" s="10" t="s">
        <v>46</v>
      </c>
      <c r="D25" s="9" t="s">
        <v>47</v>
      </c>
      <c r="E25" s="10" t="s">
        <v>50</v>
      </c>
      <c r="F25" s="10" t="s">
        <v>51</v>
      </c>
      <c r="G25" s="12"/>
      <c r="H25" s="12"/>
      <c r="I25" s="12"/>
      <c r="K25"/>
    </row>
    <row r="26" spans="1:11" ht="15.3" x14ac:dyDescent="0.55000000000000004">
      <c r="A26" s="11" t="s">
        <v>43</v>
      </c>
      <c r="B26" s="12">
        <f>B18</f>
        <v>2000</v>
      </c>
      <c r="C26" s="13">
        <f>C22</f>
        <v>86767</v>
      </c>
      <c r="D26" s="49">
        <f>E22</f>
        <v>141601100</v>
      </c>
      <c r="E26" s="17">
        <f>Rates!F11</f>
        <v>22.1</v>
      </c>
      <c r="F26" s="7">
        <f>E26*C26</f>
        <v>1917550.7000000002</v>
      </c>
      <c r="G26" s="12"/>
      <c r="K26"/>
    </row>
    <row r="27" spans="1:11" ht="15.3" x14ac:dyDescent="0.55000000000000004">
      <c r="A27" s="11" t="s">
        <v>67</v>
      </c>
      <c r="B27" s="12">
        <f>B19</f>
        <v>8000</v>
      </c>
      <c r="D27" s="49">
        <f>F22</f>
        <v>178254600</v>
      </c>
      <c r="E27" s="30">
        <f>Rates!F12</f>
        <v>5.95</v>
      </c>
      <c r="F27" s="3">
        <f>E27*(D27/1000)</f>
        <v>1060614.8700000001</v>
      </c>
      <c r="G27" s="12"/>
      <c r="K27"/>
    </row>
    <row r="28" spans="1:11" ht="15.3" x14ac:dyDescent="0.55000000000000004">
      <c r="A28" s="11" t="s">
        <v>67</v>
      </c>
      <c r="B28" s="12">
        <f>B20</f>
        <v>20000</v>
      </c>
      <c r="D28" s="49">
        <f>G22</f>
        <v>51347600</v>
      </c>
      <c r="E28" s="30">
        <f>Rates!F13</f>
        <v>4.8499999999999996</v>
      </c>
      <c r="F28" s="3">
        <f>E28*(D28/1000)</f>
        <v>249035.86</v>
      </c>
      <c r="G28" s="12"/>
      <c r="K28"/>
    </row>
    <row r="29" spans="1:11" x14ac:dyDescent="0.55000000000000004">
      <c r="A29" s="11" t="s">
        <v>44</v>
      </c>
      <c r="B29" s="14">
        <f>B21</f>
        <v>30000</v>
      </c>
      <c r="C29" s="18"/>
      <c r="D29" s="50">
        <f>H22</f>
        <v>25306800</v>
      </c>
      <c r="E29" s="19">
        <f>Rates!F14</f>
        <v>3.85</v>
      </c>
      <c r="F29" s="55">
        <f>E29*(D29/1000)</f>
        <v>97431.18</v>
      </c>
      <c r="G29" s="12"/>
    </row>
    <row r="30" spans="1:11" x14ac:dyDescent="0.55000000000000004">
      <c r="A30" s="11"/>
      <c r="B30" s="12" t="s">
        <v>48</v>
      </c>
      <c r="C30" s="3">
        <f>SUM(C26:C29)</f>
        <v>86767</v>
      </c>
      <c r="D30" s="51">
        <f>SUM(D26:D29)</f>
        <v>396510100</v>
      </c>
      <c r="F30" s="7">
        <f>SUM(F26:F29)</f>
        <v>3324632.6100000003</v>
      </c>
      <c r="G30" s="12"/>
      <c r="H30" s="12"/>
      <c r="I30" s="12"/>
    </row>
    <row r="31" spans="1:11" x14ac:dyDescent="0.55000000000000004">
      <c r="A31" s="11"/>
      <c r="B31" s="12"/>
      <c r="C31" s="3"/>
      <c r="D31" s="51"/>
      <c r="F31" s="7"/>
      <c r="G31" s="12"/>
      <c r="H31" s="12"/>
      <c r="I31" s="12"/>
    </row>
    <row r="32" spans="1:11" ht="15.6" x14ac:dyDescent="0.6">
      <c r="A32" s="98" t="s">
        <v>92</v>
      </c>
      <c r="I32" s="12"/>
    </row>
    <row r="33" spans="1:9" x14ac:dyDescent="0.55000000000000004">
      <c r="E33" s="2" t="s">
        <v>43</v>
      </c>
      <c r="F33" s="2" t="s">
        <v>67</v>
      </c>
      <c r="G33" s="2" t="s">
        <v>67</v>
      </c>
      <c r="H33" s="2" t="s">
        <v>44</v>
      </c>
      <c r="I33" s="12"/>
    </row>
    <row r="34" spans="1:9" x14ac:dyDescent="0.55000000000000004">
      <c r="B34" s="9" t="s">
        <v>45</v>
      </c>
      <c r="C34" s="10" t="s">
        <v>46</v>
      </c>
      <c r="D34" s="10" t="s">
        <v>47</v>
      </c>
      <c r="E34" s="10">
        <f>B35</f>
        <v>5000</v>
      </c>
      <c r="F34" s="10">
        <f>B36</f>
        <v>5000</v>
      </c>
      <c r="G34" s="10">
        <f>B37</f>
        <v>20000</v>
      </c>
      <c r="H34" s="10">
        <f>B38</f>
        <v>30000</v>
      </c>
      <c r="I34" s="12"/>
    </row>
    <row r="35" spans="1:9" x14ac:dyDescent="0.55000000000000004">
      <c r="A35" s="11" t="s">
        <v>43</v>
      </c>
      <c r="B35" s="12">
        <v>5000</v>
      </c>
      <c r="C35" s="49">
        <f>182+103+235+173</f>
        <v>693</v>
      </c>
      <c r="D35" s="49">
        <f>489200+145300+536100+212200</f>
        <v>1382800</v>
      </c>
      <c r="E35" s="49">
        <f>D35</f>
        <v>1382800</v>
      </c>
      <c r="F35" s="49">
        <v>0</v>
      </c>
      <c r="G35" s="49"/>
      <c r="H35" s="49">
        <v>0</v>
      </c>
      <c r="I35" s="12"/>
    </row>
    <row r="36" spans="1:9" x14ac:dyDescent="0.55000000000000004">
      <c r="A36" s="11" t="s">
        <v>67</v>
      </c>
      <c r="B36" s="12">
        <v>5000</v>
      </c>
      <c r="C36" s="49">
        <f>92+20+93+24</f>
        <v>229</v>
      </c>
      <c r="D36" s="49">
        <f>650700+141300+669700+171300</f>
        <v>1633000</v>
      </c>
      <c r="E36" s="49">
        <f>C36*E$34</f>
        <v>1145000</v>
      </c>
      <c r="F36" s="49">
        <f>D36-E36</f>
        <v>488000</v>
      </c>
      <c r="G36" s="49"/>
      <c r="H36" s="49">
        <v>0</v>
      </c>
      <c r="I36" s="12"/>
    </row>
    <row r="37" spans="1:9" x14ac:dyDescent="0.55000000000000004">
      <c r="A37" s="11" t="s">
        <v>67</v>
      </c>
      <c r="B37" s="12">
        <v>20000</v>
      </c>
      <c r="C37" s="49">
        <f>129+20+98+39</f>
        <v>286</v>
      </c>
      <c r="D37" s="49">
        <f>2243100+368900+1540700+693800</f>
        <v>4846500</v>
      </c>
      <c r="E37" s="49">
        <f>C37*E$34</f>
        <v>1430000</v>
      </c>
      <c r="F37" s="49">
        <f>$C37*F$34</f>
        <v>1430000</v>
      </c>
      <c r="G37" s="49">
        <f>D37-(E37+F37)</f>
        <v>1986500</v>
      </c>
      <c r="H37" s="49"/>
      <c r="I37" s="12"/>
    </row>
    <row r="38" spans="1:9" x14ac:dyDescent="0.55000000000000004">
      <c r="A38" s="11" t="s">
        <v>44</v>
      </c>
      <c r="B38" s="14">
        <v>30000</v>
      </c>
      <c r="C38" s="50">
        <f>31+11+2+19+22+14+20+11+25+27+26+20</f>
        <v>228</v>
      </c>
      <c r="D38" s="50">
        <f>1218700+860600+320400+814100+1806400+8237900+863200+846900+4088000+1062600+2157400+3272700</f>
        <v>25548900</v>
      </c>
      <c r="E38" s="50">
        <f>C38*E$34</f>
        <v>1140000</v>
      </c>
      <c r="F38" s="50">
        <f>$C38*F$34</f>
        <v>1140000</v>
      </c>
      <c r="G38" s="50">
        <f>$C38*G$34</f>
        <v>4560000</v>
      </c>
      <c r="H38" s="50">
        <f>D38-(F38+E38+G38)</f>
        <v>18708900</v>
      </c>
      <c r="I38" s="12"/>
    </row>
    <row r="39" spans="1:9" x14ac:dyDescent="0.55000000000000004">
      <c r="A39" s="11"/>
      <c r="B39" s="12"/>
      <c r="C39" s="51">
        <f t="shared" ref="C39:H39" si="1">SUM(C35:C38)</f>
        <v>1436</v>
      </c>
      <c r="D39" s="51">
        <f t="shared" si="1"/>
        <v>33411200</v>
      </c>
      <c r="E39" s="51">
        <f t="shared" si="1"/>
        <v>5097800</v>
      </c>
      <c r="F39" s="51">
        <f t="shared" si="1"/>
        <v>3058000</v>
      </c>
      <c r="G39" s="51">
        <f t="shared" si="1"/>
        <v>6546500</v>
      </c>
      <c r="H39" s="51">
        <f t="shared" si="1"/>
        <v>18708900</v>
      </c>
      <c r="I39" s="12"/>
    </row>
    <row r="40" spans="1:9" x14ac:dyDescent="0.55000000000000004">
      <c r="A40" s="11"/>
      <c r="B40" s="12"/>
      <c r="D40" s="12"/>
      <c r="E40" s="12"/>
      <c r="F40" s="12"/>
      <c r="G40" s="12"/>
      <c r="H40" s="12"/>
      <c r="I40" s="12"/>
    </row>
    <row r="41" spans="1:9" x14ac:dyDescent="0.55000000000000004">
      <c r="A41" s="16" t="s">
        <v>49</v>
      </c>
      <c r="B41" s="16"/>
      <c r="D41" s="12"/>
      <c r="E41" s="12"/>
      <c r="F41" s="12"/>
      <c r="G41" s="12"/>
      <c r="H41" s="12"/>
      <c r="I41" s="12"/>
    </row>
    <row r="42" spans="1:9" x14ac:dyDescent="0.55000000000000004">
      <c r="A42" s="11"/>
      <c r="B42" s="9"/>
      <c r="C42" s="10" t="s">
        <v>46</v>
      </c>
      <c r="D42" s="9" t="s">
        <v>47</v>
      </c>
      <c r="E42" s="10" t="s">
        <v>50</v>
      </c>
      <c r="F42" s="10" t="s">
        <v>51</v>
      </c>
      <c r="G42" s="12"/>
      <c r="H42" s="12"/>
      <c r="I42" s="12"/>
    </row>
    <row r="43" spans="1:9" x14ac:dyDescent="0.55000000000000004">
      <c r="A43" s="11" t="s">
        <v>43</v>
      </c>
      <c r="B43" s="12">
        <f>B35</f>
        <v>5000</v>
      </c>
      <c r="C43" s="13">
        <f>C39</f>
        <v>1436</v>
      </c>
      <c r="D43" s="49">
        <f>E39</f>
        <v>5097800</v>
      </c>
      <c r="E43" s="17">
        <f>Rates!F17</f>
        <v>39.950000000000003</v>
      </c>
      <c r="F43" s="7">
        <f>E43*C43</f>
        <v>57368.200000000004</v>
      </c>
      <c r="G43" s="12"/>
      <c r="I43" s="12"/>
    </row>
    <row r="44" spans="1:9" x14ac:dyDescent="0.55000000000000004">
      <c r="A44" s="11" t="s">
        <v>67</v>
      </c>
      <c r="B44" s="12">
        <f>B36</f>
        <v>5000</v>
      </c>
      <c r="D44" s="49">
        <f>F39</f>
        <v>3058000</v>
      </c>
      <c r="E44" s="30">
        <f>Rates!F18</f>
        <v>5.95</v>
      </c>
      <c r="F44" s="3">
        <f>E44*(D44/1000)</f>
        <v>18195.100000000002</v>
      </c>
      <c r="G44" s="12"/>
      <c r="I44" s="12"/>
    </row>
    <row r="45" spans="1:9" x14ac:dyDescent="0.55000000000000004">
      <c r="A45" s="11" t="s">
        <v>67</v>
      </c>
      <c r="B45" s="12">
        <f>B37</f>
        <v>20000</v>
      </c>
      <c r="D45" s="49">
        <f>G39</f>
        <v>6546500</v>
      </c>
      <c r="E45" s="30">
        <f>Rates!F19</f>
        <v>4.8499999999999996</v>
      </c>
      <c r="F45" s="3">
        <f>E45*(D45/1000)</f>
        <v>31750.524999999998</v>
      </c>
      <c r="G45" s="12"/>
      <c r="I45" s="12"/>
    </row>
    <row r="46" spans="1:9" x14ac:dyDescent="0.55000000000000004">
      <c r="A46" s="11" t="s">
        <v>44</v>
      </c>
      <c r="B46" s="14">
        <f>B38</f>
        <v>30000</v>
      </c>
      <c r="C46" s="18"/>
      <c r="D46" s="50">
        <f>H39</f>
        <v>18708900</v>
      </c>
      <c r="E46" s="19">
        <f>Rates!F20</f>
        <v>3.85</v>
      </c>
      <c r="F46" s="55">
        <f>E46*(D46/1000)</f>
        <v>72029.265000000014</v>
      </c>
      <c r="G46" s="12"/>
      <c r="I46" s="12"/>
    </row>
    <row r="47" spans="1:9" x14ac:dyDescent="0.55000000000000004">
      <c r="A47" s="11"/>
      <c r="B47" s="12" t="s">
        <v>48</v>
      </c>
      <c r="C47" s="3">
        <f>SUM(C43:C46)</f>
        <v>1436</v>
      </c>
      <c r="D47" s="51">
        <f>SUM(D43:D46)</f>
        <v>33411200</v>
      </c>
      <c r="F47" s="7">
        <f>SUM(F43:F46)</f>
        <v>179343.09000000003</v>
      </c>
      <c r="G47" s="12"/>
      <c r="H47" s="12"/>
      <c r="I47" s="12"/>
    </row>
    <row r="48" spans="1:9" x14ac:dyDescent="0.55000000000000004">
      <c r="A48" s="11"/>
      <c r="B48" s="12"/>
      <c r="C48" s="3"/>
      <c r="D48" s="51"/>
      <c r="F48" s="7"/>
      <c r="G48" s="12"/>
      <c r="H48" s="12"/>
      <c r="I48" s="12"/>
    </row>
    <row r="49" spans="1:17" ht="15.6" x14ac:dyDescent="0.6">
      <c r="A49" s="98" t="s">
        <v>93</v>
      </c>
    </row>
    <row r="50" spans="1:17" ht="15.3" x14ac:dyDescent="0.55000000000000004">
      <c r="E50" s="2" t="s">
        <v>43</v>
      </c>
      <c r="F50" s="2" t="s">
        <v>67</v>
      </c>
      <c r="G50" s="2" t="s">
        <v>44</v>
      </c>
      <c r="H50"/>
      <c r="I50"/>
      <c r="O50" s="9" t="s">
        <v>71</v>
      </c>
      <c r="P50" s="9" t="s">
        <v>42</v>
      </c>
      <c r="Q50" s="9" t="s">
        <v>40</v>
      </c>
    </row>
    <row r="51" spans="1:17" ht="15.3" x14ac:dyDescent="0.55000000000000004">
      <c r="B51" s="9" t="s">
        <v>45</v>
      </c>
      <c r="C51" s="10" t="s">
        <v>46</v>
      </c>
      <c r="D51" s="10" t="s">
        <v>47</v>
      </c>
      <c r="E51" s="10">
        <f>B52</f>
        <v>15000</v>
      </c>
      <c r="F51" s="10">
        <f>B53</f>
        <v>15000</v>
      </c>
      <c r="G51" s="10">
        <f>B54</f>
        <v>30000</v>
      </c>
      <c r="H51"/>
      <c r="I51"/>
      <c r="O51" s="3">
        <v>34140</v>
      </c>
      <c r="P51" s="3">
        <v>151028000</v>
      </c>
      <c r="Q51" s="3">
        <v>1278481</v>
      </c>
    </row>
    <row r="52" spans="1:17" ht="15.3" x14ac:dyDescent="0.55000000000000004">
      <c r="A52" s="11" t="s">
        <v>43</v>
      </c>
      <c r="B52" s="12">
        <v>15000</v>
      </c>
      <c r="C52" s="49">
        <f>16+21+96</f>
        <v>133</v>
      </c>
      <c r="D52" s="49">
        <f>82600+144000+290600</f>
        <v>517200</v>
      </c>
      <c r="E52" s="49">
        <f>D52</f>
        <v>517200</v>
      </c>
      <c r="F52" s="49">
        <v>0</v>
      </c>
      <c r="G52" s="49">
        <v>0</v>
      </c>
      <c r="H52"/>
      <c r="I52"/>
      <c r="O52" s="3">
        <v>447</v>
      </c>
      <c r="P52" s="3">
        <v>5782700</v>
      </c>
      <c r="Q52" s="3">
        <v>37186</v>
      </c>
    </row>
    <row r="53" spans="1:17" ht="15.3" x14ac:dyDescent="0.55000000000000004">
      <c r="A53" s="11" t="s">
        <v>67</v>
      </c>
      <c r="B53" s="12">
        <v>15000</v>
      </c>
      <c r="C53" s="49">
        <f>8+27+27</f>
        <v>62</v>
      </c>
      <c r="D53" s="49">
        <f>182500+606700+548100</f>
        <v>1337300</v>
      </c>
      <c r="E53" s="49">
        <f>$C53*E$51</f>
        <v>930000</v>
      </c>
      <c r="F53" s="49">
        <f>D53-E53</f>
        <v>407300</v>
      </c>
      <c r="G53" s="49">
        <v>0</v>
      </c>
      <c r="H53"/>
      <c r="I53"/>
      <c r="O53" s="3">
        <v>1184</v>
      </c>
      <c r="P53" s="3">
        <v>5144700</v>
      </c>
      <c r="Q53" s="3">
        <v>46360</v>
      </c>
    </row>
    <row r="54" spans="1:17" ht="15.3" x14ac:dyDescent="0.55000000000000004">
      <c r="A54" s="11" t="s">
        <v>44</v>
      </c>
      <c r="B54" s="14">
        <v>30000</v>
      </c>
      <c r="C54" s="50">
        <f>10+7+0+15+11+14+19+16+73</f>
        <v>165</v>
      </c>
      <c r="D54" s="50">
        <f>454900+673700+623300+839000+2233000+870500+1476500+19605800</f>
        <v>26776700</v>
      </c>
      <c r="E54" s="50">
        <f>$C54*E$51</f>
        <v>2475000</v>
      </c>
      <c r="F54" s="50">
        <f>$C54*F$51</f>
        <v>2475000</v>
      </c>
      <c r="G54" s="50">
        <f>D54-(F54+E54)</f>
        <v>21826700</v>
      </c>
      <c r="H54"/>
      <c r="I54"/>
      <c r="O54" s="3">
        <v>198</v>
      </c>
      <c r="P54" s="3">
        <v>11513900</v>
      </c>
      <c r="Q54" s="3">
        <v>51994</v>
      </c>
    </row>
    <row r="55" spans="1:17" ht="15.3" x14ac:dyDescent="0.55000000000000004">
      <c r="A55" s="11"/>
      <c r="B55" s="12"/>
      <c r="C55" s="51">
        <f>SUM(C52:C54)</f>
        <v>360</v>
      </c>
      <c r="D55" s="51">
        <f>SUM(D52:D54)</f>
        <v>28631200</v>
      </c>
      <c r="E55" s="51">
        <f>SUM(E52:E54)</f>
        <v>3922200</v>
      </c>
      <c r="F55" s="51">
        <f>SUM(F52:F54)</f>
        <v>2882300</v>
      </c>
      <c r="G55" s="51">
        <f>SUM(G52:G54)</f>
        <v>21826700</v>
      </c>
      <c r="H55"/>
      <c r="I55"/>
      <c r="O55" s="3">
        <v>50459</v>
      </c>
      <c r="P55" s="3">
        <v>233217300</v>
      </c>
      <c r="Q55" s="3">
        <v>1949176</v>
      </c>
    </row>
    <row r="56" spans="1:17" x14ac:dyDescent="0.55000000000000004">
      <c r="A56" s="11"/>
      <c r="B56" s="12"/>
      <c r="D56" s="12"/>
      <c r="E56" s="12"/>
      <c r="F56" s="12"/>
      <c r="G56" s="12"/>
      <c r="H56" s="12"/>
      <c r="O56" s="3">
        <v>482</v>
      </c>
      <c r="P56" s="3">
        <v>8544600</v>
      </c>
      <c r="Q56" s="3">
        <v>49061</v>
      </c>
    </row>
    <row r="57" spans="1:17" x14ac:dyDescent="0.55000000000000004">
      <c r="A57" s="16" t="s">
        <v>49</v>
      </c>
      <c r="B57" s="16"/>
      <c r="D57" s="12"/>
      <c r="E57" s="12"/>
      <c r="F57" s="12"/>
      <c r="G57" s="12"/>
      <c r="H57" s="12"/>
      <c r="O57" s="3">
        <v>41</v>
      </c>
      <c r="P57" s="3">
        <v>1393700</v>
      </c>
      <c r="Q57" s="3">
        <v>7773</v>
      </c>
    </row>
    <row r="58" spans="1:17" x14ac:dyDescent="0.55000000000000004">
      <c r="A58" s="11"/>
      <c r="B58" s="9"/>
      <c r="C58" s="10" t="s">
        <v>46</v>
      </c>
      <c r="D58" s="9" t="s">
        <v>47</v>
      </c>
      <c r="E58" s="10" t="s">
        <v>50</v>
      </c>
      <c r="F58" s="10" t="s">
        <v>51</v>
      </c>
      <c r="G58" s="12"/>
      <c r="H58" s="12"/>
      <c r="O58" s="3">
        <v>88</v>
      </c>
      <c r="P58" s="3">
        <v>4446000</v>
      </c>
      <c r="Q58" s="3">
        <v>21763</v>
      </c>
    </row>
    <row r="59" spans="1:17" x14ac:dyDescent="0.55000000000000004">
      <c r="A59" s="11" t="s">
        <v>43</v>
      </c>
      <c r="B59" s="12">
        <f>B52</f>
        <v>15000</v>
      </c>
      <c r="C59" s="13">
        <f>C55</f>
        <v>360</v>
      </c>
      <c r="D59" s="49">
        <f>E55</f>
        <v>3922200</v>
      </c>
      <c r="E59" s="17">
        <f>Rates!F28</f>
        <v>93.95</v>
      </c>
      <c r="F59" s="7">
        <f>E59*C59</f>
        <v>33822</v>
      </c>
      <c r="G59" s="12"/>
      <c r="O59" s="3">
        <v>984</v>
      </c>
      <c r="P59" s="3">
        <v>7120100</v>
      </c>
      <c r="Q59" s="3">
        <v>50616</v>
      </c>
    </row>
    <row r="60" spans="1:17" x14ac:dyDescent="0.55000000000000004">
      <c r="A60" s="11" t="s">
        <v>67</v>
      </c>
      <c r="B60" s="12">
        <f>B53</f>
        <v>15000</v>
      </c>
      <c r="D60" s="49">
        <f>F55</f>
        <v>2882300</v>
      </c>
      <c r="E60" s="107">
        <f>Rates!F29</f>
        <v>4.8499999999999996</v>
      </c>
      <c r="F60" s="3">
        <f>E60*(D60/1000)</f>
        <v>13979.155000000001</v>
      </c>
      <c r="G60" s="12"/>
      <c r="O60" s="3">
        <v>309</v>
      </c>
      <c r="P60" s="3">
        <v>7570000</v>
      </c>
      <c r="Q60" s="3">
        <v>41102</v>
      </c>
    </row>
    <row r="61" spans="1:17" ht="16.2" x14ac:dyDescent="0.85">
      <c r="A61" s="11" t="s">
        <v>44</v>
      </c>
      <c r="B61" s="14">
        <f>B54</f>
        <v>30000</v>
      </c>
      <c r="C61" s="18"/>
      <c r="D61" s="50">
        <f>G55</f>
        <v>21826700</v>
      </c>
      <c r="E61" s="363">
        <f>Rates!F30</f>
        <v>3.85</v>
      </c>
      <c r="F61" s="55">
        <f>E61*(D61/1000)</f>
        <v>84032.794999999998</v>
      </c>
      <c r="G61" s="12"/>
      <c r="O61" s="46">
        <v>231</v>
      </c>
      <c r="P61" s="46">
        <v>22791500</v>
      </c>
      <c r="Q61" s="46">
        <v>102298</v>
      </c>
    </row>
    <row r="62" spans="1:17" x14ac:dyDescent="0.55000000000000004">
      <c r="A62" s="11"/>
      <c r="B62" s="12" t="s">
        <v>48</v>
      </c>
      <c r="C62" s="3">
        <f>SUM(C59:C61)</f>
        <v>360</v>
      </c>
      <c r="D62" s="51">
        <f>SUM(D59:D61)</f>
        <v>28631200</v>
      </c>
      <c r="F62" s="7">
        <f>SUM(F59:F61)</f>
        <v>131833.95000000001</v>
      </c>
      <c r="G62" s="12"/>
      <c r="H62" s="12"/>
      <c r="O62" s="3">
        <f>SUM(O51:O61)</f>
        <v>88563</v>
      </c>
      <c r="P62" s="3">
        <f t="shared" ref="P62:Q62" si="2">SUM(P51:P61)</f>
        <v>458552500</v>
      </c>
      <c r="Q62" s="3">
        <f t="shared" si="2"/>
        <v>3635810</v>
      </c>
    </row>
    <row r="63" spans="1:17" x14ac:dyDescent="0.55000000000000004">
      <c r="A63" s="11"/>
      <c r="B63" s="12"/>
      <c r="C63" s="3"/>
      <c r="D63" s="51"/>
      <c r="F63" s="7"/>
      <c r="G63" s="12"/>
      <c r="H63" s="12"/>
      <c r="O63" s="3"/>
      <c r="P63" s="3"/>
      <c r="Q63" s="3"/>
    </row>
    <row r="65" spans="1:4" x14ac:dyDescent="0.55000000000000004">
      <c r="A65" s="8" t="s">
        <v>137</v>
      </c>
    </row>
    <row r="66" spans="1:4" x14ac:dyDescent="0.55000000000000004">
      <c r="B66" s="10" t="s">
        <v>138</v>
      </c>
      <c r="C66" s="10" t="s">
        <v>50</v>
      </c>
      <c r="D66" s="9" t="s">
        <v>48</v>
      </c>
    </row>
    <row r="67" spans="1:4" x14ac:dyDescent="0.55000000000000004">
      <c r="A67" s="11" t="s">
        <v>370</v>
      </c>
      <c r="B67" s="3">
        <v>131726</v>
      </c>
      <c r="C67" s="348">
        <f>Rates!$F$33</f>
        <v>2.59</v>
      </c>
      <c r="D67" s="7">
        <f>B67*C67</f>
        <v>341170.33999999997</v>
      </c>
    </row>
    <row r="68" spans="1:4" x14ac:dyDescent="0.55000000000000004">
      <c r="A68" s="11" t="s">
        <v>478</v>
      </c>
      <c r="B68" s="3">
        <f>Resale!U20</f>
        <v>248022.16602316604</v>
      </c>
      <c r="C68" s="30">
        <f>Rates!$F$33</f>
        <v>2.59</v>
      </c>
      <c r="D68" s="3">
        <f>B68*C68</f>
        <v>642377.41</v>
      </c>
    </row>
    <row r="69" spans="1:4" x14ac:dyDescent="0.55000000000000004">
      <c r="A69" s="11" t="s">
        <v>366</v>
      </c>
      <c r="B69" s="3">
        <v>109429</v>
      </c>
      <c r="C69" s="30">
        <f>Rates!$F$33</f>
        <v>2.59</v>
      </c>
      <c r="D69" s="3">
        <f>B69*C69</f>
        <v>283421.11</v>
      </c>
    </row>
    <row r="70" spans="1:4" x14ac:dyDescent="0.55000000000000004">
      <c r="A70" s="11" t="s">
        <v>367</v>
      </c>
      <c r="B70" s="3">
        <v>92184</v>
      </c>
      <c r="C70" s="30">
        <f>Rates!$F$33</f>
        <v>2.59</v>
      </c>
      <c r="D70" s="3">
        <f t="shared" ref="D70:D72" si="3">B70*C70</f>
        <v>238756.56</v>
      </c>
    </row>
    <row r="71" spans="1:4" x14ac:dyDescent="0.55000000000000004">
      <c r="A71" s="11" t="s">
        <v>368</v>
      </c>
      <c r="B71" s="3">
        <v>32283</v>
      </c>
      <c r="C71" s="30">
        <f>Rates!$F$33</f>
        <v>2.59</v>
      </c>
      <c r="D71" s="3">
        <f t="shared" si="3"/>
        <v>83612.97</v>
      </c>
    </row>
    <row r="72" spans="1:4" ht="16.2" x14ac:dyDescent="0.85">
      <c r="A72" s="11" t="s">
        <v>369</v>
      </c>
      <c r="B72" s="46">
        <v>15619</v>
      </c>
      <c r="C72" s="30">
        <f>Rates!$F$33</f>
        <v>2.59</v>
      </c>
      <c r="D72" s="46">
        <f t="shared" si="3"/>
        <v>40453.21</v>
      </c>
    </row>
    <row r="73" spans="1:4" x14ac:dyDescent="0.55000000000000004">
      <c r="B73" s="3">
        <f>SUM(B67:B72)</f>
        <v>629263.16602316604</v>
      </c>
      <c r="D73" s="3">
        <f>SUM(D67:D72)</f>
        <v>1629791.5999999999</v>
      </c>
    </row>
    <row r="75" spans="1:4" x14ac:dyDescent="0.55000000000000004">
      <c r="A75" s="11" t="s">
        <v>479</v>
      </c>
      <c r="B75" s="1" t="s">
        <v>480</v>
      </c>
    </row>
  </sheetData>
  <mergeCells count="2">
    <mergeCell ref="A1:H1"/>
    <mergeCell ref="A2:H2"/>
  </mergeCells>
  <printOptions horizontalCentered="1"/>
  <pageMargins left="0.7" right="0.6" top="0.6" bottom="0.6" header="0.3" footer="0.3"/>
  <pageSetup scale="82" fitToHeight="2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8"/>
  <sheetViews>
    <sheetView workbookViewId="0">
      <selection activeCell="A2" sqref="A2"/>
    </sheetView>
  </sheetViews>
  <sheetFormatPr defaultColWidth="8.86328125" defaultRowHeight="14.4" x14ac:dyDescent="0.55000000000000004"/>
  <cols>
    <col min="1" max="1" width="3.76953125" style="1" customWidth="1"/>
    <col min="2" max="2" width="10.6796875" style="1" customWidth="1"/>
    <col min="3" max="3" width="8.08984375" style="1" customWidth="1"/>
    <col min="4" max="4" width="9.2265625" style="1" customWidth="1"/>
    <col min="5" max="5" width="10.86328125" style="1" customWidth="1"/>
    <col min="6" max="7" width="9.76953125" style="1" customWidth="1"/>
    <col min="8" max="8" width="11.6796875" style="1" customWidth="1"/>
    <col min="9" max="9" width="11.2265625" style="1" customWidth="1"/>
    <col min="10" max="10" width="15.453125" style="107" customWidth="1"/>
    <col min="11" max="15" width="8.54296875" style="1" customWidth="1"/>
    <col min="16" max="16" width="10.76953125" style="1" customWidth="1"/>
    <col min="17" max="17" width="10.86328125" style="1" customWidth="1"/>
    <col min="18" max="18" width="9.86328125" style="1" customWidth="1"/>
    <col min="19" max="19" width="8.86328125" style="1"/>
    <col min="20" max="20" width="8.08984375" style="1" customWidth="1"/>
    <col min="21" max="16384" width="8.86328125" style="1"/>
  </cols>
  <sheetData>
    <row r="1" spans="1:21" ht="18.3" x14ac:dyDescent="0.55000000000000004">
      <c r="B1" s="44" t="s">
        <v>327</v>
      </c>
      <c r="E1" s="111"/>
      <c r="F1" s="111"/>
      <c r="G1" s="111"/>
    </row>
    <row r="2" spans="1:21" x14ac:dyDescent="0.55000000000000004">
      <c r="D2" s="110"/>
      <c r="E2" s="111"/>
      <c r="F2" s="111"/>
      <c r="G2" s="111"/>
    </row>
    <row r="3" spans="1:21" x14ac:dyDescent="0.55000000000000004">
      <c r="A3" s="3"/>
      <c r="B3" s="133" t="s">
        <v>53</v>
      </c>
      <c r="C3" s="20"/>
      <c r="D3" s="20"/>
      <c r="E3" s="20"/>
      <c r="F3" s="20"/>
      <c r="J3" s="133" t="s">
        <v>115</v>
      </c>
      <c r="R3" s="133" t="s">
        <v>127</v>
      </c>
    </row>
    <row r="4" spans="1:21" ht="15.3" x14ac:dyDescent="0.55000000000000004">
      <c r="A4" s="3"/>
      <c r="I4"/>
      <c r="P4" s="2" t="s">
        <v>201</v>
      </c>
      <c r="Q4"/>
    </row>
    <row r="5" spans="1:21" ht="15.3" x14ac:dyDescent="0.55000000000000004">
      <c r="A5" s="3"/>
      <c r="B5" s="20" t="s">
        <v>54</v>
      </c>
      <c r="C5" s="20"/>
      <c r="D5" s="20">
        <v>1774828</v>
      </c>
      <c r="E5" s="20"/>
      <c r="F5" s="17"/>
      <c r="I5"/>
      <c r="K5" s="2" t="s">
        <v>78</v>
      </c>
      <c r="L5" s="2" t="s">
        <v>78</v>
      </c>
      <c r="M5" s="2" t="s">
        <v>377</v>
      </c>
      <c r="N5" s="2" t="s">
        <v>78</v>
      </c>
      <c r="O5" s="2" t="s">
        <v>78</v>
      </c>
      <c r="P5" s="2" t="s">
        <v>78</v>
      </c>
      <c r="Q5" s="117"/>
      <c r="R5" s="1" t="s">
        <v>449</v>
      </c>
      <c r="S5" s="73"/>
      <c r="T5" s="73"/>
      <c r="U5" s="73"/>
    </row>
    <row r="6" spans="1:21" ht="15.3" x14ac:dyDescent="0.55000000000000004">
      <c r="A6" s="3"/>
      <c r="B6" s="20" t="s">
        <v>55</v>
      </c>
      <c r="C6" s="20"/>
      <c r="D6" s="20">
        <v>1060079</v>
      </c>
      <c r="E6" s="20"/>
      <c r="F6" s="20"/>
      <c r="I6"/>
      <c r="J6" s="370" t="s">
        <v>378</v>
      </c>
      <c r="K6" s="9" t="s">
        <v>379</v>
      </c>
      <c r="L6" s="9" t="s">
        <v>380</v>
      </c>
      <c r="M6" s="9" t="s">
        <v>381</v>
      </c>
      <c r="N6" s="9" t="s">
        <v>382</v>
      </c>
      <c r="O6" s="9" t="s">
        <v>383</v>
      </c>
      <c r="P6" s="9" t="s">
        <v>384</v>
      </c>
      <c r="Q6" s="116"/>
      <c r="R6" s="136"/>
      <c r="S6" s="3"/>
      <c r="T6" s="107"/>
      <c r="U6" s="3"/>
    </row>
    <row r="7" spans="1:21" ht="17.100000000000001" x14ac:dyDescent="0.85">
      <c r="A7" s="3"/>
      <c r="B7" s="20" t="s">
        <v>56</v>
      </c>
      <c r="C7" s="20"/>
      <c r="D7" s="20"/>
      <c r="E7" s="20"/>
      <c r="F7" s="20"/>
      <c r="I7"/>
      <c r="J7" s="107" t="s">
        <v>392</v>
      </c>
      <c r="K7" s="30">
        <f>13+80+1759+160+96+42</f>
        <v>2150</v>
      </c>
      <c r="L7" s="30">
        <v>194.5</v>
      </c>
      <c r="M7" s="30">
        <v>20.53</v>
      </c>
      <c r="N7" s="13">
        <f>K7*M7</f>
        <v>44139.5</v>
      </c>
      <c r="O7" s="13">
        <f>L7*M7*1.5</f>
        <v>5989.6275000000005</v>
      </c>
      <c r="P7" s="13">
        <f>N7+O7</f>
        <v>50129.127500000002</v>
      </c>
      <c r="Q7" s="46"/>
      <c r="U7" s="46"/>
    </row>
    <row r="8" spans="1:21" ht="15.3" x14ac:dyDescent="0.55000000000000004">
      <c r="A8" s="3"/>
      <c r="B8" s="1" t="s">
        <v>57</v>
      </c>
      <c r="C8" s="20">
        <v>92263</v>
      </c>
      <c r="D8" s="20"/>
      <c r="E8" s="20"/>
      <c r="F8" s="20"/>
      <c r="I8"/>
      <c r="J8" s="107" t="s">
        <v>393</v>
      </c>
      <c r="K8" s="107">
        <f>68+80+1761+51+120+19</f>
        <v>2099</v>
      </c>
      <c r="L8" s="107">
        <v>188.5</v>
      </c>
      <c r="M8" s="30">
        <v>25.86</v>
      </c>
      <c r="N8" s="13">
        <f t="shared" ref="N8:N36" si="0">K8*M8</f>
        <v>54280.14</v>
      </c>
      <c r="O8" s="13">
        <f t="shared" ref="O8:O36" si="1">L8*M8*1.5</f>
        <v>7311.9149999999991</v>
      </c>
      <c r="P8" s="13">
        <f t="shared" ref="P8:P36" si="2">N8+O8</f>
        <v>61592.055</v>
      </c>
      <c r="Q8" s="365"/>
      <c r="U8" s="3"/>
    </row>
    <row r="9" spans="1:21" ht="15.3" x14ac:dyDescent="0.55000000000000004">
      <c r="A9" s="3"/>
      <c r="B9" s="20" t="s">
        <v>58</v>
      </c>
      <c r="C9" s="20">
        <v>54472</v>
      </c>
      <c r="D9" s="20"/>
      <c r="E9" s="20"/>
      <c r="F9" s="20"/>
      <c r="I9"/>
      <c r="J9" s="107" t="s">
        <v>394</v>
      </c>
      <c r="K9" s="30">
        <f>90+80+1763+8+139+26</f>
        <v>2106</v>
      </c>
      <c r="L9" s="30">
        <v>40</v>
      </c>
      <c r="M9" s="30">
        <v>32.5</v>
      </c>
      <c r="N9" s="13">
        <f t="shared" si="0"/>
        <v>68445</v>
      </c>
      <c r="O9" s="13">
        <f t="shared" si="1"/>
        <v>1950</v>
      </c>
      <c r="P9" s="13">
        <f t="shared" si="2"/>
        <v>70395</v>
      </c>
      <c r="R9" s="133" t="s">
        <v>597</v>
      </c>
      <c r="U9" s="3"/>
    </row>
    <row r="10" spans="1:21" ht="15.3" x14ac:dyDescent="0.55000000000000004">
      <c r="A10" s="3"/>
      <c r="B10" s="20" t="s">
        <v>59</v>
      </c>
      <c r="C10" s="20">
        <v>10000</v>
      </c>
      <c r="D10" s="20"/>
      <c r="E10" s="20"/>
      <c r="F10" s="20"/>
      <c r="I10"/>
      <c r="J10" s="107" t="s">
        <v>395</v>
      </c>
      <c r="K10" s="107">
        <f>39+72+1746+43.2+239+247</f>
        <v>2386.1999999999998</v>
      </c>
      <c r="L10" s="107">
        <v>89.5</v>
      </c>
      <c r="M10" s="30">
        <v>27.96</v>
      </c>
      <c r="N10" s="13">
        <f t="shared" si="0"/>
        <v>66718.152000000002</v>
      </c>
      <c r="O10" s="13">
        <f t="shared" si="1"/>
        <v>3753.63</v>
      </c>
      <c r="P10" s="13">
        <f t="shared" si="2"/>
        <v>70471.782000000007</v>
      </c>
      <c r="Q10" s="48"/>
      <c r="R10" s="1" t="s">
        <v>598</v>
      </c>
      <c r="T10" s="3">
        <v>65000</v>
      </c>
      <c r="U10" s="124"/>
    </row>
    <row r="11" spans="1:21" ht="17.100000000000001" x14ac:dyDescent="0.85">
      <c r="A11" s="3"/>
      <c r="B11" s="20" t="s">
        <v>60</v>
      </c>
      <c r="C11" s="31">
        <f>86953+243688</f>
        <v>330641</v>
      </c>
      <c r="D11" s="20"/>
      <c r="E11" s="20"/>
      <c r="F11" s="20"/>
      <c r="I11"/>
      <c r="J11" s="107" t="s">
        <v>396</v>
      </c>
      <c r="K11" s="30">
        <f>49+80+4+1767+84+96+7</f>
        <v>2087</v>
      </c>
      <c r="L11" s="30">
        <v>129.5</v>
      </c>
      <c r="M11" s="30">
        <v>26</v>
      </c>
      <c r="N11" s="13">
        <f t="shared" si="0"/>
        <v>54262</v>
      </c>
      <c r="O11" s="13">
        <f t="shared" si="1"/>
        <v>5050.5</v>
      </c>
      <c r="P11" s="13">
        <f t="shared" si="2"/>
        <v>59312.5</v>
      </c>
      <c r="Q11" s="261"/>
      <c r="R11" s="1" t="s">
        <v>599</v>
      </c>
      <c r="T11" s="537">
        <f>3750+6250</f>
        <v>10000</v>
      </c>
      <c r="U11" s="125"/>
    </row>
    <row r="12" spans="1:21" ht="15.3" x14ac:dyDescent="0.55000000000000004">
      <c r="A12" s="3"/>
      <c r="B12" s="20"/>
      <c r="C12" s="20"/>
      <c r="D12" s="20">
        <f>SUM(C8:C11)</f>
        <v>487376</v>
      </c>
      <c r="E12" s="20"/>
      <c r="F12" s="20"/>
      <c r="I12"/>
      <c r="J12" s="107" t="s">
        <v>397</v>
      </c>
      <c r="K12" s="107">
        <f>86+80+1+8+1690+120+96+15</f>
        <v>2096</v>
      </c>
      <c r="L12" s="107">
        <v>73.5</v>
      </c>
      <c r="M12" s="30">
        <v>21.56</v>
      </c>
      <c r="N12" s="13">
        <f t="shared" si="0"/>
        <v>45189.759999999995</v>
      </c>
      <c r="O12" s="13">
        <f t="shared" si="1"/>
        <v>2376.9899999999998</v>
      </c>
      <c r="P12" s="13">
        <f t="shared" si="2"/>
        <v>47566.749999999993</v>
      </c>
      <c r="Q12" s="3"/>
      <c r="S12" s="11" t="s">
        <v>600</v>
      </c>
      <c r="T12" s="48">
        <f>T10+T11</f>
        <v>75000</v>
      </c>
      <c r="U12" s="126"/>
    </row>
    <row r="13" spans="1:21" ht="15.3" x14ac:dyDescent="0.55000000000000004">
      <c r="A13" s="3"/>
      <c r="B13" s="20" t="s">
        <v>391</v>
      </c>
      <c r="C13" s="20">
        <f>12042+59324</f>
        <v>71366</v>
      </c>
      <c r="D13" s="20"/>
      <c r="E13" s="20"/>
      <c r="F13" s="20"/>
      <c r="I13"/>
      <c r="J13" s="107" t="s">
        <v>398</v>
      </c>
      <c r="K13" s="30">
        <f>6+32+546+16+1.5</f>
        <v>601.5</v>
      </c>
      <c r="L13" s="30">
        <v>25</v>
      </c>
      <c r="M13" s="30">
        <v>18.28</v>
      </c>
      <c r="N13" s="13">
        <f t="shared" si="0"/>
        <v>10995.42</v>
      </c>
      <c r="O13" s="13">
        <f t="shared" si="1"/>
        <v>685.5</v>
      </c>
      <c r="P13" s="13">
        <f t="shared" si="2"/>
        <v>11680.92</v>
      </c>
      <c r="Q13" s="4"/>
      <c r="S13" s="11"/>
      <c r="T13" s="48"/>
    </row>
    <row r="14" spans="1:21" ht="15.3" x14ac:dyDescent="0.55000000000000004">
      <c r="A14" s="3"/>
      <c r="B14" s="20" t="s">
        <v>61</v>
      </c>
      <c r="C14" s="20">
        <v>44987</v>
      </c>
      <c r="D14" s="20"/>
      <c r="E14" s="20"/>
      <c r="F14" s="20"/>
      <c r="I14"/>
      <c r="J14" s="107" t="s">
        <v>399</v>
      </c>
      <c r="K14" s="30">
        <f>61+64+4+1759+8+8+7</f>
        <v>1911</v>
      </c>
      <c r="L14" s="30">
        <v>71.5</v>
      </c>
      <c r="M14" s="30">
        <v>20.73</v>
      </c>
      <c r="N14" s="13">
        <f t="shared" si="0"/>
        <v>39615.03</v>
      </c>
      <c r="O14" s="13">
        <f t="shared" si="1"/>
        <v>2223.2925</v>
      </c>
      <c r="P14" s="13">
        <f t="shared" si="2"/>
        <v>41838.322500000002</v>
      </c>
      <c r="Q14" s="4"/>
      <c r="S14" s="11" t="s">
        <v>601</v>
      </c>
      <c r="T14" s="48">
        <f>T12/3</f>
        <v>25000</v>
      </c>
    </row>
    <row r="15" spans="1:21" ht="15.3" x14ac:dyDescent="0.55000000000000004">
      <c r="A15" s="3"/>
      <c r="B15" s="20" t="s">
        <v>62</v>
      </c>
      <c r="C15" s="31">
        <v>111026</v>
      </c>
      <c r="D15" s="20"/>
      <c r="E15" s="20"/>
      <c r="F15" s="20"/>
      <c r="I15"/>
      <c r="J15" s="107" t="s">
        <v>400</v>
      </c>
      <c r="K15" s="107">
        <f>54+32+1078+35.2+100+4</f>
        <v>1303.2</v>
      </c>
      <c r="L15" s="107">
        <v>77.5</v>
      </c>
      <c r="M15" s="30">
        <v>10</v>
      </c>
      <c r="N15" s="13">
        <f t="shared" si="0"/>
        <v>13032</v>
      </c>
      <c r="O15" s="13">
        <f t="shared" si="1"/>
        <v>1162.5</v>
      </c>
      <c r="P15" s="13">
        <f t="shared" si="2"/>
        <v>14194.5</v>
      </c>
      <c r="Q15" s="4"/>
    </row>
    <row r="16" spans="1:21" ht="15.3" x14ac:dyDescent="0.55000000000000004">
      <c r="A16" s="3"/>
      <c r="B16" s="20"/>
      <c r="C16" s="20"/>
      <c r="D16" s="20">
        <f>SUM(C13:C15)</f>
        <v>227379</v>
      </c>
      <c r="E16" s="32">
        <f>D16/D5</f>
        <v>0.12811325942570209</v>
      </c>
      <c r="F16" s="20" t="s">
        <v>63</v>
      </c>
      <c r="I16"/>
      <c r="J16" s="107" t="s">
        <v>401</v>
      </c>
      <c r="K16" s="107">
        <f>54+32+1078+35.2+100+4</f>
        <v>1303.2</v>
      </c>
      <c r="L16" s="107">
        <v>77.5</v>
      </c>
      <c r="M16" s="30">
        <v>10</v>
      </c>
      <c r="N16" s="13">
        <f t="shared" si="0"/>
        <v>13032</v>
      </c>
      <c r="O16" s="13">
        <f t="shared" si="1"/>
        <v>1162.5</v>
      </c>
      <c r="P16" s="13">
        <f t="shared" si="2"/>
        <v>14194.5</v>
      </c>
      <c r="Q16" s="4"/>
    </row>
    <row r="17" spans="1:23" ht="15.3" x14ac:dyDescent="0.55000000000000004">
      <c r="A17" s="3"/>
      <c r="B17" s="6" t="s">
        <v>64</v>
      </c>
      <c r="C17" s="20">
        <f>SUM(D6:D16)</f>
        <v>1774834</v>
      </c>
      <c r="E17" s="54">
        <v>0.15</v>
      </c>
      <c r="F17" s="20" t="s">
        <v>65</v>
      </c>
      <c r="I17"/>
      <c r="J17" s="107" t="s">
        <v>426</v>
      </c>
      <c r="K17" s="107">
        <f>96+1815+83.2+185</f>
        <v>2179.1999999999998</v>
      </c>
      <c r="L17" s="107">
        <v>0</v>
      </c>
      <c r="M17" s="30">
        <v>40.869999999999997</v>
      </c>
      <c r="N17" s="13">
        <f t="shared" si="0"/>
        <v>89063.90399999998</v>
      </c>
      <c r="O17" s="13">
        <f t="shared" si="1"/>
        <v>0</v>
      </c>
      <c r="P17" s="13">
        <f t="shared" si="2"/>
        <v>89063.90399999998</v>
      </c>
      <c r="Q17" s="4"/>
    </row>
    <row r="18" spans="1:23" ht="15.3" x14ac:dyDescent="0.55000000000000004">
      <c r="A18" s="3"/>
      <c r="B18" s="33"/>
      <c r="C18" s="20"/>
      <c r="D18" s="20"/>
      <c r="E18" s="120">
        <f>E16-E17</f>
        <v>-2.1886740574297903E-2</v>
      </c>
      <c r="F18" s="121" t="s">
        <v>131</v>
      </c>
      <c r="I18"/>
      <c r="J18" s="107" t="s">
        <v>402</v>
      </c>
      <c r="K18" s="30">
        <f>56+959+318.2+144</f>
        <v>1477.2</v>
      </c>
      <c r="L18" s="30">
        <v>0</v>
      </c>
      <c r="M18" s="30">
        <v>28</v>
      </c>
      <c r="N18" s="13">
        <f t="shared" si="0"/>
        <v>41361.599999999999</v>
      </c>
      <c r="O18" s="13">
        <f t="shared" si="1"/>
        <v>0</v>
      </c>
      <c r="P18" s="13">
        <f t="shared" si="2"/>
        <v>41361.599999999999</v>
      </c>
      <c r="Q18" s="4"/>
    </row>
    <row r="19" spans="1:23" ht="15.3" x14ac:dyDescent="0.55000000000000004">
      <c r="A19" s="3"/>
      <c r="I19"/>
      <c r="J19" s="107" t="s">
        <v>403</v>
      </c>
      <c r="K19" s="30">
        <f>96+1909+39.2+95</f>
        <v>2139.1999999999998</v>
      </c>
      <c r="L19" s="30">
        <v>241</v>
      </c>
      <c r="M19" s="30">
        <v>28</v>
      </c>
      <c r="N19" s="13">
        <f t="shared" si="0"/>
        <v>59897.599999999991</v>
      </c>
      <c r="O19" s="13">
        <f t="shared" si="1"/>
        <v>10122</v>
      </c>
      <c r="P19" s="13">
        <f t="shared" si="2"/>
        <v>70019.599999999991</v>
      </c>
      <c r="Q19" s="4"/>
    </row>
    <row r="20" spans="1:23" ht="15.3" x14ac:dyDescent="0.55000000000000004">
      <c r="A20" s="3"/>
      <c r="I20"/>
      <c r="J20" s="107" t="s">
        <v>424</v>
      </c>
      <c r="K20" s="107">
        <f>96+1501+433+120</f>
        <v>2150</v>
      </c>
      <c r="L20" s="107">
        <v>126</v>
      </c>
      <c r="M20" s="30">
        <v>18</v>
      </c>
      <c r="N20" s="13">
        <f t="shared" si="0"/>
        <v>38700</v>
      </c>
      <c r="O20" s="13">
        <f t="shared" si="1"/>
        <v>3402</v>
      </c>
      <c r="P20" s="13">
        <f t="shared" si="2"/>
        <v>42102</v>
      </c>
      <c r="Q20" s="4"/>
    </row>
    <row r="21" spans="1:23" ht="15.3" x14ac:dyDescent="0.55000000000000004">
      <c r="A21" s="3"/>
      <c r="B21" s="371" t="s">
        <v>81</v>
      </c>
      <c r="C21" s="30"/>
      <c r="D21" s="30"/>
      <c r="E21" s="13"/>
      <c r="I21"/>
      <c r="J21" s="107" t="s">
        <v>404</v>
      </c>
      <c r="K21" s="107">
        <f>96+1632+74+64</f>
        <v>1866</v>
      </c>
      <c r="L21" s="107">
        <v>143</v>
      </c>
      <c r="M21" s="30">
        <v>15</v>
      </c>
      <c r="N21" s="13">
        <f t="shared" si="0"/>
        <v>27990</v>
      </c>
      <c r="O21" s="13">
        <f t="shared" si="1"/>
        <v>3217.5</v>
      </c>
      <c r="P21" s="13">
        <f t="shared" si="2"/>
        <v>31207.5</v>
      </c>
      <c r="Q21" s="4"/>
    </row>
    <row r="22" spans="1:23" ht="17.100000000000001" x14ac:dyDescent="0.85">
      <c r="A22" s="3"/>
      <c r="E22" s="113" t="s">
        <v>97</v>
      </c>
      <c r="F22" s="113" t="s">
        <v>98</v>
      </c>
      <c r="G22" s="113" t="s">
        <v>100</v>
      </c>
      <c r="H22" s="113" t="s">
        <v>78</v>
      </c>
      <c r="I22"/>
      <c r="J22" s="107" t="s">
        <v>405</v>
      </c>
      <c r="K22" s="30">
        <f>96+1882+49.2+112</f>
        <v>2139.1999999999998</v>
      </c>
      <c r="L22" s="30">
        <v>85</v>
      </c>
      <c r="M22" s="30">
        <v>19</v>
      </c>
      <c r="N22" s="13">
        <f t="shared" si="0"/>
        <v>40644.799999999996</v>
      </c>
      <c r="O22" s="13">
        <f t="shared" si="1"/>
        <v>2422.5</v>
      </c>
      <c r="P22" s="13">
        <f t="shared" si="2"/>
        <v>43067.299999999996</v>
      </c>
      <c r="Q22" s="4"/>
    </row>
    <row r="23" spans="1:23" ht="17.100000000000001" x14ac:dyDescent="0.85">
      <c r="E23" s="113" t="s">
        <v>102</v>
      </c>
      <c r="F23" s="113" t="s">
        <v>99</v>
      </c>
      <c r="G23" s="113" t="s">
        <v>101</v>
      </c>
      <c r="H23" s="113" t="s">
        <v>97</v>
      </c>
      <c r="I23"/>
      <c r="J23" s="107" t="s">
        <v>406</v>
      </c>
      <c r="K23" s="107">
        <f>88+1885+64.2+104</f>
        <v>2141.1999999999998</v>
      </c>
      <c r="L23" s="107">
        <v>246</v>
      </c>
      <c r="M23" s="30">
        <v>15</v>
      </c>
      <c r="N23" s="13">
        <f t="shared" si="0"/>
        <v>32117.999999999996</v>
      </c>
      <c r="O23" s="13">
        <f t="shared" si="1"/>
        <v>5535</v>
      </c>
      <c r="P23" s="13">
        <f t="shared" si="2"/>
        <v>37653</v>
      </c>
      <c r="Q23" s="4"/>
    </row>
    <row r="24" spans="1:23" ht="15.3" x14ac:dyDescent="0.55000000000000004">
      <c r="B24" s="20" t="s">
        <v>123</v>
      </c>
      <c r="C24" s="107">
        <v>459.38</v>
      </c>
      <c r="D24" s="3">
        <v>29</v>
      </c>
      <c r="E24" s="107">
        <f>C24*D24</f>
        <v>13322.02</v>
      </c>
      <c r="F24" s="114">
        <v>0.22</v>
      </c>
      <c r="G24" s="107">
        <f>E24*F24</f>
        <v>2930.8444</v>
      </c>
      <c r="H24" s="107">
        <f>E24-G24</f>
        <v>10391.1756</v>
      </c>
      <c r="I24"/>
      <c r="J24" s="107" t="s">
        <v>407</v>
      </c>
      <c r="K24" s="30">
        <f>80+1674+230+96</f>
        <v>2080</v>
      </c>
      <c r="L24" s="30">
        <v>1</v>
      </c>
      <c r="M24" s="30">
        <v>28</v>
      </c>
      <c r="N24" s="13">
        <f t="shared" si="0"/>
        <v>58240</v>
      </c>
      <c r="O24" s="13">
        <f t="shared" si="1"/>
        <v>42</v>
      </c>
      <c r="P24" s="13">
        <f t="shared" si="2"/>
        <v>58282</v>
      </c>
      <c r="Q24" s="4"/>
    </row>
    <row r="25" spans="1:23" ht="17.100000000000001" x14ac:dyDescent="0.85">
      <c r="B25" s="20" t="s">
        <v>451</v>
      </c>
      <c r="C25" s="107">
        <v>20.41</v>
      </c>
      <c r="D25" s="3">
        <v>29</v>
      </c>
      <c r="E25" s="108">
        <f>C25*D25</f>
        <v>591.89</v>
      </c>
      <c r="F25" s="114">
        <v>0.4</v>
      </c>
      <c r="G25" s="107">
        <f>E25*F25</f>
        <v>236.756</v>
      </c>
      <c r="H25" s="108">
        <f>E25-G25</f>
        <v>355.13400000000001</v>
      </c>
      <c r="I25"/>
      <c r="J25" s="107" t="s">
        <v>408</v>
      </c>
      <c r="K25" s="30">
        <f>80+1568+163.2+328</f>
        <v>2139.1999999999998</v>
      </c>
      <c r="L25" s="30">
        <v>0</v>
      </c>
      <c r="M25" s="30">
        <v>37.380000000000003</v>
      </c>
      <c r="N25" s="13">
        <f t="shared" si="0"/>
        <v>79963.296000000002</v>
      </c>
      <c r="O25" s="13">
        <f t="shared" si="1"/>
        <v>0</v>
      </c>
      <c r="P25" s="13">
        <f t="shared" si="2"/>
        <v>79963.296000000002</v>
      </c>
      <c r="Q25" s="4"/>
    </row>
    <row r="26" spans="1:23" ht="15.3" x14ac:dyDescent="0.55000000000000004">
      <c r="B26" s="20"/>
      <c r="C26" s="20"/>
      <c r="D26" s="160" t="s">
        <v>141</v>
      </c>
      <c r="E26" s="107">
        <f>SUM(E24:E25)</f>
        <v>13913.91</v>
      </c>
      <c r="G26" s="115" t="s">
        <v>103</v>
      </c>
      <c r="H26" s="107">
        <f>SUM(H24:H25)</f>
        <v>10746.309600000001</v>
      </c>
      <c r="I26"/>
      <c r="J26" s="107" t="s">
        <v>409</v>
      </c>
      <c r="K26" s="30">
        <v>2080</v>
      </c>
      <c r="L26" s="30"/>
      <c r="M26" s="30">
        <v>40.869999999999997</v>
      </c>
      <c r="N26" s="13">
        <f t="shared" si="0"/>
        <v>85009.599999999991</v>
      </c>
      <c r="O26" s="13">
        <f t="shared" si="1"/>
        <v>0</v>
      </c>
      <c r="P26" s="13">
        <f t="shared" si="2"/>
        <v>85009.599999999991</v>
      </c>
      <c r="Q26" s="4"/>
    </row>
    <row r="27" spans="1:23" ht="15.3" x14ac:dyDescent="0.55000000000000004">
      <c r="B27" s="20"/>
      <c r="C27" s="20"/>
      <c r="D27" s="160" t="s">
        <v>141</v>
      </c>
      <c r="E27" s="107">
        <f>E26*12</f>
        <v>166966.91999999998</v>
      </c>
      <c r="G27" s="115" t="s">
        <v>104</v>
      </c>
      <c r="H27" s="107">
        <f>H26*12</f>
        <v>128955.71520000001</v>
      </c>
      <c r="I27"/>
      <c r="J27" s="107" t="s">
        <v>410</v>
      </c>
      <c r="K27" s="30">
        <f>80+1583.5+255.5+140</f>
        <v>2059</v>
      </c>
      <c r="L27" s="30">
        <v>0</v>
      </c>
      <c r="M27" s="30">
        <v>19.34</v>
      </c>
      <c r="N27" s="13">
        <f t="shared" si="0"/>
        <v>39821.06</v>
      </c>
      <c r="O27" s="13">
        <f t="shared" si="1"/>
        <v>0</v>
      </c>
      <c r="P27" s="13">
        <f t="shared" si="2"/>
        <v>39821.06</v>
      </c>
      <c r="Q27" s="4"/>
    </row>
    <row r="28" spans="1:23" ht="17.100000000000001" x14ac:dyDescent="0.85">
      <c r="B28" s="20"/>
      <c r="C28" s="20"/>
      <c r="D28" s="20"/>
      <c r="E28" s="107"/>
      <c r="G28" s="115" t="s">
        <v>105</v>
      </c>
      <c r="H28" s="108">
        <f>-(K46+K47)</f>
        <v>-189244</v>
      </c>
      <c r="I28"/>
      <c r="J28" s="107" t="s">
        <v>411</v>
      </c>
      <c r="K28" s="30">
        <f>80+1848+75.2+96</f>
        <v>2099.1999999999998</v>
      </c>
      <c r="L28" s="30">
        <v>27</v>
      </c>
      <c r="M28" s="30">
        <v>20.399999999999999</v>
      </c>
      <c r="N28" s="13">
        <f t="shared" si="0"/>
        <v>42823.679999999993</v>
      </c>
      <c r="O28" s="13">
        <f t="shared" si="1"/>
        <v>826.19999999999993</v>
      </c>
      <c r="P28" s="13">
        <f t="shared" si="2"/>
        <v>43649.87999999999</v>
      </c>
      <c r="Q28" s="4"/>
      <c r="S28" s="3"/>
    </row>
    <row r="29" spans="1:23" ht="15.3" x14ac:dyDescent="0.55000000000000004">
      <c r="B29" s="20"/>
      <c r="C29" s="20"/>
      <c r="D29" s="20"/>
      <c r="E29" s="107"/>
      <c r="F29" s="121"/>
      <c r="G29" s="122" t="s">
        <v>452</v>
      </c>
      <c r="H29" s="121">
        <f>H27+H28</f>
        <v>-60288.284799999994</v>
      </c>
      <c r="I29"/>
      <c r="J29" s="107" t="s">
        <v>412</v>
      </c>
      <c r="K29" s="30">
        <f>80+1844+20+136</f>
        <v>2080</v>
      </c>
      <c r="L29" s="30">
        <v>0</v>
      </c>
      <c r="M29" s="30">
        <v>18.3</v>
      </c>
      <c r="N29" s="13">
        <f t="shared" si="0"/>
        <v>38064</v>
      </c>
      <c r="O29" s="13">
        <f t="shared" si="1"/>
        <v>0</v>
      </c>
      <c r="P29" s="13">
        <f t="shared" si="2"/>
        <v>38064</v>
      </c>
      <c r="Q29" s="4"/>
      <c r="S29" s="3"/>
      <c r="T29" s="3"/>
      <c r="U29" s="3"/>
    </row>
    <row r="30" spans="1:23" ht="15.3" x14ac:dyDescent="0.55000000000000004">
      <c r="B30" s="20"/>
      <c r="C30" s="107"/>
      <c r="D30" s="107"/>
      <c r="E30" s="107"/>
      <c r="F30" s="107"/>
      <c r="G30" s="11"/>
      <c r="H30" s="140"/>
      <c r="I30"/>
      <c r="J30" s="107" t="s">
        <v>413</v>
      </c>
      <c r="K30" s="30">
        <f>56+1442+30+16</f>
        <v>1544</v>
      </c>
      <c r="L30" s="30">
        <v>1</v>
      </c>
      <c r="M30" s="30">
        <v>16.5</v>
      </c>
      <c r="N30" s="13">
        <f t="shared" si="0"/>
        <v>25476</v>
      </c>
      <c r="O30" s="13">
        <f t="shared" si="1"/>
        <v>24.75</v>
      </c>
      <c r="P30" s="13">
        <f t="shared" si="2"/>
        <v>25500.75</v>
      </c>
      <c r="Q30" s="4"/>
      <c r="S30" s="3"/>
      <c r="U30" s="3"/>
      <c r="W30" s="137"/>
    </row>
    <row r="31" spans="1:23" ht="15.3" x14ac:dyDescent="0.55000000000000004">
      <c r="B31" s="20"/>
      <c r="C31" s="107"/>
      <c r="D31" s="107"/>
      <c r="E31" s="107"/>
      <c r="F31" s="107"/>
      <c r="G31" s="122"/>
      <c r="H31" s="124"/>
      <c r="I31"/>
      <c r="J31" s="107" t="s">
        <v>414</v>
      </c>
      <c r="K31" s="30">
        <f>24+80+1848+27.2+160+22</f>
        <v>2161.1999999999998</v>
      </c>
      <c r="L31" s="30">
        <v>221.5</v>
      </c>
      <c r="M31" s="30">
        <v>18</v>
      </c>
      <c r="N31" s="13">
        <f t="shared" si="0"/>
        <v>38901.599999999999</v>
      </c>
      <c r="O31" s="13">
        <f t="shared" si="1"/>
        <v>5980.5</v>
      </c>
      <c r="P31" s="13">
        <f t="shared" si="2"/>
        <v>44882.1</v>
      </c>
      <c r="Q31" s="4"/>
      <c r="R31" s="3"/>
      <c r="U31" s="3"/>
    </row>
    <row r="32" spans="1:23" ht="15.3" x14ac:dyDescent="0.55000000000000004">
      <c r="B32" s="371" t="s">
        <v>482</v>
      </c>
      <c r="C32" s="3"/>
      <c r="D32" s="3"/>
      <c r="E32" s="371" t="s">
        <v>493</v>
      </c>
      <c r="F32" s="3"/>
      <c r="G32" s="3"/>
      <c r="H32" s="3"/>
      <c r="I32"/>
      <c r="J32" s="107" t="s">
        <v>415</v>
      </c>
      <c r="K32" s="30">
        <f>72+20+651+1129+48+220</f>
        <v>2140</v>
      </c>
      <c r="L32" s="30">
        <v>14</v>
      </c>
      <c r="M32" s="30">
        <v>19.55</v>
      </c>
      <c r="N32" s="13">
        <f t="shared" si="0"/>
        <v>41837</v>
      </c>
      <c r="O32" s="13">
        <f t="shared" si="1"/>
        <v>410.54999999999995</v>
      </c>
      <c r="P32" s="13">
        <f t="shared" si="2"/>
        <v>42247.55</v>
      </c>
      <c r="Q32" s="4"/>
      <c r="U32" s="137"/>
    </row>
    <row r="33" spans="1:17" ht="17.100000000000001" x14ac:dyDescent="0.85">
      <c r="B33" s="3"/>
      <c r="C33" s="203" t="s">
        <v>484</v>
      </c>
      <c r="D33" s="3"/>
      <c r="E33" s="3"/>
      <c r="F33" s="203" t="s">
        <v>484</v>
      </c>
      <c r="G33" s="3"/>
      <c r="H33" s="3"/>
      <c r="I33"/>
      <c r="J33" s="107" t="s">
        <v>431</v>
      </c>
      <c r="K33" s="30">
        <f>3+64+1908+19+86</f>
        <v>2080</v>
      </c>
      <c r="L33" s="30">
        <v>25</v>
      </c>
      <c r="M33" s="30">
        <v>17.97</v>
      </c>
      <c r="N33" s="13">
        <f t="shared" si="0"/>
        <v>37377.599999999999</v>
      </c>
      <c r="O33" s="13">
        <f t="shared" si="1"/>
        <v>673.875</v>
      </c>
      <c r="P33" s="13">
        <f t="shared" si="2"/>
        <v>38051.474999999999</v>
      </c>
      <c r="Q33" s="4"/>
    </row>
    <row r="34" spans="1:17" ht="15.3" x14ac:dyDescent="0.55000000000000004">
      <c r="B34" s="406">
        <v>2019</v>
      </c>
      <c r="C34" s="3">
        <v>53779</v>
      </c>
      <c r="D34" s="3"/>
      <c r="E34" s="3" t="s">
        <v>495</v>
      </c>
      <c r="F34" s="3">
        <v>83266</v>
      </c>
      <c r="G34" s="3"/>
      <c r="H34" s="3"/>
      <c r="I34"/>
      <c r="J34" s="107" t="s">
        <v>416</v>
      </c>
      <c r="K34" s="107">
        <f>48+1467+123+136</f>
        <v>1774</v>
      </c>
      <c r="L34" s="107">
        <v>57.5</v>
      </c>
      <c r="M34" s="30">
        <v>17</v>
      </c>
      <c r="N34" s="13">
        <f t="shared" si="0"/>
        <v>30158</v>
      </c>
      <c r="O34" s="13">
        <f t="shared" si="1"/>
        <v>1466.25</v>
      </c>
      <c r="P34" s="13">
        <f t="shared" si="2"/>
        <v>31624.25</v>
      </c>
      <c r="Q34" s="4"/>
    </row>
    <row r="35" spans="1:17" ht="17.100000000000001" x14ac:dyDescent="0.85">
      <c r="A35"/>
      <c r="B35" s="406">
        <v>2020</v>
      </c>
      <c r="C35" s="3">
        <v>54319</v>
      </c>
      <c r="D35" s="3"/>
      <c r="E35" s="3" t="s">
        <v>494</v>
      </c>
      <c r="F35" s="46">
        <v>51041</v>
      </c>
      <c r="G35" s="3"/>
      <c r="H35" s="3"/>
      <c r="I35"/>
      <c r="J35" s="107" t="s">
        <v>432</v>
      </c>
      <c r="K35" s="107">
        <f>103+72+8+1830+11+56+15</f>
        <v>2095</v>
      </c>
      <c r="L35" s="107">
        <v>63.5</v>
      </c>
      <c r="M35" s="107">
        <v>15</v>
      </c>
      <c r="N35" s="13">
        <f t="shared" si="0"/>
        <v>31425</v>
      </c>
      <c r="O35" s="13">
        <f t="shared" si="1"/>
        <v>1428.75</v>
      </c>
      <c r="P35" s="13">
        <f t="shared" si="2"/>
        <v>32853.75</v>
      </c>
      <c r="Q35" s="4"/>
    </row>
    <row r="36" spans="1:17" ht="17.100000000000001" x14ac:dyDescent="0.85">
      <c r="A36"/>
      <c r="B36" s="407">
        <v>2021</v>
      </c>
      <c r="C36" s="46">
        <f>K43</f>
        <v>72810</v>
      </c>
      <c r="D36" s="3"/>
      <c r="F36" s="52">
        <f>F34-F35</f>
        <v>32225</v>
      </c>
      <c r="G36" s="3"/>
      <c r="H36" s="3"/>
      <c r="I36"/>
      <c r="J36" s="107" t="s">
        <v>437</v>
      </c>
      <c r="K36" s="107">
        <f>152+64+1562+67.2+96+15</f>
        <v>1956.2</v>
      </c>
      <c r="L36" s="107">
        <v>142.5</v>
      </c>
      <c r="M36" s="30">
        <v>16</v>
      </c>
      <c r="N36" s="13">
        <f t="shared" si="0"/>
        <v>31299.200000000001</v>
      </c>
      <c r="O36" s="13">
        <f t="shared" si="1"/>
        <v>3420</v>
      </c>
      <c r="P36" s="277">
        <f t="shared" si="2"/>
        <v>34719.199999999997</v>
      </c>
      <c r="Q36" s="4"/>
    </row>
    <row r="37" spans="1:17" ht="15.3" x14ac:dyDescent="0.55000000000000004">
      <c r="A37"/>
      <c r="B37" s="3" t="s">
        <v>483</v>
      </c>
      <c r="C37" s="3">
        <f>AVERAGE(C34:C36)</f>
        <v>60302.666666666664</v>
      </c>
      <c r="D37" s="3"/>
      <c r="E37" s="3" t="s">
        <v>519</v>
      </c>
      <c r="F37" s="3">
        <v>87577</v>
      </c>
      <c r="G37" s="3"/>
      <c r="H37" s="3"/>
      <c r="I37"/>
      <c r="K37" s="13"/>
      <c r="L37" s="107"/>
      <c r="M37" s="30"/>
      <c r="N37" s="13"/>
      <c r="O37" s="11" t="s">
        <v>448</v>
      </c>
      <c r="P37" s="116">
        <f>SUM(P7:P36)</f>
        <v>1390519.2720000001</v>
      </c>
      <c r="Q37" s="3"/>
    </row>
    <row r="38" spans="1:17" ht="17.100000000000001" x14ac:dyDescent="0.85">
      <c r="A38"/>
      <c r="B38" s="3" t="s">
        <v>485</v>
      </c>
      <c r="C38" s="46">
        <f>-C36</f>
        <v>-72810</v>
      </c>
      <c r="D38" s="3"/>
      <c r="E38" s="3" t="s">
        <v>520</v>
      </c>
      <c r="F38" s="46">
        <v>52006</v>
      </c>
      <c r="G38" s="3"/>
      <c r="H38" s="3"/>
      <c r="I38"/>
      <c r="K38" s="13"/>
      <c r="L38" s="107"/>
      <c r="M38" s="30"/>
      <c r="N38" s="13"/>
      <c r="O38" s="11" t="s">
        <v>447</v>
      </c>
      <c r="P38" s="46">
        <f>150*52</f>
        <v>7800</v>
      </c>
      <c r="Q38" s="3"/>
    </row>
    <row r="39" spans="1:17" ht="15.3" x14ac:dyDescent="0.55000000000000004">
      <c r="A39"/>
      <c r="B39" s="405" t="s">
        <v>491</v>
      </c>
      <c r="C39" s="124">
        <f>C37+C38</f>
        <v>-12507.333333333336</v>
      </c>
      <c r="D39" s="3"/>
      <c r="E39" s="3"/>
      <c r="F39" s="52">
        <f>F37-F38</f>
        <v>35571</v>
      </c>
      <c r="G39" s="3"/>
      <c r="H39" s="3"/>
      <c r="I39"/>
      <c r="K39" s="13"/>
      <c r="L39" s="107"/>
      <c r="M39" s="30"/>
      <c r="N39" s="13"/>
      <c r="O39" s="11" t="s">
        <v>109</v>
      </c>
      <c r="P39" s="116">
        <f>P37+P38</f>
        <v>1398319.2720000001</v>
      </c>
      <c r="Q39" s="3"/>
    </row>
    <row r="40" spans="1:17" ht="15.3" x14ac:dyDescent="0.55000000000000004">
      <c r="A40"/>
      <c r="B40" s="3"/>
      <c r="C40" s="3"/>
      <c r="D40" s="3"/>
      <c r="E40" s="123" t="s">
        <v>521</v>
      </c>
      <c r="F40" s="123"/>
      <c r="G40" s="124">
        <f>F36+F39</f>
        <v>67796</v>
      </c>
      <c r="I40"/>
      <c r="K40" s="13"/>
      <c r="L40" s="13"/>
      <c r="P40" s="117"/>
    </row>
    <row r="41" spans="1:17" ht="15.3" x14ac:dyDescent="0.55000000000000004">
      <c r="A41"/>
      <c r="B41" s="3"/>
      <c r="C41" s="3"/>
      <c r="D41" s="3"/>
      <c r="E41" s="3"/>
      <c r="F41" s="3"/>
      <c r="G41" s="3"/>
      <c r="H41" s="3"/>
      <c r="I41"/>
      <c r="J41" s="369"/>
      <c r="K41" s="13"/>
      <c r="L41" s="13"/>
      <c r="P41" s="117" t="s">
        <v>23</v>
      </c>
    </row>
    <row r="42" spans="1:17" ht="15.3" x14ac:dyDescent="0.55000000000000004">
      <c r="A42"/>
      <c r="B42" s="3"/>
      <c r="C42" s="3"/>
      <c r="D42" s="3"/>
      <c r="E42" s="3"/>
      <c r="F42" s="3"/>
      <c r="G42" s="3"/>
      <c r="H42" s="3"/>
      <c r="I42"/>
      <c r="J42" s="371" t="s">
        <v>387</v>
      </c>
      <c r="K42" s="107"/>
      <c r="L42" s="13"/>
      <c r="M42" s="1" t="s">
        <v>109</v>
      </c>
      <c r="P42" s="116">
        <f>P39</f>
        <v>1398319.2720000001</v>
      </c>
    </row>
    <row r="43" spans="1:17" ht="17.100000000000001" x14ac:dyDescent="0.85">
      <c r="A43"/>
      <c r="B43" s="3"/>
      <c r="C43" s="3"/>
      <c r="E43" s="371" t="s">
        <v>496</v>
      </c>
      <c r="G43" s="3"/>
      <c r="H43" s="3"/>
      <c r="I43" s="3"/>
      <c r="J43" s="107" t="s">
        <v>439</v>
      </c>
      <c r="K43" s="13">
        <v>72810</v>
      </c>
      <c r="L43" s="13"/>
      <c r="M43" s="1" t="s">
        <v>385</v>
      </c>
      <c r="P43" s="277">
        <f>-SAO!F20</f>
        <v>-1275763</v>
      </c>
    </row>
    <row r="44" spans="1:17" ht="17.399999999999999" thickBot="1" x14ac:dyDescent="0.9">
      <c r="A44"/>
      <c r="B44" s="3"/>
      <c r="C44" s="3"/>
      <c r="D44" s="3"/>
      <c r="E44" s="203" t="s">
        <v>497</v>
      </c>
      <c r="F44" s="408">
        <v>2021</v>
      </c>
      <c r="G44" s="409">
        <v>2022</v>
      </c>
      <c r="H44" s="3"/>
      <c r="I44" s="134"/>
      <c r="J44" s="107" t="s">
        <v>492</v>
      </c>
      <c r="K44" s="13">
        <v>94239</v>
      </c>
      <c r="L44" s="13"/>
      <c r="M44" s="118" t="s">
        <v>116</v>
      </c>
      <c r="N44" s="118"/>
      <c r="O44" s="118"/>
      <c r="P44" s="366">
        <f>P42+P43</f>
        <v>122556.27200000011</v>
      </c>
    </row>
    <row r="45" spans="1:17" ht="15.6" thickTop="1" x14ac:dyDescent="0.55000000000000004">
      <c r="A45"/>
      <c r="B45" s="3"/>
      <c r="C45" s="47"/>
      <c r="D45" s="135"/>
      <c r="E45" s="107" t="s">
        <v>361</v>
      </c>
      <c r="F45" s="3">
        <f>3458+22789+682</f>
        <v>26929</v>
      </c>
      <c r="G45" s="3">
        <f>835+30064+7280</f>
        <v>38179</v>
      </c>
      <c r="H45" s="3"/>
      <c r="I45" s="3"/>
      <c r="J45" s="373" t="s">
        <v>440</v>
      </c>
      <c r="K45" s="374">
        <v>27081</v>
      </c>
      <c r="L45" s="13"/>
      <c r="P45" s="1" t="s">
        <v>110</v>
      </c>
    </row>
    <row r="46" spans="1:17" x14ac:dyDescent="0.55000000000000004">
      <c r="B46" s="3"/>
      <c r="C46" s="3"/>
      <c r="D46" s="3"/>
      <c r="E46" s="510" t="s">
        <v>498</v>
      </c>
      <c r="F46" s="346">
        <f>485+22565+814</f>
        <v>23864</v>
      </c>
      <c r="G46" s="511">
        <f>1155+552+29008</f>
        <v>30715</v>
      </c>
      <c r="H46" s="3"/>
      <c r="I46" s="3"/>
      <c r="J46" s="373" t="s">
        <v>388</v>
      </c>
      <c r="K46" s="374">
        <v>6912</v>
      </c>
      <c r="L46" s="13"/>
      <c r="M46" s="1" t="s">
        <v>438</v>
      </c>
      <c r="P46" s="7">
        <f>P39+SAO!F21</f>
        <v>1411669.2720000001</v>
      </c>
    </row>
    <row r="47" spans="1:17" x14ac:dyDescent="0.55000000000000004">
      <c r="B47" s="3"/>
      <c r="C47" s="47"/>
      <c r="D47" s="135"/>
      <c r="E47" s="268" t="s">
        <v>363</v>
      </c>
      <c r="F47" s="5">
        <f>391+26671+200</f>
        <v>27262</v>
      </c>
      <c r="G47" s="412">
        <f>6771+948+29395</f>
        <v>37114</v>
      </c>
      <c r="H47" s="3"/>
      <c r="I47" s="3"/>
      <c r="J47" s="373" t="s">
        <v>389</v>
      </c>
      <c r="K47" s="374">
        <v>182332</v>
      </c>
      <c r="L47" s="13"/>
      <c r="M47" s="1" t="s">
        <v>111</v>
      </c>
      <c r="P47" s="119">
        <v>7.6499999999999999E-2</v>
      </c>
    </row>
    <row r="48" spans="1:17" ht="16.2" x14ac:dyDescent="0.85">
      <c r="B48" s="3"/>
      <c r="C48" s="47"/>
      <c r="D48" s="3"/>
      <c r="E48" s="512" t="s">
        <v>364</v>
      </c>
      <c r="F48" s="55">
        <f>912+28117+792</f>
        <v>29821</v>
      </c>
      <c r="G48" s="413">
        <f>6952+872+24127</f>
        <v>31951</v>
      </c>
      <c r="J48" s="373" t="s">
        <v>390</v>
      </c>
      <c r="K48" s="375">
        <v>5309</v>
      </c>
      <c r="L48" s="13"/>
      <c r="M48" s="1" t="s">
        <v>112</v>
      </c>
      <c r="P48" s="13">
        <f>P46*P47</f>
        <v>107992.69930800001</v>
      </c>
    </row>
    <row r="49" spans="2:17" ht="16.2" x14ac:dyDescent="0.85">
      <c r="B49" s="3"/>
      <c r="C49" s="405"/>
      <c r="D49" s="124"/>
      <c r="E49" s="5" t="s">
        <v>365</v>
      </c>
      <c r="F49" s="414">
        <f>24719+1042+8977</f>
        <v>34738</v>
      </c>
      <c r="G49" s="414"/>
      <c r="K49" s="13">
        <f>SUM(K43:K48)</f>
        <v>388683</v>
      </c>
      <c r="L49" s="13"/>
      <c r="M49" s="1" t="s">
        <v>113</v>
      </c>
      <c r="P49" s="367">
        <v>-97907</v>
      </c>
    </row>
    <row r="50" spans="2:17" ht="14.7" thickBot="1" x14ac:dyDescent="0.6">
      <c r="B50" s="3"/>
      <c r="C50" s="3"/>
      <c r="D50" s="3"/>
      <c r="E50" s="3" t="s">
        <v>580</v>
      </c>
      <c r="F50" s="3">
        <f>AVERAGE(F46:F48)</f>
        <v>26982.333333333332</v>
      </c>
      <c r="G50" s="3">
        <f>AVERAGE(G46:G48)</f>
        <v>33260</v>
      </c>
      <c r="I50" s="52"/>
      <c r="K50" s="13"/>
      <c r="L50" s="13"/>
      <c r="M50" s="123" t="s">
        <v>114</v>
      </c>
      <c r="P50" s="366">
        <f>P48+P49</f>
        <v>10085.69930800001</v>
      </c>
    </row>
    <row r="51" spans="2:17" ht="14.7" thickTop="1" x14ac:dyDescent="0.55000000000000004">
      <c r="B51" s="3"/>
      <c r="C51" s="3"/>
      <c r="D51" s="3"/>
      <c r="E51" s="3"/>
      <c r="F51" s="47" t="s">
        <v>524</v>
      </c>
      <c r="G51" s="3">
        <f>G50-F50</f>
        <v>6277.6666666666679</v>
      </c>
      <c r="J51" s="47" t="s">
        <v>490</v>
      </c>
      <c r="K51" s="376">
        <f>SUM(K45:K48)</f>
        <v>221634</v>
      </c>
      <c r="L51" s="13"/>
    </row>
    <row r="52" spans="2:17" x14ac:dyDescent="0.55000000000000004">
      <c r="B52" s="3"/>
      <c r="C52" s="3"/>
      <c r="D52" s="3"/>
      <c r="E52" s="3"/>
      <c r="F52" s="405" t="s">
        <v>581</v>
      </c>
      <c r="G52" s="124">
        <f>G51*12</f>
        <v>75332.000000000015</v>
      </c>
      <c r="H52" s="3"/>
      <c r="K52" s="13"/>
      <c r="L52" s="13"/>
      <c r="M52" s="1" t="s">
        <v>445</v>
      </c>
      <c r="P52" s="7">
        <f>P37</f>
        <v>1390519.2720000001</v>
      </c>
    </row>
    <row r="53" spans="2:17" ht="16.2" x14ac:dyDescent="0.85">
      <c r="B53" s="3"/>
      <c r="C53" s="3"/>
      <c r="D53" s="3"/>
      <c r="G53" s="3"/>
      <c r="H53" s="3"/>
      <c r="J53" s="107" t="s">
        <v>450</v>
      </c>
      <c r="K53" s="277"/>
      <c r="L53" s="13"/>
      <c r="M53" s="1" t="s">
        <v>446</v>
      </c>
      <c r="P53" s="119">
        <v>0.06</v>
      </c>
    </row>
    <row r="54" spans="2:17" x14ac:dyDescent="0.55000000000000004">
      <c r="B54" s="3"/>
      <c r="C54" s="3"/>
      <c r="D54" s="3"/>
      <c r="E54" s="3" t="s">
        <v>365</v>
      </c>
      <c r="F54" s="3">
        <f>24719+1042+8977</f>
        <v>34738</v>
      </c>
      <c r="G54" s="3"/>
      <c r="H54" s="3"/>
      <c r="J54" s="1" t="s">
        <v>441</v>
      </c>
      <c r="K54" s="3">
        <v>72810.399999999994</v>
      </c>
      <c r="L54" s="13"/>
      <c r="M54" s="1" t="s">
        <v>487</v>
      </c>
      <c r="P54" s="13">
        <f>P52*P53</f>
        <v>83431.156320000009</v>
      </c>
    </row>
    <row r="55" spans="2:17" x14ac:dyDescent="0.55000000000000004">
      <c r="B55" s="3"/>
      <c r="C55" s="3"/>
      <c r="D55" s="3"/>
      <c r="E55" s="3"/>
      <c r="F55" s="3"/>
      <c r="G55" s="3"/>
      <c r="H55" s="3"/>
      <c r="J55" s="1" t="s">
        <v>442</v>
      </c>
      <c r="K55" s="3">
        <v>94239</v>
      </c>
      <c r="L55" s="13"/>
      <c r="M55" s="1" t="s">
        <v>488</v>
      </c>
      <c r="P55" s="15">
        <f>-K44</f>
        <v>-94239</v>
      </c>
      <c r="Q55" s="3"/>
    </row>
    <row r="56" spans="2:17" ht="16.5" thickBot="1" x14ac:dyDescent="0.9">
      <c r="B56" s="3"/>
      <c r="C56" s="3"/>
      <c r="D56" s="3"/>
      <c r="E56" s="371" t="s">
        <v>499</v>
      </c>
      <c r="F56" s="3"/>
      <c r="G56" s="3"/>
      <c r="H56" s="3"/>
      <c r="J56" s="1" t="s">
        <v>443</v>
      </c>
      <c r="K56" s="46">
        <v>221634</v>
      </c>
      <c r="L56" s="13"/>
      <c r="M56" s="118" t="s">
        <v>386</v>
      </c>
      <c r="N56" s="118"/>
      <c r="O56" s="118"/>
      <c r="P56" s="404">
        <f>P54+P55</f>
        <v>-10807.843679999991</v>
      </c>
      <c r="Q56" s="46"/>
    </row>
    <row r="57" spans="2:17" ht="16.5" thickTop="1" x14ac:dyDescent="0.85">
      <c r="B57" s="3"/>
      <c r="C57" s="3"/>
      <c r="D57" s="3"/>
      <c r="E57" s="3"/>
      <c r="F57" s="203" t="s">
        <v>484</v>
      </c>
      <c r="G57" s="3"/>
      <c r="H57" s="3"/>
      <c r="J57" s="1" t="s">
        <v>444</v>
      </c>
      <c r="K57" s="3">
        <v>388683.4</v>
      </c>
      <c r="Q57" s="3"/>
    </row>
    <row r="58" spans="2:17" ht="16.2" x14ac:dyDescent="0.85">
      <c r="B58" s="3"/>
      <c r="C58" s="3"/>
      <c r="D58" s="3"/>
      <c r="E58" s="3" t="s">
        <v>495</v>
      </c>
      <c r="F58" s="3">
        <v>87259</v>
      </c>
      <c r="G58" s="3"/>
      <c r="H58" s="3"/>
      <c r="L58" s="3"/>
      <c r="M58" s="3"/>
      <c r="N58" s="3"/>
      <c r="O58" s="3"/>
      <c r="P58" s="3"/>
      <c r="Q58" s="46"/>
    </row>
    <row r="59" spans="2:17" ht="16.2" x14ac:dyDescent="0.85">
      <c r="B59" s="3"/>
      <c r="C59" s="3"/>
      <c r="D59" s="3"/>
      <c r="E59" s="3" t="s">
        <v>494</v>
      </c>
      <c r="F59" s="46">
        <v>75705</v>
      </c>
      <c r="G59" s="3"/>
      <c r="H59" s="3"/>
      <c r="L59" s="46"/>
      <c r="M59" s="46"/>
      <c r="N59" s="46"/>
      <c r="O59" s="46"/>
      <c r="P59" s="46"/>
      <c r="Q59" s="124"/>
    </row>
    <row r="60" spans="2:17" x14ac:dyDescent="0.55000000000000004">
      <c r="B60" s="3"/>
      <c r="C60" s="3"/>
      <c r="D60" s="3"/>
      <c r="E60" s="2" t="s">
        <v>500</v>
      </c>
      <c r="F60" s="52">
        <f>F58-F59</f>
        <v>11554</v>
      </c>
      <c r="G60" s="3"/>
      <c r="H60" s="3"/>
      <c r="L60" s="3"/>
      <c r="M60" s="3"/>
      <c r="N60" s="3"/>
      <c r="O60" s="3"/>
      <c r="P60" s="3"/>
    </row>
    <row r="61" spans="2:17" ht="16.2" x14ac:dyDescent="0.85">
      <c r="B61" s="3"/>
      <c r="C61" s="3"/>
      <c r="D61" s="3"/>
      <c r="E61" s="422" t="s">
        <v>501</v>
      </c>
      <c r="G61" s="124">
        <f>F60*2</f>
        <v>23108</v>
      </c>
      <c r="H61" s="3"/>
      <c r="L61" s="46"/>
      <c r="M61" s="46"/>
      <c r="N61" s="46"/>
      <c r="O61" s="46"/>
      <c r="P61" s="46"/>
    </row>
    <row r="62" spans="2:17" x14ac:dyDescent="0.55000000000000004">
      <c r="B62" s="3"/>
      <c r="C62" s="3"/>
      <c r="D62" s="3"/>
      <c r="E62" s="3"/>
      <c r="F62" s="3"/>
      <c r="G62" s="3"/>
      <c r="H62" s="3"/>
      <c r="L62" s="124"/>
      <c r="M62" s="124"/>
      <c r="N62" s="124"/>
      <c r="O62" s="124"/>
      <c r="P62" s="124"/>
    </row>
    <row r="63" spans="2:17" x14ac:dyDescent="0.55000000000000004">
      <c r="B63" s="3"/>
      <c r="C63" s="3"/>
      <c r="D63" s="3"/>
      <c r="E63" s="3"/>
      <c r="F63" s="3"/>
      <c r="G63" s="3"/>
      <c r="H63" s="3"/>
    </row>
    <row r="64" spans="2:17" x14ac:dyDescent="0.55000000000000004">
      <c r="B64" s="3"/>
      <c r="C64" s="3"/>
      <c r="D64" s="3"/>
      <c r="E64" s="3"/>
      <c r="F64" s="3"/>
      <c r="G64" s="3"/>
      <c r="H64" s="3"/>
    </row>
    <row r="65" spans="2:17" x14ac:dyDescent="0.55000000000000004">
      <c r="B65" s="3"/>
      <c r="C65" s="3"/>
      <c r="D65" s="3"/>
      <c r="E65" s="3"/>
      <c r="F65" s="3"/>
      <c r="G65" s="3"/>
      <c r="H65" s="3"/>
    </row>
    <row r="66" spans="2:17" x14ac:dyDescent="0.55000000000000004">
      <c r="B66" s="3"/>
      <c r="C66" s="3"/>
      <c r="D66" s="3"/>
      <c r="E66" s="3"/>
      <c r="F66" s="3"/>
      <c r="G66" s="3"/>
      <c r="H66" s="3"/>
      <c r="J66" s="372" t="s">
        <v>418</v>
      </c>
      <c r="K66" s="107">
        <f>152+64+1562+67.2+96+15</f>
        <v>1956.2</v>
      </c>
    </row>
    <row r="67" spans="2:17" x14ac:dyDescent="0.55000000000000004">
      <c r="B67" s="3"/>
      <c r="C67" s="3"/>
      <c r="D67" s="3"/>
      <c r="E67" s="3"/>
      <c r="F67" s="3"/>
      <c r="G67" s="3"/>
      <c r="H67" s="3"/>
      <c r="J67" s="159" t="s">
        <v>417</v>
      </c>
      <c r="K67" s="159">
        <f>510</f>
        <v>510</v>
      </c>
      <c r="L67" s="107">
        <v>142.5</v>
      </c>
      <c r="M67" s="368" t="s">
        <v>427</v>
      </c>
      <c r="N67" s="13"/>
      <c r="O67" s="13"/>
      <c r="P67" s="13"/>
    </row>
    <row r="68" spans="2:17" x14ac:dyDescent="0.55000000000000004">
      <c r="B68" s="3"/>
      <c r="C68" s="3"/>
      <c r="D68" s="3"/>
      <c r="E68" s="3"/>
      <c r="F68" s="3"/>
      <c r="G68" s="3"/>
      <c r="H68" s="3"/>
      <c r="J68" s="372" t="s">
        <v>419</v>
      </c>
      <c r="K68" s="107">
        <f>54+32+1078+35.2+100+4</f>
        <v>1303.2</v>
      </c>
      <c r="L68" s="159">
        <v>0</v>
      </c>
      <c r="M68" s="207"/>
      <c r="N68" s="51"/>
      <c r="O68" s="51">
        <v>0</v>
      </c>
    </row>
    <row r="69" spans="2:17" x14ac:dyDescent="0.55000000000000004">
      <c r="B69" s="3"/>
      <c r="C69" s="3"/>
      <c r="D69" s="3"/>
      <c r="E69" s="3"/>
      <c r="F69" s="3"/>
      <c r="G69" s="3"/>
      <c r="H69" s="3"/>
      <c r="J69" s="372" t="s">
        <v>420</v>
      </c>
      <c r="K69" s="107">
        <f>103+72+8+1830+11+56+15</f>
        <v>2095</v>
      </c>
      <c r="L69" s="107">
        <v>77.5</v>
      </c>
      <c r="M69" s="30" t="s">
        <v>436</v>
      </c>
      <c r="N69" s="13"/>
      <c r="O69" s="13"/>
    </row>
    <row r="70" spans="2:17" x14ac:dyDescent="0.55000000000000004">
      <c r="B70" s="3"/>
      <c r="C70" s="3"/>
      <c r="D70" s="3"/>
      <c r="E70" s="3"/>
      <c r="F70" s="3"/>
      <c r="G70" s="3"/>
      <c r="H70" s="3"/>
      <c r="J70" s="372" t="s">
        <v>421</v>
      </c>
      <c r="K70" s="107">
        <f>48+1467+123+136</f>
        <v>1774</v>
      </c>
      <c r="L70" s="107">
        <v>63.5</v>
      </c>
      <c r="M70" s="368" t="s">
        <v>428</v>
      </c>
      <c r="N70" s="13"/>
      <c r="O70" s="13"/>
      <c r="P70" s="116"/>
    </row>
    <row r="71" spans="2:17" x14ac:dyDescent="0.55000000000000004">
      <c r="B71" s="3"/>
      <c r="C71" s="3"/>
      <c r="D71" s="3"/>
      <c r="E71" s="3"/>
      <c r="F71" s="3"/>
      <c r="G71" s="3"/>
      <c r="H71" s="3"/>
      <c r="J71" s="372" t="s">
        <v>422</v>
      </c>
      <c r="K71" s="107">
        <f>96+1632+74+64</f>
        <v>1866</v>
      </c>
      <c r="L71" s="107">
        <v>57.5</v>
      </c>
      <c r="M71" s="30" t="s">
        <v>429</v>
      </c>
      <c r="N71" s="13"/>
      <c r="O71" s="13"/>
    </row>
    <row r="72" spans="2:17" x14ac:dyDescent="0.55000000000000004">
      <c r="E72" s="3"/>
      <c r="F72" s="3"/>
      <c r="G72" s="3"/>
      <c r="H72" s="3"/>
      <c r="J72" s="372" t="s">
        <v>423</v>
      </c>
      <c r="K72" s="107">
        <f>96+1815+83.2+185</f>
        <v>2179.1999999999998</v>
      </c>
      <c r="L72" s="107">
        <v>143</v>
      </c>
      <c r="M72" s="30" t="s">
        <v>435</v>
      </c>
      <c r="N72" s="13"/>
      <c r="O72" s="13"/>
    </row>
    <row r="73" spans="2:17" x14ac:dyDescent="0.55000000000000004">
      <c r="E73" s="3"/>
      <c r="F73" s="3"/>
      <c r="G73" s="3"/>
      <c r="H73" s="3"/>
      <c r="J73" s="372" t="s">
        <v>424</v>
      </c>
      <c r="K73" s="107">
        <f>96+1501+433+120</f>
        <v>2150</v>
      </c>
      <c r="L73" s="107">
        <v>0</v>
      </c>
      <c r="M73" s="30" t="s">
        <v>430</v>
      </c>
      <c r="N73" s="13"/>
      <c r="O73" s="13"/>
      <c r="P73" s="116"/>
    </row>
    <row r="74" spans="2:17" x14ac:dyDescent="0.55000000000000004">
      <c r="E74" s="3"/>
      <c r="F74" s="3"/>
      <c r="G74" s="3"/>
      <c r="H74" s="3"/>
      <c r="J74" s="372" t="s">
        <v>425</v>
      </c>
      <c r="K74" s="107">
        <f>88+1885+64.2+104</f>
        <v>2141.1999999999998</v>
      </c>
      <c r="L74" s="107">
        <v>126</v>
      </c>
      <c r="M74" s="30" t="s">
        <v>433</v>
      </c>
      <c r="N74" s="13"/>
      <c r="O74" s="13"/>
      <c r="P74" s="116"/>
    </row>
    <row r="75" spans="2:17" x14ac:dyDescent="0.55000000000000004">
      <c r="E75" s="3"/>
      <c r="F75" s="3"/>
      <c r="G75" s="3"/>
      <c r="K75" s="13"/>
      <c r="L75" s="107">
        <v>246</v>
      </c>
      <c r="M75" s="30" t="s">
        <v>434</v>
      </c>
      <c r="N75" s="13"/>
      <c r="O75" s="13"/>
      <c r="P75" s="116"/>
    </row>
    <row r="76" spans="2:17" x14ac:dyDescent="0.55000000000000004">
      <c r="I76" s="3"/>
      <c r="K76" s="13"/>
      <c r="L76" s="107"/>
      <c r="M76" s="30"/>
      <c r="N76" s="13"/>
      <c r="O76" s="13"/>
      <c r="P76" s="116"/>
    </row>
    <row r="77" spans="2:17" x14ac:dyDescent="0.55000000000000004">
      <c r="I77" s="3"/>
      <c r="L77" s="107"/>
      <c r="M77" s="30"/>
      <c r="N77" s="13"/>
      <c r="O77" s="13"/>
      <c r="P77" s="116"/>
      <c r="Q77" s="48"/>
    </row>
    <row r="78" spans="2:17" x14ac:dyDescent="0.55000000000000004">
      <c r="I78" s="3"/>
    </row>
  </sheetData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5"/>
  <sheetViews>
    <sheetView workbookViewId="0">
      <selection activeCell="A3" sqref="A3"/>
    </sheetView>
  </sheetViews>
  <sheetFormatPr defaultColWidth="8.86328125" defaultRowHeight="14.4" x14ac:dyDescent="0.55000000000000004"/>
  <cols>
    <col min="1" max="1" width="10.6328125" style="1" customWidth="1"/>
    <col min="2" max="2" width="7.76953125" style="1" customWidth="1"/>
    <col min="3" max="3" width="7.2265625" style="1" customWidth="1"/>
    <col min="4" max="4" width="11.54296875" style="1" customWidth="1"/>
    <col min="5" max="7" width="10.76953125" style="1" customWidth="1"/>
    <col min="8" max="8" width="9.76953125" style="1" customWidth="1"/>
    <col min="9" max="9" width="11" style="1" customWidth="1"/>
    <col min="10" max="10" width="10.76953125" style="1" customWidth="1"/>
    <col min="11" max="11" width="10.1328125" style="1" customWidth="1"/>
    <col min="12" max="14" width="8.86328125" style="1"/>
    <col min="15" max="15" width="12.90625" style="1" customWidth="1"/>
    <col min="16" max="16384" width="8.86328125" style="1"/>
  </cols>
  <sheetData>
    <row r="1" spans="1:15" ht="18.3" x14ac:dyDescent="0.7">
      <c r="A1" s="584" t="s">
        <v>583</v>
      </c>
      <c r="B1" s="584"/>
      <c r="C1" s="584"/>
      <c r="D1" s="584"/>
      <c r="E1" s="584"/>
      <c r="F1" s="584"/>
      <c r="G1" s="584"/>
      <c r="H1" s="584"/>
      <c r="I1" s="202"/>
    </row>
    <row r="2" spans="1:15" ht="18.3" x14ac:dyDescent="0.55000000000000004">
      <c r="A2" s="563" t="s">
        <v>327</v>
      </c>
      <c r="B2" s="563"/>
      <c r="C2" s="563"/>
      <c r="D2" s="563"/>
      <c r="E2" s="563"/>
      <c r="F2" s="563"/>
      <c r="G2" s="563"/>
      <c r="H2" s="563"/>
      <c r="I2" s="99"/>
    </row>
    <row r="4" spans="1:15" x14ac:dyDescent="0.55000000000000004">
      <c r="C4" s="53" t="s">
        <v>80</v>
      </c>
    </row>
    <row r="5" spans="1:15" x14ac:dyDescent="0.55000000000000004">
      <c r="C5" s="102"/>
      <c r="D5" s="18"/>
      <c r="E5" s="9" t="s">
        <v>71</v>
      </c>
      <c r="F5" s="9" t="s">
        <v>42</v>
      </c>
      <c r="G5" s="9" t="s">
        <v>40</v>
      </c>
      <c r="H5" s="2"/>
    </row>
    <row r="6" spans="1:15" x14ac:dyDescent="0.55000000000000004">
      <c r="C6" s="1" t="s">
        <v>94</v>
      </c>
      <c r="E6" s="3">
        <f>C22</f>
        <v>86767</v>
      </c>
      <c r="F6" s="47">
        <f>D22</f>
        <v>396510100</v>
      </c>
      <c r="G6" s="48">
        <f>F30</f>
        <v>3905525.0857374854</v>
      </c>
      <c r="H6" s="48"/>
    </row>
    <row r="7" spans="1:15" x14ac:dyDescent="0.55000000000000004">
      <c r="C7" s="1" t="s">
        <v>95</v>
      </c>
      <c r="E7" s="3">
        <f>C39</f>
        <v>1436</v>
      </c>
      <c r="F7" s="47">
        <f>D39</f>
        <v>33411200</v>
      </c>
      <c r="G7" s="3">
        <f>F47</f>
        <v>219694.17506141769</v>
      </c>
      <c r="H7" s="3"/>
    </row>
    <row r="8" spans="1:15" ht="16.2" x14ac:dyDescent="0.85">
      <c r="C8" s="1" t="s">
        <v>96</v>
      </c>
      <c r="E8" s="46">
        <f>C55</f>
        <v>360</v>
      </c>
      <c r="F8" s="97">
        <f>D55</f>
        <v>28631200</v>
      </c>
      <c r="G8" s="46">
        <f>F62</f>
        <v>165078.12303768133</v>
      </c>
      <c r="H8" s="3"/>
    </row>
    <row r="9" spans="1:15" x14ac:dyDescent="0.55000000000000004">
      <c r="D9" s="11" t="s">
        <v>372</v>
      </c>
      <c r="E9" s="52">
        <f>SUM(E6:E8)</f>
        <v>88563</v>
      </c>
      <c r="F9" s="52">
        <f>SUM(F6:F8)</f>
        <v>458552500</v>
      </c>
      <c r="G9" s="100">
        <f>SUM(G6:G8)</f>
        <v>4290297.3838365842</v>
      </c>
      <c r="H9" s="364"/>
      <c r="I9" s="3"/>
      <c r="O9" s="52"/>
    </row>
    <row r="10" spans="1:15" ht="16.2" x14ac:dyDescent="0.85">
      <c r="C10" s="1" t="s">
        <v>373</v>
      </c>
      <c r="D10" s="11"/>
      <c r="E10" s="52"/>
      <c r="F10" s="52"/>
      <c r="G10" s="46">
        <f>ExBA!G10*(1+SAO!I54)</f>
        <v>-71332.7307</v>
      </c>
      <c r="H10" s="364"/>
      <c r="I10" s="3"/>
    </row>
    <row r="11" spans="1:15" x14ac:dyDescent="0.55000000000000004">
      <c r="C11" s="1" t="s">
        <v>374</v>
      </c>
      <c r="E11" s="52"/>
      <c r="F11" s="52"/>
      <c r="G11" s="100">
        <f>G9+G10</f>
        <v>4218964.653136584</v>
      </c>
      <c r="H11" s="364"/>
      <c r="I11" s="3"/>
    </row>
    <row r="12" spans="1:15" ht="16.2" x14ac:dyDescent="0.85">
      <c r="D12" s="115" t="s">
        <v>481</v>
      </c>
      <c r="F12" s="47">
        <f>B73*1000</f>
        <v>629263166.02316606</v>
      </c>
      <c r="G12" s="46">
        <f>D73</f>
        <v>1906667.3930501929</v>
      </c>
      <c r="H12" s="46"/>
      <c r="I12" s="3"/>
    </row>
    <row r="13" spans="1:15" ht="20.05" customHeight="1" x14ac:dyDescent="0.55000000000000004">
      <c r="C13" s="166" t="s">
        <v>588</v>
      </c>
      <c r="D13" s="123"/>
      <c r="E13" s="123"/>
      <c r="F13" s="123"/>
      <c r="G13" s="167">
        <f>G11+G12</f>
        <v>6125632.0461867768</v>
      </c>
      <c r="I13" s="100"/>
      <c r="J13" s="100">
        <f>SAO!I51</f>
        <v>6124597.3506631367</v>
      </c>
      <c r="K13" s="1" t="s">
        <v>584</v>
      </c>
    </row>
    <row r="14" spans="1:15" ht="16.2" x14ac:dyDescent="0.85">
      <c r="F14" s="11"/>
      <c r="G14" s="101"/>
      <c r="I14" s="100"/>
      <c r="J14" s="109">
        <f>J13-G13</f>
        <v>-1034.6955236401409</v>
      </c>
    </row>
    <row r="15" spans="1:15" ht="15.6" x14ac:dyDescent="0.6">
      <c r="A15" s="98" t="s">
        <v>91</v>
      </c>
    </row>
    <row r="16" spans="1:15" ht="15.3" x14ac:dyDescent="0.55000000000000004">
      <c r="E16" s="2" t="s">
        <v>43</v>
      </c>
      <c r="F16" s="2" t="s">
        <v>67</v>
      </c>
      <c r="G16" s="2" t="s">
        <v>67</v>
      </c>
      <c r="H16" s="2" t="s">
        <v>44</v>
      </c>
      <c r="I16"/>
    </row>
    <row r="17" spans="1:9" ht="15.3" x14ac:dyDescent="0.55000000000000004">
      <c r="B17" s="9" t="s">
        <v>45</v>
      </c>
      <c r="C17" s="10" t="s">
        <v>46</v>
      </c>
      <c r="D17" s="10" t="s">
        <v>47</v>
      </c>
      <c r="E17" s="10">
        <f>B18</f>
        <v>2000</v>
      </c>
      <c r="F17" s="10">
        <f>B19</f>
        <v>8000</v>
      </c>
      <c r="G17" s="10">
        <f>B20</f>
        <v>20000</v>
      </c>
      <c r="H17" s="10">
        <f>B21</f>
        <v>30000</v>
      </c>
      <c r="I17"/>
    </row>
    <row r="18" spans="1:9" ht="15.3" x14ac:dyDescent="0.55000000000000004">
      <c r="A18" s="11" t="s">
        <v>43</v>
      </c>
      <c r="B18" s="12">
        <v>2000</v>
      </c>
      <c r="C18" s="49">
        <f>11762+752+17156+521</f>
        <v>30191</v>
      </c>
      <c r="D18" s="49">
        <f>11712300+430500+16060200+246100</f>
        <v>28449100</v>
      </c>
      <c r="E18" s="49">
        <f>D18</f>
        <v>28449100</v>
      </c>
      <c r="F18" s="49">
        <v>0</v>
      </c>
      <c r="G18" s="49"/>
      <c r="H18" s="49">
        <v>0</v>
      </c>
      <c r="I18"/>
    </row>
    <row r="19" spans="1:9" ht="15.3" x14ac:dyDescent="0.55000000000000004">
      <c r="A19" s="11" t="s">
        <v>67</v>
      </c>
      <c r="B19" s="12">
        <v>8000</v>
      </c>
      <c r="C19" s="49">
        <f>19870+286+29060+318</f>
        <v>49534</v>
      </c>
      <c r="D19" s="49">
        <f>87268100+1350100+130722300+1646100</f>
        <v>220986600</v>
      </c>
      <c r="E19" s="49">
        <f>C19*E$17</f>
        <v>99068000</v>
      </c>
      <c r="F19" s="49">
        <f>D19-E19</f>
        <v>121918600</v>
      </c>
      <c r="G19" s="49"/>
      <c r="H19" s="49">
        <v>0</v>
      </c>
      <c r="I19"/>
    </row>
    <row r="20" spans="1:9" ht="15.3" x14ac:dyDescent="0.55000000000000004">
      <c r="A20" s="11" t="s">
        <v>67</v>
      </c>
      <c r="B20" s="12">
        <v>20000</v>
      </c>
      <c r="C20" s="49">
        <f>2177+117+3688+106</f>
        <v>6088</v>
      </c>
      <c r="D20" s="49">
        <f>33138600+1873400+56443300+1692300</f>
        <v>93147600</v>
      </c>
      <c r="E20" s="49">
        <f>C20*E$17</f>
        <v>12176000</v>
      </c>
      <c r="F20" s="49">
        <f>$C20*F$17</f>
        <v>48704000</v>
      </c>
      <c r="G20" s="49">
        <f>D20-(E20+F20)</f>
        <v>32267600</v>
      </c>
      <c r="H20" s="49"/>
      <c r="I20"/>
    </row>
    <row r="21" spans="1:9" ht="15.3" x14ac:dyDescent="0.55000000000000004">
      <c r="A21" s="11" t="s">
        <v>44</v>
      </c>
      <c r="B21" s="14">
        <v>30000</v>
      </c>
      <c r="C21" s="50">
        <f>243+69+19+22+6+1+432+97+26+8+23+8</f>
        <v>954</v>
      </c>
      <c r="D21" s="50">
        <f>9715600+5342900+3850500+942600+436600+111500+17470000+7585600+4935900+295200+2088400+1152000</f>
        <v>53926800</v>
      </c>
      <c r="E21" s="50">
        <f>C21*E$17</f>
        <v>1908000</v>
      </c>
      <c r="F21" s="50">
        <f>$C21*F$17</f>
        <v>7632000</v>
      </c>
      <c r="G21" s="50">
        <f>$C21*G$17</f>
        <v>19080000</v>
      </c>
      <c r="H21" s="50">
        <f>D21-(F21+E21+G21)</f>
        <v>25306800</v>
      </c>
      <c r="I21"/>
    </row>
    <row r="22" spans="1:9" ht="15.3" x14ac:dyDescent="0.55000000000000004">
      <c r="A22" s="11"/>
      <c r="B22" s="12"/>
      <c r="C22" s="51">
        <f t="shared" ref="C22:H22" si="0">SUM(C18:C21)</f>
        <v>86767</v>
      </c>
      <c r="D22" s="51">
        <f t="shared" si="0"/>
        <v>396510100</v>
      </c>
      <c r="E22" s="51">
        <f t="shared" si="0"/>
        <v>141601100</v>
      </c>
      <c r="F22" s="51">
        <f t="shared" si="0"/>
        <v>178254600</v>
      </c>
      <c r="G22" s="51">
        <f t="shared" si="0"/>
        <v>51347600</v>
      </c>
      <c r="H22" s="51">
        <f t="shared" si="0"/>
        <v>25306800</v>
      </c>
      <c r="I22"/>
    </row>
    <row r="23" spans="1:9" x14ac:dyDescent="0.55000000000000004">
      <c r="A23" s="11"/>
      <c r="B23" s="12"/>
      <c r="D23" s="12"/>
      <c r="E23" s="12"/>
      <c r="F23" s="12"/>
      <c r="G23" s="12"/>
      <c r="H23" s="12"/>
      <c r="I23" s="12"/>
    </row>
    <row r="24" spans="1:9" x14ac:dyDescent="0.55000000000000004">
      <c r="A24" s="16" t="s">
        <v>49</v>
      </c>
      <c r="B24" s="16"/>
      <c r="D24" s="12"/>
      <c r="E24" s="12"/>
      <c r="F24" s="12"/>
      <c r="G24" s="12"/>
      <c r="H24" s="12"/>
      <c r="I24" s="12"/>
    </row>
    <row r="25" spans="1:9" x14ac:dyDescent="0.55000000000000004">
      <c r="A25" s="11"/>
      <c r="B25" s="9"/>
      <c r="C25" s="10" t="s">
        <v>46</v>
      </c>
      <c r="D25" s="9" t="s">
        <v>47</v>
      </c>
      <c r="E25" s="10" t="s">
        <v>50</v>
      </c>
      <c r="F25" s="10" t="s">
        <v>51</v>
      </c>
      <c r="G25" s="12"/>
      <c r="H25" s="12"/>
      <c r="I25" s="12"/>
    </row>
    <row r="26" spans="1:9" x14ac:dyDescent="0.55000000000000004">
      <c r="A26" s="11" t="s">
        <v>43</v>
      </c>
      <c r="B26" s="12">
        <f>B18</f>
        <v>2000</v>
      </c>
      <c r="C26" s="13">
        <f>C22</f>
        <v>86767</v>
      </c>
      <c r="D26" s="49">
        <f>E22</f>
        <v>141601100</v>
      </c>
      <c r="E26" s="17">
        <f>Rates!G11</f>
        <v>25.695522326892544</v>
      </c>
      <c r="F26" s="7">
        <f>E26*C26</f>
        <v>2229523.3857374853</v>
      </c>
      <c r="G26" s="12"/>
    </row>
    <row r="27" spans="1:9" x14ac:dyDescent="0.55000000000000004">
      <c r="A27" s="11" t="s">
        <v>67</v>
      </c>
      <c r="B27" s="12">
        <f>B19</f>
        <v>8000</v>
      </c>
      <c r="D27" s="49">
        <f>F22</f>
        <v>178254600</v>
      </c>
      <c r="E27" s="30">
        <f>Rates!G12</f>
        <v>7</v>
      </c>
      <c r="F27" s="3">
        <f>E27*(D27/1000)</f>
        <v>1247782.2</v>
      </c>
      <c r="G27" s="12"/>
    </row>
    <row r="28" spans="1:9" x14ac:dyDescent="0.55000000000000004">
      <c r="A28" s="11" t="s">
        <v>67</v>
      </c>
      <c r="B28" s="12">
        <f>B20</f>
        <v>20000</v>
      </c>
      <c r="D28" s="49">
        <f>G22</f>
        <v>51347600</v>
      </c>
      <c r="E28" s="30">
        <f>Rates!G13</f>
        <v>5.9</v>
      </c>
      <c r="F28" s="3">
        <f>E28*(D28/1000)</f>
        <v>302950.84000000003</v>
      </c>
      <c r="G28" s="12"/>
    </row>
    <row r="29" spans="1:9" x14ac:dyDescent="0.55000000000000004">
      <c r="A29" s="11" t="s">
        <v>44</v>
      </c>
      <c r="B29" s="14">
        <f>B21</f>
        <v>30000</v>
      </c>
      <c r="C29" s="18"/>
      <c r="D29" s="50">
        <f>H22</f>
        <v>25306800</v>
      </c>
      <c r="E29" s="19">
        <f>Rates!G14</f>
        <v>4.95</v>
      </c>
      <c r="F29" s="55">
        <f>E29*(D29/1000)</f>
        <v>125268.66</v>
      </c>
      <c r="G29" s="12"/>
    </row>
    <row r="30" spans="1:9" x14ac:dyDescent="0.55000000000000004">
      <c r="A30" s="11"/>
      <c r="B30" s="12" t="s">
        <v>48</v>
      </c>
      <c r="C30" s="3">
        <f>SUM(C26:C29)</f>
        <v>86767</v>
      </c>
      <c r="D30" s="51">
        <f>SUM(D26:D29)</f>
        <v>396510100</v>
      </c>
      <c r="F30" s="7">
        <f>SUM(F26:F29)</f>
        <v>3905525.0857374854</v>
      </c>
      <c r="G30" s="12"/>
      <c r="H30" s="12"/>
      <c r="I30" s="12"/>
    </row>
    <row r="31" spans="1:9" x14ac:dyDescent="0.55000000000000004">
      <c r="A31" s="11"/>
      <c r="B31" s="12"/>
      <c r="C31" s="3"/>
      <c r="D31" s="51"/>
      <c r="F31" s="7"/>
      <c r="G31" s="12"/>
      <c r="H31" s="12"/>
      <c r="I31" s="12"/>
    </row>
    <row r="32" spans="1:9" ht="15.6" x14ac:dyDescent="0.6">
      <c r="A32" s="98" t="s">
        <v>92</v>
      </c>
      <c r="I32" s="12"/>
    </row>
    <row r="33" spans="1:9" x14ac:dyDescent="0.55000000000000004">
      <c r="E33" s="2" t="s">
        <v>43</v>
      </c>
      <c r="F33" s="2" t="s">
        <v>67</v>
      </c>
      <c r="G33" s="2" t="s">
        <v>67</v>
      </c>
      <c r="H33" s="2" t="s">
        <v>44</v>
      </c>
      <c r="I33" s="12"/>
    </row>
    <row r="34" spans="1:9" x14ac:dyDescent="0.55000000000000004">
      <c r="B34" s="9" t="s">
        <v>45</v>
      </c>
      <c r="C34" s="10" t="s">
        <v>46</v>
      </c>
      <c r="D34" s="10" t="s">
        <v>47</v>
      </c>
      <c r="E34" s="10">
        <f>B35</f>
        <v>5000</v>
      </c>
      <c r="F34" s="10">
        <f>B36</f>
        <v>5000</v>
      </c>
      <c r="G34" s="10">
        <f>B37</f>
        <v>20000</v>
      </c>
      <c r="H34" s="10">
        <f>B38</f>
        <v>30000</v>
      </c>
      <c r="I34" s="12"/>
    </row>
    <row r="35" spans="1:9" x14ac:dyDescent="0.55000000000000004">
      <c r="A35" s="11" t="s">
        <v>43</v>
      </c>
      <c r="B35" s="12">
        <v>5000</v>
      </c>
      <c r="C35" s="49">
        <f>182+103+235+173</f>
        <v>693</v>
      </c>
      <c r="D35" s="49">
        <f>489200+145300+536100+212200</f>
        <v>1382800</v>
      </c>
      <c r="E35" s="49">
        <f>D35</f>
        <v>1382800</v>
      </c>
      <c r="F35" s="49">
        <v>0</v>
      </c>
      <c r="G35" s="49"/>
      <c r="H35" s="49">
        <v>0</v>
      </c>
      <c r="I35" s="12"/>
    </row>
    <row r="36" spans="1:9" x14ac:dyDescent="0.55000000000000004">
      <c r="A36" s="11" t="s">
        <v>67</v>
      </c>
      <c r="B36" s="12">
        <v>5000</v>
      </c>
      <c r="C36" s="49">
        <f>92+20+93+24</f>
        <v>229</v>
      </c>
      <c r="D36" s="49">
        <f>650700+141300+669700+171300</f>
        <v>1633000</v>
      </c>
      <c r="E36" s="49">
        <f>C36*E$34</f>
        <v>1145000</v>
      </c>
      <c r="F36" s="49">
        <f>D36-E36</f>
        <v>488000</v>
      </c>
      <c r="G36" s="49"/>
      <c r="H36" s="49">
        <v>0</v>
      </c>
      <c r="I36" s="12"/>
    </row>
    <row r="37" spans="1:9" x14ac:dyDescent="0.55000000000000004">
      <c r="A37" s="11" t="s">
        <v>67</v>
      </c>
      <c r="B37" s="12">
        <v>20000</v>
      </c>
      <c r="C37" s="49">
        <f>129+20+98+39</f>
        <v>286</v>
      </c>
      <c r="D37" s="49">
        <f>2243100+368900+1540700+693800</f>
        <v>4846500</v>
      </c>
      <c r="E37" s="49">
        <f>C37*E$34</f>
        <v>1430000</v>
      </c>
      <c r="F37" s="49">
        <f>$C37*F$34</f>
        <v>1430000</v>
      </c>
      <c r="G37" s="49">
        <f>D37-(E37+F37)</f>
        <v>1986500</v>
      </c>
      <c r="H37" s="49"/>
      <c r="I37" s="12"/>
    </row>
    <row r="38" spans="1:9" x14ac:dyDescent="0.55000000000000004">
      <c r="A38" s="11" t="s">
        <v>44</v>
      </c>
      <c r="B38" s="14">
        <v>30000</v>
      </c>
      <c r="C38" s="50">
        <f>31+11+2+19+22+14+20+11+25+27+26+20</f>
        <v>228</v>
      </c>
      <c r="D38" s="50">
        <f>1218700+860600+320400+814100+1806400+8237900+863200+846900+4088000+1062600+2157400+3272700</f>
        <v>25548900</v>
      </c>
      <c r="E38" s="50">
        <f>C38*E$34</f>
        <v>1140000</v>
      </c>
      <c r="F38" s="50">
        <f>$C38*F$34</f>
        <v>1140000</v>
      </c>
      <c r="G38" s="50">
        <f>$C38*G$34</f>
        <v>4560000</v>
      </c>
      <c r="H38" s="50">
        <f>D38-(F38+E38+G38)</f>
        <v>18708900</v>
      </c>
      <c r="I38" s="12"/>
    </row>
    <row r="39" spans="1:9" x14ac:dyDescent="0.55000000000000004">
      <c r="A39" s="11"/>
      <c r="B39" s="12"/>
      <c r="C39" s="51">
        <f t="shared" ref="C39:H39" si="1">SUM(C35:C38)</f>
        <v>1436</v>
      </c>
      <c r="D39" s="51">
        <f t="shared" si="1"/>
        <v>33411200</v>
      </c>
      <c r="E39" s="51">
        <f t="shared" si="1"/>
        <v>5097800</v>
      </c>
      <c r="F39" s="51">
        <f t="shared" si="1"/>
        <v>3058000</v>
      </c>
      <c r="G39" s="51">
        <f t="shared" si="1"/>
        <v>6546500</v>
      </c>
      <c r="H39" s="51">
        <f t="shared" si="1"/>
        <v>18708900</v>
      </c>
      <c r="I39" s="12"/>
    </row>
    <row r="40" spans="1:9" x14ac:dyDescent="0.55000000000000004">
      <c r="A40" s="11"/>
      <c r="B40" s="12"/>
      <c r="D40" s="12"/>
      <c r="E40" s="12"/>
      <c r="F40" s="12"/>
      <c r="G40" s="12"/>
      <c r="H40" s="12"/>
      <c r="I40" s="12"/>
    </row>
    <row r="41" spans="1:9" x14ac:dyDescent="0.55000000000000004">
      <c r="A41" s="16" t="s">
        <v>49</v>
      </c>
      <c r="B41" s="16"/>
      <c r="D41" s="12"/>
      <c r="E41" s="12"/>
      <c r="F41" s="12"/>
      <c r="G41" s="12"/>
      <c r="H41" s="12"/>
      <c r="I41" s="12"/>
    </row>
    <row r="42" spans="1:9" x14ac:dyDescent="0.55000000000000004">
      <c r="A42" s="11"/>
      <c r="B42" s="9"/>
      <c r="C42" s="10" t="s">
        <v>46</v>
      </c>
      <c r="D42" s="9" t="s">
        <v>47</v>
      </c>
      <c r="E42" s="10" t="s">
        <v>50</v>
      </c>
      <c r="F42" s="10" t="s">
        <v>51</v>
      </c>
      <c r="G42" s="12"/>
      <c r="H42" s="12"/>
      <c r="I42" s="12"/>
    </row>
    <row r="43" spans="1:9" x14ac:dyDescent="0.55000000000000004">
      <c r="A43" s="11" t="s">
        <v>43</v>
      </c>
      <c r="B43" s="12">
        <f>B35</f>
        <v>5000</v>
      </c>
      <c r="C43" s="13">
        <f>C39</f>
        <v>1436</v>
      </c>
      <c r="D43" s="49">
        <f>E39</f>
        <v>5097800</v>
      </c>
      <c r="E43" s="17">
        <f>Rates!G17</f>
        <v>46.695522326892544</v>
      </c>
      <c r="F43" s="7">
        <f>E43*C43</f>
        <v>67054.770061417687</v>
      </c>
      <c r="G43" s="12"/>
      <c r="I43" s="12"/>
    </row>
    <row r="44" spans="1:9" x14ac:dyDescent="0.55000000000000004">
      <c r="A44" s="11" t="s">
        <v>67</v>
      </c>
      <c r="B44" s="12">
        <f>B36</f>
        <v>5000</v>
      </c>
      <c r="D44" s="49">
        <f>F39</f>
        <v>3058000</v>
      </c>
      <c r="E44" s="30">
        <f>Rates!G18</f>
        <v>7</v>
      </c>
      <c r="F44" s="3">
        <f>E44*(D44/1000)</f>
        <v>21406</v>
      </c>
      <c r="G44" s="12"/>
      <c r="I44" s="12"/>
    </row>
    <row r="45" spans="1:9" x14ac:dyDescent="0.55000000000000004">
      <c r="A45" s="11" t="s">
        <v>67</v>
      </c>
      <c r="B45" s="12">
        <f>B37</f>
        <v>20000</v>
      </c>
      <c r="D45" s="49">
        <f>G39</f>
        <v>6546500</v>
      </c>
      <c r="E45" s="30">
        <f>Rates!G19</f>
        <v>5.9</v>
      </c>
      <c r="F45" s="3">
        <f>E45*(D45/1000)</f>
        <v>38624.350000000006</v>
      </c>
      <c r="G45" s="12"/>
      <c r="I45" s="12"/>
    </row>
    <row r="46" spans="1:9" x14ac:dyDescent="0.55000000000000004">
      <c r="A46" s="11" t="s">
        <v>44</v>
      </c>
      <c r="B46" s="14">
        <f>B38</f>
        <v>30000</v>
      </c>
      <c r="C46" s="18"/>
      <c r="D46" s="50">
        <f>H39</f>
        <v>18708900</v>
      </c>
      <c r="E46" s="19">
        <f>Rates!G20</f>
        <v>4.95</v>
      </c>
      <c r="F46" s="55">
        <f>E46*(D46/1000)</f>
        <v>92609.055000000008</v>
      </c>
      <c r="G46" s="12"/>
      <c r="I46" s="12"/>
    </row>
    <row r="47" spans="1:9" x14ac:dyDescent="0.55000000000000004">
      <c r="A47" s="11"/>
      <c r="B47" s="12" t="s">
        <v>48</v>
      </c>
      <c r="C47" s="3">
        <f>SUM(C43:C46)</f>
        <v>1436</v>
      </c>
      <c r="D47" s="51">
        <f>SUM(D43:D46)</f>
        <v>33411200</v>
      </c>
      <c r="F47" s="7">
        <f>SUM(F43:F46)</f>
        <v>219694.17506141769</v>
      </c>
      <c r="G47" s="12"/>
      <c r="H47" s="12"/>
      <c r="I47" s="12"/>
    </row>
    <row r="48" spans="1:9" x14ac:dyDescent="0.55000000000000004">
      <c r="A48" s="11"/>
      <c r="B48" s="12"/>
      <c r="C48" s="3"/>
      <c r="D48" s="51"/>
      <c r="F48" s="7"/>
      <c r="G48" s="12"/>
      <c r="H48" s="12"/>
      <c r="I48" s="12"/>
    </row>
    <row r="49" spans="1:9" ht="15.6" x14ac:dyDescent="0.6">
      <c r="A49" s="98" t="s">
        <v>93</v>
      </c>
    </row>
    <row r="50" spans="1:9" ht="15.3" x14ac:dyDescent="0.55000000000000004">
      <c r="E50" s="2" t="s">
        <v>43</v>
      </c>
      <c r="F50" s="2" t="s">
        <v>67</v>
      </c>
      <c r="G50" s="2" t="s">
        <v>44</v>
      </c>
      <c r="H50"/>
      <c r="I50"/>
    </row>
    <row r="51" spans="1:9" ht="15.3" x14ac:dyDescent="0.55000000000000004">
      <c r="B51" s="9" t="s">
        <v>45</v>
      </c>
      <c r="C51" s="10" t="s">
        <v>46</v>
      </c>
      <c r="D51" s="10" t="s">
        <v>47</v>
      </c>
      <c r="E51" s="10">
        <f>B52</f>
        <v>15000</v>
      </c>
      <c r="F51" s="10">
        <f>B53</f>
        <v>15000</v>
      </c>
      <c r="G51" s="10">
        <f>B54</f>
        <v>30000</v>
      </c>
      <c r="H51"/>
      <c r="I51"/>
    </row>
    <row r="52" spans="1:9" ht="15.3" x14ac:dyDescent="0.55000000000000004">
      <c r="A52" s="11" t="s">
        <v>43</v>
      </c>
      <c r="B52" s="12">
        <v>15000</v>
      </c>
      <c r="C52" s="49">
        <f>16+21+96</f>
        <v>133</v>
      </c>
      <c r="D52" s="49">
        <f>82600+144000+290600</f>
        <v>517200</v>
      </c>
      <c r="E52" s="49">
        <f>D52</f>
        <v>517200</v>
      </c>
      <c r="F52" s="49">
        <v>0</v>
      </c>
      <c r="G52" s="49">
        <v>0</v>
      </c>
      <c r="H52"/>
      <c r="I52"/>
    </row>
    <row r="53" spans="1:9" ht="15.3" x14ac:dyDescent="0.55000000000000004">
      <c r="A53" s="11" t="s">
        <v>67</v>
      </c>
      <c r="B53" s="12">
        <v>15000</v>
      </c>
      <c r="C53" s="49">
        <f>8+27+27</f>
        <v>62</v>
      </c>
      <c r="D53" s="49">
        <f>182500+606700+548100</f>
        <v>1337300</v>
      </c>
      <c r="E53" s="49">
        <f>$C53*E$51</f>
        <v>930000</v>
      </c>
      <c r="F53" s="49">
        <f>D53-E53</f>
        <v>407300</v>
      </c>
      <c r="G53" s="49">
        <v>0</v>
      </c>
      <c r="H53"/>
      <c r="I53"/>
    </row>
    <row r="54" spans="1:9" ht="15.3" x14ac:dyDescent="0.55000000000000004">
      <c r="A54" s="11" t="s">
        <v>44</v>
      </c>
      <c r="B54" s="14">
        <v>30000</v>
      </c>
      <c r="C54" s="50">
        <f>10+7+0+15+11+14+19+16+73</f>
        <v>165</v>
      </c>
      <c r="D54" s="50">
        <f>454900+673700+623300+839000+2233000+870500+1476500+19605800</f>
        <v>26776700</v>
      </c>
      <c r="E54" s="50">
        <f>$C54*E$51</f>
        <v>2475000</v>
      </c>
      <c r="F54" s="50">
        <f>$C54*F$51</f>
        <v>2475000</v>
      </c>
      <c r="G54" s="50">
        <f>D54-(F54+E54)</f>
        <v>21826700</v>
      </c>
      <c r="H54"/>
      <c r="I54"/>
    </row>
    <row r="55" spans="1:9" ht="15.3" x14ac:dyDescent="0.55000000000000004">
      <c r="A55" s="11"/>
      <c r="B55" s="12"/>
      <c r="C55" s="51">
        <f>SUM(C52:C54)</f>
        <v>360</v>
      </c>
      <c r="D55" s="51">
        <f>SUM(D52:D54)</f>
        <v>28631200</v>
      </c>
      <c r="E55" s="51">
        <f>SUM(E52:E54)</f>
        <v>3922200</v>
      </c>
      <c r="F55" s="51">
        <f>SUM(F52:F54)</f>
        <v>2882300</v>
      </c>
      <c r="G55" s="51">
        <f>SUM(G52:G54)</f>
        <v>21826700</v>
      </c>
      <c r="H55"/>
      <c r="I55"/>
    </row>
    <row r="56" spans="1:9" x14ac:dyDescent="0.55000000000000004">
      <c r="A56" s="11"/>
      <c r="B56" s="12"/>
      <c r="D56" s="12"/>
      <c r="E56" s="12"/>
      <c r="F56" s="12"/>
      <c r="G56" s="12"/>
      <c r="H56" s="12"/>
    </row>
    <row r="57" spans="1:9" x14ac:dyDescent="0.55000000000000004">
      <c r="A57" s="16" t="s">
        <v>49</v>
      </c>
      <c r="B57" s="16"/>
      <c r="D57" s="12"/>
      <c r="E57" s="12"/>
      <c r="F57" s="12"/>
      <c r="G57" s="12"/>
      <c r="H57" s="12"/>
    </row>
    <row r="58" spans="1:9" x14ac:dyDescent="0.55000000000000004">
      <c r="A58" s="11"/>
      <c r="B58" s="9"/>
      <c r="C58" s="10" t="s">
        <v>46</v>
      </c>
      <c r="D58" s="9" t="s">
        <v>47</v>
      </c>
      <c r="E58" s="10" t="s">
        <v>50</v>
      </c>
      <c r="F58" s="10" t="s">
        <v>51</v>
      </c>
      <c r="G58" s="12"/>
      <c r="H58" s="12"/>
    </row>
    <row r="59" spans="1:9" x14ac:dyDescent="0.55000000000000004">
      <c r="A59" s="11" t="s">
        <v>43</v>
      </c>
      <c r="B59" s="12">
        <f>B52</f>
        <v>15000</v>
      </c>
      <c r="C59" s="13">
        <f>C55</f>
        <v>360</v>
      </c>
      <c r="D59" s="49">
        <f>E55</f>
        <v>3922200</v>
      </c>
      <c r="E59" s="17">
        <f>Rates!G28</f>
        <v>111.19552232689254</v>
      </c>
      <c r="F59" s="7">
        <f>E59*C59</f>
        <v>40030.388037681318</v>
      </c>
      <c r="G59" s="12"/>
    </row>
    <row r="60" spans="1:9" x14ac:dyDescent="0.55000000000000004">
      <c r="A60" s="11" t="s">
        <v>67</v>
      </c>
      <c r="B60" s="12">
        <f>B53</f>
        <v>15000</v>
      </c>
      <c r="D60" s="49">
        <f>F55</f>
        <v>2882300</v>
      </c>
      <c r="E60" s="107">
        <f>Rates!G29</f>
        <v>5.9</v>
      </c>
      <c r="F60" s="3">
        <f>E60*(D60/1000)</f>
        <v>17005.570000000003</v>
      </c>
      <c r="G60" s="12"/>
    </row>
    <row r="61" spans="1:9" x14ac:dyDescent="0.55000000000000004">
      <c r="A61" s="11" t="s">
        <v>44</v>
      </c>
      <c r="B61" s="14">
        <f>B54</f>
        <v>30000</v>
      </c>
      <c r="C61" s="18"/>
      <c r="D61" s="50">
        <f>G55</f>
        <v>21826700</v>
      </c>
      <c r="E61" s="363">
        <f>Rates!G30</f>
        <v>4.95</v>
      </c>
      <c r="F61" s="55">
        <f>E61*(D61/1000)</f>
        <v>108042.16500000001</v>
      </c>
      <c r="G61" s="12"/>
    </row>
    <row r="62" spans="1:9" x14ac:dyDescent="0.55000000000000004">
      <c r="A62" s="11"/>
      <c r="B62" s="12" t="s">
        <v>48</v>
      </c>
      <c r="C62" s="3">
        <f>SUM(C59:C61)</f>
        <v>360</v>
      </c>
      <c r="D62" s="51">
        <f>SUM(D59:D61)</f>
        <v>28631200</v>
      </c>
      <c r="F62" s="7">
        <f>SUM(F59:F61)</f>
        <v>165078.12303768133</v>
      </c>
      <c r="G62" s="12"/>
      <c r="H62" s="12"/>
    </row>
    <row r="63" spans="1:9" x14ac:dyDescent="0.55000000000000004">
      <c r="A63" s="11"/>
      <c r="B63" s="12"/>
      <c r="C63" s="3"/>
      <c r="D63" s="51"/>
      <c r="F63" s="7"/>
      <c r="G63" s="12"/>
      <c r="H63" s="12"/>
    </row>
    <row r="65" spans="1:4" x14ac:dyDescent="0.55000000000000004">
      <c r="A65" s="8" t="s">
        <v>137</v>
      </c>
    </row>
    <row r="66" spans="1:4" x14ac:dyDescent="0.55000000000000004">
      <c r="B66" s="10" t="s">
        <v>138</v>
      </c>
      <c r="C66" s="10" t="s">
        <v>50</v>
      </c>
      <c r="D66" s="9" t="s">
        <v>48</v>
      </c>
    </row>
    <row r="67" spans="1:4" x14ac:dyDescent="0.55000000000000004">
      <c r="A67" s="11" t="s">
        <v>370</v>
      </c>
      <c r="B67" s="3">
        <v>131726</v>
      </c>
      <c r="C67" s="348">
        <f>Rates!$G$33</f>
        <v>3.03</v>
      </c>
      <c r="D67" s="7">
        <f>B67*C67</f>
        <v>399129.77999999997</v>
      </c>
    </row>
    <row r="68" spans="1:4" x14ac:dyDescent="0.55000000000000004">
      <c r="A68" s="11" t="s">
        <v>478</v>
      </c>
      <c r="B68" s="3">
        <f>Resale!U20</f>
        <v>248022.16602316604</v>
      </c>
      <c r="C68" s="30">
        <f>Rates!$G$33</f>
        <v>3.03</v>
      </c>
      <c r="D68" s="3">
        <f>B68*C68</f>
        <v>751507.16305019299</v>
      </c>
    </row>
    <row r="69" spans="1:4" x14ac:dyDescent="0.55000000000000004">
      <c r="A69" s="11" t="s">
        <v>366</v>
      </c>
      <c r="B69" s="3">
        <v>109429</v>
      </c>
      <c r="C69" s="30">
        <f>Rates!$G$33</f>
        <v>3.03</v>
      </c>
      <c r="D69" s="3">
        <f>B69*C69</f>
        <v>331569.87</v>
      </c>
    </row>
    <row r="70" spans="1:4" x14ac:dyDescent="0.55000000000000004">
      <c r="A70" s="11" t="s">
        <v>367</v>
      </c>
      <c r="B70" s="3">
        <v>92184</v>
      </c>
      <c r="C70" s="30">
        <f>Rates!$G$33</f>
        <v>3.03</v>
      </c>
      <c r="D70" s="3">
        <f t="shared" ref="D70:D72" si="2">B70*C70</f>
        <v>279317.51999999996</v>
      </c>
    </row>
    <row r="71" spans="1:4" x14ac:dyDescent="0.55000000000000004">
      <c r="A71" s="11" t="s">
        <v>368</v>
      </c>
      <c r="B71" s="3">
        <v>32283</v>
      </c>
      <c r="C71" s="30">
        <f>Rates!$G$33</f>
        <v>3.03</v>
      </c>
      <c r="D71" s="3">
        <f t="shared" si="2"/>
        <v>97817.489999999991</v>
      </c>
    </row>
    <row r="72" spans="1:4" ht="16.2" x14ac:dyDescent="0.85">
      <c r="A72" s="11" t="s">
        <v>369</v>
      </c>
      <c r="B72" s="46">
        <v>15619</v>
      </c>
      <c r="C72" s="30">
        <f>Rates!$G$33</f>
        <v>3.03</v>
      </c>
      <c r="D72" s="46">
        <f t="shared" si="2"/>
        <v>47325.57</v>
      </c>
    </row>
    <row r="73" spans="1:4" x14ac:dyDescent="0.55000000000000004">
      <c r="B73" s="3">
        <f>SUM(B67:B72)</f>
        <v>629263.16602316604</v>
      </c>
      <c r="D73" s="3">
        <f>SUM(D67:D72)</f>
        <v>1906667.3930501929</v>
      </c>
    </row>
    <row r="75" spans="1:4" x14ac:dyDescent="0.55000000000000004">
      <c r="A75" s="11" t="s">
        <v>479</v>
      </c>
      <c r="B75" s="1" t="s">
        <v>480</v>
      </c>
    </row>
  </sheetData>
  <mergeCells count="2">
    <mergeCell ref="A1:H1"/>
    <mergeCell ref="A2:H2"/>
  </mergeCells>
  <printOptions horizontalCentered="1"/>
  <pageMargins left="0.6" right="0.6" top="0.75" bottom="0.5" header="0.3" footer="0.3"/>
  <pageSetup scale="79" fitToHeight="2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8B6F-7850-47DF-BC2F-685C0F109EF6}">
  <dimension ref="B3:W34"/>
  <sheetViews>
    <sheetView workbookViewId="0"/>
  </sheetViews>
  <sheetFormatPr defaultColWidth="8.86328125" defaultRowHeight="14.4" x14ac:dyDescent="0.55000000000000004"/>
  <cols>
    <col min="1" max="2" width="8.86328125" style="3"/>
    <col min="3" max="10" width="10.76953125" style="3" customWidth="1"/>
    <col min="11" max="11" width="8.76953125" style="3" customWidth="1"/>
    <col min="12" max="12" width="7.76953125" style="3" customWidth="1"/>
    <col min="13" max="13" width="11.04296875" style="3" customWidth="1"/>
    <col min="14" max="14" width="10.2265625" style="3" customWidth="1"/>
    <col min="15" max="16" width="8.86328125" style="3"/>
    <col min="17" max="17" width="3.76953125" style="3" customWidth="1"/>
    <col min="18" max="18" width="8.86328125" style="3"/>
    <col min="19" max="19" width="9.76953125" style="3" bestFit="1" customWidth="1"/>
    <col min="20" max="20" width="8.86328125" style="3"/>
    <col min="21" max="21" width="10.1796875" style="3" bestFit="1" customWidth="1"/>
    <col min="22" max="16384" width="8.86328125" style="3"/>
  </cols>
  <sheetData>
    <row r="3" spans="2:21" ht="16.2" x14ac:dyDescent="0.85">
      <c r="M3" s="565" t="s">
        <v>463</v>
      </c>
      <c r="N3" s="565"/>
      <c r="O3" s="565"/>
      <c r="P3" s="565"/>
      <c r="R3" s="379" t="s">
        <v>371</v>
      </c>
      <c r="U3" s="379" t="s">
        <v>371</v>
      </c>
    </row>
    <row r="4" spans="2:21" ht="16.2" x14ac:dyDescent="0.85">
      <c r="M4" s="5"/>
      <c r="N4" s="378" t="s">
        <v>464</v>
      </c>
      <c r="O4" s="378" t="s">
        <v>471</v>
      </c>
      <c r="P4" s="378" t="s">
        <v>465</v>
      </c>
      <c r="R4" s="377" t="s">
        <v>466</v>
      </c>
      <c r="U4" s="377" t="s">
        <v>475</v>
      </c>
    </row>
    <row r="5" spans="2:21" ht="16.2" x14ac:dyDescent="0.85">
      <c r="C5" s="203" t="s">
        <v>366</v>
      </c>
      <c r="D5" s="203" t="s">
        <v>367</v>
      </c>
      <c r="E5" s="203" t="s">
        <v>368</v>
      </c>
      <c r="F5" s="203" t="s">
        <v>370</v>
      </c>
      <c r="G5" s="203" t="s">
        <v>369</v>
      </c>
      <c r="H5" s="203" t="s">
        <v>371</v>
      </c>
      <c r="M5" s="357" t="s">
        <v>365</v>
      </c>
      <c r="N5" s="25">
        <v>18457</v>
      </c>
      <c r="O5" s="25">
        <v>928</v>
      </c>
      <c r="P5" s="48">
        <v>54531</v>
      </c>
      <c r="Q5" s="25"/>
      <c r="R5" s="380">
        <v>14760</v>
      </c>
      <c r="U5" s="3">
        <f>R5/2.59</f>
        <v>5698.8416988416993</v>
      </c>
    </row>
    <row r="6" spans="2:21" x14ac:dyDescent="0.55000000000000004">
      <c r="B6" s="3" t="s">
        <v>354</v>
      </c>
      <c r="C6" s="3">
        <v>7617300</v>
      </c>
      <c r="D6" s="3">
        <v>7153900</v>
      </c>
      <c r="E6" s="3">
        <v>3482600</v>
      </c>
      <c r="F6" s="3">
        <v>13442400</v>
      </c>
      <c r="G6" s="3">
        <v>1258900</v>
      </c>
      <c r="M6" s="47" t="s">
        <v>354</v>
      </c>
      <c r="N6" s="3">
        <v>14547</v>
      </c>
      <c r="O6" s="3">
        <v>928</v>
      </c>
      <c r="P6" s="3">
        <v>44404</v>
      </c>
      <c r="R6" s="3">
        <v>13187</v>
      </c>
      <c r="U6" s="3">
        <f t="shared" ref="U6:U17" si="0">R6/2.59</f>
        <v>5091.5057915057914</v>
      </c>
    </row>
    <row r="7" spans="2:21" x14ac:dyDescent="0.55000000000000004">
      <c r="B7" s="3" t="s">
        <v>355</v>
      </c>
      <c r="C7" s="3">
        <v>10734800</v>
      </c>
      <c r="D7" s="3">
        <v>7273700</v>
      </c>
      <c r="E7" s="3">
        <v>1402700</v>
      </c>
      <c r="F7" s="3">
        <v>11541700</v>
      </c>
      <c r="G7" s="3">
        <v>976700</v>
      </c>
      <c r="M7" s="47" t="s">
        <v>355</v>
      </c>
      <c r="N7" s="3">
        <v>15297</v>
      </c>
      <c r="O7" s="3">
        <v>921</v>
      </c>
      <c r="P7" s="3">
        <v>46296</v>
      </c>
      <c r="R7" s="3">
        <v>13503</v>
      </c>
      <c r="U7" s="3">
        <f t="shared" si="0"/>
        <v>5213.5135135135142</v>
      </c>
    </row>
    <row r="8" spans="2:21" x14ac:dyDescent="0.55000000000000004">
      <c r="B8" s="3" t="s">
        <v>356</v>
      </c>
      <c r="C8" s="3">
        <v>5331400</v>
      </c>
      <c r="D8" s="3">
        <v>6795500</v>
      </c>
      <c r="E8" s="3">
        <v>219000</v>
      </c>
      <c r="F8" s="3">
        <v>9888800</v>
      </c>
      <c r="G8" s="3">
        <v>876400</v>
      </c>
      <c r="M8" s="47" t="s">
        <v>356</v>
      </c>
      <c r="N8" s="3">
        <v>13841</v>
      </c>
      <c r="O8" s="3">
        <v>921</v>
      </c>
      <c r="P8" s="3">
        <v>42525</v>
      </c>
      <c r="R8" s="3">
        <v>11966</v>
      </c>
      <c r="U8" s="3">
        <f t="shared" si="0"/>
        <v>4620.0772200772208</v>
      </c>
    </row>
    <row r="9" spans="2:21" x14ac:dyDescent="0.55000000000000004">
      <c r="B9" s="3" t="s">
        <v>357</v>
      </c>
      <c r="C9" s="3">
        <v>10337900</v>
      </c>
      <c r="D9" s="3">
        <v>7184000</v>
      </c>
      <c r="E9" s="3">
        <v>379700</v>
      </c>
      <c r="F9" s="3">
        <v>10906900</v>
      </c>
      <c r="G9" s="3">
        <v>1043400</v>
      </c>
      <c r="M9" s="47" t="s">
        <v>357</v>
      </c>
      <c r="N9" s="3">
        <v>16772</v>
      </c>
      <c r="O9" s="3">
        <v>918</v>
      </c>
      <c r="P9" s="3">
        <v>50095</v>
      </c>
      <c r="R9" s="3">
        <v>10290</v>
      </c>
      <c r="U9" s="3">
        <f t="shared" si="0"/>
        <v>3972.9729729729734</v>
      </c>
    </row>
    <row r="10" spans="2:21" x14ac:dyDescent="0.55000000000000004">
      <c r="B10" s="3" t="s">
        <v>358</v>
      </c>
      <c r="C10" s="3">
        <v>10632500</v>
      </c>
      <c r="D10" s="3">
        <v>7135800</v>
      </c>
      <c r="E10" s="3">
        <v>833500</v>
      </c>
      <c r="F10" s="3">
        <v>11720900</v>
      </c>
      <c r="G10" s="3">
        <v>1192600</v>
      </c>
      <c r="M10" s="47" t="s">
        <v>358</v>
      </c>
      <c r="N10" s="3">
        <v>15839</v>
      </c>
      <c r="O10" s="3">
        <v>922</v>
      </c>
      <c r="P10" s="3">
        <v>47706</v>
      </c>
      <c r="R10" s="3">
        <v>11865</v>
      </c>
      <c r="U10" s="3">
        <f t="shared" si="0"/>
        <v>4581.0810810810817</v>
      </c>
    </row>
    <row r="11" spans="2:21" x14ac:dyDescent="0.55000000000000004">
      <c r="B11" s="3" t="s">
        <v>359</v>
      </c>
      <c r="C11" s="3">
        <v>8448300</v>
      </c>
      <c r="D11" s="3">
        <v>8826200</v>
      </c>
      <c r="E11" s="3">
        <v>3785100</v>
      </c>
      <c r="F11" s="3">
        <v>10906900</v>
      </c>
      <c r="G11" s="3">
        <v>1443600</v>
      </c>
      <c r="M11" s="47" t="s">
        <v>359</v>
      </c>
      <c r="N11" s="3">
        <v>17430</v>
      </c>
      <c r="O11" s="3">
        <v>923</v>
      </c>
      <c r="P11" s="3">
        <v>51835</v>
      </c>
      <c r="R11" s="3">
        <v>10932</v>
      </c>
      <c r="U11" s="3">
        <f t="shared" si="0"/>
        <v>4220.8494208494212</v>
      </c>
    </row>
    <row r="12" spans="2:21" x14ac:dyDescent="0.55000000000000004">
      <c r="B12" s="3" t="s">
        <v>360</v>
      </c>
      <c r="C12" s="3">
        <v>8700500</v>
      </c>
      <c r="D12" s="3">
        <v>8072900</v>
      </c>
      <c r="E12" s="3">
        <v>3695300</v>
      </c>
      <c r="F12" s="3">
        <v>11198100</v>
      </c>
      <c r="G12" s="3">
        <v>1405900</v>
      </c>
      <c r="M12" s="47" t="s">
        <v>360</v>
      </c>
      <c r="N12" s="3">
        <v>17748</v>
      </c>
      <c r="O12" s="3">
        <v>923</v>
      </c>
      <c r="P12" s="3">
        <v>52660</v>
      </c>
      <c r="R12" s="3">
        <v>12220</v>
      </c>
      <c r="U12" s="3">
        <f t="shared" si="0"/>
        <v>4718.1467181467187</v>
      </c>
    </row>
    <row r="13" spans="2:21" x14ac:dyDescent="0.55000000000000004">
      <c r="B13" s="3" t="s">
        <v>361</v>
      </c>
      <c r="C13" s="3">
        <v>9054500</v>
      </c>
      <c r="D13" s="3">
        <v>8460900</v>
      </c>
      <c r="E13" s="3">
        <v>3925900</v>
      </c>
      <c r="F13" s="3">
        <v>11255600</v>
      </c>
      <c r="G13" s="3">
        <v>1508400</v>
      </c>
      <c r="M13" s="47" t="s">
        <v>361</v>
      </c>
      <c r="N13" s="3">
        <v>18881</v>
      </c>
      <c r="O13" s="3">
        <v>920</v>
      </c>
      <c r="P13" s="3">
        <v>55571</v>
      </c>
      <c r="R13" s="3">
        <v>10777</v>
      </c>
      <c r="U13" s="3">
        <f t="shared" si="0"/>
        <v>4161.0038610038609</v>
      </c>
    </row>
    <row r="14" spans="2:21" x14ac:dyDescent="0.55000000000000004">
      <c r="B14" s="3" t="s">
        <v>362</v>
      </c>
      <c r="C14" s="3">
        <v>10059400</v>
      </c>
      <c r="D14" s="3">
        <v>8437600</v>
      </c>
      <c r="E14" s="3">
        <v>4360100</v>
      </c>
      <c r="F14" s="3">
        <v>10963800</v>
      </c>
      <c r="G14" s="3">
        <v>1254500</v>
      </c>
      <c r="M14" s="47" t="s">
        <v>362</v>
      </c>
      <c r="N14" s="3">
        <v>17587</v>
      </c>
      <c r="O14" s="3">
        <v>919</v>
      </c>
      <c r="P14" s="3">
        <v>52213</v>
      </c>
      <c r="R14" s="3">
        <v>4888</v>
      </c>
      <c r="U14" s="3">
        <f t="shared" si="0"/>
        <v>1887.2586872586874</v>
      </c>
    </row>
    <row r="15" spans="2:21" x14ac:dyDescent="0.55000000000000004">
      <c r="B15" s="3" t="s">
        <v>363</v>
      </c>
      <c r="C15" s="3">
        <v>9191600</v>
      </c>
      <c r="D15" s="3">
        <v>7578100</v>
      </c>
      <c r="E15" s="3">
        <v>3286900</v>
      </c>
      <c r="F15" s="3">
        <v>9813900</v>
      </c>
      <c r="G15" s="3">
        <v>1268400</v>
      </c>
      <c r="M15" s="47" t="s">
        <v>363</v>
      </c>
      <c r="N15" s="3">
        <v>17841</v>
      </c>
      <c r="O15" s="3">
        <v>918</v>
      </c>
      <c r="P15" s="3">
        <v>52862</v>
      </c>
      <c r="R15" s="3">
        <v>8097</v>
      </c>
      <c r="U15" s="3">
        <f t="shared" si="0"/>
        <v>3126.2548262548266</v>
      </c>
    </row>
    <row r="16" spans="2:21" x14ac:dyDescent="0.55000000000000004">
      <c r="B16" s="3" t="s">
        <v>364</v>
      </c>
      <c r="C16" s="3">
        <v>9736000</v>
      </c>
      <c r="D16" s="3">
        <v>7954300</v>
      </c>
      <c r="E16" s="3">
        <v>3522700</v>
      </c>
      <c r="F16" s="3">
        <v>9991600</v>
      </c>
      <c r="G16" s="3">
        <v>1615700</v>
      </c>
      <c r="M16" s="47" t="s">
        <v>364</v>
      </c>
      <c r="N16" s="3">
        <v>17402</v>
      </c>
      <c r="O16" s="3">
        <v>922</v>
      </c>
      <c r="P16" s="3">
        <v>51755</v>
      </c>
      <c r="Q16" s="48"/>
      <c r="R16" s="3">
        <v>8226</v>
      </c>
      <c r="S16" s="383">
        <f>SUM(R5:R16)</f>
        <v>130711</v>
      </c>
      <c r="T16" s="381" t="s">
        <v>468</v>
      </c>
      <c r="U16" s="3">
        <f t="shared" si="0"/>
        <v>3176.0617760617761</v>
      </c>
    </row>
    <row r="17" spans="2:23" ht="16.2" x14ac:dyDescent="0.85">
      <c r="B17" s="3" t="s">
        <v>365</v>
      </c>
      <c r="C17" s="46">
        <v>9585000</v>
      </c>
      <c r="D17" s="46">
        <v>7311500</v>
      </c>
      <c r="E17" s="46">
        <v>3390400</v>
      </c>
      <c r="F17" s="46">
        <v>10095700</v>
      </c>
      <c r="G17" s="46">
        <v>1774700</v>
      </c>
      <c r="H17" s="46">
        <v>0</v>
      </c>
      <c r="I17" s="46"/>
      <c r="M17" s="47" t="s">
        <v>365</v>
      </c>
      <c r="N17" s="46">
        <v>15914</v>
      </c>
      <c r="O17" s="46">
        <v>927</v>
      </c>
      <c r="P17" s="46">
        <v>47939</v>
      </c>
      <c r="Q17" s="48"/>
      <c r="R17" s="3">
        <v>10760</v>
      </c>
      <c r="S17" s="48">
        <f>SUM(R6:R17)</f>
        <v>126711</v>
      </c>
      <c r="T17" s="3" t="s">
        <v>467</v>
      </c>
      <c r="U17" s="46">
        <f t="shared" si="0"/>
        <v>4154.4401544401544</v>
      </c>
    </row>
    <row r="18" spans="2:23" x14ac:dyDescent="0.55000000000000004">
      <c r="C18" s="3">
        <f>SUM(C6:C17)</f>
        <v>109429200</v>
      </c>
      <c r="D18" s="3">
        <f t="shared" ref="D18:G18" si="1">SUM(D6:D17)</f>
        <v>92184400</v>
      </c>
      <c r="E18" s="3">
        <f t="shared" si="1"/>
        <v>32283900</v>
      </c>
      <c r="F18" s="3">
        <f t="shared" si="1"/>
        <v>131726300</v>
      </c>
      <c r="G18" s="3">
        <f t="shared" si="1"/>
        <v>15619200</v>
      </c>
      <c r="H18" s="3">
        <v>199097000</v>
      </c>
      <c r="I18" s="3">
        <f>SUM(C18:H18)</f>
        <v>580340000</v>
      </c>
      <c r="M18" s="47" t="s">
        <v>473</v>
      </c>
      <c r="N18" s="403">
        <f>SUM(N6:N17)</f>
        <v>199099</v>
      </c>
      <c r="O18" s="3">
        <f>SUM(O6:O17)</f>
        <v>11062</v>
      </c>
      <c r="P18" s="48">
        <f>SUM(P6:P17)</f>
        <v>595861</v>
      </c>
      <c r="U18" s="403">
        <f>SUM(U6:U17)</f>
        <v>48923.166023166028</v>
      </c>
    </row>
    <row r="19" spans="2:23" ht="16.2" x14ac:dyDescent="0.85">
      <c r="C19" s="107">
        <v>2.59</v>
      </c>
      <c r="D19" s="107">
        <v>2.59</v>
      </c>
      <c r="E19" s="107">
        <v>2.59</v>
      </c>
      <c r="F19" s="107">
        <v>2.59</v>
      </c>
      <c r="G19" s="107">
        <v>2.59</v>
      </c>
      <c r="H19" s="107">
        <v>2.59</v>
      </c>
      <c r="N19" s="108">
        <v>2.59</v>
      </c>
      <c r="O19" s="108">
        <v>7.25</v>
      </c>
    </row>
    <row r="20" spans="2:23" x14ac:dyDescent="0.55000000000000004">
      <c r="C20" s="3">
        <f>C18/1000*C19</f>
        <v>283421.62799999997</v>
      </c>
      <c r="D20" s="3">
        <f t="shared" ref="D20:G20" si="2">D18/1000*D19</f>
        <v>238757.59599999996</v>
      </c>
      <c r="E20" s="3">
        <f t="shared" si="2"/>
        <v>83615.300999999992</v>
      </c>
      <c r="F20" s="3">
        <f t="shared" si="2"/>
        <v>341171.11699999997</v>
      </c>
      <c r="G20" s="3">
        <f t="shared" si="2"/>
        <v>40453.728000000003</v>
      </c>
      <c r="H20" s="3">
        <f>(H18/1000*H19)</f>
        <v>515661.23</v>
      </c>
      <c r="I20" s="3">
        <f>SUM(C20:H20)</f>
        <v>1503080.5999999999</v>
      </c>
      <c r="J20" s="3" t="s">
        <v>375</v>
      </c>
      <c r="N20" s="48">
        <f>N18*N19</f>
        <v>515666.41</v>
      </c>
      <c r="O20" s="48">
        <f>O18*O19</f>
        <v>80199.5</v>
      </c>
      <c r="S20" s="391"/>
      <c r="T20" s="392" t="s">
        <v>473</v>
      </c>
      <c r="U20" s="393">
        <f>U18+N18</f>
        <v>248022.16602316604</v>
      </c>
      <c r="V20" s="393" t="s">
        <v>476</v>
      </c>
      <c r="W20" s="394"/>
    </row>
    <row r="21" spans="2:23" ht="16.2" x14ac:dyDescent="0.85">
      <c r="C21" s="3">
        <v>287985</v>
      </c>
      <c r="D21" s="3">
        <v>238094</v>
      </c>
      <c r="E21" s="3">
        <v>81979</v>
      </c>
      <c r="F21" s="3">
        <v>351423</v>
      </c>
      <c r="G21" s="3">
        <v>41777</v>
      </c>
      <c r="H21" s="384">
        <v>654770</v>
      </c>
      <c r="I21" s="46">
        <f>SUM(C21:H21)</f>
        <v>1656028</v>
      </c>
      <c r="J21" s="3" t="s">
        <v>376</v>
      </c>
      <c r="S21" s="395"/>
      <c r="T21" s="396"/>
      <c r="U21" s="397">
        <v>2.59</v>
      </c>
      <c r="V21" s="396"/>
      <c r="W21" s="398"/>
    </row>
    <row r="22" spans="2:23" x14ac:dyDescent="0.55000000000000004">
      <c r="H22" s="3">
        <f>H21-H20</f>
        <v>139108.77000000002</v>
      </c>
      <c r="I22" s="3">
        <f>I21-I20</f>
        <v>152947.40000000014</v>
      </c>
      <c r="S22" s="395"/>
      <c r="T22" s="396"/>
      <c r="U22" s="399">
        <f>U20*U21</f>
        <v>642377.41</v>
      </c>
      <c r="V22" s="396"/>
      <c r="W22" s="398"/>
    </row>
    <row r="23" spans="2:23" x14ac:dyDescent="0.55000000000000004">
      <c r="S23" s="400"/>
      <c r="T23" s="401"/>
      <c r="U23" s="401"/>
      <c r="V23" s="401"/>
      <c r="W23" s="402"/>
    </row>
    <row r="24" spans="2:23" x14ac:dyDescent="0.55000000000000004">
      <c r="L24" s="383"/>
      <c r="M24" s="382" t="s">
        <v>472</v>
      </c>
      <c r="N24" s="381">
        <f>SUM(N5:N16)</f>
        <v>201642</v>
      </c>
    </row>
    <row r="25" spans="2:23" x14ac:dyDescent="0.55000000000000004">
      <c r="L25" s="383"/>
      <c r="M25" s="382" t="s">
        <v>469</v>
      </c>
      <c r="N25" s="383">
        <f>N24*N19</f>
        <v>522252.77999999997</v>
      </c>
      <c r="O25" s="48"/>
    </row>
    <row r="26" spans="2:23" ht="16.2" x14ac:dyDescent="0.85">
      <c r="L26" s="383"/>
      <c r="M26" s="382" t="s">
        <v>466</v>
      </c>
      <c r="N26" s="384">
        <f>S16</f>
        <v>130711</v>
      </c>
    </row>
    <row r="27" spans="2:23" x14ac:dyDescent="0.55000000000000004">
      <c r="L27" s="383"/>
      <c r="M27" s="382" t="s">
        <v>470</v>
      </c>
      <c r="N27" s="383">
        <f>N25+N26</f>
        <v>652963.78</v>
      </c>
    </row>
    <row r="29" spans="2:23" x14ac:dyDescent="0.55000000000000004">
      <c r="M29" s="385" t="s">
        <v>474</v>
      </c>
      <c r="N29" s="386"/>
      <c r="O29" s="386"/>
      <c r="P29" s="386"/>
      <c r="Q29" s="386"/>
      <c r="R29" s="387">
        <f>H21</f>
        <v>654770</v>
      </c>
    </row>
    <row r="32" spans="2:23" x14ac:dyDescent="0.55000000000000004">
      <c r="L32" s="165"/>
      <c r="M32" s="388"/>
      <c r="N32" s="389"/>
    </row>
    <row r="33" spans="12:14" ht="16.2" x14ac:dyDescent="0.85">
      <c r="L33" s="165"/>
      <c r="M33" s="390"/>
      <c r="N33" s="101"/>
    </row>
    <row r="34" spans="12:14" x14ac:dyDescent="0.55000000000000004">
      <c r="L34" s="165"/>
      <c r="M34" s="165"/>
      <c r="N34" s="389"/>
    </row>
  </sheetData>
  <mergeCells count="1">
    <mergeCell ref="M3:P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S62"/>
  <sheetViews>
    <sheetView workbookViewId="0"/>
  </sheetViews>
  <sheetFormatPr defaultColWidth="8.86328125" defaultRowHeight="14.4" x14ac:dyDescent="0.55000000000000004"/>
  <cols>
    <col min="1" max="1" width="1.86328125" style="1" customWidth="1"/>
    <col min="2" max="2" width="1.76953125" style="1" customWidth="1"/>
    <col min="3" max="3" width="26.953125" style="20" customWidth="1"/>
    <col min="4" max="4" width="11.1796875" style="20" customWidth="1"/>
    <col min="5" max="5" width="7.6796875" style="20" customWidth="1"/>
    <col min="6" max="6" width="10.90625" style="20" customWidth="1"/>
    <col min="7" max="7" width="5.86328125" style="42" customWidth="1"/>
    <col min="8" max="8" width="10.04296875" style="20" customWidth="1"/>
    <col min="9" max="9" width="1.76953125" style="20" customWidth="1"/>
    <col min="10" max="10" width="2.31640625" style="20" customWidth="1"/>
    <col min="11" max="253" width="9.6796875" style="20" customWidth="1"/>
    <col min="254" max="16384" width="8.86328125" style="1"/>
  </cols>
  <sheetData>
    <row r="1" spans="2:22" x14ac:dyDescent="0.55000000000000004">
      <c r="K1" s="34"/>
    </row>
    <row r="2" spans="2:22" ht="7" customHeight="1" x14ac:dyDescent="0.55000000000000004">
      <c r="B2" s="35"/>
      <c r="C2" s="67"/>
      <c r="D2" s="67"/>
      <c r="E2" s="67"/>
      <c r="F2" s="67"/>
      <c r="G2" s="67"/>
      <c r="H2" s="67"/>
      <c r="I2" s="68"/>
      <c r="O2" s="28"/>
    </row>
    <row r="3" spans="2:22" ht="18.3" x14ac:dyDescent="0.7">
      <c r="B3" s="36"/>
      <c r="C3" s="566" t="s">
        <v>38</v>
      </c>
      <c r="D3" s="566"/>
      <c r="E3" s="566"/>
      <c r="F3" s="566"/>
      <c r="G3" s="566"/>
      <c r="H3" s="566"/>
      <c r="I3" s="567"/>
    </row>
    <row r="4" spans="2:22" ht="18.3" x14ac:dyDescent="0.7">
      <c r="B4" s="36"/>
      <c r="C4" s="568" t="s">
        <v>1</v>
      </c>
      <c r="D4" s="568"/>
      <c r="E4" s="568"/>
      <c r="F4" s="568"/>
      <c r="G4" s="568"/>
      <c r="H4" s="568"/>
      <c r="I4" s="569"/>
    </row>
    <row r="5" spans="2:22" ht="15" customHeight="1" x14ac:dyDescent="0.55000000000000004">
      <c r="B5" s="36"/>
      <c r="C5" s="563" t="s">
        <v>327</v>
      </c>
      <c r="D5" s="563"/>
      <c r="E5" s="563"/>
      <c r="F5" s="563"/>
      <c r="G5" s="563"/>
      <c r="H5" s="563"/>
      <c r="I5" s="570"/>
      <c r="V5" s="45"/>
    </row>
    <row r="6" spans="2:22" ht="10" customHeight="1" x14ac:dyDescent="0.55000000000000004">
      <c r="B6" s="39"/>
      <c r="C6" s="233"/>
      <c r="D6" s="233"/>
      <c r="E6" s="233"/>
      <c r="F6" s="233"/>
      <c r="G6" s="356"/>
      <c r="H6" s="233"/>
      <c r="I6" s="40"/>
      <c r="O6" s="28"/>
      <c r="P6" s="45"/>
      <c r="Q6" s="45"/>
      <c r="R6" s="45"/>
      <c r="S6" s="45"/>
      <c r="T6" s="45"/>
      <c r="U6" s="45"/>
      <c r="V6" s="45"/>
    </row>
    <row r="7" spans="2:22" ht="7" customHeight="1" x14ac:dyDescent="0.55000000000000004">
      <c r="B7" s="36"/>
      <c r="C7" s="232"/>
      <c r="D7" s="232"/>
      <c r="E7" s="232"/>
      <c r="F7" s="232"/>
      <c r="G7" s="516"/>
      <c r="H7" s="232"/>
      <c r="I7" s="37"/>
      <c r="O7" s="28"/>
      <c r="P7" s="45"/>
      <c r="Q7" s="45"/>
      <c r="R7" s="45"/>
      <c r="S7" s="45"/>
      <c r="T7" s="45"/>
      <c r="U7" s="45"/>
      <c r="V7" s="45"/>
    </row>
    <row r="8" spans="2:22" ht="15.6" customHeight="1" x14ac:dyDescent="0.85">
      <c r="B8" s="36"/>
      <c r="C8" s="517"/>
      <c r="D8" s="518" t="s">
        <v>345</v>
      </c>
      <c r="E8" s="518"/>
      <c r="F8" s="518"/>
      <c r="G8" s="571" t="s">
        <v>344</v>
      </c>
      <c r="H8" s="571"/>
      <c r="I8" s="37"/>
      <c r="O8" s="28"/>
      <c r="P8" s="45"/>
      <c r="Q8" s="45"/>
      <c r="R8" s="45"/>
      <c r="S8" s="45"/>
      <c r="T8" s="45"/>
      <c r="U8" s="45"/>
      <c r="V8" s="45"/>
    </row>
    <row r="9" spans="2:22" ht="15.6" customHeight="1" x14ac:dyDescent="0.85">
      <c r="B9" s="36"/>
      <c r="C9" s="519" t="s">
        <v>346</v>
      </c>
      <c r="D9" s="520" t="s">
        <v>503</v>
      </c>
      <c r="E9" s="520"/>
      <c r="F9" s="520"/>
      <c r="G9" s="361" t="s">
        <v>3</v>
      </c>
      <c r="H9" s="520" t="s">
        <v>4</v>
      </c>
      <c r="I9" s="37"/>
      <c r="O9" s="28"/>
      <c r="P9" s="45"/>
      <c r="Q9" s="45"/>
      <c r="R9" s="45"/>
      <c r="S9" s="45"/>
      <c r="T9" s="45"/>
      <c r="U9" s="45"/>
      <c r="V9" s="45"/>
    </row>
    <row r="10" spans="2:22" ht="15.6" customHeight="1" x14ac:dyDescent="0.55000000000000004">
      <c r="B10" s="36"/>
      <c r="C10" s="5" t="s">
        <v>205</v>
      </c>
      <c r="D10" s="521">
        <v>3557346</v>
      </c>
      <c r="E10" s="521"/>
      <c r="F10" s="521"/>
      <c r="G10" s="522">
        <v>37.5</v>
      </c>
      <c r="H10" s="523">
        <f t="shared" ref="H10:H35" si="0">D10/G10</f>
        <v>94862.56</v>
      </c>
      <c r="I10" s="37"/>
      <c r="O10" s="28"/>
      <c r="P10" s="45"/>
      <c r="Q10" s="45"/>
      <c r="R10" s="45"/>
      <c r="S10" s="45"/>
      <c r="T10" s="45"/>
      <c r="U10" s="45"/>
      <c r="V10" s="45"/>
    </row>
    <row r="11" spans="2:22" ht="15.6" customHeight="1" x14ac:dyDescent="0.55000000000000004">
      <c r="B11" s="36"/>
      <c r="C11" s="5" t="s">
        <v>613</v>
      </c>
      <c r="D11" s="521">
        <v>610371</v>
      </c>
      <c r="E11" s="521"/>
      <c r="F11" s="521"/>
      <c r="G11" s="522">
        <v>37.5</v>
      </c>
      <c r="H11" s="523">
        <f t="shared" si="0"/>
        <v>16276.56</v>
      </c>
      <c r="I11" s="37"/>
      <c r="O11" s="28"/>
      <c r="P11" s="45"/>
      <c r="Q11" s="45"/>
      <c r="R11" s="45"/>
      <c r="S11" s="45"/>
      <c r="T11" s="45"/>
      <c r="U11" s="45"/>
      <c r="V11" s="45"/>
    </row>
    <row r="12" spans="2:22" ht="15.6" customHeight="1" x14ac:dyDescent="0.55000000000000004">
      <c r="B12" s="36"/>
      <c r="C12" s="5" t="s">
        <v>349</v>
      </c>
      <c r="D12" s="521">
        <v>2556205</v>
      </c>
      <c r="E12" s="521"/>
      <c r="F12" s="521"/>
      <c r="G12" s="522">
        <f>125/2</f>
        <v>62.5</v>
      </c>
      <c r="H12" s="523">
        <f t="shared" si="0"/>
        <v>40899.279999999999</v>
      </c>
      <c r="I12" s="37"/>
      <c r="O12" s="28"/>
      <c r="P12" s="45"/>
      <c r="Q12" s="45"/>
      <c r="R12" s="45"/>
      <c r="S12" s="45"/>
      <c r="T12" s="45"/>
      <c r="U12" s="45"/>
      <c r="V12" s="45"/>
    </row>
    <row r="13" spans="2:22" ht="15.6" customHeight="1" x14ac:dyDescent="0.55000000000000004">
      <c r="B13" s="36"/>
      <c r="C13" s="5" t="s">
        <v>342</v>
      </c>
      <c r="D13" s="521">
        <v>495652</v>
      </c>
      <c r="E13" s="521"/>
      <c r="F13" s="521"/>
      <c r="G13" s="522">
        <v>40</v>
      </c>
      <c r="H13" s="523">
        <f t="shared" si="0"/>
        <v>12391.3</v>
      </c>
      <c r="I13" s="37"/>
      <c r="O13" s="28"/>
      <c r="P13" s="45"/>
      <c r="Q13" s="45"/>
      <c r="R13" s="45"/>
      <c r="S13" s="45"/>
      <c r="T13" s="45"/>
      <c r="U13" s="45"/>
      <c r="V13" s="45"/>
    </row>
    <row r="14" spans="2:22" ht="15.6" customHeight="1" x14ac:dyDescent="0.55000000000000004">
      <c r="B14" s="36"/>
      <c r="C14" s="5" t="s">
        <v>206</v>
      </c>
      <c r="D14" s="521">
        <v>312627</v>
      </c>
      <c r="E14" s="521"/>
      <c r="F14" s="521"/>
      <c r="G14" s="522">
        <v>62.5</v>
      </c>
      <c r="H14" s="523">
        <f t="shared" si="0"/>
        <v>5002.0320000000002</v>
      </c>
      <c r="I14" s="37"/>
      <c r="O14" s="28"/>
      <c r="P14" s="45"/>
      <c r="Q14" s="45"/>
      <c r="R14" s="45"/>
      <c r="S14" s="45"/>
      <c r="T14" s="45"/>
      <c r="U14" s="45"/>
      <c r="V14" s="45"/>
    </row>
    <row r="15" spans="2:22" ht="15.6" customHeight="1" x14ac:dyDescent="0.55000000000000004">
      <c r="B15" s="36"/>
      <c r="C15" s="5" t="s">
        <v>347</v>
      </c>
      <c r="D15" s="521">
        <v>4123338</v>
      </c>
      <c r="E15" s="521"/>
      <c r="F15" s="521"/>
      <c r="G15" s="522">
        <v>20</v>
      </c>
      <c r="H15" s="523">
        <f t="shared" si="0"/>
        <v>206166.9</v>
      </c>
      <c r="I15" s="37"/>
      <c r="O15" s="28"/>
      <c r="P15" s="45"/>
      <c r="Q15" s="45"/>
      <c r="R15" s="45"/>
      <c r="S15" s="45"/>
      <c r="T15" s="45"/>
      <c r="U15" s="45"/>
      <c r="V15" s="45"/>
    </row>
    <row r="16" spans="2:22" ht="15.6" customHeight="1" x14ac:dyDescent="0.55000000000000004">
      <c r="B16" s="36"/>
      <c r="C16" s="5" t="s">
        <v>208</v>
      </c>
      <c r="D16" s="521">
        <v>1372942</v>
      </c>
      <c r="E16" s="521"/>
      <c r="F16" s="521"/>
      <c r="G16" s="522">
        <f>55/2</f>
        <v>27.5</v>
      </c>
      <c r="H16" s="523">
        <f t="shared" si="0"/>
        <v>49925.163636363635</v>
      </c>
      <c r="I16" s="37"/>
      <c r="O16" s="28"/>
      <c r="P16" s="45"/>
      <c r="Q16" s="45"/>
      <c r="R16" s="45"/>
      <c r="S16" s="45"/>
      <c r="T16" s="45"/>
      <c r="U16" s="45"/>
      <c r="V16" s="45"/>
    </row>
    <row r="17" spans="2:22" ht="15.6" customHeight="1" x14ac:dyDescent="0.55000000000000004">
      <c r="B17" s="36"/>
      <c r="C17" s="5" t="s">
        <v>517</v>
      </c>
      <c r="D17" s="521">
        <v>3108628</v>
      </c>
      <c r="E17" s="521"/>
      <c r="F17" s="521"/>
      <c r="G17" s="522">
        <v>45</v>
      </c>
      <c r="H17" s="523">
        <f t="shared" si="0"/>
        <v>69080.622222222228</v>
      </c>
      <c r="I17" s="37"/>
      <c r="O17" s="28"/>
      <c r="P17" s="45"/>
      <c r="Q17" s="45"/>
      <c r="R17" s="45"/>
      <c r="S17" s="45"/>
      <c r="T17" s="45"/>
      <c r="U17" s="45"/>
      <c r="V17" s="45"/>
    </row>
    <row r="18" spans="2:22" ht="15.6" customHeight="1" x14ac:dyDescent="0.55000000000000004">
      <c r="B18" s="36"/>
      <c r="C18" s="5" t="s">
        <v>207</v>
      </c>
      <c r="D18" s="521">
        <v>66000</v>
      </c>
      <c r="E18" s="521"/>
      <c r="F18" s="521"/>
      <c r="G18" s="522">
        <v>20</v>
      </c>
      <c r="H18" s="523">
        <f t="shared" si="0"/>
        <v>3300</v>
      </c>
      <c r="I18" s="37"/>
      <c r="O18" s="28"/>
      <c r="P18" s="45"/>
      <c r="Q18" s="45"/>
      <c r="R18" s="45"/>
      <c r="S18" s="45"/>
      <c r="T18" s="45"/>
      <c r="U18" s="45"/>
      <c r="V18" s="45"/>
    </row>
    <row r="19" spans="2:22" ht="15.6" customHeight="1" x14ac:dyDescent="0.55000000000000004">
      <c r="B19" s="36"/>
      <c r="C19" s="159" t="s">
        <v>532</v>
      </c>
      <c r="D19" s="521">
        <v>19729380</v>
      </c>
      <c r="E19" s="521"/>
      <c r="F19" s="521"/>
      <c r="G19" s="522">
        <v>62.5</v>
      </c>
      <c r="H19" s="523">
        <f t="shared" si="0"/>
        <v>315670.08</v>
      </c>
      <c r="I19" s="37"/>
      <c r="O19" s="28"/>
      <c r="P19" s="45"/>
      <c r="Q19" s="45"/>
      <c r="R19" s="45"/>
      <c r="S19" s="45"/>
      <c r="T19" s="45"/>
      <c r="U19" s="45"/>
      <c r="V19" s="45"/>
    </row>
    <row r="20" spans="2:22" ht="15.6" customHeight="1" x14ac:dyDescent="0.55000000000000004">
      <c r="B20" s="36"/>
      <c r="C20" s="5" t="s">
        <v>209</v>
      </c>
      <c r="D20" s="521">
        <v>956263</v>
      </c>
      <c r="E20" s="521"/>
      <c r="F20" s="521"/>
      <c r="G20" s="522">
        <v>40</v>
      </c>
      <c r="H20" s="523">
        <f t="shared" si="0"/>
        <v>23906.575000000001</v>
      </c>
      <c r="I20" s="37"/>
      <c r="O20" s="28"/>
      <c r="P20" s="45"/>
      <c r="Q20" s="45"/>
      <c r="R20" s="45"/>
      <c r="S20" s="45"/>
      <c r="T20" s="45"/>
      <c r="U20" s="45"/>
      <c r="V20" s="45"/>
    </row>
    <row r="21" spans="2:22" ht="15.6" customHeight="1" x14ac:dyDescent="0.55000000000000004">
      <c r="B21" s="36"/>
      <c r="C21" s="5" t="s">
        <v>126</v>
      </c>
      <c r="D21" s="521">
        <v>1827181</v>
      </c>
      <c r="E21" s="521"/>
      <c r="F21" s="521"/>
      <c r="G21" s="522">
        <v>40</v>
      </c>
      <c r="H21" s="523">
        <f t="shared" si="0"/>
        <v>45679.525000000001</v>
      </c>
      <c r="I21" s="37"/>
      <c r="O21" s="28"/>
      <c r="P21" s="45"/>
      <c r="Q21" s="45"/>
      <c r="R21" s="45"/>
      <c r="S21" s="45"/>
      <c r="T21" s="45"/>
      <c r="U21" s="45"/>
      <c r="V21" s="45"/>
    </row>
    <row r="22" spans="2:22" ht="15.6" customHeight="1" x14ac:dyDescent="0.55000000000000004">
      <c r="B22" s="36"/>
      <c r="C22" s="5" t="s">
        <v>210</v>
      </c>
      <c r="D22" s="521">
        <v>129446</v>
      </c>
      <c r="E22" s="521"/>
      <c r="F22" s="521"/>
      <c r="G22" s="522">
        <v>50</v>
      </c>
      <c r="H22" s="523">
        <f t="shared" si="0"/>
        <v>2588.92</v>
      </c>
      <c r="I22" s="37"/>
      <c r="O22" s="28"/>
      <c r="P22" s="45"/>
      <c r="Q22" s="45"/>
      <c r="R22" s="45"/>
      <c r="S22" s="45"/>
      <c r="T22" s="45"/>
      <c r="U22" s="45"/>
      <c r="V22" s="45"/>
    </row>
    <row r="23" spans="2:22" ht="15.6" customHeight="1" x14ac:dyDescent="0.55000000000000004">
      <c r="B23" s="36"/>
      <c r="C23" s="5" t="s">
        <v>211</v>
      </c>
      <c r="D23" s="521">
        <v>763018</v>
      </c>
      <c r="E23" s="521"/>
      <c r="F23" s="521"/>
      <c r="G23" s="522">
        <v>7</v>
      </c>
      <c r="H23" s="523">
        <f t="shared" si="0"/>
        <v>109002.57142857143</v>
      </c>
      <c r="I23" s="37"/>
      <c r="O23" s="28"/>
      <c r="P23" s="45"/>
      <c r="Q23" s="45"/>
      <c r="R23" s="45"/>
      <c r="S23" s="45"/>
      <c r="T23" s="45"/>
      <c r="U23" s="45"/>
      <c r="V23" s="45"/>
    </row>
    <row r="24" spans="2:22" ht="15.6" customHeight="1" x14ac:dyDescent="0.55000000000000004">
      <c r="B24" s="36"/>
      <c r="C24" s="5" t="s">
        <v>348</v>
      </c>
      <c r="D24" s="521">
        <v>214181</v>
      </c>
      <c r="E24" s="521"/>
      <c r="F24" s="521"/>
      <c r="G24" s="522">
        <v>17.5</v>
      </c>
      <c r="H24" s="523">
        <f t="shared" si="0"/>
        <v>12238.914285714285</v>
      </c>
      <c r="I24" s="37"/>
      <c r="O24" s="28"/>
      <c r="P24" s="45"/>
      <c r="Q24" s="45"/>
      <c r="R24" s="45"/>
      <c r="S24" s="45"/>
      <c r="T24" s="45"/>
      <c r="U24" s="45"/>
      <c r="V24" s="45"/>
    </row>
    <row r="25" spans="2:22" ht="15.6" customHeight="1" x14ac:dyDescent="0.55000000000000004">
      <c r="B25" s="36"/>
      <c r="C25" s="5" t="s">
        <v>212</v>
      </c>
      <c r="D25" s="521">
        <v>528670</v>
      </c>
      <c r="E25" s="521"/>
      <c r="F25" s="521"/>
      <c r="G25" s="522">
        <v>12.5</v>
      </c>
      <c r="H25" s="523">
        <f t="shared" si="0"/>
        <v>42293.599999999999</v>
      </c>
      <c r="I25" s="37"/>
      <c r="O25" s="28"/>
      <c r="P25" s="45"/>
      <c r="Q25" s="45"/>
      <c r="R25" s="45"/>
      <c r="S25" s="45"/>
      <c r="T25" s="45"/>
      <c r="U25" s="45"/>
      <c r="V25" s="45"/>
    </row>
    <row r="26" spans="2:22" ht="15.6" customHeight="1" x14ac:dyDescent="0.55000000000000004">
      <c r="B26" s="36"/>
      <c r="C26" s="483" t="s">
        <v>208</v>
      </c>
      <c r="D26" s="521">
        <v>19021</v>
      </c>
      <c r="E26" s="521"/>
      <c r="F26" s="521"/>
      <c r="G26" s="522">
        <v>27.5</v>
      </c>
      <c r="H26" s="523">
        <f t="shared" si="0"/>
        <v>691.67272727272723</v>
      </c>
      <c r="I26" s="37"/>
      <c r="O26" s="28"/>
      <c r="P26" s="45"/>
      <c r="Q26" s="45"/>
      <c r="R26" s="45"/>
      <c r="S26" s="45"/>
      <c r="T26" s="45"/>
      <c r="U26" s="45"/>
      <c r="V26" s="45"/>
    </row>
    <row r="27" spans="2:22" ht="15.6" customHeight="1" x14ac:dyDescent="0.55000000000000004">
      <c r="B27" s="36"/>
      <c r="C27" s="5" t="s">
        <v>343</v>
      </c>
      <c r="D27" s="521">
        <v>34437</v>
      </c>
      <c r="E27" s="521"/>
      <c r="F27" s="521"/>
      <c r="G27" s="522">
        <v>62.5</v>
      </c>
      <c r="H27" s="523">
        <f t="shared" si="0"/>
        <v>550.99199999999996</v>
      </c>
      <c r="I27" s="37"/>
      <c r="O27" s="28"/>
      <c r="P27" s="45"/>
      <c r="Q27" s="45"/>
      <c r="R27" s="45"/>
      <c r="S27" s="45"/>
      <c r="T27" s="45"/>
      <c r="U27" s="45"/>
      <c r="V27" s="45"/>
    </row>
    <row r="28" spans="2:22" ht="15.6" customHeight="1" x14ac:dyDescent="0.55000000000000004">
      <c r="B28" s="36"/>
      <c r="C28" s="5" t="s">
        <v>209</v>
      </c>
      <c r="D28" s="521">
        <v>10679</v>
      </c>
      <c r="E28" s="521"/>
      <c r="F28" s="521"/>
      <c r="G28" s="522">
        <v>40</v>
      </c>
      <c r="H28" s="523">
        <f t="shared" si="0"/>
        <v>266.97500000000002</v>
      </c>
      <c r="I28" s="37"/>
      <c r="O28" s="28"/>
      <c r="P28" s="45"/>
      <c r="Q28" s="45"/>
      <c r="R28" s="45"/>
      <c r="S28" s="45"/>
      <c r="T28" s="45"/>
      <c r="U28" s="45"/>
      <c r="V28" s="45"/>
    </row>
    <row r="29" spans="2:22" ht="15.6" customHeight="1" x14ac:dyDescent="0.55000000000000004">
      <c r="B29" s="36"/>
      <c r="C29" s="5" t="s">
        <v>126</v>
      </c>
      <c r="D29" s="521">
        <v>52239</v>
      </c>
      <c r="E29" s="521"/>
      <c r="F29" s="521"/>
      <c r="G29" s="522">
        <v>40</v>
      </c>
      <c r="H29" s="523">
        <f t="shared" si="0"/>
        <v>1305.9749999999999</v>
      </c>
      <c r="I29" s="37"/>
      <c r="O29" s="28"/>
      <c r="P29" s="45"/>
      <c r="Q29" s="45"/>
      <c r="R29" s="45"/>
      <c r="S29" s="45"/>
      <c r="T29" s="45"/>
      <c r="U29" s="45"/>
      <c r="V29" s="45"/>
    </row>
    <row r="30" spans="2:22" ht="15.6" customHeight="1" x14ac:dyDescent="0.55000000000000004">
      <c r="B30" s="36"/>
      <c r="C30" s="5" t="s">
        <v>210</v>
      </c>
      <c r="D30" s="521">
        <v>2638</v>
      </c>
      <c r="E30" s="521"/>
      <c r="F30" s="521"/>
      <c r="G30" s="522">
        <v>50</v>
      </c>
      <c r="H30" s="523">
        <f t="shared" si="0"/>
        <v>52.76</v>
      </c>
      <c r="I30" s="37"/>
      <c r="O30" s="28"/>
      <c r="P30" s="45"/>
      <c r="Q30" s="45"/>
      <c r="R30" s="45"/>
      <c r="S30" s="45"/>
      <c r="T30" s="45"/>
      <c r="U30" s="45"/>
      <c r="V30" s="45"/>
    </row>
    <row r="31" spans="2:22" ht="15.6" customHeight="1" x14ac:dyDescent="0.55000000000000004">
      <c r="B31" s="36"/>
      <c r="C31" s="5" t="s">
        <v>350</v>
      </c>
      <c r="D31" s="521">
        <v>636</v>
      </c>
      <c r="E31" s="521"/>
      <c r="F31" s="521"/>
      <c r="G31" s="522">
        <v>22.5</v>
      </c>
      <c r="H31" s="523">
        <f t="shared" si="0"/>
        <v>28.266666666666666</v>
      </c>
      <c r="I31" s="37"/>
      <c r="O31" s="28"/>
      <c r="P31" s="45"/>
      <c r="Q31" s="45"/>
      <c r="R31" s="45"/>
      <c r="S31" s="45"/>
      <c r="T31" s="45"/>
      <c r="U31" s="45"/>
      <c r="V31" s="45"/>
    </row>
    <row r="32" spans="2:22" ht="15.6" customHeight="1" x14ac:dyDescent="0.55000000000000004">
      <c r="B32" s="36"/>
      <c r="C32" s="5" t="s">
        <v>211</v>
      </c>
      <c r="D32" s="70">
        <f>131137+6092</f>
        <v>137229</v>
      </c>
      <c r="E32" s="70"/>
      <c r="F32" s="70"/>
      <c r="G32" s="522">
        <v>7</v>
      </c>
      <c r="H32" s="523">
        <f t="shared" si="0"/>
        <v>19604.142857142859</v>
      </c>
      <c r="I32" s="37"/>
      <c r="O32" s="28"/>
      <c r="P32" s="45"/>
      <c r="Q32" s="45"/>
      <c r="R32" s="45"/>
      <c r="S32" s="45"/>
      <c r="T32" s="45"/>
      <c r="U32" s="45"/>
      <c r="V32" s="45"/>
    </row>
    <row r="33" spans="2:22" ht="15.6" customHeight="1" x14ac:dyDescent="0.55000000000000004">
      <c r="B33" s="36"/>
      <c r="C33" s="5" t="s">
        <v>351</v>
      </c>
      <c r="D33" s="523">
        <v>5498</v>
      </c>
      <c r="E33" s="523"/>
      <c r="F33" s="523"/>
      <c r="G33" s="522">
        <v>17.5</v>
      </c>
      <c r="H33" s="523">
        <f t="shared" si="0"/>
        <v>314.17142857142858</v>
      </c>
      <c r="I33" s="37"/>
      <c r="O33" s="28"/>
      <c r="P33" s="45"/>
      <c r="Q33" s="45"/>
      <c r="R33" s="45"/>
      <c r="S33" s="45"/>
      <c r="T33" s="45"/>
      <c r="U33" s="45"/>
      <c r="V33" s="45"/>
    </row>
    <row r="34" spans="2:22" ht="15.6" customHeight="1" x14ac:dyDescent="0.55000000000000004">
      <c r="B34" s="36"/>
      <c r="C34" s="5" t="s">
        <v>352</v>
      </c>
      <c r="D34" s="523">
        <v>90650</v>
      </c>
      <c r="E34" s="523"/>
      <c r="F34" s="523"/>
      <c r="G34" s="522">
        <v>12.5</v>
      </c>
      <c r="H34" s="523">
        <f t="shared" si="0"/>
        <v>7252</v>
      </c>
      <c r="I34" s="37"/>
      <c r="O34" s="28"/>
      <c r="P34" s="45"/>
      <c r="Q34" s="45"/>
      <c r="R34" s="45"/>
      <c r="S34" s="45"/>
      <c r="T34" s="45"/>
      <c r="U34" s="45"/>
      <c r="V34" s="45"/>
    </row>
    <row r="35" spans="2:22" ht="15.6" customHeight="1" x14ac:dyDescent="0.55000000000000004">
      <c r="B35" s="36"/>
      <c r="C35" s="5" t="s">
        <v>212</v>
      </c>
      <c r="D35" s="523">
        <v>1155</v>
      </c>
      <c r="E35" s="523"/>
      <c r="F35" s="523"/>
      <c r="G35" s="522">
        <v>12.5</v>
      </c>
      <c r="H35" s="523">
        <f t="shared" si="0"/>
        <v>92.4</v>
      </c>
      <c r="I35" s="37"/>
      <c r="O35" s="28"/>
      <c r="P35" s="45"/>
      <c r="Q35" s="45"/>
      <c r="R35" s="45"/>
      <c r="S35" s="45"/>
      <c r="T35" s="45"/>
      <c r="U35" s="45"/>
      <c r="V35" s="45"/>
    </row>
    <row r="36" spans="2:22" ht="15" customHeight="1" x14ac:dyDescent="0.55000000000000004">
      <c r="B36" s="36"/>
      <c r="C36" s="70" t="s">
        <v>513</v>
      </c>
      <c r="D36" s="418">
        <f>F52</f>
        <v>11627967</v>
      </c>
      <c r="E36" s="418"/>
      <c r="F36" s="418"/>
      <c r="G36" s="421" t="s">
        <v>514</v>
      </c>
      <c r="H36" s="419">
        <f>H52</f>
        <v>249449.22191594492</v>
      </c>
      <c r="I36" s="37"/>
      <c r="K36" s="38"/>
    </row>
    <row r="37" spans="2:22" ht="7" customHeight="1" x14ac:dyDescent="0.55000000000000004">
      <c r="B37" s="36"/>
      <c r="C37" s="70"/>
      <c r="D37" s="418"/>
      <c r="E37" s="418"/>
      <c r="F37" s="418"/>
      <c r="G37" s="421"/>
      <c r="H37" s="419"/>
      <c r="I37" s="37"/>
      <c r="K37" s="38"/>
    </row>
    <row r="38" spans="2:22" ht="15" customHeight="1" x14ac:dyDescent="0.55000000000000004">
      <c r="B38" s="36"/>
      <c r="C38" s="420" t="s">
        <v>504</v>
      </c>
      <c r="D38" s="5"/>
      <c r="E38" s="5"/>
      <c r="F38" s="5"/>
      <c r="G38" s="360"/>
      <c r="H38" s="480">
        <f>SUM(H10:H36)</f>
        <v>1328893.1811684703</v>
      </c>
      <c r="I38" s="37"/>
      <c r="K38" s="38"/>
    </row>
    <row r="39" spans="2:22" ht="15" customHeight="1" x14ac:dyDescent="0.55000000000000004">
      <c r="B39" s="36"/>
      <c r="C39" s="181" t="s">
        <v>516</v>
      </c>
      <c r="D39" s="5"/>
      <c r="E39" s="5"/>
      <c r="F39" s="5"/>
      <c r="G39" s="360"/>
      <c r="H39" s="184">
        <f>SAO!F38</f>
        <v>901466</v>
      </c>
      <c r="I39" s="37"/>
      <c r="K39" s="38"/>
    </row>
    <row r="40" spans="2:22" ht="15" customHeight="1" x14ac:dyDescent="0.55000000000000004">
      <c r="B40" s="36"/>
      <c r="C40" s="181" t="s">
        <v>515</v>
      </c>
      <c r="D40" s="5"/>
      <c r="E40" s="5"/>
      <c r="F40" s="5"/>
      <c r="G40" s="360"/>
      <c r="H40" s="196">
        <f>H38-H39</f>
        <v>427427.1811684703</v>
      </c>
      <c r="I40" s="37"/>
      <c r="K40" s="38"/>
    </row>
    <row r="41" spans="2:22" ht="15" customHeight="1" x14ac:dyDescent="0.55000000000000004">
      <c r="B41" s="39"/>
      <c r="C41" s="410"/>
      <c r="D41" s="55"/>
      <c r="E41" s="55"/>
      <c r="F41" s="55"/>
      <c r="G41" s="43"/>
      <c r="H41" s="55"/>
      <c r="I41" s="40"/>
      <c r="K41" s="38"/>
    </row>
    <row r="42" spans="2:22" ht="15" customHeight="1" x14ac:dyDescent="0.55000000000000004">
      <c r="B42" s="36"/>
      <c r="C42" s="70"/>
      <c r="D42" s="5"/>
      <c r="E42" s="5"/>
      <c r="F42" s="5"/>
      <c r="G42" s="360"/>
      <c r="H42" s="5"/>
      <c r="I42" s="37"/>
      <c r="K42" s="38"/>
    </row>
    <row r="43" spans="2:22" ht="15" customHeight="1" x14ac:dyDescent="0.85">
      <c r="B43" s="36"/>
      <c r="C43" s="411" t="s">
        <v>593</v>
      </c>
      <c r="D43" s="5"/>
      <c r="E43" s="5"/>
      <c r="F43" s="5"/>
      <c r="G43" s="360"/>
      <c r="H43" s="5"/>
      <c r="I43" s="37"/>
      <c r="K43" s="38"/>
    </row>
    <row r="44" spans="2:22" ht="7" customHeight="1" x14ac:dyDescent="0.55000000000000004">
      <c r="B44" s="36"/>
      <c r="C44" s="70"/>
      <c r="D44" s="5"/>
      <c r="E44" s="5"/>
      <c r="F44" s="5"/>
      <c r="G44" s="360"/>
      <c r="H44" s="5"/>
      <c r="I44" s="37"/>
      <c r="K44" s="38"/>
    </row>
    <row r="45" spans="2:22" ht="15" customHeight="1" x14ac:dyDescent="0.85">
      <c r="B45" s="36"/>
      <c r="C45" s="262" t="s">
        <v>505</v>
      </c>
      <c r="D45" s="262" t="s">
        <v>506</v>
      </c>
      <c r="E45" s="262" t="s">
        <v>507</v>
      </c>
      <c r="F45" s="262" t="s">
        <v>508</v>
      </c>
      <c r="G45" s="417" t="s">
        <v>3</v>
      </c>
      <c r="H45" s="262" t="s">
        <v>4</v>
      </c>
      <c r="I45" s="412"/>
      <c r="J45" s="3"/>
      <c r="K45" s="38"/>
    </row>
    <row r="46" spans="2:22" ht="15" customHeight="1" x14ac:dyDescent="0.55000000000000004">
      <c r="B46" s="36"/>
      <c r="C46" s="70" t="s">
        <v>205</v>
      </c>
      <c r="D46" s="4">
        <v>2346520</v>
      </c>
      <c r="E46" s="415">
        <f t="shared" ref="E46:E51" si="1">D46/$D$52</f>
        <v>0.23575398485139085</v>
      </c>
      <c r="F46" s="4">
        <f t="shared" ref="F46:F51" si="2">E46*$F$52</f>
        <v>2741339.5559704727</v>
      </c>
      <c r="G46" s="41">
        <v>37.5</v>
      </c>
      <c r="H46" s="4">
        <f>F46/G46</f>
        <v>73102.388159212613</v>
      </c>
      <c r="I46" s="412"/>
      <c r="J46" s="3"/>
      <c r="K46" s="38"/>
    </row>
    <row r="47" spans="2:22" ht="15" customHeight="1" x14ac:dyDescent="0.55000000000000004">
      <c r="B47" s="36"/>
      <c r="C47" s="70" t="s">
        <v>594</v>
      </c>
      <c r="D47" s="5">
        <v>4054844</v>
      </c>
      <c r="E47" s="415">
        <f t="shared" si="1"/>
        <v>0.40738865679847308</v>
      </c>
      <c r="F47" s="5">
        <f t="shared" si="2"/>
        <v>4737101.8574269703</v>
      </c>
      <c r="G47" s="41">
        <v>75</v>
      </c>
      <c r="H47" s="52">
        <f t="shared" ref="H47" si="3">F47/G47</f>
        <v>63161.358099026271</v>
      </c>
      <c r="I47" s="412"/>
      <c r="J47" s="3"/>
      <c r="K47" s="38"/>
    </row>
    <row r="48" spans="2:22" ht="15" customHeight="1" x14ac:dyDescent="0.55000000000000004">
      <c r="B48" s="36"/>
      <c r="C48" s="70" t="s">
        <v>509</v>
      </c>
      <c r="D48" s="5">
        <v>1825978</v>
      </c>
      <c r="E48" s="415">
        <f t="shared" si="1"/>
        <v>0.18345532522670721</v>
      </c>
      <c r="F48" s="5">
        <f t="shared" si="2"/>
        <v>2133212.4677104191</v>
      </c>
      <c r="G48" s="41">
        <v>62.5</v>
      </c>
      <c r="H48" s="52">
        <f t="shared" ref="H48:H51" si="4">F48/G48</f>
        <v>34131.399483366702</v>
      </c>
      <c r="I48" s="412"/>
      <c r="J48" s="3"/>
      <c r="K48" s="38"/>
    </row>
    <row r="49" spans="2:12" ht="15" customHeight="1" x14ac:dyDescent="0.55000000000000004">
      <c r="B49" s="36"/>
      <c r="C49" s="70" t="s">
        <v>510</v>
      </c>
      <c r="D49" s="5">
        <v>1381615</v>
      </c>
      <c r="E49" s="415">
        <f t="shared" si="1"/>
        <v>0.13881034117776725</v>
      </c>
      <c r="F49" s="5">
        <f t="shared" si="2"/>
        <v>1614082.0664738186</v>
      </c>
      <c r="G49" s="41">
        <v>27.5</v>
      </c>
      <c r="H49" s="52">
        <f t="shared" si="4"/>
        <v>58693.893326320678</v>
      </c>
      <c r="I49" s="412"/>
      <c r="J49" s="3"/>
      <c r="K49" s="38"/>
    </row>
    <row r="50" spans="2:12" ht="15" customHeight="1" x14ac:dyDescent="0.55000000000000004">
      <c r="B50" s="36"/>
      <c r="C50" s="70" t="s">
        <v>207</v>
      </c>
      <c r="D50" s="5">
        <v>314505</v>
      </c>
      <c r="E50" s="415">
        <f t="shared" si="1"/>
        <v>3.1598199463753425E-2</v>
      </c>
      <c r="F50" s="5">
        <f t="shared" si="2"/>
        <v>367422.82062394253</v>
      </c>
      <c r="G50" s="41">
        <v>20</v>
      </c>
      <c r="H50" s="52">
        <f t="shared" si="4"/>
        <v>18371.141031197127</v>
      </c>
      <c r="I50" s="412"/>
      <c r="J50" s="3"/>
      <c r="K50" s="38"/>
    </row>
    <row r="51" spans="2:12" ht="15" customHeight="1" x14ac:dyDescent="0.85">
      <c r="B51" s="36"/>
      <c r="C51" s="70" t="s">
        <v>511</v>
      </c>
      <c r="D51" s="414">
        <v>29795</v>
      </c>
      <c r="E51" s="415">
        <f t="shared" si="1"/>
        <v>2.9934924819081834E-3</v>
      </c>
      <c r="F51" s="414">
        <f t="shared" si="2"/>
        <v>34808.231794376457</v>
      </c>
      <c r="G51" s="41">
        <v>17.5</v>
      </c>
      <c r="H51" s="524">
        <f t="shared" si="4"/>
        <v>1989.0418168215119</v>
      </c>
      <c r="I51" s="412"/>
      <c r="J51" s="3"/>
      <c r="K51" s="38"/>
    </row>
    <row r="52" spans="2:12" ht="15" customHeight="1" x14ac:dyDescent="0.55000000000000004">
      <c r="B52" s="36"/>
      <c r="C52" s="70" t="s">
        <v>512</v>
      </c>
      <c r="D52" s="4">
        <f>SUM(D46:D51)</f>
        <v>9953257</v>
      </c>
      <c r="E52" s="70"/>
      <c r="F52" s="4">
        <v>11627967</v>
      </c>
      <c r="G52" s="41"/>
      <c r="H52" s="4">
        <f>SUM(H46:H51)</f>
        <v>249449.22191594492</v>
      </c>
      <c r="I52" s="412"/>
      <c r="J52" s="3"/>
      <c r="K52" s="38"/>
      <c r="L52" s="525"/>
    </row>
    <row r="53" spans="2:12" ht="7" customHeight="1" x14ac:dyDescent="0.55000000000000004">
      <c r="B53" s="39"/>
      <c r="C53" s="55"/>
      <c r="D53" s="55"/>
      <c r="E53" s="55"/>
      <c r="F53" s="55"/>
      <c r="G53" s="43"/>
      <c r="H53" s="55"/>
      <c r="I53" s="413"/>
      <c r="J53" s="3"/>
    </row>
    <row r="54" spans="2:12" ht="7" customHeight="1" x14ac:dyDescent="0.55000000000000004">
      <c r="C54" s="3"/>
      <c r="D54" s="3"/>
      <c r="E54" s="3"/>
      <c r="F54" s="3"/>
      <c r="G54" s="41"/>
      <c r="H54" s="3"/>
      <c r="I54" s="3"/>
      <c r="J54" s="3"/>
    </row>
    <row r="55" spans="2:12" ht="15" customHeight="1" x14ac:dyDescent="0.55000000000000004">
      <c r="B55" s="20" t="s">
        <v>614</v>
      </c>
      <c r="C55" s="3"/>
      <c r="D55" s="3"/>
      <c r="E55" s="3"/>
      <c r="F55" s="3"/>
      <c r="H55" s="3"/>
      <c r="I55" s="3"/>
      <c r="J55" s="3"/>
    </row>
    <row r="56" spans="2:12" ht="15" customHeight="1" x14ac:dyDescent="0.55000000000000004">
      <c r="C56" s="3"/>
      <c r="D56" s="3"/>
      <c r="E56" s="3"/>
      <c r="F56" s="3"/>
      <c r="H56" s="3"/>
      <c r="I56" s="3"/>
      <c r="J56" s="3"/>
    </row>
    <row r="57" spans="2:12" ht="15" customHeight="1" x14ac:dyDescent="0.55000000000000004">
      <c r="C57" s="3"/>
      <c r="D57" s="3"/>
      <c r="E57" s="415">
        <f>SUM(E46:E56)</f>
        <v>0.99999999999999989</v>
      </c>
      <c r="F57" s="3"/>
      <c r="H57" s="3"/>
      <c r="I57" s="3"/>
      <c r="J57" s="3"/>
    </row>
    <row r="58" spans="2:12" ht="15" customHeight="1" x14ac:dyDescent="0.55000000000000004">
      <c r="C58" s="3"/>
      <c r="D58" s="3"/>
      <c r="E58" s="3"/>
      <c r="F58" s="3"/>
      <c r="H58" s="3"/>
      <c r="I58" s="3"/>
      <c r="J58" s="3"/>
    </row>
    <row r="59" spans="2:12" ht="15" customHeight="1" x14ac:dyDescent="0.55000000000000004">
      <c r="C59" s="3"/>
      <c r="D59" s="3"/>
      <c r="E59" s="3"/>
      <c r="F59" s="3"/>
      <c r="H59" s="3"/>
      <c r="I59" s="3"/>
      <c r="J59" s="3"/>
    </row>
    <row r="60" spans="2:12" ht="15" customHeight="1" x14ac:dyDescent="0.55000000000000004">
      <c r="C60" s="3"/>
      <c r="D60" s="3"/>
      <c r="E60" s="3"/>
      <c r="F60" s="3"/>
      <c r="H60" s="3"/>
      <c r="I60" s="3"/>
      <c r="J60" s="3"/>
    </row>
    <row r="61" spans="2:12" x14ac:dyDescent="0.55000000000000004">
      <c r="C61" s="3"/>
      <c r="D61" s="3"/>
      <c r="E61" s="3"/>
      <c r="F61" s="3"/>
      <c r="H61" s="3"/>
      <c r="I61" s="3"/>
      <c r="J61" s="3"/>
    </row>
    <row r="62" spans="2:12" x14ac:dyDescent="0.55000000000000004">
      <c r="C62" s="3"/>
      <c r="D62" s="3"/>
      <c r="E62" s="3"/>
      <c r="F62" s="3"/>
      <c r="H62" s="3"/>
      <c r="I62" s="3"/>
      <c r="J62" s="3"/>
    </row>
  </sheetData>
  <mergeCells count="4">
    <mergeCell ref="C3:I3"/>
    <mergeCell ref="C4:I4"/>
    <mergeCell ref="C5:I5"/>
    <mergeCell ref="G8:H8"/>
  </mergeCells>
  <printOptions horizontalCentered="1"/>
  <pageMargins left="0.65" right="0.55000000000000004" top="0.75" bottom="0.5" header="0" footer="0"/>
  <pageSetup scale="9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workbookViewId="0"/>
  </sheetViews>
  <sheetFormatPr defaultColWidth="8.86328125" defaultRowHeight="14.4" x14ac:dyDescent="0.55000000000000004"/>
  <cols>
    <col min="1" max="1" width="1.6796875" style="13" customWidth="1"/>
    <col min="2" max="2" width="14.26953125" style="13" customWidth="1"/>
    <col min="3" max="12" width="7.31640625" style="13" customWidth="1"/>
    <col min="13" max="13" width="10.2265625" style="13" customWidth="1"/>
    <col min="14" max="14" width="0.76953125" style="13" customWidth="1"/>
    <col min="15" max="15" width="2.2265625" style="13" customWidth="1"/>
    <col min="16" max="16384" width="8.86328125" style="13"/>
  </cols>
  <sheetData>
    <row r="1" spans="1:14" ht="15.3" x14ac:dyDescent="0.55000000000000004">
      <c r="A1"/>
    </row>
    <row r="2" spans="1:14" ht="8.1" customHeight="1" x14ac:dyDescent="0.55000000000000004">
      <c r="A2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18.3" x14ac:dyDescent="0.7">
      <c r="A3"/>
      <c r="B3" s="76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0"/>
    </row>
    <row r="4" spans="1:14" ht="18.3" x14ac:dyDescent="0.7">
      <c r="A4"/>
      <c r="B4" s="78" t="s">
        <v>33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60"/>
    </row>
    <row r="5" spans="1:14" ht="15.6" x14ac:dyDescent="0.55000000000000004">
      <c r="A5"/>
      <c r="B5" s="572" t="s">
        <v>327</v>
      </c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70"/>
    </row>
    <row r="6" spans="1:14" ht="15.6" x14ac:dyDescent="0.6">
      <c r="A6"/>
      <c r="B6" s="142" t="s">
        <v>334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60"/>
    </row>
    <row r="7" spans="1:14" ht="8.1" customHeight="1" x14ac:dyDescent="0.55000000000000004">
      <c r="A7"/>
      <c r="B7" s="81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60"/>
    </row>
    <row r="8" spans="1:14" ht="15.3" x14ac:dyDescent="0.55000000000000004">
      <c r="A8"/>
      <c r="B8" s="129"/>
      <c r="C8" s="82"/>
      <c r="D8" s="103"/>
      <c r="E8" s="82"/>
      <c r="F8" s="104"/>
      <c r="G8" s="82"/>
      <c r="H8" s="104"/>
      <c r="I8" s="82"/>
      <c r="J8" s="104"/>
      <c r="K8" s="82"/>
      <c r="L8" s="104"/>
      <c r="M8" s="103"/>
      <c r="N8" s="58"/>
    </row>
    <row r="9" spans="1:14" ht="15.75" customHeight="1" x14ac:dyDescent="0.55000000000000004">
      <c r="A9"/>
      <c r="B9" s="130"/>
      <c r="C9" s="573" t="s">
        <v>132</v>
      </c>
      <c r="D9" s="574"/>
      <c r="E9" s="573" t="s">
        <v>133</v>
      </c>
      <c r="F9" s="574"/>
      <c r="G9" s="573" t="s">
        <v>134</v>
      </c>
      <c r="H9" s="574"/>
      <c r="I9" s="573" t="s">
        <v>135</v>
      </c>
      <c r="J9" s="574"/>
      <c r="K9" s="573" t="s">
        <v>340</v>
      </c>
      <c r="L9" s="574"/>
      <c r="N9" s="60"/>
    </row>
    <row r="10" spans="1:14" ht="16.2" x14ac:dyDescent="0.55000000000000004">
      <c r="A10"/>
      <c r="B10" s="130"/>
      <c r="C10" s="143"/>
      <c r="D10" s="144" t="s">
        <v>35</v>
      </c>
      <c r="E10" s="145"/>
      <c r="F10" s="144" t="s">
        <v>35</v>
      </c>
      <c r="G10" s="145"/>
      <c r="H10" s="144" t="s">
        <v>35</v>
      </c>
      <c r="I10" s="145"/>
      <c r="J10" s="144" t="s">
        <v>35</v>
      </c>
      <c r="K10" s="145"/>
      <c r="L10" s="144" t="s">
        <v>35</v>
      </c>
      <c r="N10" s="60"/>
    </row>
    <row r="11" spans="1:14" ht="16.2" x14ac:dyDescent="0.55000000000000004">
      <c r="A11"/>
      <c r="B11" s="130"/>
      <c r="C11" s="143" t="s">
        <v>34</v>
      </c>
      <c r="D11" s="146" t="s">
        <v>136</v>
      </c>
      <c r="E11" s="143" t="s">
        <v>34</v>
      </c>
      <c r="F11" s="146" t="s">
        <v>136</v>
      </c>
      <c r="G11" s="143" t="s">
        <v>34</v>
      </c>
      <c r="H11" s="146" t="s">
        <v>136</v>
      </c>
      <c r="I11" s="143" t="s">
        <v>34</v>
      </c>
      <c r="J11" s="146" t="s">
        <v>136</v>
      </c>
      <c r="K11" s="143" t="s">
        <v>34</v>
      </c>
      <c r="L11" s="146" t="s">
        <v>136</v>
      </c>
      <c r="M11" s="105" t="s">
        <v>2</v>
      </c>
      <c r="N11" s="60"/>
    </row>
    <row r="12" spans="1:14" ht="15.3" x14ac:dyDescent="0.55000000000000004">
      <c r="A12"/>
      <c r="B12" s="147" t="s">
        <v>341</v>
      </c>
      <c r="C12" s="83">
        <v>69000</v>
      </c>
      <c r="D12" s="84">
        <v>57313</v>
      </c>
      <c r="E12" s="83">
        <v>71000</v>
      </c>
      <c r="F12" s="148">
        <v>55789</v>
      </c>
      <c r="G12" s="83">
        <v>72500</v>
      </c>
      <c r="H12" s="148">
        <v>54229</v>
      </c>
      <c r="I12" s="83">
        <v>74500</v>
      </c>
      <c r="J12" s="148">
        <v>52626</v>
      </c>
      <c r="K12" s="83">
        <v>76500</v>
      </c>
      <c r="L12" s="148">
        <v>50987</v>
      </c>
      <c r="M12" s="128">
        <f t="shared" ref="M12:M18" si="0">SUM(C12:L12)</f>
        <v>634444</v>
      </c>
      <c r="N12" s="60"/>
    </row>
    <row r="13" spans="1:14" ht="15.3" x14ac:dyDescent="0.55000000000000004">
      <c r="A13"/>
      <c r="B13" s="147" t="s">
        <v>335</v>
      </c>
      <c r="C13" s="83">
        <v>245000</v>
      </c>
      <c r="D13" s="84">
        <f>17341.25+11461.25</f>
        <v>28802.5</v>
      </c>
      <c r="E13" s="83">
        <v>220000</v>
      </c>
      <c r="F13" s="148">
        <f>11461.25+6181.25</f>
        <v>17642.5</v>
      </c>
      <c r="G13" s="83">
        <v>110000</v>
      </c>
      <c r="H13" s="148">
        <f>6181.25+3816.25</f>
        <v>9997.5</v>
      </c>
      <c r="I13" s="83">
        <v>115000</v>
      </c>
      <c r="J13" s="148">
        <f>3816.25+2062.5</f>
        <v>5878.75</v>
      </c>
      <c r="K13" s="83">
        <v>115000</v>
      </c>
      <c r="L13" s="148">
        <f>2062.5+165</f>
        <v>2227.5</v>
      </c>
      <c r="M13" s="128">
        <f t="shared" si="0"/>
        <v>869548.75</v>
      </c>
      <c r="N13" s="60"/>
    </row>
    <row r="14" spans="1:14" ht="15.3" x14ac:dyDescent="0.55000000000000004">
      <c r="A14"/>
      <c r="B14" s="147" t="s">
        <v>336</v>
      </c>
      <c r="C14" s="83">
        <v>170000</v>
      </c>
      <c r="D14" s="84">
        <f>89920+85500+450</f>
        <v>175870</v>
      </c>
      <c r="E14" s="83">
        <v>180000</v>
      </c>
      <c r="F14" s="84">
        <f>85500+80820+450</f>
        <v>166770</v>
      </c>
      <c r="G14" s="83">
        <v>190000</v>
      </c>
      <c r="H14" s="84">
        <f>80820+75880+450</f>
        <v>157150</v>
      </c>
      <c r="I14" s="83">
        <v>200000</v>
      </c>
      <c r="J14" s="84">
        <f>75880+70680+450</f>
        <v>147010</v>
      </c>
      <c r="K14" s="83">
        <v>210000</v>
      </c>
      <c r="L14" s="148">
        <f>70680+65220+450</f>
        <v>136350</v>
      </c>
      <c r="M14" s="128">
        <f t="shared" si="0"/>
        <v>1733150</v>
      </c>
      <c r="N14" s="60"/>
    </row>
    <row r="15" spans="1:14" ht="15.3" x14ac:dyDescent="0.55000000000000004">
      <c r="A15"/>
      <c r="B15" s="147" t="s">
        <v>337</v>
      </c>
      <c r="C15" s="83">
        <f>32272+32393</f>
        <v>64665</v>
      </c>
      <c r="D15" s="84">
        <f>3033+2912+809+777</f>
        <v>7531</v>
      </c>
      <c r="E15" s="83">
        <f>32514+32636</f>
        <v>65150</v>
      </c>
      <c r="F15" s="84">
        <f>2791+2667+744+712</f>
        <v>6914</v>
      </c>
      <c r="G15" s="83">
        <f>32758+32881</f>
        <v>65639</v>
      </c>
      <c r="H15" s="84">
        <f>2546+2424+679+646</f>
        <v>6295</v>
      </c>
      <c r="I15" s="83">
        <f>33005+33128</f>
        <v>66133</v>
      </c>
      <c r="J15" s="84">
        <f>2300+2176+613+580</f>
        <v>5669</v>
      </c>
      <c r="K15" s="83">
        <f>33253+33377</f>
        <v>66630</v>
      </c>
      <c r="L15" s="148">
        <f>2052+1928+547+514</f>
        <v>5041</v>
      </c>
      <c r="M15" s="128">
        <f t="shared" si="0"/>
        <v>359667</v>
      </c>
      <c r="N15" s="60"/>
    </row>
    <row r="16" spans="1:14" ht="15.3" x14ac:dyDescent="0.55000000000000004">
      <c r="A16"/>
      <c r="B16" s="147" t="s">
        <v>549</v>
      </c>
      <c r="C16" s="83"/>
      <c r="D16" s="84"/>
      <c r="E16" s="83"/>
      <c r="F16" s="84"/>
      <c r="G16" s="83"/>
      <c r="H16" s="84"/>
      <c r="I16" s="83"/>
      <c r="J16" s="84"/>
      <c r="K16" s="83"/>
      <c r="L16" s="148"/>
      <c r="M16" s="128"/>
      <c r="N16" s="60"/>
    </row>
    <row r="17" spans="1:17" ht="15.3" x14ac:dyDescent="0.55000000000000004">
      <c r="A17"/>
      <c r="B17" s="496" t="s">
        <v>338</v>
      </c>
      <c r="C17" s="83">
        <v>100000</v>
      </c>
      <c r="D17" s="84">
        <f>48143+47267</f>
        <v>95410</v>
      </c>
      <c r="E17" s="83">
        <v>101000</v>
      </c>
      <c r="F17" s="84">
        <f>47267+46384</f>
        <v>93651</v>
      </c>
      <c r="G17" s="83">
        <v>103000</v>
      </c>
      <c r="H17" s="84">
        <f>46384+45482</f>
        <v>91866</v>
      </c>
      <c r="I17" s="83">
        <v>105000</v>
      </c>
      <c r="J17" s="84">
        <f>45482+44564</f>
        <v>90046</v>
      </c>
      <c r="K17" s="83">
        <v>107000</v>
      </c>
      <c r="L17" s="148">
        <f>44564+43627</f>
        <v>88191</v>
      </c>
      <c r="M17" s="128">
        <f t="shared" si="0"/>
        <v>975164</v>
      </c>
      <c r="N17" s="60"/>
    </row>
    <row r="18" spans="1:17" ht="15.3" x14ac:dyDescent="0.55000000000000004">
      <c r="A18"/>
      <c r="B18" s="496" t="s">
        <v>339</v>
      </c>
      <c r="C18" s="83">
        <v>44000</v>
      </c>
      <c r="D18" s="84">
        <f>21166+20781</f>
        <v>41947</v>
      </c>
      <c r="E18" s="83">
        <v>45000</v>
      </c>
      <c r="F18" s="84">
        <f>20781+20388</f>
        <v>41169</v>
      </c>
      <c r="G18" s="83">
        <v>45000</v>
      </c>
      <c r="H18" s="84">
        <f>20388+19994</f>
        <v>40382</v>
      </c>
      <c r="I18" s="83">
        <v>46000</v>
      </c>
      <c r="J18" s="84">
        <f>19994+19591</f>
        <v>39585</v>
      </c>
      <c r="K18" s="83">
        <v>47000</v>
      </c>
      <c r="L18" s="148">
        <f>19591+19180</f>
        <v>38771</v>
      </c>
      <c r="M18" s="128">
        <f t="shared" si="0"/>
        <v>428854</v>
      </c>
      <c r="N18" s="60"/>
    </row>
    <row r="19" spans="1:17" ht="15.3" x14ac:dyDescent="0.55000000000000004">
      <c r="A19"/>
      <c r="B19" s="131"/>
      <c r="C19" s="85"/>
      <c r="D19" s="149"/>
      <c r="E19" s="85"/>
      <c r="F19" s="149"/>
      <c r="G19" s="85"/>
      <c r="H19" s="149"/>
      <c r="I19" s="85"/>
      <c r="J19" s="149"/>
      <c r="K19" s="85"/>
      <c r="L19" s="150"/>
      <c r="M19" s="128"/>
      <c r="N19" s="60"/>
    </row>
    <row r="20" spans="1:17" ht="15.3" x14ac:dyDescent="0.55000000000000004">
      <c r="A20"/>
      <c r="B20" s="86" t="s">
        <v>2</v>
      </c>
      <c r="C20" s="87">
        <f t="shared" ref="C20:M20" si="1">SUM(C12:C19)</f>
        <v>692665</v>
      </c>
      <c r="D20" s="151">
        <f t="shared" si="1"/>
        <v>406873.5</v>
      </c>
      <c r="E20" s="87">
        <f t="shared" si="1"/>
        <v>682150</v>
      </c>
      <c r="F20" s="152">
        <f t="shared" si="1"/>
        <v>381935.5</v>
      </c>
      <c r="G20" s="87">
        <f t="shared" si="1"/>
        <v>586139</v>
      </c>
      <c r="H20" s="152">
        <f t="shared" si="1"/>
        <v>359919.5</v>
      </c>
      <c r="I20" s="87">
        <f t="shared" si="1"/>
        <v>606633</v>
      </c>
      <c r="J20" s="152">
        <f t="shared" si="1"/>
        <v>340814.75</v>
      </c>
      <c r="K20" s="87">
        <f t="shared" si="1"/>
        <v>622130</v>
      </c>
      <c r="L20" s="152">
        <f t="shared" si="1"/>
        <v>321567.5</v>
      </c>
      <c r="M20" s="153">
        <f t="shared" si="1"/>
        <v>5000827.75</v>
      </c>
      <c r="N20" s="60"/>
      <c r="P20" s="13">
        <f>SUM(C20:L20)</f>
        <v>5000827.75</v>
      </c>
      <c r="Q20" s="13">
        <f>M20/5</f>
        <v>1000165.55</v>
      </c>
    </row>
    <row r="21" spans="1:17" ht="17.100000000000001" x14ac:dyDescent="0.85">
      <c r="A21"/>
      <c r="B21" s="132"/>
      <c r="C21" s="88"/>
      <c r="D21" s="89"/>
      <c r="E21" s="88"/>
      <c r="F21" s="90"/>
      <c r="G21" s="88"/>
      <c r="H21" s="90"/>
      <c r="I21" s="88"/>
      <c r="J21" s="154"/>
      <c r="K21" s="88"/>
      <c r="L21" s="90"/>
      <c r="M21" s="89"/>
      <c r="N21" s="62"/>
      <c r="Q21" s="277">
        <f>Q20*0.2</f>
        <v>200033.11000000002</v>
      </c>
    </row>
    <row r="22" spans="1:17" ht="15.3" x14ac:dyDescent="0.55000000000000004">
      <c r="A22"/>
      <c r="B22" s="91"/>
      <c r="C22" s="92"/>
      <c r="D22" s="92"/>
      <c r="E22" s="92"/>
      <c r="F22" s="92"/>
      <c r="G22" s="92"/>
      <c r="H22" s="92"/>
      <c r="I22" s="92"/>
      <c r="J22" s="155"/>
      <c r="K22" s="155"/>
      <c r="L22" s="155"/>
      <c r="M22" s="92"/>
      <c r="N22" s="60"/>
      <c r="Q22" s="13">
        <f>Q20+Q21</f>
        <v>1200198.6600000001</v>
      </c>
    </row>
    <row r="23" spans="1:17" ht="15.3" x14ac:dyDescent="0.55000000000000004">
      <c r="A23"/>
      <c r="B23" s="156"/>
      <c r="C23" s="94"/>
      <c r="D23" s="93"/>
      <c r="E23" s="94"/>
      <c r="F23" s="93"/>
      <c r="G23" s="94"/>
      <c r="H23" s="93"/>
      <c r="K23" s="157"/>
      <c r="L23" s="92" t="s">
        <v>550</v>
      </c>
      <c r="M23" s="94">
        <f>(M17+M18)/5</f>
        <v>280803.59999999998</v>
      </c>
      <c r="N23" s="60"/>
    </row>
    <row r="24" spans="1:17" ht="15.3" x14ac:dyDescent="0.55000000000000004">
      <c r="A24"/>
      <c r="B24" s="156"/>
      <c r="C24" s="93"/>
      <c r="D24" s="93"/>
      <c r="E24" s="93"/>
      <c r="F24" s="93"/>
      <c r="G24" s="93"/>
      <c r="H24" s="93"/>
      <c r="K24" s="157"/>
      <c r="L24" s="92" t="s">
        <v>551</v>
      </c>
      <c r="M24" s="94">
        <f>M23*0.2</f>
        <v>56160.72</v>
      </c>
      <c r="N24" s="60"/>
      <c r="P24" s="13">
        <f>M23+M24</f>
        <v>336964.31999999995</v>
      </c>
    </row>
    <row r="25" spans="1:17" ht="15.3" x14ac:dyDescent="0.55000000000000004">
      <c r="A25"/>
      <c r="B25" s="156"/>
      <c r="C25" s="93"/>
      <c r="D25" s="93"/>
      <c r="E25" s="93"/>
      <c r="F25" s="93"/>
      <c r="G25" s="93"/>
      <c r="H25" s="93"/>
      <c r="K25" s="157"/>
      <c r="L25" s="92"/>
      <c r="M25" s="94"/>
      <c r="N25" s="60"/>
    </row>
    <row r="26" spans="1:17" ht="15.3" x14ac:dyDescent="0.55000000000000004">
      <c r="A26"/>
      <c r="B26" s="156"/>
      <c r="C26" s="93"/>
      <c r="D26" s="93"/>
      <c r="E26" s="93"/>
      <c r="F26" s="93"/>
      <c r="G26" s="93"/>
      <c r="H26" s="93"/>
      <c r="K26" s="157"/>
      <c r="L26" s="92" t="s">
        <v>552</v>
      </c>
      <c r="M26" s="94">
        <f>SUM(M12:M15)/5</f>
        <v>719361.95</v>
      </c>
      <c r="N26" s="60"/>
    </row>
    <row r="27" spans="1:17" ht="15.3" x14ac:dyDescent="0.55000000000000004">
      <c r="A27"/>
      <c r="B27" s="156"/>
      <c r="C27" s="93"/>
      <c r="D27" s="93"/>
      <c r="E27" s="93"/>
      <c r="F27" s="93"/>
      <c r="G27" s="93"/>
      <c r="H27" s="93"/>
      <c r="K27" s="157"/>
      <c r="L27" s="92" t="s">
        <v>553</v>
      </c>
      <c r="M27" s="94">
        <f>M26*0.2</f>
        <v>143872.38999999998</v>
      </c>
      <c r="N27" s="60"/>
      <c r="P27" s="13">
        <f>M26+M27</f>
        <v>863234.34</v>
      </c>
    </row>
    <row r="28" spans="1:17" ht="15.3" x14ac:dyDescent="0.55000000000000004">
      <c r="A28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62"/>
    </row>
    <row r="29" spans="1:17" ht="15.3" x14ac:dyDescent="0.55000000000000004">
      <c r="A29"/>
      <c r="B29" s="84"/>
      <c r="C29" s="1"/>
      <c r="D29" s="84"/>
      <c r="E29" s="84"/>
      <c r="F29" s="84"/>
      <c r="G29" s="84"/>
      <c r="H29" s="84"/>
      <c r="I29" s="84"/>
      <c r="J29" s="84"/>
      <c r="K29" s="84"/>
      <c r="L29" s="84"/>
      <c r="M29" s="84"/>
      <c r="P29" s="13">
        <f>P24+P27</f>
        <v>1200198.6599999999</v>
      </c>
    </row>
    <row r="30" spans="1:17" x14ac:dyDescent="0.55000000000000004">
      <c r="B30" s="158"/>
      <c r="C30" s="1"/>
    </row>
  </sheetData>
  <mergeCells count="6">
    <mergeCell ref="B5:N5"/>
    <mergeCell ref="C9:D9"/>
    <mergeCell ref="E9:F9"/>
    <mergeCell ref="G9:H9"/>
    <mergeCell ref="I9:J9"/>
    <mergeCell ref="K9:L9"/>
  </mergeCells>
  <printOptions horizontalCentered="1"/>
  <pageMargins left="0.5" right="0.4" top="1.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E34B-6EB4-45F1-86CE-FD11B332E570}">
  <sheetPr>
    <pageSetUpPr fitToPage="1"/>
  </sheetPr>
  <dimension ref="B2:K44"/>
  <sheetViews>
    <sheetView workbookViewId="0"/>
  </sheetViews>
  <sheetFormatPr defaultRowHeight="15" x14ac:dyDescent="0.5"/>
  <cols>
    <col min="2" max="2" width="1.31640625" customWidth="1"/>
    <col min="3" max="3" width="22.90625" customWidth="1"/>
    <col min="4" max="4" width="9.54296875" customWidth="1"/>
    <col min="5" max="5" width="8.6796875" customWidth="1"/>
    <col min="6" max="6" width="9.54296875" customWidth="1"/>
    <col min="7" max="8" width="8.31640625" customWidth="1"/>
    <col min="9" max="9" width="8.54296875" customWidth="1"/>
    <col min="10" max="10" width="2.54296875" customWidth="1"/>
  </cols>
  <sheetData>
    <row r="2" spans="2:11" ht="15.3" x14ac:dyDescent="0.55000000000000004">
      <c r="B2" s="56"/>
      <c r="C2" s="57"/>
      <c r="D2" s="57"/>
      <c r="E2" s="57"/>
      <c r="F2" s="57"/>
      <c r="G2" s="57"/>
      <c r="H2" s="57"/>
      <c r="I2" s="58"/>
      <c r="J2" s="51"/>
      <c r="K2" s="13"/>
    </row>
    <row r="3" spans="2:11" ht="18.3" x14ac:dyDescent="0.7">
      <c r="B3" s="59"/>
      <c r="C3" s="566" t="s">
        <v>118</v>
      </c>
      <c r="D3" s="566"/>
      <c r="E3" s="566"/>
      <c r="F3" s="566"/>
      <c r="G3" s="566"/>
      <c r="H3" s="566"/>
      <c r="I3" s="567"/>
      <c r="J3" s="51"/>
      <c r="K3" s="13"/>
    </row>
    <row r="4" spans="2:11" ht="18.3" x14ac:dyDescent="0.7">
      <c r="B4" s="59"/>
      <c r="C4" s="204" t="s">
        <v>185</v>
      </c>
      <c r="D4" s="205"/>
      <c r="E4" s="205"/>
      <c r="F4" s="205"/>
      <c r="G4" s="205"/>
      <c r="H4" s="205"/>
      <c r="I4" s="231"/>
      <c r="J4" s="51"/>
      <c r="K4" s="13"/>
    </row>
    <row r="5" spans="2:11" ht="15.6" x14ac:dyDescent="0.55000000000000004">
      <c r="B5" s="59"/>
      <c r="C5" s="575" t="s">
        <v>327</v>
      </c>
      <c r="D5" s="575"/>
      <c r="E5" s="575"/>
      <c r="F5" s="575"/>
      <c r="G5" s="575"/>
      <c r="H5" s="575"/>
      <c r="I5" s="576"/>
      <c r="J5" s="51"/>
      <c r="K5" s="13"/>
    </row>
    <row r="6" spans="2:11" ht="15.6" x14ac:dyDescent="0.55000000000000004">
      <c r="B6" s="61"/>
      <c r="C6" s="233"/>
      <c r="D6" s="233"/>
      <c r="E6" s="233"/>
      <c r="F6" s="233"/>
      <c r="G6" s="233"/>
      <c r="H6" s="233"/>
      <c r="I6" s="234"/>
      <c r="J6" s="51"/>
      <c r="K6" s="13"/>
    </row>
    <row r="7" spans="2:11" ht="7" customHeight="1" x14ac:dyDescent="0.55000000000000004">
      <c r="B7" s="56"/>
      <c r="C7" s="258"/>
      <c r="D7" s="259"/>
      <c r="E7" s="259"/>
      <c r="F7" s="259"/>
      <c r="G7" s="259"/>
      <c r="H7" s="259"/>
      <c r="I7" s="260"/>
      <c r="J7" s="51"/>
      <c r="K7" s="13"/>
    </row>
    <row r="8" spans="2:11" ht="17.100000000000001" x14ac:dyDescent="0.85">
      <c r="B8" s="59"/>
      <c r="C8" s="51"/>
      <c r="D8" s="477" t="s">
        <v>186</v>
      </c>
      <c r="E8" s="477" t="s">
        <v>544</v>
      </c>
      <c r="F8" s="477" t="s">
        <v>187</v>
      </c>
      <c r="G8" s="477" t="s">
        <v>188</v>
      </c>
      <c r="H8" s="477" t="s">
        <v>189</v>
      </c>
      <c r="I8" s="478"/>
      <c r="J8" s="51"/>
      <c r="K8" s="13"/>
    </row>
    <row r="9" spans="2:11" ht="17.100000000000001" x14ac:dyDescent="0.85">
      <c r="B9" s="59"/>
      <c r="C9" s="51"/>
      <c r="D9" s="479" t="s">
        <v>4</v>
      </c>
      <c r="E9" s="479" t="s">
        <v>203</v>
      </c>
      <c r="F9" s="479" t="s">
        <v>191</v>
      </c>
      <c r="G9" s="479" t="s">
        <v>192</v>
      </c>
      <c r="H9" s="479" t="s">
        <v>193</v>
      </c>
      <c r="I9" s="478" t="s">
        <v>194</v>
      </c>
      <c r="J9" s="51"/>
      <c r="K9" s="13"/>
    </row>
    <row r="10" spans="2:11" ht="15.3" x14ac:dyDescent="0.55000000000000004">
      <c r="B10" s="59"/>
      <c r="C10" s="5" t="s">
        <v>205</v>
      </c>
      <c r="D10" s="51">
        <f>DeprAdj!H10</f>
        <v>94862.56</v>
      </c>
      <c r="E10" s="51">
        <f>D10</f>
        <v>94862.56</v>
      </c>
      <c r="F10" s="51"/>
      <c r="G10" s="51"/>
      <c r="H10" s="51"/>
      <c r="I10" s="60"/>
      <c r="J10" s="51"/>
      <c r="K10" s="13"/>
    </row>
    <row r="11" spans="2:11" ht="15.3" x14ac:dyDescent="0.55000000000000004">
      <c r="B11" s="59"/>
      <c r="C11" s="5" t="s">
        <v>542</v>
      </c>
      <c r="D11" s="51">
        <f>DeprAdj!H11</f>
        <v>16276.56</v>
      </c>
      <c r="E11" s="51"/>
      <c r="F11" s="51"/>
      <c r="G11" s="51"/>
      <c r="H11" s="51">
        <f>D11*0.5</f>
        <v>8138.28</v>
      </c>
      <c r="I11" s="60">
        <f>D11-H11</f>
        <v>8138.28</v>
      </c>
      <c r="J11" s="51"/>
      <c r="K11" s="13"/>
    </row>
    <row r="12" spans="2:11" ht="15.3" x14ac:dyDescent="0.55000000000000004">
      <c r="B12" s="59"/>
      <c r="C12" s="5" t="s">
        <v>543</v>
      </c>
      <c r="D12" s="51">
        <f>DeprAdj!H12</f>
        <v>40899.279999999999</v>
      </c>
      <c r="E12" s="51">
        <f t="shared" ref="E12:E14" si="0">D12</f>
        <v>40899.279999999999</v>
      </c>
      <c r="F12" s="51"/>
      <c r="G12" s="51"/>
      <c r="H12" s="51"/>
      <c r="I12" s="60"/>
      <c r="J12" s="51"/>
      <c r="K12" s="13"/>
    </row>
    <row r="13" spans="2:11" ht="15.3" x14ac:dyDescent="0.55000000000000004">
      <c r="B13" s="59"/>
      <c r="C13" s="5" t="s">
        <v>342</v>
      </c>
      <c r="D13" s="51">
        <f>DeprAdj!H13</f>
        <v>12391.3</v>
      </c>
      <c r="E13" s="51">
        <f t="shared" si="0"/>
        <v>12391.3</v>
      </c>
      <c r="F13" s="51"/>
      <c r="G13" s="51"/>
      <c r="H13" s="51"/>
      <c r="I13" s="60"/>
      <c r="J13" s="51"/>
      <c r="K13" s="13"/>
    </row>
    <row r="14" spans="2:11" ht="15.3" x14ac:dyDescent="0.55000000000000004">
      <c r="B14" s="59"/>
      <c r="C14" s="5" t="s">
        <v>206</v>
      </c>
      <c r="D14" s="51">
        <f>DeprAdj!H14</f>
        <v>5002.0320000000002</v>
      </c>
      <c r="E14" s="51">
        <f t="shared" si="0"/>
        <v>5002.0320000000002</v>
      </c>
      <c r="F14" s="51"/>
      <c r="G14" s="51"/>
      <c r="H14" s="51"/>
      <c r="I14" s="60"/>
      <c r="J14" s="51"/>
      <c r="K14" s="13"/>
    </row>
    <row r="15" spans="2:11" ht="15.3" x14ac:dyDescent="0.55000000000000004">
      <c r="B15" s="59"/>
      <c r="C15" s="5" t="s">
        <v>347</v>
      </c>
      <c r="D15" s="51">
        <f>DeprAdj!H15</f>
        <v>206166.9</v>
      </c>
      <c r="E15" s="51">
        <f>D15*0.35</f>
        <v>72158.414999999994</v>
      </c>
      <c r="F15" s="51">
        <f>D15-E15</f>
        <v>134008.48499999999</v>
      </c>
      <c r="G15" s="51"/>
      <c r="H15" s="51"/>
      <c r="I15" s="60"/>
      <c r="J15" s="51"/>
      <c r="K15" s="13"/>
    </row>
    <row r="16" spans="2:11" ht="15.3" x14ac:dyDescent="0.55000000000000004">
      <c r="B16" s="59"/>
      <c r="C16" s="5" t="s">
        <v>208</v>
      </c>
      <c r="D16" s="51">
        <f>DeprAdj!H16</f>
        <v>49925.163636363635</v>
      </c>
      <c r="E16" s="51">
        <f>D16</f>
        <v>49925.163636363635</v>
      </c>
      <c r="F16" s="51"/>
      <c r="G16" s="51"/>
      <c r="H16" s="51"/>
      <c r="I16" s="60"/>
      <c r="J16" s="51"/>
      <c r="K16" s="13"/>
    </row>
    <row r="17" spans="2:11" ht="15.3" x14ac:dyDescent="0.55000000000000004">
      <c r="B17" s="59"/>
      <c r="C17" s="5" t="s">
        <v>517</v>
      </c>
      <c r="D17" s="51">
        <f>DeprAdj!H17</f>
        <v>69080.622222222228</v>
      </c>
      <c r="E17" s="51"/>
      <c r="F17" s="51"/>
      <c r="G17" s="51">
        <f>D17</f>
        <v>69080.622222222228</v>
      </c>
      <c r="H17" s="51"/>
      <c r="I17" s="60"/>
      <c r="J17" s="51"/>
      <c r="K17" s="13"/>
    </row>
    <row r="18" spans="2:11" ht="15.3" x14ac:dyDescent="0.55000000000000004">
      <c r="B18" s="59"/>
      <c r="C18" s="5" t="s">
        <v>207</v>
      </c>
      <c r="D18" s="51">
        <f>DeprAdj!H18</f>
        <v>3300</v>
      </c>
      <c r="E18" s="51"/>
      <c r="F18" s="51">
        <f>D18</f>
        <v>3300</v>
      </c>
      <c r="G18" s="51"/>
      <c r="H18" s="51"/>
      <c r="I18" s="60"/>
      <c r="J18" s="51"/>
      <c r="K18" s="13"/>
    </row>
    <row r="19" spans="2:11" ht="15.3" x14ac:dyDescent="0.55000000000000004">
      <c r="B19" s="59"/>
      <c r="C19" s="159" t="s">
        <v>532</v>
      </c>
      <c r="D19" s="51">
        <f>DeprAdj!H19</f>
        <v>315670.08</v>
      </c>
      <c r="E19" s="51"/>
      <c r="F19" s="51">
        <f>D19</f>
        <v>315670.08</v>
      </c>
      <c r="G19" s="51"/>
      <c r="H19" s="51"/>
      <c r="I19" s="60"/>
      <c r="J19" s="51"/>
      <c r="K19" s="13"/>
    </row>
    <row r="20" spans="2:11" ht="15.3" x14ac:dyDescent="0.55000000000000004">
      <c r="B20" s="59"/>
      <c r="C20" s="5" t="s">
        <v>209</v>
      </c>
      <c r="D20" s="51">
        <f>DeprAdj!H20</f>
        <v>23906.575000000001</v>
      </c>
      <c r="E20" s="51"/>
      <c r="F20" s="51"/>
      <c r="G20" s="51"/>
      <c r="H20" s="51"/>
      <c r="I20" s="60">
        <f>D20</f>
        <v>23906.575000000001</v>
      </c>
      <c r="J20" s="51"/>
      <c r="K20" s="13"/>
    </row>
    <row r="21" spans="2:11" ht="15.3" x14ac:dyDescent="0.55000000000000004">
      <c r="B21" s="59"/>
      <c r="C21" s="5" t="s">
        <v>126</v>
      </c>
      <c r="D21" s="51">
        <f>DeprAdj!H21</f>
        <v>45679.525000000001</v>
      </c>
      <c r="E21" s="51"/>
      <c r="F21" s="51"/>
      <c r="G21" s="51"/>
      <c r="H21" s="51"/>
      <c r="I21" s="60">
        <f t="shared" ref="I21:I22" si="1">D21</f>
        <v>45679.525000000001</v>
      </c>
      <c r="J21" s="51"/>
      <c r="K21" s="13"/>
    </row>
    <row r="22" spans="2:11" ht="15.3" x14ac:dyDescent="0.55000000000000004">
      <c r="B22" s="59"/>
      <c r="C22" s="5" t="s">
        <v>210</v>
      </c>
      <c r="D22" s="51">
        <f>DeprAdj!H22</f>
        <v>2588.92</v>
      </c>
      <c r="E22" s="51"/>
      <c r="F22" s="51"/>
      <c r="G22" s="51"/>
      <c r="H22" s="51"/>
      <c r="I22" s="60">
        <f t="shared" si="1"/>
        <v>2588.92</v>
      </c>
      <c r="J22" s="51"/>
      <c r="K22" s="13"/>
    </row>
    <row r="23" spans="2:11" ht="15.3" x14ac:dyDescent="0.55000000000000004">
      <c r="B23" s="59"/>
      <c r="C23" s="5" t="s">
        <v>211</v>
      </c>
      <c r="D23" s="51">
        <f>DeprAdj!H23</f>
        <v>109002.57142857143</v>
      </c>
      <c r="E23" s="51"/>
      <c r="F23" s="206">
        <f>$D23*Mtrx!F$17</f>
        <v>86231.146075601602</v>
      </c>
      <c r="G23" s="481"/>
      <c r="H23" s="206">
        <f>$D23*Mtrx!H$17</f>
        <v>2009.2434134973382</v>
      </c>
      <c r="I23" s="482">
        <f>$D23*Mtrx!G$17</f>
        <v>20762.181939472495</v>
      </c>
      <c r="J23" s="51"/>
      <c r="K23" s="13"/>
    </row>
    <row r="24" spans="2:11" ht="15.3" x14ac:dyDescent="0.55000000000000004">
      <c r="B24" s="59"/>
      <c r="C24" s="483" t="s">
        <v>208</v>
      </c>
      <c r="D24" s="51">
        <f>DeprAdj!H26</f>
        <v>691.67272727272723</v>
      </c>
      <c r="E24" s="51">
        <f>D24</f>
        <v>691.67272727272723</v>
      </c>
      <c r="F24" s="51"/>
      <c r="G24" s="51"/>
      <c r="H24" s="51"/>
      <c r="I24" s="60"/>
      <c r="J24" s="51"/>
      <c r="K24" s="13"/>
    </row>
    <row r="25" spans="2:11" ht="15.3" x14ac:dyDescent="0.55000000000000004">
      <c r="B25" s="59"/>
      <c r="C25" s="159" t="s">
        <v>532</v>
      </c>
      <c r="D25" s="51">
        <f>DeprAdj!H27</f>
        <v>550.99199999999996</v>
      </c>
      <c r="E25" s="51"/>
      <c r="F25" s="51">
        <f>D25</f>
        <v>550.99199999999996</v>
      </c>
      <c r="G25" s="51"/>
      <c r="H25" s="51"/>
      <c r="I25" s="60"/>
      <c r="J25" s="51"/>
      <c r="K25" s="13"/>
    </row>
    <row r="26" spans="2:11" ht="15.3" x14ac:dyDescent="0.55000000000000004">
      <c r="B26" s="59"/>
      <c r="C26" s="5" t="s">
        <v>209</v>
      </c>
      <c r="D26" s="51">
        <f>DeprAdj!H28</f>
        <v>266.97500000000002</v>
      </c>
      <c r="E26" s="51"/>
      <c r="F26" s="51"/>
      <c r="G26" s="51"/>
      <c r="H26" s="51"/>
      <c r="I26" s="60">
        <f t="shared" ref="I26:I28" si="2">D26</f>
        <v>266.97500000000002</v>
      </c>
      <c r="J26" s="51"/>
      <c r="K26" s="13"/>
    </row>
    <row r="27" spans="2:11" ht="15.3" x14ac:dyDescent="0.55000000000000004">
      <c r="B27" s="59"/>
      <c r="C27" s="5" t="s">
        <v>126</v>
      </c>
      <c r="D27" s="51">
        <f>DeprAdj!H29</f>
        <v>1305.9749999999999</v>
      </c>
      <c r="E27" s="51"/>
      <c r="F27" s="51"/>
      <c r="G27" s="51"/>
      <c r="H27" s="51"/>
      <c r="I27" s="60">
        <f t="shared" si="2"/>
        <v>1305.9749999999999</v>
      </c>
      <c r="J27" s="51"/>
      <c r="K27" s="13"/>
    </row>
    <row r="28" spans="2:11" ht="15.3" x14ac:dyDescent="0.55000000000000004">
      <c r="B28" s="59"/>
      <c r="C28" s="5" t="s">
        <v>210</v>
      </c>
      <c r="D28" s="51">
        <f>DeprAdj!H30</f>
        <v>52.76</v>
      </c>
      <c r="E28" s="51"/>
      <c r="F28" s="51"/>
      <c r="G28" s="51"/>
      <c r="H28" s="51"/>
      <c r="I28" s="60">
        <f t="shared" si="2"/>
        <v>52.76</v>
      </c>
      <c r="J28" s="51"/>
      <c r="K28" s="13"/>
    </row>
    <row r="29" spans="2:11" ht="15.3" x14ac:dyDescent="0.55000000000000004">
      <c r="B29" s="59"/>
      <c r="C29" s="5" t="s">
        <v>211</v>
      </c>
      <c r="D29" s="51">
        <f>DeprAdj!H32</f>
        <v>19604.142857142859</v>
      </c>
      <c r="E29" s="51"/>
      <c r="F29" s="206">
        <f>$D29*Mtrx!F$17</f>
        <v>15508.695659615805</v>
      </c>
      <c r="G29" s="481"/>
      <c r="H29" s="206">
        <f>$D29*Mtrx!H$17</f>
        <v>361.36298801709296</v>
      </c>
      <c r="I29" s="482">
        <f>$D29*Mtrx!G$17</f>
        <v>3734.0842095099606</v>
      </c>
      <c r="J29" s="51"/>
      <c r="K29" s="13"/>
    </row>
    <row r="30" spans="2:11" ht="17.100000000000001" x14ac:dyDescent="0.85">
      <c r="B30" s="59"/>
      <c r="C30" s="70" t="s">
        <v>513</v>
      </c>
      <c r="D30" s="271">
        <f>DeprAdj!H36</f>
        <v>249449.22191594492</v>
      </c>
      <c r="E30" s="271">
        <f>D30</f>
        <v>249449.22191594492</v>
      </c>
      <c r="F30" s="271">
        <v>0</v>
      </c>
      <c r="G30" s="271">
        <v>0</v>
      </c>
      <c r="H30" s="271">
        <v>0</v>
      </c>
      <c r="I30" s="275">
        <v>0</v>
      </c>
      <c r="J30" s="51"/>
      <c r="K30" s="13"/>
    </row>
    <row r="31" spans="2:11" ht="15.3" x14ac:dyDescent="0.55000000000000004">
      <c r="B31" s="59"/>
      <c r="C31" s="257" t="s">
        <v>195</v>
      </c>
      <c r="D31" s="51">
        <f>SUM(D10:D30)</f>
        <v>1266673.8287875177</v>
      </c>
      <c r="E31" s="51">
        <f t="shared" ref="E31:I31" si="3">SUM(E10:E30)</f>
        <v>525379.64527958131</v>
      </c>
      <c r="F31" s="51">
        <f t="shared" si="3"/>
        <v>555269.3987352174</v>
      </c>
      <c r="G31" s="51">
        <f t="shared" si="3"/>
        <v>69080.622222222228</v>
      </c>
      <c r="H31" s="51">
        <f t="shared" si="3"/>
        <v>10508.886401514432</v>
      </c>
      <c r="I31" s="60">
        <f t="shared" si="3"/>
        <v>106435.27614898246</v>
      </c>
      <c r="J31" s="51"/>
      <c r="K31" s="13">
        <f>SUM(E31:I31)</f>
        <v>1266673.8287875177</v>
      </c>
    </row>
    <row r="32" spans="2:11" ht="15.3" x14ac:dyDescent="0.55000000000000004">
      <c r="B32" s="59"/>
      <c r="C32" s="257" t="s">
        <v>196</v>
      </c>
      <c r="D32" s="51"/>
      <c r="E32" s="235">
        <f>E31/$D$31</f>
        <v>0.41477105892563032</v>
      </c>
      <c r="F32" s="235">
        <f t="shared" ref="F32:I32" si="4">F31/$D$31</f>
        <v>0.43836809928151033</v>
      </c>
      <c r="G32" s="235">
        <f t="shared" si="4"/>
        <v>5.45370249643094E-2</v>
      </c>
      <c r="H32" s="235">
        <f t="shared" si="4"/>
        <v>8.296442353730258E-3</v>
      </c>
      <c r="I32" s="236">
        <f t="shared" si="4"/>
        <v>8.4027374474819741E-2</v>
      </c>
      <c r="J32" s="51"/>
      <c r="K32" s="13"/>
    </row>
    <row r="33" spans="2:11" ht="15.3" x14ac:dyDescent="0.55000000000000004">
      <c r="B33" s="59"/>
      <c r="C33" s="5" t="s">
        <v>348</v>
      </c>
      <c r="D33" s="51">
        <f>DeprAdj!H24</f>
        <v>12238.914285714285</v>
      </c>
      <c r="E33" s="51"/>
      <c r="F33" s="51"/>
      <c r="G33" s="51"/>
      <c r="H33" s="51"/>
      <c r="I33" s="60"/>
      <c r="J33" s="51"/>
      <c r="K33" s="13"/>
    </row>
    <row r="34" spans="2:11" ht="15.3" x14ac:dyDescent="0.55000000000000004">
      <c r="B34" s="59"/>
      <c r="C34" s="5" t="s">
        <v>212</v>
      </c>
      <c r="D34" s="51">
        <f>DeprAdj!H25</f>
        <v>42293.599999999999</v>
      </c>
      <c r="E34" s="51"/>
      <c r="F34" s="51"/>
      <c r="G34" s="51"/>
      <c r="H34" s="51"/>
      <c r="I34" s="60"/>
      <c r="J34" s="51"/>
      <c r="K34" s="13"/>
    </row>
    <row r="35" spans="2:11" ht="15.3" x14ac:dyDescent="0.55000000000000004">
      <c r="B35" s="59"/>
      <c r="C35" s="5" t="s">
        <v>350</v>
      </c>
      <c r="D35" s="51">
        <f>DeprAdj!H31</f>
        <v>28.266666666666666</v>
      </c>
      <c r="E35" s="51"/>
      <c r="F35" s="51"/>
      <c r="G35" s="51"/>
      <c r="H35" s="51"/>
      <c r="I35" s="60"/>
      <c r="J35" s="51"/>
      <c r="K35" s="13"/>
    </row>
    <row r="36" spans="2:11" ht="15.3" x14ac:dyDescent="0.55000000000000004">
      <c r="B36" s="59"/>
      <c r="C36" s="5" t="s">
        <v>351</v>
      </c>
      <c r="D36" s="51">
        <f>DeprAdj!H33</f>
        <v>314.17142857142858</v>
      </c>
      <c r="E36" s="51"/>
      <c r="F36" s="51"/>
      <c r="G36" s="51"/>
      <c r="H36" s="51"/>
      <c r="I36" s="60"/>
      <c r="J36" s="51"/>
      <c r="K36" s="13"/>
    </row>
    <row r="37" spans="2:11" ht="15.3" x14ac:dyDescent="0.55000000000000004">
      <c r="B37" s="59"/>
      <c r="C37" s="5" t="s">
        <v>352</v>
      </c>
      <c r="D37" s="51">
        <f>DeprAdj!H34</f>
        <v>7252</v>
      </c>
      <c r="E37" s="51"/>
      <c r="F37" s="51"/>
      <c r="G37" s="51"/>
      <c r="H37" s="51"/>
      <c r="I37" s="60"/>
      <c r="J37" s="51"/>
      <c r="K37" s="13"/>
    </row>
    <row r="38" spans="2:11" ht="17.100000000000001" x14ac:dyDescent="0.85">
      <c r="B38" s="59"/>
      <c r="C38" s="5" t="s">
        <v>212</v>
      </c>
      <c r="D38" s="271">
        <f>DeprAdj!H35</f>
        <v>92.4</v>
      </c>
      <c r="E38" s="51"/>
      <c r="F38" s="51"/>
      <c r="G38" s="51"/>
      <c r="H38" s="51"/>
      <c r="I38" s="60"/>
      <c r="J38" s="51"/>
      <c r="K38" s="13"/>
    </row>
    <row r="39" spans="2:11" ht="15.3" x14ac:dyDescent="0.55000000000000004">
      <c r="B39" s="59"/>
      <c r="C39" s="257" t="s">
        <v>197</v>
      </c>
      <c r="D39" s="51">
        <f>SUM(D33:D38)</f>
        <v>62219.352380952383</v>
      </c>
      <c r="E39" s="51"/>
      <c r="F39" s="51"/>
      <c r="G39" s="51"/>
      <c r="H39" s="51"/>
      <c r="I39" s="60"/>
      <c r="J39" s="51"/>
      <c r="K39" s="13"/>
    </row>
    <row r="40" spans="2:11" ht="17.100000000000001" x14ac:dyDescent="0.85">
      <c r="B40" s="59"/>
      <c r="C40" s="256" t="s">
        <v>198</v>
      </c>
      <c r="D40" s="51"/>
      <c r="E40" s="271">
        <f>$D$39*E32</f>
        <v>25806.786672714559</v>
      </c>
      <c r="F40" s="271">
        <f t="shared" ref="F40:I40" si="5">$D$39*F32</f>
        <v>27274.979241764609</v>
      </c>
      <c r="G40" s="271">
        <f t="shared" si="5"/>
        <v>3393.2583740631635</v>
      </c>
      <c r="H40" s="271">
        <f t="shared" si="5"/>
        <v>516.19927031500094</v>
      </c>
      <c r="I40" s="275">
        <f t="shared" si="5"/>
        <v>5228.1288220950528</v>
      </c>
      <c r="J40" s="51"/>
      <c r="K40" s="13">
        <f>SUM(E40:I40)</f>
        <v>62219.35238095239</v>
      </c>
    </row>
    <row r="41" spans="2:11" ht="7" customHeight="1" x14ac:dyDescent="0.55000000000000004">
      <c r="B41" s="59"/>
      <c r="C41" s="256"/>
      <c r="D41" s="51"/>
      <c r="E41" s="51"/>
      <c r="F41" s="51"/>
      <c r="G41" s="51"/>
      <c r="H41" s="51"/>
      <c r="I41" s="60"/>
      <c r="J41" s="51"/>
      <c r="K41" s="13"/>
    </row>
    <row r="42" spans="2:11" ht="15.3" x14ac:dyDescent="0.55000000000000004">
      <c r="B42" s="59"/>
      <c r="C42" s="157" t="s">
        <v>199</v>
      </c>
      <c r="D42" s="157">
        <f>D31+D39</f>
        <v>1328893.1811684701</v>
      </c>
      <c r="E42" s="157">
        <f>E31+E40</f>
        <v>551186.43195229582</v>
      </c>
      <c r="F42" s="157">
        <f>F31+F40</f>
        <v>582544.37797698204</v>
      </c>
      <c r="G42" s="157">
        <f>G31+G40</f>
        <v>72473.880596285395</v>
      </c>
      <c r="H42" s="157">
        <f>H31+H40</f>
        <v>11025.085671829433</v>
      </c>
      <c r="I42" s="237">
        <f>I31+I40</f>
        <v>111663.40497107751</v>
      </c>
      <c r="J42" s="51"/>
      <c r="K42" s="13">
        <f>SUM(E42:I42)</f>
        <v>1328893.1811684703</v>
      </c>
    </row>
    <row r="43" spans="2:11" ht="15.3" x14ac:dyDescent="0.55000000000000004">
      <c r="B43" s="61"/>
      <c r="C43" s="15"/>
      <c r="D43" s="15"/>
      <c r="E43" s="15"/>
      <c r="F43" s="15"/>
      <c r="G43" s="15"/>
      <c r="H43" s="15"/>
      <c r="I43" s="62"/>
      <c r="J43" s="51"/>
      <c r="K43" s="13"/>
    </row>
    <row r="44" spans="2:11" ht="15.3" x14ac:dyDescent="0.55000000000000004">
      <c r="B44" s="51"/>
      <c r="C44" s="51"/>
      <c r="D44" s="51"/>
      <c r="E44" s="51"/>
      <c r="F44" s="51"/>
      <c r="G44" s="51"/>
      <c r="H44" s="51"/>
      <c r="I44" s="51"/>
      <c r="J44" s="51"/>
      <c r="K44" s="13"/>
    </row>
  </sheetData>
  <mergeCells count="2">
    <mergeCell ref="C3:I3"/>
    <mergeCell ref="C5:I5"/>
  </mergeCells>
  <printOptions horizontalCentered="1"/>
  <pageMargins left="0.55000000000000004" right="0.45" top="1" bottom="0.75" header="0.3" footer="0.3"/>
  <pageSetup orientation="portrait" r:id="rId1"/>
  <ignoredErrors>
    <ignoredError sqref="E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A6C0-C2C9-4DD2-8836-CF8CD52B2186}">
  <sheetPr>
    <pageSetUpPr fitToPage="1"/>
  </sheetPr>
  <dimension ref="B2:K55"/>
  <sheetViews>
    <sheetView workbookViewId="0"/>
  </sheetViews>
  <sheetFormatPr defaultRowHeight="15" x14ac:dyDescent="0.5"/>
  <cols>
    <col min="2" max="2" width="1.08984375" customWidth="1"/>
    <col min="3" max="3" width="29.40625" customWidth="1"/>
    <col min="4" max="4" width="9.5" customWidth="1"/>
    <col min="5" max="5" width="10.6796875" customWidth="1"/>
    <col min="6" max="6" width="9.54296875" customWidth="1"/>
    <col min="7" max="9" width="8.58984375" customWidth="1"/>
    <col min="10" max="10" width="1.31640625" customWidth="1"/>
    <col min="11" max="11" width="11.31640625" customWidth="1"/>
  </cols>
  <sheetData>
    <row r="2" spans="2:11" ht="15.3" x14ac:dyDescent="0.55000000000000004">
      <c r="B2" s="35"/>
      <c r="C2" s="67"/>
      <c r="D2" s="67"/>
      <c r="E2" s="67"/>
      <c r="F2" s="67"/>
      <c r="G2" s="67"/>
      <c r="H2" s="67"/>
      <c r="I2" s="67"/>
      <c r="J2" s="68"/>
      <c r="K2" s="1"/>
    </row>
    <row r="3" spans="2:11" ht="18.3" x14ac:dyDescent="0.7">
      <c r="B3" s="36"/>
      <c r="C3" s="566" t="s">
        <v>90</v>
      </c>
      <c r="D3" s="566"/>
      <c r="E3" s="566"/>
      <c r="F3" s="566"/>
      <c r="G3" s="566"/>
      <c r="H3" s="566"/>
      <c r="I3" s="566"/>
      <c r="J3" s="37"/>
      <c r="K3" s="20"/>
    </row>
    <row r="4" spans="2:11" ht="18.3" x14ac:dyDescent="0.7">
      <c r="B4" s="36"/>
      <c r="C4" s="204" t="s">
        <v>585</v>
      </c>
      <c r="D4" s="205"/>
      <c r="E4" s="205"/>
      <c r="F4" s="205"/>
      <c r="G4" s="205"/>
      <c r="H4" s="205"/>
      <c r="I4" s="205"/>
      <c r="J4" s="37"/>
      <c r="K4" s="20"/>
    </row>
    <row r="5" spans="2:11" ht="15.6" x14ac:dyDescent="0.55000000000000004">
      <c r="B5" s="36"/>
      <c r="C5" s="577" t="s">
        <v>327</v>
      </c>
      <c r="D5" s="577"/>
      <c r="E5" s="577"/>
      <c r="F5" s="577"/>
      <c r="G5" s="577"/>
      <c r="H5" s="577"/>
      <c r="I5" s="577"/>
      <c r="J5" s="37"/>
      <c r="K5" s="20"/>
    </row>
    <row r="6" spans="2:11" ht="18.3" x14ac:dyDescent="0.55000000000000004">
      <c r="B6" s="39"/>
      <c r="C6" s="476"/>
      <c r="D6" s="476"/>
      <c r="E6" s="476"/>
      <c r="F6" s="476"/>
      <c r="G6" s="476"/>
      <c r="H6" s="476"/>
      <c r="I6" s="476"/>
      <c r="J6" s="40"/>
      <c r="K6" s="20"/>
    </row>
    <row r="7" spans="2:11" ht="7" customHeight="1" x14ac:dyDescent="0.55000000000000004">
      <c r="B7" s="36"/>
      <c r="C7" s="20"/>
      <c r="D7" s="20"/>
      <c r="E7" s="20"/>
      <c r="F7" s="20"/>
      <c r="G7" s="20"/>
      <c r="H7" s="20"/>
      <c r="I7" s="20"/>
      <c r="J7" s="37"/>
      <c r="K7" s="20"/>
    </row>
    <row r="8" spans="2:11" ht="15.3" x14ac:dyDescent="0.55000000000000004">
      <c r="B8" s="36"/>
      <c r="C8" s="20"/>
      <c r="D8" s="38" t="s">
        <v>201</v>
      </c>
      <c r="E8" s="255" t="s">
        <v>530</v>
      </c>
      <c r="F8" s="255" t="s">
        <v>187</v>
      </c>
      <c r="G8" s="255" t="s">
        <v>188</v>
      </c>
      <c r="H8" s="255" t="s">
        <v>189</v>
      </c>
      <c r="I8" s="255"/>
      <c r="J8" s="37"/>
      <c r="K8" s="20"/>
    </row>
    <row r="9" spans="2:11" ht="15.3" x14ac:dyDescent="0.55000000000000004">
      <c r="B9" s="36"/>
      <c r="C9" s="20"/>
      <c r="D9" s="255" t="s">
        <v>202</v>
      </c>
      <c r="E9" s="255" t="s">
        <v>531</v>
      </c>
      <c r="F9" s="255" t="s">
        <v>191</v>
      </c>
      <c r="G9" s="255" t="s">
        <v>192</v>
      </c>
      <c r="H9" s="255" t="s">
        <v>193</v>
      </c>
      <c r="I9" s="255" t="s">
        <v>194</v>
      </c>
      <c r="J9" s="37"/>
      <c r="K9" s="20"/>
    </row>
    <row r="10" spans="2:11" ht="15.3" x14ac:dyDescent="0.55000000000000004">
      <c r="B10" s="36"/>
      <c r="C10" s="3" t="s">
        <v>204</v>
      </c>
      <c r="D10" s="357">
        <f>157172+105496+203386+6900</f>
        <v>472954</v>
      </c>
      <c r="E10" s="357">
        <v>203386</v>
      </c>
      <c r="F10" s="357">
        <f>105496*0.25</f>
        <v>26374</v>
      </c>
      <c r="G10" s="357">
        <f>105496-F10</f>
        <v>79122</v>
      </c>
      <c r="H10" s="357">
        <v>157172</v>
      </c>
      <c r="I10" s="357">
        <v>6900</v>
      </c>
      <c r="J10" s="37"/>
      <c r="K10" s="20">
        <f t="shared" ref="K10:K26" si="0">SUM(E10:I10)</f>
        <v>472954</v>
      </c>
    </row>
    <row r="11" spans="2:11" ht="15.3" x14ac:dyDescent="0.55000000000000004">
      <c r="B11" s="36"/>
      <c r="C11" s="3" t="s">
        <v>205</v>
      </c>
      <c r="D11" s="357">
        <v>3557346</v>
      </c>
      <c r="E11" s="206">
        <f>D11</f>
        <v>3557346</v>
      </c>
      <c r="F11" s="206"/>
      <c r="G11" s="206"/>
      <c r="H11" s="206"/>
      <c r="I11" s="206"/>
      <c r="J11" s="37"/>
      <c r="K11" s="20">
        <f t="shared" si="0"/>
        <v>3557346</v>
      </c>
    </row>
    <row r="12" spans="2:11" ht="15.3" x14ac:dyDescent="0.55000000000000004">
      <c r="B12" s="36"/>
      <c r="C12" s="3" t="s">
        <v>541</v>
      </c>
      <c r="D12" s="357">
        <v>610371</v>
      </c>
      <c r="F12" s="206"/>
      <c r="G12" s="206"/>
      <c r="H12" s="206">
        <f>D12*0.5</f>
        <v>305185.5</v>
      </c>
      <c r="I12" s="206">
        <f>D12-H12</f>
        <v>305185.5</v>
      </c>
      <c r="J12" s="37"/>
      <c r="K12" s="20">
        <f t="shared" si="0"/>
        <v>610371</v>
      </c>
    </row>
    <row r="13" spans="2:11" ht="15.3" x14ac:dyDescent="0.55000000000000004">
      <c r="B13" s="36"/>
      <c r="C13" s="3" t="s">
        <v>349</v>
      </c>
      <c r="D13" s="357">
        <v>2556205</v>
      </c>
      <c r="E13" s="206">
        <f>D13</f>
        <v>2556205</v>
      </c>
      <c r="F13" s="206"/>
      <c r="G13" s="206"/>
      <c r="H13" s="206"/>
      <c r="I13" s="206"/>
      <c r="J13" s="37"/>
      <c r="K13" s="20">
        <f t="shared" si="0"/>
        <v>2556205</v>
      </c>
    </row>
    <row r="14" spans="2:11" ht="15.3" x14ac:dyDescent="0.55000000000000004">
      <c r="B14" s="36"/>
      <c r="C14" s="3" t="s">
        <v>342</v>
      </c>
      <c r="D14" s="357">
        <v>495652</v>
      </c>
      <c r="E14" s="206">
        <f>D14</f>
        <v>495652</v>
      </c>
      <c r="F14" s="206"/>
      <c r="G14" s="206"/>
      <c r="H14" s="206"/>
      <c r="I14" s="206"/>
      <c r="J14" s="37"/>
      <c r="K14" s="20">
        <f t="shared" si="0"/>
        <v>495652</v>
      </c>
    </row>
    <row r="15" spans="2:11" ht="15.3" x14ac:dyDescent="0.55000000000000004">
      <c r="B15" s="36"/>
      <c r="C15" s="3" t="s">
        <v>206</v>
      </c>
      <c r="D15" s="357">
        <v>312627</v>
      </c>
      <c r="E15" s="206">
        <f>D15</f>
        <v>312627</v>
      </c>
      <c r="F15" s="206"/>
      <c r="G15" s="206"/>
      <c r="H15" s="206"/>
      <c r="I15" s="206"/>
      <c r="J15" s="37"/>
      <c r="K15" s="20">
        <f t="shared" si="0"/>
        <v>312627</v>
      </c>
    </row>
    <row r="16" spans="2:11" ht="15.3" x14ac:dyDescent="0.55000000000000004">
      <c r="B16" s="36"/>
      <c r="C16" s="3" t="s">
        <v>347</v>
      </c>
      <c r="D16" s="357">
        <v>4123338</v>
      </c>
      <c r="E16" s="206">
        <f>D16*0.35</f>
        <v>1443168.2999999998</v>
      </c>
      <c r="F16" s="206">
        <f>D16-E16</f>
        <v>2680169.7000000002</v>
      </c>
      <c r="G16" s="206"/>
      <c r="H16" s="206"/>
      <c r="I16" s="206"/>
      <c r="J16" s="37"/>
      <c r="K16" s="20">
        <f t="shared" si="0"/>
        <v>4123338</v>
      </c>
    </row>
    <row r="17" spans="2:11" ht="15.3" x14ac:dyDescent="0.55000000000000004">
      <c r="B17" s="36"/>
      <c r="C17" s="3" t="s">
        <v>208</v>
      </c>
      <c r="D17" s="357">
        <v>1372942</v>
      </c>
      <c r="E17" s="206">
        <f>D17</f>
        <v>1372942</v>
      </c>
      <c r="F17" s="206"/>
      <c r="G17" s="206"/>
      <c r="H17" s="206"/>
      <c r="I17" s="206"/>
      <c r="J17" s="37"/>
      <c r="K17" s="20">
        <f t="shared" si="0"/>
        <v>1372942</v>
      </c>
    </row>
    <row r="18" spans="2:11" ht="15.3" x14ac:dyDescent="0.55000000000000004">
      <c r="B18" s="36"/>
      <c r="C18" s="3" t="s">
        <v>517</v>
      </c>
      <c r="D18" s="357">
        <v>3108628</v>
      </c>
      <c r="E18" s="206"/>
      <c r="F18" s="206"/>
      <c r="G18" s="206">
        <f>D18</f>
        <v>3108628</v>
      </c>
      <c r="H18" s="206"/>
      <c r="I18" s="206"/>
      <c r="J18" s="37"/>
      <c r="K18" s="20">
        <f t="shared" si="0"/>
        <v>3108628</v>
      </c>
    </row>
    <row r="19" spans="2:11" ht="15.3" x14ac:dyDescent="0.55000000000000004">
      <c r="B19" s="36"/>
      <c r="C19" s="3" t="s">
        <v>207</v>
      </c>
      <c r="D19" s="357">
        <v>66000</v>
      </c>
      <c r="E19" s="206"/>
      <c r="F19" s="206">
        <f>D19-E19</f>
        <v>66000</v>
      </c>
      <c r="G19" s="206"/>
      <c r="H19" s="206"/>
      <c r="I19" s="206"/>
      <c r="J19" s="37"/>
      <c r="K19" s="20">
        <f t="shared" si="0"/>
        <v>66000</v>
      </c>
    </row>
    <row r="20" spans="2:11" ht="15.3" x14ac:dyDescent="0.55000000000000004">
      <c r="B20" s="36"/>
      <c r="C20" s="107" t="s">
        <v>532</v>
      </c>
      <c r="D20" s="357">
        <v>19729380</v>
      </c>
      <c r="E20" s="206"/>
      <c r="F20" s="206">
        <f>D20</f>
        <v>19729380</v>
      </c>
      <c r="G20" s="206"/>
      <c r="H20" s="206"/>
      <c r="I20" s="206"/>
      <c r="J20" s="37"/>
      <c r="K20" s="20">
        <f t="shared" si="0"/>
        <v>19729380</v>
      </c>
    </row>
    <row r="21" spans="2:11" ht="15.3" x14ac:dyDescent="0.55000000000000004">
      <c r="B21" s="36"/>
      <c r="C21" s="3" t="s">
        <v>209</v>
      </c>
      <c r="D21" s="357">
        <v>956263</v>
      </c>
      <c r="E21" s="206"/>
      <c r="F21" s="206"/>
      <c r="G21" s="206"/>
      <c r="H21" s="206"/>
      <c r="I21" s="206">
        <f>D21</f>
        <v>956263</v>
      </c>
      <c r="J21" s="37"/>
      <c r="K21" s="20">
        <f t="shared" si="0"/>
        <v>956263</v>
      </c>
    </row>
    <row r="22" spans="2:11" ht="15.3" x14ac:dyDescent="0.55000000000000004">
      <c r="B22" s="36"/>
      <c r="C22" s="3" t="s">
        <v>126</v>
      </c>
      <c r="D22" s="357">
        <v>1827181</v>
      </c>
      <c r="E22" s="206"/>
      <c r="F22" s="206"/>
      <c r="G22" s="206"/>
      <c r="H22" s="206"/>
      <c r="I22" s="206">
        <f>D22</f>
        <v>1827181</v>
      </c>
      <c r="J22" s="37"/>
      <c r="K22" s="20">
        <f t="shared" si="0"/>
        <v>1827181</v>
      </c>
    </row>
    <row r="23" spans="2:11" ht="15.3" x14ac:dyDescent="0.55000000000000004">
      <c r="B23" s="36"/>
      <c r="C23" s="3" t="s">
        <v>502</v>
      </c>
      <c r="D23" s="357">
        <v>157159</v>
      </c>
      <c r="E23" s="206"/>
      <c r="F23" s="206"/>
      <c r="G23" s="206"/>
      <c r="H23" s="206"/>
      <c r="I23" s="206">
        <f>D23</f>
        <v>157159</v>
      </c>
      <c r="J23" s="37"/>
      <c r="K23" s="20">
        <f t="shared" si="0"/>
        <v>157159</v>
      </c>
    </row>
    <row r="24" spans="2:11" ht="15.3" x14ac:dyDescent="0.55000000000000004">
      <c r="B24" s="36"/>
      <c r="C24" s="3" t="s">
        <v>210</v>
      </c>
      <c r="D24" s="357">
        <v>129446</v>
      </c>
      <c r="E24" s="206"/>
      <c r="F24" s="206"/>
      <c r="G24" s="206"/>
      <c r="H24" s="206"/>
      <c r="I24" s="206">
        <f>D24</f>
        <v>129446</v>
      </c>
      <c r="J24" s="37"/>
      <c r="K24" s="20">
        <f t="shared" si="0"/>
        <v>129446</v>
      </c>
    </row>
    <row r="25" spans="2:11" ht="15.3" x14ac:dyDescent="0.55000000000000004">
      <c r="B25" s="36"/>
      <c r="C25" s="3" t="s">
        <v>533</v>
      </c>
      <c r="D25" s="357">
        <v>25564</v>
      </c>
      <c r="E25" s="206"/>
      <c r="F25" s="206"/>
      <c r="G25" s="206"/>
      <c r="H25" s="206">
        <f>D25</f>
        <v>25564</v>
      </c>
      <c r="I25" s="206"/>
      <c r="J25" s="37"/>
      <c r="K25" s="20">
        <f t="shared" si="0"/>
        <v>25564</v>
      </c>
    </row>
    <row r="26" spans="2:11" ht="15.3" x14ac:dyDescent="0.55000000000000004">
      <c r="B26" s="36"/>
      <c r="C26" s="3" t="s">
        <v>350</v>
      </c>
      <c r="D26" s="357">
        <v>331328</v>
      </c>
      <c r="E26" s="206"/>
      <c r="F26" s="206"/>
      <c r="G26" s="206"/>
      <c r="H26" s="206">
        <f>D26</f>
        <v>331328</v>
      </c>
      <c r="I26" s="206"/>
      <c r="J26" s="37"/>
      <c r="K26" s="20">
        <f t="shared" si="0"/>
        <v>331328</v>
      </c>
    </row>
    <row r="27" spans="2:11" ht="15.3" x14ac:dyDescent="0.55000000000000004">
      <c r="B27" s="36"/>
      <c r="C27" s="3" t="s">
        <v>211</v>
      </c>
      <c r="D27" s="357">
        <v>763018</v>
      </c>
      <c r="E27" s="206"/>
      <c r="F27" s="206">
        <f>$D27*Mtrx!F$17</f>
        <v>603618.02252921113</v>
      </c>
      <c r="G27" s="467"/>
      <c r="H27" s="206">
        <f>$D27*Mtrx!H$17</f>
        <v>14064.703894481367</v>
      </c>
      <c r="I27" s="206">
        <f>$D27*Mtrx!G$17</f>
        <v>145335.27357630746</v>
      </c>
      <c r="J27" s="37"/>
      <c r="K27" s="20">
        <f>SUM(E27:I27)</f>
        <v>763018</v>
      </c>
    </row>
    <row r="28" spans="2:11" ht="15.3" x14ac:dyDescent="0.55000000000000004">
      <c r="B28" s="36"/>
      <c r="C28" s="3" t="s">
        <v>211</v>
      </c>
      <c r="D28" s="28">
        <f>131137+6092</f>
        <v>137229</v>
      </c>
      <c r="E28" s="206"/>
      <c r="F28" s="206">
        <f>$D28*Mtrx!F$17</f>
        <v>108560.86961731063</v>
      </c>
      <c r="G28" s="467"/>
      <c r="H28" s="206">
        <f>$D28*Mtrx!H$17</f>
        <v>2529.5409161196503</v>
      </c>
      <c r="I28" s="206">
        <f>$D28*Mtrx!G$17</f>
        <v>26138.589466569723</v>
      </c>
      <c r="J28" s="37"/>
      <c r="K28" s="20">
        <f t="shared" ref="K28:K36" si="1">SUM(E28:I28)</f>
        <v>137229</v>
      </c>
    </row>
    <row r="29" spans="2:11" ht="15.3" x14ac:dyDescent="0.55000000000000004">
      <c r="B29" s="36"/>
      <c r="C29" s="3" t="s">
        <v>261</v>
      </c>
      <c r="D29" s="357">
        <v>3343</v>
      </c>
      <c r="E29" s="206">
        <f>D29</f>
        <v>3343</v>
      </c>
      <c r="F29" s="206"/>
      <c r="G29" s="206"/>
      <c r="H29" s="206"/>
      <c r="I29" s="206"/>
      <c r="J29" s="37"/>
      <c r="K29" s="20">
        <f t="shared" si="1"/>
        <v>3343</v>
      </c>
    </row>
    <row r="30" spans="2:11" ht="15.3" x14ac:dyDescent="0.55000000000000004">
      <c r="B30" s="36"/>
      <c r="C30" s="359" t="s">
        <v>208</v>
      </c>
      <c r="D30" s="357">
        <v>19021</v>
      </c>
      <c r="E30" s="206">
        <f>D30</f>
        <v>19021</v>
      </c>
      <c r="F30" s="206"/>
      <c r="G30" s="206"/>
      <c r="H30" s="206"/>
      <c r="I30" s="206"/>
      <c r="J30" s="37"/>
      <c r="K30" s="20">
        <f t="shared" si="1"/>
        <v>19021</v>
      </c>
    </row>
    <row r="31" spans="2:11" ht="15.3" x14ac:dyDescent="0.55000000000000004">
      <c r="B31" s="36"/>
      <c r="C31" s="3" t="s">
        <v>343</v>
      </c>
      <c r="D31" s="357">
        <v>34437</v>
      </c>
      <c r="E31" s="206"/>
      <c r="F31" s="206">
        <f>D31</f>
        <v>34437</v>
      </c>
      <c r="G31" s="206"/>
      <c r="H31" s="206"/>
      <c r="I31" s="206"/>
      <c r="J31" s="37"/>
      <c r="K31" s="20">
        <f t="shared" si="1"/>
        <v>34437</v>
      </c>
    </row>
    <row r="32" spans="2:11" ht="15.3" x14ac:dyDescent="0.55000000000000004">
      <c r="B32" s="36"/>
      <c r="C32" s="3" t="s">
        <v>209</v>
      </c>
      <c r="D32" s="357">
        <v>10679</v>
      </c>
      <c r="E32" s="206"/>
      <c r="F32" s="206"/>
      <c r="G32" s="206"/>
      <c r="H32" s="206"/>
      <c r="I32" s="206">
        <f>D32</f>
        <v>10679</v>
      </c>
      <c r="J32" s="37"/>
      <c r="K32" s="20">
        <f t="shared" si="1"/>
        <v>10679</v>
      </c>
    </row>
    <row r="33" spans="2:11" ht="15.3" x14ac:dyDescent="0.55000000000000004">
      <c r="B33" s="36"/>
      <c r="C33" s="3" t="s">
        <v>126</v>
      </c>
      <c r="D33" s="357">
        <v>52239</v>
      </c>
      <c r="E33" s="206"/>
      <c r="F33" s="206"/>
      <c r="G33" s="206"/>
      <c r="H33" s="206"/>
      <c r="I33" s="206">
        <f>D33</f>
        <v>52239</v>
      </c>
      <c r="J33" s="37"/>
      <c r="K33" s="20">
        <f t="shared" si="1"/>
        <v>52239</v>
      </c>
    </row>
    <row r="34" spans="2:11" ht="15.3" x14ac:dyDescent="0.55000000000000004">
      <c r="B34" s="36"/>
      <c r="C34" s="3" t="s">
        <v>210</v>
      </c>
      <c r="D34" s="357">
        <v>2638</v>
      </c>
      <c r="E34" s="206"/>
      <c r="F34" s="206"/>
      <c r="G34" s="206"/>
      <c r="H34" s="206"/>
      <c r="I34" s="206">
        <f>D34</f>
        <v>2638</v>
      </c>
      <c r="J34" s="37"/>
      <c r="K34" s="20">
        <f t="shared" si="1"/>
        <v>2638</v>
      </c>
    </row>
    <row r="35" spans="2:11" ht="15.3" x14ac:dyDescent="0.55000000000000004">
      <c r="B35" s="36"/>
      <c r="C35" s="3" t="s">
        <v>350</v>
      </c>
      <c r="D35" s="357">
        <v>636</v>
      </c>
      <c r="E35" s="206"/>
      <c r="F35" s="206"/>
      <c r="G35" s="206"/>
      <c r="H35" s="206">
        <f>D35</f>
        <v>636</v>
      </c>
      <c r="I35" s="206"/>
      <c r="J35" s="37"/>
      <c r="K35" s="20">
        <f t="shared" si="1"/>
        <v>636</v>
      </c>
    </row>
    <row r="36" spans="2:11" ht="17.100000000000001" x14ac:dyDescent="0.85">
      <c r="B36" s="36"/>
      <c r="C36" s="70" t="s">
        <v>513</v>
      </c>
      <c r="D36" s="468">
        <f>DeprAdj!D36</f>
        <v>11627967</v>
      </c>
      <c r="E36" s="469">
        <f>D36</f>
        <v>11627967</v>
      </c>
      <c r="F36" s="469">
        <v>0</v>
      </c>
      <c r="G36" s="469">
        <v>0</v>
      </c>
      <c r="H36" s="469">
        <v>0</v>
      </c>
      <c r="I36" s="469">
        <v>0</v>
      </c>
      <c r="J36" s="470"/>
      <c r="K36" s="471">
        <f t="shared" si="1"/>
        <v>11627967</v>
      </c>
    </row>
    <row r="37" spans="2:11" ht="15.3" x14ac:dyDescent="0.55000000000000004">
      <c r="B37" s="36"/>
      <c r="C37" s="257" t="s">
        <v>195</v>
      </c>
      <c r="D37" s="357">
        <f>SUM(D10:D36)</f>
        <v>52483591</v>
      </c>
      <c r="E37" s="357">
        <f t="shared" ref="E37:I37" si="2">SUM(E10:E36)</f>
        <v>21591657.300000001</v>
      </c>
      <c r="F37" s="357">
        <f t="shared" si="2"/>
        <v>23248539.59214652</v>
      </c>
      <c r="G37" s="357">
        <f t="shared" si="2"/>
        <v>3187750</v>
      </c>
      <c r="H37" s="357">
        <f t="shared" si="2"/>
        <v>836479.74481060111</v>
      </c>
      <c r="I37" s="357">
        <f t="shared" si="2"/>
        <v>3619164.3630428775</v>
      </c>
      <c r="J37" s="37"/>
      <c r="K37" s="20">
        <f>SUM(E37:I37)</f>
        <v>52483591</v>
      </c>
    </row>
    <row r="38" spans="2:11" ht="15.3" x14ac:dyDescent="0.55000000000000004">
      <c r="B38" s="36"/>
      <c r="C38" s="474" t="s">
        <v>539</v>
      </c>
      <c r="D38" s="357"/>
      <c r="E38" s="475">
        <f>E37/$D37</f>
        <v>0.41139824635856187</v>
      </c>
      <c r="F38" s="475">
        <f t="shared" ref="F38:I38" si="3">F37/$D37</f>
        <v>0.4429677761978314</v>
      </c>
      <c r="G38" s="475">
        <f t="shared" si="3"/>
        <v>6.0738031435387113E-2</v>
      </c>
      <c r="H38" s="475">
        <f t="shared" si="3"/>
        <v>1.5937928957845151E-2</v>
      </c>
      <c r="I38" s="475">
        <f t="shared" si="3"/>
        <v>6.8958017050374423E-2</v>
      </c>
      <c r="J38" s="37"/>
      <c r="K38" s="472">
        <f>SUM(E38:J38)</f>
        <v>1</v>
      </c>
    </row>
    <row r="39" spans="2:11" ht="15.3" x14ac:dyDescent="0.55000000000000004">
      <c r="B39" s="36"/>
      <c r="C39" s="3" t="s">
        <v>348</v>
      </c>
      <c r="D39" s="357">
        <v>214181</v>
      </c>
      <c r="E39" s="206"/>
      <c r="F39" s="206"/>
      <c r="G39" s="206"/>
      <c r="H39" s="206"/>
      <c r="I39" s="206"/>
      <c r="J39" s="37"/>
      <c r="K39" s="459"/>
    </row>
    <row r="40" spans="2:11" ht="15.3" x14ac:dyDescent="0.55000000000000004">
      <c r="B40" s="36"/>
      <c r="C40" s="3" t="s">
        <v>212</v>
      </c>
      <c r="D40" s="357">
        <v>528670</v>
      </c>
      <c r="E40" s="239"/>
      <c r="F40" s="239"/>
      <c r="G40" s="239"/>
      <c r="H40" s="239"/>
      <c r="I40" s="239"/>
      <c r="J40" s="37"/>
      <c r="K40" s="460"/>
    </row>
    <row r="41" spans="2:11" ht="15.3" x14ac:dyDescent="0.55000000000000004">
      <c r="B41" s="36"/>
      <c r="C41" s="3" t="s">
        <v>351</v>
      </c>
      <c r="D41" s="358">
        <v>5498</v>
      </c>
      <c r="E41" s="206"/>
      <c r="F41" s="206"/>
      <c r="G41" s="206"/>
      <c r="H41" s="206"/>
      <c r="I41" s="206"/>
      <c r="J41" s="37"/>
      <c r="K41" s="459"/>
    </row>
    <row r="42" spans="2:11" ht="15.3" x14ac:dyDescent="0.55000000000000004">
      <c r="B42" s="36"/>
      <c r="C42" s="3" t="s">
        <v>352</v>
      </c>
      <c r="D42" s="358">
        <v>90650</v>
      </c>
      <c r="E42" s="206"/>
      <c r="F42" s="206"/>
      <c r="G42" s="206"/>
      <c r="H42" s="206"/>
      <c r="I42" s="206"/>
      <c r="J42" s="37"/>
      <c r="K42" s="459"/>
    </row>
    <row r="43" spans="2:11" ht="16.2" x14ac:dyDescent="0.55000000000000004">
      <c r="B43" s="36"/>
      <c r="C43" s="3" t="s">
        <v>212</v>
      </c>
      <c r="D43" s="473">
        <v>1155</v>
      </c>
      <c r="E43" s="206"/>
      <c r="F43" s="206"/>
      <c r="G43" s="206"/>
      <c r="H43" s="206"/>
      <c r="I43" s="206"/>
      <c r="J43" s="37"/>
      <c r="K43" s="459"/>
    </row>
    <row r="44" spans="2:11" ht="15.3" x14ac:dyDescent="0.55000000000000004">
      <c r="B44" s="36"/>
      <c r="C44" s="257" t="s">
        <v>197</v>
      </c>
      <c r="D44" s="51">
        <f>SUM(D39:D43)</f>
        <v>840154</v>
      </c>
      <c r="E44" s="51"/>
      <c r="F44" s="206"/>
      <c r="G44" s="206"/>
      <c r="H44" s="206"/>
      <c r="I44" s="206"/>
      <c r="J44" s="37"/>
      <c r="K44" s="459"/>
    </row>
    <row r="45" spans="2:11" ht="17.100000000000001" x14ac:dyDescent="0.85">
      <c r="B45" s="36"/>
      <c r="C45" s="256" t="s">
        <v>198</v>
      </c>
      <c r="D45" s="51"/>
      <c r="E45" s="271">
        <f>$D$44*E38</f>
        <v>345637.88227113121</v>
      </c>
      <c r="F45" s="271">
        <f t="shared" ref="F45:I45" si="4">$D$44*F38</f>
        <v>372161.14904371282</v>
      </c>
      <c r="G45" s="271">
        <f t="shared" si="4"/>
        <v>51029.300062566224</v>
      </c>
      <c r="H45" s="271">
        <f t="shared" si="4"/>
        <v>13390.314765649435</v>
      </c>
      <c r="I45" s="271">
        <f t="shared" si="4"/>
        <v>57935.353856940274</v>
      </c>
      <c r="J45" s="37"/>
      <c r="K45" s="459"/>
    </row>
    <row r="46" spans="2:11" ht="15.3" x14ac:dyDescent="0.55000000000000004">
      <c r="B46" s="36"/>
      <c r="C46" s="157" t="s">
        <v>199</v>
      </c>
      <c r="D46" s="51">
        <f>D44+D37</f>
        <v>53323745</v>
      </c>
      <c r="E46" s="206">
        <f>E37+E45</f>
        <v>21937295.18227113</v>
      </c>
      <c r="F46" s="206">
        <f t="shared" ref="F46:I46" si="5">F37+F45</f>
        <v>23620700.741190232</v>
      </c>
      <c r="G46" s="206">
        <f t="shared" si="5"/>
        <v>3238779.3000625661</v>
      </c>
      <c r="H46" s="206">
        <f t="shared" si="5"/>
        <v>849870.0595762505</v>
      </c>
      <c r="I46" s="206">
        <f t="shared" si="5"/>
        <v>3677099.7168998178</v>
      </c>
      <c r="J46" s="37"/>
      <c r="K46" s="20">
        <f>SUM(E46:I46)</f>
        <v>53323745</v>
      </c>
    </row>
    <row r="47" spans="2:11" ht="15.3" x14ac:dyDescent="0.55000000000000004">
      <c r="B47" s="36"/>
      <c r="C47" s="20"/>
      <c r="D47" s="206"/>
      <c r="E47" s="206"/>
      <c r="F47" s="206"/>
      <c r="G47" s="206"/>
      <c r="H47" s="206"/>
      <c r="I47" s="206"/>
      <c r="J47" s="37"/>
      <c r="K47" s="459"/>
    </row>
    <row r="48" spans="2:11" ht="15.3" x14ac:dyDescent="0.55000000000000004">
      <c r="B48" s="36"/>
      <c r="C48" s="20" t="s">
        <v>555</v>
      </c>
      <c r="D48" s="206">
        <f>DSch!M23+DSch!M24</f>
        <v>336964.31999999995</v>
      </c>
      <c r="E48" s="206">
        <f>$D48</f>
        <v>336964.31999999995</v>
      </c>
      <c r="F48" s="206"/>
      <c r="G48" s="206"/>
      <c r="H48" s="206"/>
      <c r="I48" s="206"/>
      <c r="J48" s="37"/>
      <c r="K48" s="459"/>
    </row>
    <row r="49" spans="2:11" ht="17.100000000000001" x14ac:dyDescent="0.85">
      <c r="B49" s="36"/>
      <c r="C49" s="20" t="s">
        <v>554</v>
      </c>
      <c r="D49" s="469">
        <f>DSch!M26+DSch!M27</f>
        <v>863234.34</v>
      </c>
      <c r="E49" s="469">
        <f>$D$49*E38</f>
        <v>355133.09367249056</v>
      </c>
      <c r="F49" s="469">
        <f t="shared" ref="F49:I49" si="6">$D$49*F38</f>
        <v>382384.99592740269</v>
      </c>
      <c r="G49" s="469">
        <f t="shared" si="6"/>
        <v>52431.154479025645</v>
      </c>
      <c r="H49" s="469">
        <f t="shared" si="6"/>
        <v>13758.167584892346</v>
      </c>
      <c r="I49" s="469">
        <f t="shared" si="6"/>
        <v>59526.928336188706</v>
      </c>
      <c r="J49" s="37"/>
      <c r="K49" s="20">
        <f>SUM(E49:I49)</f>
        <v>863234.33999999985</v>
      </c>
    </row>
    <row r="50" spans="2:11" ht="15.3" x14ac:dyDescent="0.55000000000000004">
      <c r="B50" s="36"/>
      <c r="C50" s="20" t="s">
        <v>540</v>
      </c>
      <c r="D50" s="206"/>
      <c r="E50" s="206"/>
      <c r="F50" s="206"/>
      <c r="G50" s="206"/>
      <c r="H50" s="206"/>
      <c r="I50" s="206"/>
      <c r="J50" s="37"/>
      <c r="K50" s="459"/>
    </row>
    <row r="51" spans="2:11" ht="15.3" x14ac:dyDescent="0.55000000000000004">
      <c r="B51" s="36"/>
      <c r="C51" s="461" t="s">
        <v>534</v>
      </c>
      <c r="D51" s="497">
        <f>D48+D49</f>
        <v>1200198.6599999999</v>
      </c>
      <c r="E51" s="497">
        <f t="shared" ref="E51:I51" si="7">E48+E49</f>
        <v>692097.41367249051</v>
      </c>
      <c r="F51" s="497">
        <f t="shared" si="7"/>
        <v>382384.99592740269</v>
      </c>
      <c r="G51" s="497">
        <f t="shared" si="7"/>
        <v>52431.154479025645</v>
      </c>
      <c r="H51" s="497">
        <f t="shared" si="7"/>
        <v>13758.167584892346</v>
      </c>
      <c r="I51" s="497">
        <f t="shared" si="7"/>
        <v>59526.928336188706</v>
      </c>
      <c r="J51" s="37"/>
      <c r="K51" s="459"/>
    </row>
    <row r="52" spans="2:11" ht="7" customHeight="1" x14ac:dyDescent="0.55000000000000004">
      <c r="B52" s="39"/>
      <c r="C52" s="462"/>
      <c r="D52" s="240"/>
      <c r="E52" s="240"/>
      <c r="F52" s="240"/>
      <c r="G52" s="240"/>
      <c r="H52" s="240"/>
      <c r="I52" s="240"/>
      <c r="J52" s="40"/>
      <c r="K52" s="20"/>
    </row>
    <row r="53" spans="2:11" ht="15.3" x14ac:dyDescent="0.55000000000000004">
      <c r="B53" s="1"/>
      <c r="C53" s="20"/>
      <c r="D53" s="20"/>
      <c r="E53" s="20"/>
      <c r="F53" s="20"/>
      <c r="G53" s="20"/>
      <c r="H53" s="20"/>
      <c r="I53" s="20"/>
      <c r="J53" s="20"/>
      <c r="K53" s="20"/>
    </row>
    <row r="54" spans="2:11" ht="15.3" x14ac:dyDescent="0.55000000000000004">
      <c r="B54" s="1"/>
      <c r="C54" s="1"/>
      <c r="D54" s="247"/>
      <c r="E54" s="247"/>
      <c r="F54" s="247"/>
      <c r="G54" s="247"/>
      <c r="H54" s="247"/>
      <c r="I54" s="247"/>
      <c r="J54" s="20"/>
      <c r="K54" s="463"/>
    </row>
    <row r="55" spans="2:11" ht="15.3" x14ac:dyDescent="0.55000000000000004">
      <c r="C55" s="1"/>
      <c r="D55" s="1"/>
      <c r="E55" s="1"/>
      <c r="F55" s="1"/>
      <c r="G55" s="1"/>
      <c r="H55" s="1"/>
      <c r="I55" s="1"/>
    </row>
  </sheetData>
  <mergeCells count="2">
    <mergeCell ref="C3:I3"/>
    <mergeCell ref="C5:I5"/>
  </mergeCells>
  <printOptions horizontalCentered="1"/>
  <pageMargins left="0.7" right="0.45" top="1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60D4-3990-4FDA-BBCF-2FF54225F4F6}">
  <sheetPr>
    <pageSetUpPr fitToPage="1"/>
  </sheetPr>
  <dimension ref="B2:J47"/>
  <sheetViews>
    <sheetView workbookViewId="0"/>
  </sheetViews>
  <sheetFormatPr defaultRowHeight="15.3" x14ac:dyDescent="0.5"/>
  <cols>
    <col min="2" max="2" width="2.6796875" customWidth="1"/>
    <col min="3" max="3" width="9.6796875" customWidth="1"/>
    <col min="4" max="4" width="11" customWidth="1"/>
    <col min="5" max="5" width="9.6796875" customWidth="1"/>
    <col min="6" max="6" width="10.76953125" customWidth="1"/>
    <col min="7" max="8" width="9.6796875" customWidth="1"/>
    <col min="9" max="9" width="2.76953125" customWidth="1"/>
  </cols>
  <sheetData>
    <row r="2" spans="2:10" ht="15" x14ac:dyDescent="0.5">
      <c r="B2" s="423"/>
      <c r="C2" s="424"/>
      <c r="D2" s="424"/>
      <c r="E2" s="424"/>
      <c r="F2" s="424"/>
      <c r="G2" s="424"/>
      <c r="H2" s="424"/>
      <c r="I2" s="425"/>
    </row>
    <row r="3" spans="2:10" ht="18.3" x14ac:dyDescent="0.7">
      <c r="B3" s="426"/>
      <c r="C3" s="566" t="s">
        <v>259</v>
      </c>
      <c r="D3" s="566"/>
      <c r="E3" s="566"/>
      <c r="F3" s="566"/>
      <c r="G3" s="566"/>
      <c r="H3" s="566"/>
      <c r="I3" s="427"/>
    </row>
    <row r="4" spans="2:10" ht="18.3" x14ac:dyDescent="0.7">
      <c r="B4" s="426"/>
      <c r="C4" s="204" t="s">
        <v>145</v>
      </c>
      <c r="D4" s="205"/>
      <c r="E4" s="205"/>
      <c r="F4" s="205"/>
      <c r="G4" s="205"/>
      <c r="H4" s="205"/>
      <c r="I4" s="427"/>
    </row>
    <row r="5" spans="2:10" ht="15.6" x14ac:dyDescent="0.5">
      <c r="B5" s="426"/>
      <c r="C5" s="577" t="s">
        <v>327</v>
      </c>
      <c r="D5" s="577"/>
      <c r="E5" s="577"/>
      <c r="F5" s="577"/>
      <c r="G5" s="577"/>
      <c r="H5" s="577"/>
      <c r="I5" s="144"/>
      <c r="J5" s="145"/>
    </row>
    <row r="6" spans="2:10" ht="15" x14ac:dyDescent="0.5">
      <c r="B6" s="426"/>
      <c r="C6" s="428"/>
      <c r="D6" s="428"/>
      <c r="E6" s="428"/>
      <c r="F6" s="428"/>
      <c r="G6" s="428"/>
      <c r="H6" s="428"/>
      <c r="I6" s="427"/>
    </row>
    <row r="7" spans="2:10" ht="15" x14ac:dyDescent="0.5">
      <c r="B7" s="426"/>
      <c r="C7" s="428"/>
      <c r="D7" s="428"/>
      <c r="E7" s="428"/>
      <c r="F7" s="428"/>
      <c r="G7" s="428"/>
      <c r="H7" s="428"/>
      <c r="I7" s="427"/>
    </row>
    <row r="8" spans="2:10" ht="15" x14ac:dyDescent="0.5">
      <c r="B8" s="426"/>
      <c r="C8" s="429" t="s">
        <v>146</v>
      </c>
      <c r="D8" s="429"/>
      <c r="E8" s="430"/>
      <c r="F8" s="430"/>
      <c r="G8" s="430"/>
      <c r="H8" s="430"/>
      <c r="I8" s="427"/>
    </row>
    <row r="9" spans="2:10" ht="7" customHeight="1" x14ac:dyDescent="0.5">
      <c r="B9" s="426"/>
      <c r="C9" s="431"/>
      <c r="D9" s="431"/>
      <c r="E9" s="431"/>
      <c r="F9" s="431"/>
      <c r="G9" s="431"/>
      <c r="H9" s="431"/>
      <c r="I9" s="427"/>
    </row>
    <row r="10" spans="2:10" ht="15" x14ac:dyDescent="0.5">
      <c r="B10" s="426"/>
      <c r="C10" s="432"/>
      <c r="D10" s="433" t="s">
        <v>147</v>
      </c>
      <c r="E10" s="433"/>
      <c r="F10" s="433"/>
      <c r="G10" s="434" t="s">
        <v>148</v>
      </c>
      <c r="H10" s="433"/>
      <c r="I10" s="427"/>
      <c r="J10" s="435"/>
    </row>
    <row r="11" spans="2:10" ht="15" x14ac:dyDescent="0.5">
      <c r="B11" s="426"/>
      <c r="C11" s="436" t="s">
        <v>149</v>
      </c>
      <c r="D11" s="437" t="s">
        <v>150</v>
      </c>
      <c r="E11" s="437" t="s">
        <v>151</v>
      </c>
      <c r="F11" s="437" t="s">
        <v>152</v>
      </c>
      <c r="G11" s="438" t="s">
        <v>151</v>
      </c>
      <c r="H11" s="437" t="s">
        <v>152</v>
      </c>
      <c r="I11" s="427"/>
      <c r="J11" s="435"/>
    </row>
    <row r="12" spans="2:10" ht="15" x14ac:dyDescent="0.5">
      <c r="B12" s="426"/>
      <c r="C12" s="436" t="s">
        <v>153</v>
      </c>
      <c r="D12" s="436" t="s">
        <v>154</v>
      </c>
      <c r="E12" s="436" t="s">
        <v>155</v>
      </c>
      <c r="F12" s="436" t="s">
        <v>156</v>
      </c>
      <c r="G12" s="439" t="s">
        <v>155</v>
      </c>
      <c r="H12" s="436" t="s">
        <v>156</v>
      </c>
      <c r="I12" s="427"/>
      <c r="J12" s="435"/>
    </row>
    <row r="13" spans="2:10" ht="15" x14ac:dyDescent="0.5">
      <c r="B13" s="426"/>
      <c r="C13" s="440">
        <v>24</v>
      </c>
      <c r="D13" s="441">
        <f t="shared" ref="D13:D15" si="0">E13*5280</f>
        <v>897.6</v>
      </c>
      <c r="E13" s="591">
        <v>0.17</v>
      </c>
      <c r="F13" s="443">
        <f t="shared" ref="F13:F15" si="1">E13*C13</f>
        <v>4.08</v>
      </c>
      <c r="G13" s="456">
        <f>E13</f>
        <v>0.17</v>
      </c>
      <c r="H13" s="443">
        <f t="shared" ref="H13:H15" si="2">G13*C13</f>
        <v>4.08</v>
      </c>
      <c r="I13" s="427"/>
      <c r="J13" s="435"/>
    </row>
    <row r="14" spans="2:10" ht="15" x14ac:dyDescent="0.5">
      <c r="B14" s="426"/>
      <c r="C14" s="440">
        <v>20</v>
      </c>
      <c r="D14" s="441">
        <f t="shared" si="0"/>
        <v>1531.1999999999998</v>
      </c>
      <c r="E14" s="591">
        <v>0.28999999999999998</v>
      </c>
      <c r="F14" s="443">
        <f t="shared" si="1"/>
        <v>5.8</v>
      </c>
      <c r="G14" s="456">
        <f>E14</f>
        <v>0.28999999999999998</v>
      </c>
      <c r="H14" s="443">
        <f t="shared" si="2"/>
        <v>5.8</v>
      </c>
      <c r="I14" s="427"/>
      <c r="J14" s="435"/>
    </row>
    <row r="15" spans="2:10" ht="15" x14ac:dyDescent="0.5">
      <c r="B15" s="426"/>
      <c r="C15" s="440">
        <v>18</v>
      </c>
      <c r="D15" s="441">
        <f t="shared" si="0"/>
        <v>633.6</v>
      </c>
      <c r="E15" s="591">
        <v>0.12</v>
      </c>
      <c r="F15" s="443">
        <f t="shared" si="1"/>
        <v>2.16</v>
      </c>
      <c r="G15" s="455">
        <f>E15</f>
        <v>0.12</v>
      </c>
      <c r="H15" s="443">
        <f t="shared" si="2"/>
        <v>2.16</v>
      </c>
      <c r="I15" s="427"/>
      <c r="J15" s="435"/>
    </row>
    <row r="16" spans="2:10" ht="15" x14ac:dyDescent="0.5">
      <c r="B16" s="426"/>
      <c r="C16" s="440">
        <v>16</v>
      </c>
      <c r="D16" s="441">
        <f>E16*5280</f>
        <v>109771.2</v>
      </c>
      <c r="E16" s="591">
        <v>20.79</v>
      </c>
      <c r="F16" s="443">
        <f t="shared" ref="F16:F23" si="3">E16*C16</f>
        <v>332.64</v>
      </c>
      <c r="G16" s="444">
        <v>18.366477272727298</v>
      </c>
      <c r="H16" s="443">
        <f>G16*C16</f>
        <v>293.86363636363677</v>
      </c>
      <c r="I16" s="427"/>
      <c r="J16" s="435"/>
    </row>
    <row r="17" spans="2:10" ht="15" x14ac:dyDescent="0.5">
      <c r="B17" s="426"/>
      <c r="C17" s="440">
        <v>12</v>
      </c>
      <c r="D17" s="441">
        <f>E17*5280</f>
        <v>123129.60000000001</v>
      </c>
      <c r="E17" s="591">
        <v>23.32</v>
      </c>
      <c r="F17" s="443">
        <f t="shared" si="3"/>
        <v>279.84000000000003</v>
      </c>
      <c r="G17" s="444">
        <v>21.492045454545501</v>
      </c>
      <c r="H17" s="443">
        <f>G17*C17</f>
        <v>257.904545454546</v>
      </c>
      <c r="I17" s="427"/>
      <c r="J17" s="435"/>
    </row>
    <row r="18" spans="2:10" ht="15" x14ac:dyDescent="0.5">
      <c r="B18" s="426"/>
      <c r="C18" s="440">
        <v>10</v>
      </c>
      <c r="D18" s="441">
        <f t="shared" ref="D18:D23" si="4">E18*5280</f>
        <v>163310.39999999999</v>
      </c>
      <c r="E18" s="591">
        <v>30.93</v>
      </c>
      <c r="F18" s="443">
        <f t="shared" si="3"/>
        <v>309.3</v>
      </c>
      <c r="G18" s="444">
        <v>18.950378787878801</v>
      </c>
      <c r="H18" s="443">
        <f>G18*C18</f>
        <v>189.50378787878802</v>
      </c>
      <c r="I18" s="427"/>
      <c r="J18" s="435"/>
    </row>
    <row r="19" spans="2:10" ht="15" x14ac:dyDescent="0.5">
      <c r="B19" s="426"/>
      <c r="C19" s="440">
        <v>8</v>
      </c>
      <c r="D19" s="441">
        <f t="shared" si="4"/>
        <v>208612.8</v>
      </c>
      <c r="E19" s="591">
        <v>39.51</v>
      </c>
      <c r="F19" s="443">
        <f t="shared" si="3"/>
        <v>316.08</v>
      </c>
      <c r="G19" s="444">
        <v>25.462689393939399</v>
      </c>
      <c r="H19" s="443">
        <f>G19*C19</f>
        <v>203.7015151515152</v>
      </c>
      <c r="I19" s="427"/>
      <c r="J19" s="435"/>
    </row>
    <row r="20" spans="2:10" ht="15" x14ac:dyDescent="0.5">
      <c r="B20" s="426"/>
      <c r="C20" s="440">
        <v>6</v>
      </c>
      <c r="D20" s="441">
        <f t="shared" si="4"/>
        <v>730910.40000000014</v>
      </c>
      <c r="E20" s="591">
        <v>138.43000000000004</v>
      </c>
      <c r="F20" s="443">
        <f t="shared" si="3"/>
        <v>830.58000000000015</v>
      </c>
      <c r="G20" s="444">
        <v>23.205303030303</v>
      </c>
      <c r="H20" s="443">
        <f>G20*C20</f>
        <v>139.231818181818</v>
      </c>
      <c r="I20" s="427"/>
      <c r="J20" s="435"/>
    </row>
    <row r="21" spans="2:10" ht="15" x14ac:dyDescent="0.5">
      <c r="B21" s="426"/>
      <c r="C21" s="440">
        <v>4</v>
      </c>
      <c r="D21" s="441">
        <f t="shared" si="4"/>
        <v>998078.4</v>
      </c>
      <c r="E21" s="591">
        <v>189.03</v>
      </c>
      <c r="F21" s="443">
        <f t="shared" si="3"/>
        <v>756.12</v>
      </c>
      <c r="G21" s="444">
        <v>8.2420454545454493</v>
      </c>
      <c r="H21" s="443">
        <f t="shared" ref="H21" si="5">G21*C21</f>
        <v>32.968181818181797</v>
      </c>
      <c r="I21" s="427"/>
      <c r="J21" s="435"/>
    </row>
    <row r="22" spans="2:10" ht="15.3" customHeight="1" x14ac:dyDescent="0.5">
      <c r="B22" s="426"/>
      <c r="C22" s="440">
        <v>3</v>
      </c>
      <c r="D22" s="441">
        <f t="shared" si="4"/>
        <v>1759137.6</v>
      </c>
      <c r="E22" s="591">
        <v>333.17</v>
      </c>
      <c r="F22" s="443">
        <f t="shared" si="3"/>
        <v>999.51</v>
      </c>
      <c r="G22" s="444"/>
      <c r="H22" s="443"/>
      <c r="I22" s="427"/>
      <c r="J22" s="435"/>
    </row>
    <row r="23" spans="2:10" ht="15" x14ac:dyDescent="0.5">
      <c r="B23" s="426"/>
      <c r="C23" s="440">
        <v>2</v>
      </c>
      <c r="D23" s="441">
        <f t="shared" si="4"/>
        <v>115526.39999999999</v>
      </c>
      <c r="E23" s="591">
        <v>21.88</v>
      </c>
      <c r="F23" s="443">
        <f t="shared" si="3"/>
        <v>43.76</v>
      </c>
      <c r="G23" s="444"/>
      <c r="H23" s="443"/>
      <c r="I23" s="427"/>
      <c r="J23" s="435"/>
    </row>
    <row r="24" spans="2:10" ht="15" x14ac:dyDescent="0.5">
      <c r="B24" s="426"/>
      <c r="C24" s="440"/>
      <c r="D24" s="441"/>
      <c r="E24" s="442"/>
      <c r="F24" s="445"/>
      <c r="G24" s="444"/>
      <c r="H24" s="443"/>
      <c r="I24" s="427"/>
      <c r="J24" s="435"/>
    </row>
    <row r="25" spans="2:10" ht="15" x14ac:dyDescent="0.5">
      <c r="B25" s="426"/>
      <c r="C25" s="440" t="s">
        <v>36</v>
      </c>
      <c r="D25" s="458">
        <f>SUM(D13:D24)</f>
        <v>4211539.2</v>
      </c>
      <c r="E25" s="443">
        <f t="shared" ref="E25:F25" si="6">SUM(E13:E24)</f>
        <v>797.64</v>
      </c>
      <c r="F25" s="443">
        <f t="shared" si="6"/>
        <v>3879.87</v>
      </c>
      <c r="G25" s="446">
        <f>SUM(G13:G24)</f>
        <v>116.29893939393945</v>
      </c>
      <c r="H25" s="443">
        <f>SUM(H13:H24)</f>
        <v>1129.2134848484859</v>
      </c>
      <c r="I25" s="427"/>
      <c r="J25" s="435"/>
    </row>
    <row r="26" spans="2:10" ht="15" x14ac:dyDescent="0.5">
      <c r="B26" s="426"/>
      <c r="C26" s="428"/>
      <c r="D26" s="428"/>
      <c r="E26" s="428"/>
      <c r="F26" s="447"/>
      <c r="G26" s="428"/>
      <c r="H26" s="428"/>
      <c r="I26" s="427"/>
      <c r="J26" s="435"/>
    </row>
    <row r="27" spans="2:10" ht="15" x14ac:dyDescent="0.5">
      <c r="B27" s="426"/>
      <c r="C27" s="428"/>
      <c r="D27" s="458"/>
      <c r="E27" s="443"/>
      <c r="F27" s="443"/>
      <c r="G27" s="446"/>
      <c r="H27" s="443"/>
      <c r="I27" s="427"/>
      <c r="J27" s="435"/>
    </row>
    <row r="28" spans="2:10" ht="7" customHeight="1" x14ac:dyDescent="0.5">
      <c r="B28" s="426"/>
      <c r="C28" s="428"/>
      <c r="D28" s="428"/>
      <c r="E28" s="428"/>
      <c r="F28" s="428"/>
      <c r="G28" s="428"/>
      <c r="H28" s="428"/>
      <c r="I28" s="427"/>
      <c r="J28" s="435"/>
    </row>
    <row r="29" spans="2:10" ht="15" x14ac:dyDescent="0.5">
      <c r="B29" s="426"/>
      <c r="C29" s="428"/>
      <c r="D29" s="429" t="s">
        <v>525</v>
      </c>
      <c r="E29" s="429"/>
      <c r="F29" s="429"/>
      <c r="G29" s="429"/>
      <c r="H29" s="428"/>
      <c r="I29" s="427"/>
      <c r="J29" s="435"/>
    </row>
    <row r="30" spans="2:10" ht="15" customHeight="1" x14ac:dyDescent="0.5">
      <c r="B30" s="426"/>
      <c r="C30" s="428"/>
      <c r="D30" s="431"/>
      <c r="E30" s="431"/>
      <c r="F30" s="431"/>
      <c r="G30" s="431"/>
      <c r="H30" s="428"/>
      <c r="I30" s="427"/>
      <c r="J30" s="435"/>
    </row>
    <row r="31" spans="2:10" ht="15" customHeight="1" x14ac:dyDescent="0.5">
      <c r="B31" s="426"/>
      <c r="C31" s="428"/>
      <c r="D31" s="428"/>
      <c r="E31" s="428"/>
      <c r="F31" s="436" t="s">
        <v>75</v>
      </c>
      <c r="G31" s="436"/>
      <c r="H31" s="428"/>
      <c r="I31" s="427"/>
      <c r="J31" s="435"/>
    </row>
    <row r="32" spans="2:10" ht="15" customHeight="1" x14ac:dyDescent="0.5">
      <c r="B32" s="426"/>
      <c r="C32" s="428"/>
      <c r="D32" s="428"/>
      <c r="E32" s="428"/>
      <c r="F32" s="436" t="s">
        <v>157</v>
      </c>
      <c r="G32" s="436" t="s">
        <v>119</v>
      </c>
      <c r="H32" s="428"/>
      <c r="I32" s="427"/>
      <c r="J32" s="435"/>
    </row>
    <row r="33" spans="2:10" ht="15" customHeight="1" x14ac:dyDescent="0.5">
      <c r="B33" s="426"/>
      <c r="C33" s="428"/>
      <c r="D33" s="428"/>
      <c r="E33" s="428"/>
      <c r="F33" s="428"/>
      <c r="G33" s="428"/>
      <c r="H33" s="428"/>
      <c r="I33" s="427"/>
      <c r="J33" s="435"/>
    </row>
    <row r="34" spans="2:10" ht="15" customHeight="1" x14ac:dyDescent="0.5">
      <c r="B34" s="426"/>
      <c r="C34" s="428"/>
      <c r="D34" s="448" t="s">
        <v>158</v>
      </c>
      <c r="E34" s="448"/>
      <c r="F34" s="449">
        <v>1774828</v>
      </c>
      <c r="G34" s="448"/>
      <c r="H34" s="428"/>
      <c r="I34" s="427"/>
      <c r="J34" s="435"/>
    </row>
    <row r="35" spans="2:10" ht="15" customHeight="1" x14ac:dyDescent="0.5">
      <c r="B35" s="426"/>
      <c r="C35" s="428"/>
      <c r="D35" s="448" t="s">
        <v>159</v>
      </c>
      <c r="E35" s="448"/>
      <c r="F35" s="449">
        <f>329769+149741</f>
        <v>479510</v>
      </c>
      <c r="G35" s="448"/>
      <c r="H35" s="428"/>
      <c r="I35" s="427"/>
      <c r="J35" s="435"/>
    </row>
    <row r="36" spans="2:10" ht="15" customHeight="1" x14ac:dyDescent="0.5">
      <c r="B36" s="426"/>
      <c r="C36" s="428"/>
      <c r="D36" s="448" t="s">
        <v>526</v>
      </c>
      <c r="E36" s="448"/>
      <c r="F36" s="449">
        <v>225</v>
      </c>
      <c r="G36" s="448"/>
      <c r="H36" s="428"/>
      <c r="I36" s="427"/>
      <c r="J36" s="435"/>
    </row>
    <row r="37" spans="2:10" ht="15" customHeight="1" x14ac:dyDescent="0.55000000000000004">
      <c r="B37" s="426"/>
      <c r="C37" s="428"/>
      <c r="D37" s="448" t="s">
        <v>528</v>
      </c>
      <c r="E37" s="448"/>
      <c r="F37" s="449">
        <v>629263</v>
      </c>
      <c r="G37" s="448"/>
      <c r="H37" s="428"/>
      <c r="I37" s="427"/>
    </row>
    <row r="38" spans="2:10" ht="15" customHeight="1" x14ac:dyDescent="0.5">
      <c r="B38" s="426"/>
      <c r="C38" s="428"/>
      <c r="D38" s="448" t="s">
        <v>160</v>
      </c>
      <c r="E38" s="448"/>
      <c r="F38" s="449">
        <f>SUM(F35:F37)</f>
        <v>1108998</v>
      </c>
      <c r="G38" s="448"/>
      <c r="H38" s="428"/>
      <c r="I38" s="427"/>
    </row>
    <row r="39" spans="2:10" ht="15" customHeight="1" x14ac:dyDescent="0.5">
      <c r="B39" s="426"/>
      <c r="C39" s="428"/>
      <c r="D39" s="448"/>
      <c r="E39" s="448"/>
      <c r="F39" s="449"/>
      <c r="G39" s="450"/>
      <c r="H39" s="428"/>
      <c r="I39" s="427"/>
    </row>
    <row r="40" spans="2:10" ht="15" customHeight="1" x14ac:dyDescent="0.5">
      <c r="B40" s="426"/>
      <c r="C40" s="428"/>
      <c r="D40" s="448" t="s">
        <v>161</v>
      </c>
      <c r="E40" s="448"/>
      <c r="F40" s="449">
        <v>92263</v>
      </c>
      <c r="G40" s="450">
        <f>F40/$F$34</f>
        <v>5.19841922710257E-2</v>
      </c>
      <c r="H40" s="428"/>
      <c r="I40" s="427"/>
    </row>
    <row r="41" spans="2:10" ht="15" customHeight="1" x14ac:dyDescent="0.5">
      <c r="B41" s="426"/>
      <c r="C41" s="428"/>
      <c r="D41" s="448" t="s">
        <v>162</v>
      </c>
      <c r="E41" s="448"/>
      <c r="F41" s="449">
        <v>54472</v>
      </c>
      <c r="G41" s="450">
        <f>F41/$F$34</f>
        <v>3.0691424746510647E-2</v>
      </c>
      <c r="H41" s="428"/>
      <c r="I41" s="427"/>
    </row>
    <row r="42" spans="2:10" ht="15" customHeight="1" x14ac:dyDescent="0.5">
      <c r="B42" s="426"/>
      <c r="C42" s="428"/>
      <c r="D42" s="448" t="s">
        <v>527</v>
      </c>
      <c r="E42" s="448"/>
      <c r="F42" s="449">
        <f>F34-(F38+F40+F41+F43)</f>
        <v>227377</v>
      </c>
      <c r="G42" s="450">
        <f>F42/$F$34</f>
        <v>0.12811213255594345</v>
      </c>
      <c r="H42" s="428"/>
      <c r="I42" s="427"/>
    </row>
    <row r="43" spans="2:10" ht="15" customHeight="1" x14ac:dyDescent="0.5">
      <c r="B43" s="426"/>
      <c r="C43" s="428"/>
      <c r="D43" s="448" t="s">
        <v>163</v>
      </c>
      <c r="E43" s="448"/>
      <c r="F43" s="449">
        <f>10000+86953+243688-48923</f>
        <v>291718</v>
      </c>
      <c r="G43" s="448"/>
      <c r="H43" s="428"/>
      <c r="I43" s="427"/>
    </row>
    <row r="44" spans="2:10" ht="15" x14ac:dyDescent="0.5">
      <c r="B44" s="451"/>
      <c r="C44" s="452"/>
      <c r="D44" s="452"/>
      <c r="E44" s="453"/>
      <c r="F44" s="452"/>
      <c r="G44" s="452"/>
      <c r="H44" s="452"/>
      <c r="I44" s="454"/>
    </row>
    <row r="45" spans="2:10" ht="25" customHeight="1" x14ac:dyDescent="0.5">
      <c r="D45" s="457" t="s">
        <v>529</v>
      </c>
    </row>
    <row r="46" spans="2:10" ht="15" x14ac:dyDescent="0.5">
      <c r="F46" s="209"/>
    </row>
    <row r="47" spans="2:10" ht="15" x14ac:dyDescent="0.5">
      <c r="F47" s="209"/>
    </row>
  </sheetData>
  <mergeCells count="2">
    <mergeCell ref="C3:H3"/>
    <mergeCell ref="C5:H5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8921-F45C-411A-B8CE-B2472865656A}">
  <sheetPr>
    <pageSetUpPr fitToPage="1"/>
  </sheetPr>
  <dimension ref="A2:K47"/>
  <sheetViews>
    <sheetView workbookViewId="0"/>
  </sheetViews>
  <sheetFormatPr defaultRowHeight="15" x14ac:dyDescent="0.5"/>
  <cols>
    <col min="2" max="2" width="2.76953125" customWidth="1"/>
    <col min="3" max="3" width="26.6796875" customWidth="1"/>
    <col min="4" max="4" width="9.6796875" customWidth="1"/>
    <col min="5" max="5" width="2.453125" customWidth="1"/>
    <col min="6" max="6" width="9.6796875" customWidth="1"/>
    <col min="7" max="7" width="3.6796875" customWidth="1"/>
    <col min="8" max="8" width="12.6796875" customWidth="1"/>
    <col min="9" max="9" width="2.76953125" customWidth="1"/>
    <col min="10" max="10" width="9.6796875" customWidth="1"/>
  </cols>
  <sheetData>
    <row r="2" spans="1:11" ht="8.1" customHeight="1" x14ac:dyDescent="0.75">
      <c r="A2" s="1"/>
      <c r="B2" s="35"/>
      <c r="C2" s="578"/>
      <c r="D2" s="578"/>
      <c r="E2" s="578"/>
      <c r="F2" s="578"/>
      <c r="G2" s="578"/>
      <c r="H2" s="578"/>
      <c r="I2" s="210"/>
      <c r="J2" s="211"/>
      <c r="K2" s="23"/>
    </row>
    <row r="3" spans="1:11" ht="18.3" x14ac:dyDescent="0.7">
      <c r="A3" s="1"/>
      <c r="B3" s="36"/>
      <c r="C3" s="566" t="s">
        <v>200</v>
      </c>
      <c r="D3" s="566"/>
      <c r="E3" s="566"/>
      <c r="F3" s="566"/>
      <c r="G3" s="566"/>
      <c r="H3" s="566"/>
      <c r="I3" s="69"/>
      <c r="J3" s="1"/>
      <c r="K3" s="23"/>
    </row>
    <row r="4" spans="1:11" ht="18.3" x14ac:dyDescent="0.7">
      <c r="A4" s="1"/>
      <c r="B4" s="579" t="s">
        <v>164</v>
      </c>
      <c r="C4" s="580"/>
      <c r="D4" s="580"/>
      <c r="E4" s="580"/>
      <c r="F4" s="580"/>
      <c r="G4" s="580"/>
      <c r="H4" s="580"/>
      <c r="I4" s="581"/>
      <c r="J4" s="1"/>
      <c r="K4" s="23"/>
    </row>
    <row r="5" spans="1:11" ht="15.6" x14ac:dyDescent="0.6">
      <c r="A5" s="1"/>
      <c r="B5" s="36"/>
      <c r="C5" s="577" t="s">
        <v>327</v>
      </c>
      <c r="D5" s="577"/>
      <c r="E5" s="577"/>
      <c r="F5" s="577"/>
      <c r="G5" s="577"/>
      <c r="H5" s="577"/>
      <c r="I5" s="69"/>
      <c r="J5" s="1"/>
      <c r="K5" s="23"/>
    </row>
    <row r="6" spans="1:11" ht="8.1" customHeight="1" x14ac:dyDescent="0.6">
      <c r="A6" s="1"/>
      <c r="B6" s="39"/>
      <c r="C6" s="233"/>
      <c r="D6" s="233"/>
      <c r="E6" s="233"/>
      <c r="F6" s="233"/>
      <c r="G6" s="233"/>
      <c r="H6" s="253"/>
      <c r="I6" s="72"/>
      <c r="J6" s="1"/>
      <c r="K6" s="23"/>
    </row>
    <row r="7" spans="1:11" ht="15.6" x14ac:dyDescent="0.6">
      <c r="A7" s="1"/>
      <c r="B7" s="36"/>
      <c r="C7" s="208"/>
      <c r="D7" s="208"/>
      <c r="E7" s="212"/>
      <c r="F7" s="208"/>
      <c r="G7" s="208"/>
      <c r="H7" s="23"/>
      <c r="I7" s="69"/>
      <c r="J7" s="1"/>
      <c r="K7" s="23"/>
    </row>
    <row r="8" spans="1:11" ht="15.6" x14ac:dyDescent="0.6">
      <c r="A8" s="1"/>
      <c r="B8" s="36"/>
      <c r="C8" s="208"/>
      <c r="D8" s="208"/>
      <c r="E8" s="212"/>
      <c r="F8" s="208"/>
      <c r="G8" s="208"/>
      <c r="H8" s="213" t="s">
        <v>165</v>
      </c>
      <c r="I8" s="69"/>
      <c r="J8" s="1"/>
      <c r="K8" s="23"/>
    </row>
    <row r="9" spans="1:11" ht="15.6" x14ac:dyDescent="0.6">
      <c r="A9" s="1"/>
      <c r="B9" s="36"/>
      <c r="C9" s="208" t="s">
        <v>257</v>
      </c>
      <c r="D9" s="208"/>
      <c r="E9" s="212"/>
      <c r="F9" s="208"/>
      <c r="G9" s="208"/>
      <c r="H9" s="214">
        <f>Sys!G42</f>
        <v>0.12811213255594345</v>
      </c>
      <c r="I9" s="69"/>
      <c r="J9" s="1"/>
      <c r="K9" s="23"/>
    </row>
    <row r="10" spans="1:11" ht="15.6" x14ac:dyDescent="0.6">
      <c r="A10" s="1"/>
      <c r="B10" s="36"/>
      <c r="C10" s="208" t="s">
        <v>166</v>
      </c>
      <c r="D10" s="208"/>
      <c r="E10" s="212"/>
      <c r="F10" s="208"/>
      <c r="G10" s="208"/>
      <c r="H10" s="214">
        <f>Sys!G40</f>
        <v>5.19841922710257E-2</v>
      </c>
      <c r="I10" s="69"/>
      <c r="J10" s="1"/>
      <c r="K10" s="23"/>
    </row>
    <row r="11" spans="1:11" ht="15.6" x14ac:dyDescent="0.6">
      <c r="A11" s="1"/>
      <c r="B11" s="36"/>
      <c r="C11" s="208" t="s">
        <v>167</v>
      </c>
      <c r="D11" s="208"/>
      <c r="E11" s="212"/>
      <c r="F11" s="208"/>
      <c r="G11" s="208"/>
      <c r="H11" s="214">
        <f>H10+H9</f>
        <v>0.18009632482696913</v>
      </c>
      <c r="I11" s="69"/>
      <c r="J11" s="1"/>
      <c r="K11" s="23"/>
    </row>
    <row r="12" spans="1:11" ht="15.6" x14ac:dyDescent="0.6">
      <c r="A12" s="1"/>
      <c r="B12" s="36"/>
      <c r="C12" s="208" t="s">
        <v>168</v>
      </c>
      <c r="D12" s="208"/>
      <c r="E12" s="212"/>
      <c r="F12" s="208"/>
      <c r="G12" s="208"/>
      <c r="H12" s="215">
        <f>Sys!H25</f>
        <v>1129.2134848484859</v>
      </c>
      <c r="I12" s="69"/>
      <c r="J12" s="1"/>
      <c r="K12" s="23"/>
    </row>
    <row r="13" spans="1:11" ht="15.6" x14ac:dyDescent="0.6">
      <c r="A13" s="1"/>
      <c r="B13" s="36"/>
      <c r="C13" s="208" t="s">
        <v>169</v>
      </c>
      <c r="D13" s="208"/>
      <c r="E13" s="212"/>
      <c r="F13" s="208"/>
      <c r="G13" s="208"/>
      <c r="H13" s="215">
        <f>Sys!F25</f>
        <v>3879.87</v>
      </c>
      <c r="I13" s="69"/>
      <c r="J13" s="1"/>
      <c r="K13" s="23"/>
    </row>
    <row r="14" spans="1:11" ht="15.6" x14ac:dyDescent="0.6">
      <c r="A14" s="1"/>
      <c r="B14" s="36"/>
      <c r="C14" s="208" t="s">
        <v>258</v>
      </c>
      <c r="D14" s="208"/>
      <c r="E14" s="212"/>
      <c r="F14" s="208"/>
      <c r="G14" s="208"/>
      <c r="H14" s="216">
        <f>Sys!F37</f>
        <v>629263</v>
      </c>
      <c r="I14" s="69"/>
      <c r="J14" s="1"/>
      <c r="K14" s="23"/>
    </row>
    <row r="15" spans="1:11" ht="15.6" x14ac:dyDescent="0.6">
      <c r="A15" s="1"/>
      <c r="B15" s="36"/>
      <c r="C15" s="208" t="s">
        <v>160</v>
      </c>
      <c r="D15" s="208"/>
      <c r="E15" s="212"/>
      <c r="F15" s="208"/>
      <c r="G15" s="208"/>
      <c r="H15" s="216">
        <f>Sys!F38</f>
        <v>1108998</v>
      </c>
      <c r="I15" s="69"/>
      <c r="J15" s="1"/>
      <c r="K15" s="23"/>
    </row>
    <row r="16" spans="1:11" ht="15.6" x14ac:dyDescent="0.6">
      <c r="A16" s="1"/>
      <c r="B16" s="36"/>
      <c r="C16" s="208"/>
      <c r="D16" s="208"/>
      <c r="E16" s="212"/>
      <c r="F16" s="208"/>
      <c r="G16" s="208"/>
      <c r="H16" s="214"/>
      <c r="I16" s="69"/>
      <c r="J16" s="1"/>
      <c r="K16" s="23"/>
    </row>
    <row r="17" spans="1:11" ht="15.6" x14ac:dyDescent="0.6">
      <c r="A17" s="1"/>
      <c r="B17" s="36"/>
      <c r="C17" s="208"/>
      <c r="D17" s="208"/>
      <c r="E17" s="212"/>
      <c r="F17" s="248">
        <v>1</v>
      </c>
      <c r="G17" s="208"/>
      <c r="H17" s="214"/>
      <c r="I17" s="69"/>
      <c r="J17" s="1"/>
      <c r="K17" s="23"/>
    </row>
    <row r="18" spans="1:11" ht="15.6" x14ac:dyDescent="0.6">
      <c r="A18" s="1"/>
      <c r="B18" s="36"/>
      <c r="C18" s="208" t="s">
        <v>170</v>
      </c>
      <c r="D18" s="1" t="s">
        <v>171</v>
      </c>
      <c r="E18" s="1"/>
      <c r="F18" s="1"/>
      <c r="G18" s="212" t="s">
        <v>172</v>
      </c>
      <c r="H18" s="214">
        <f>1/(1-H11)</f>
        <v>1.2196554671973656</v>
      </c>
      <c r="I18" s="69"/>
      <c r="J18" s="1"/>
      <c r="K18" s="23"/>
    </row>
    <row r="19" spans="1:11" ht="15.6" x14ac:dyDescent="0.6">
      <c r="A19" s="1"/>
      <c r="B19" s="36"/>
      <c r="C19" s="208"/>
      <c r="D19" s="208">
        <v>1</v>
      </c>
      <c r="E19" s="212" t="s">
        <v>173</v>
      </c>
      <c r="F19" s="217">
        <f>H11</f>
        <v>0.18009632482696913</v>
      </c>
      <c r="G19" s="212"/>
      <c r="H19" s="214"/>
      <c r="I19" s="69"/>
      <c r="J19" s="1"/>
      <c r="K19" s="23"/>
    </row>
    <row r="20" spans="1:11" ht="15.6" x14ac:dyDescent="0.6">
      <c r="A20" s="1"/>
      <c r="B20" s="36"/>
      <c r="C20" s="208"/>
      <c r="D20" s="208"/>
      <c r="E20" s="212"/>
      <c r="F20" s="218"/>
      <c r="G20" s="212"/>
      <c r="H20" s="214"/>
      <c r="I20" s="69"/>
      <c r="J20" s="1"/>
      <c r="K20" s="23"/>
    </row>
    <row r="21" spans="1:11" ht="15.6" x14ac:dyDescent="0.6">
      <c r="A21" s="1"/>
      <c r="B21" s="36"/>
      <c r="C21" s="208"/>
      <c r="D21" s="208"/>
      <c r="E21" s="1"/>
      <c r="F21" s="219">
        <f>H12</f>
        <v>1129.2134848484859</v>
      </c>
      <c r="G21" s="212"/>
      <c r="H21" s="214"/>
      <c r="I21" s="69"/>
      <c r="J21" s="1"/>
      <c r="K21" s="23"/>
    </row>
    <row r="22" spans="1:11" ht="15.6" x14ac:dyDescent="0.6">
      <c r="A22" s="1"/>
      <c r="B22" s="36"/>
      <c r="C22" s="208" t="s">
        <v>174</v>
      </c>
      <c r="D22" s="1"/>
      <c r="E22" s="220" t="s">
        <v>255</v>
      </c>
      <c r="F22" s="221"/>
      <c r="G22" s="212" t="s">
        <v>172</v>
      </c>
      <c r="H22" s="214">
        <f>F21/F23</f>
        <v>0.29104415479087853</v>
      </c>
      <c r="I22" s="69"/>
      <c r="J22" s="1"/>
      <c r="K22" s="23"/>
    </row>
    <row r="23" spans="1:11" ht="15.6" x14ac:dyDescent="0.6">
      <c r="A23" s="1"/>
      <c r="B23" s="36"/>
      <c r="C23" s="208"/>
      <c r="D23" s="222"/>
      <c r="E23" s="212"/>
      <c r="F23" s="219">
        <f>H13</f>
        <v>3879.87</v>
      </c>
      <c r="G23" s="212"/>
      <c r="H23" s="214"/>
      <c r="I23" s="69"/>
      <c r="J23" s="1"/>
      <c r="K23" s="23"/>
    </row>
    <row r="24" spans="1:11" ht="15.6" x14ac:dyDescent="0.6">
      <c r="A24" s="1"/>
      <c r="B24" s="36"/>
      <c r="C24" s="208"/>
      <c r="D24" s="222"/>
      <c r="E24" s="212"/>
      <c r="F24" s="208"/>
      <c r="G24" s="212"/>
      <c r="H24" s="214"/>
      <c r="I24" s="69"/>
      <c r="J24" s="1"/>
      <c r="K24" s="23"/>
    </row>
    <row r="25" spans="1:11" ht="15.6" x14ac:dyDescent="0.6">
      <c r="A25" s="1"/>
      <c r="B25" s="36"/>
      <c r="C25" s="208" t="s">
        <v>175</v>
      </c>
      <c r="D25" s="223">
        <f>H9</f>
        <v>0.12811213255594345</v>
      </c>
      <c r="E25" s="212" t="s">
        <v>176</v>
      </c>
      <c r="F25" s="224">
        <f>H22</f>
        <v>0.29104415479087853</v>
      </c>
      <c r="G25" s="212" t="s">
        <v>172</v>
      </c>
      <c r="H25" s="214">
        <f>D25*F25</f>
        <v>3.7286287338201551E-2</v>
      </c>
      <c r="I25" s="69"/>
      <c r="J25" s="1"/>
      <c r="K25" s="23"/>
    </row>
    <row r="26" spans="1:11" ht="15.6" x14ac:dyDescent="0.6">
      <c r="A26" s="1"/>
      <c r="B26" s="36"/>
      <c r="C26" s="208"/>
      <c r="D26" s="223"/>
      <c r="E26" s="212"/>
      <c r="F26" s="224"/>
      <c r="G26" s="212"/>
      <c r="H26" s="214"/>
      <c r="I26" s="69"/>
      <c r="J26" s="1"/>
      <c r="K26" s="23"/>
    </row>
    <row r="27" spans="1:11" ht="15.6" x14ac:dyDescent="0.6">
      <c r="A27" s="1"/>
      <c r="B27" s="36"/>
      <c r="C27" s="208"/>
      <c r="D27" s="223"/>
      <c r="E27" s="212"/>
      <c r="F27" s="224"/>
      <c r="G27" s="212"/>
      <c r="H27" s="214"/>
      <c r="I27" s="69"/>
      <c r="J27" s="1"/>
      <c r="K27" s="23"/>
    </row>
    <row r="28" spans="1:11" ht="15.6" x14ac:dyDescent="0.6">
      <c r="A28" s="1"/>
      <c r="B28" s="36"/>
      <c r="C28" s="208" t="s">
        <v>177</v>
      </c>
      <c r="D28" s="223">
        <f>H25</f>
        <v>3.7286287338201551E-2</v>
      </c>
      <c r="E28" s="212" t="s">
        <v>178</v>
      </c>
      <c r="F28" s="224">
        <f>H10</f>
        <v>5.19841922710257E-2</v>
      </c>
      <c r="G28" s="212" t="s">
        <v>172</v>
      </c>
      <c r="H28" s="214">
        <f>D28+F28</f>
        <v>8.9270479609227252E-2</v>
      </c>
      <c r="I28" s="69"/>
      <c r="J28" s="1"/>
      <c r="K28" s="23"/>
    </row>
    <row r="29" spans="1:11" ht="15.6" x14ac:dyDescent="0.6">
      <c r="A29" s="1"/>
      <c r="B29" s="36"/>
      <c r="C29" s="208"/>
      <c r="D29" s="223"/>
      <c r="E29" s="212"/>
      <c r="F29" s="208"/>
      <c r="G29" s="212"/>
      <c r="H29" s="214"/>
      <c r="I29" s="69"/>
      <c r="J29" s="1"/>
      <c r="K29" s="23"/>
    </row>
    <row r="30" spans="1:11" ht="15.6" x14ac:dyDescent="0.6">
      <c r="A30" s="1"/>
      <c r="B30" s="36"/>
      <c r="C30" s="208"/>
      <c r="D30" s="208"/>
      <c r="E30" s="212"/>
      <c r="F30" s="248">
        <v>1</v>
      </c>
      <c r="G30" s="212"/>
      <c r="H30" s="225"/>
      <c r="I30" s="69"/>
      <c r="J30" s="1"/>
      <c r="K30" s="23"/>
    </row>
    <row r="31" spans="1:11" ht="15.6" x14ac:dyDescent="0.6">
      <c r="A31" s="1"/>
      <c r="B31" s="36"/>
      <c r="C31" s="208" t="s">
        <v>179</v>
      </c>
      <c r="D31" s="1" t="s">
        <v>180</v>
      </c>
      <c r="E31" s="1"/>
      <c r="F31" s="1"/>
      <c r="G31" s="212" t="s">
        <v>172</v>
      </c>
      <c r="H31" s="214">
        <f>1/(1-F32)</f>
        <v>1.0980208476946298</v>
      </c>
      <c r="I31" s="69"/>
      <c r="J31" s="1"/>
      <c r="K31" s="23"/>
    </row>
    <row r="32" spans="1:11" ht="15.6" x14ac:dyDescent="0.6">
      <c r="A32" s="1"/>
      <c r="B32" s="36"/>
      <c r="C32" s="208"/>
      <c r="D32" s="208">
        <v>1</v>
      </c>
      <c r="E32" s="212" t="s">
        <v>173</v>
      </c>
      <c r="F32" s="217">
        <f>H28</f>
        <v>8.9270479609227252E-2</v>
      </c>
      <c r="G32" s="212"/>
      <c r="H32" s="214"/>
      <c r="I32" s="69"/>
      <c r="J32" s="1"/>
      <c r="K32" s="23"/>
    </row>
    <row r="33" spans="1:11" ht="15.6" x14ac:dyDescent="0.6">
      <c r="A33" s="1"/>
      <c r="B33" s="36"/>
      <c r="C33" s="208"/>
      <c r="D33" s="208"/>
      <c r="E33" s="212"/>
      <c r="F33" s="217"/>
      <c r="G33" s="212"/>
      <c r="H33" s="214"/>
      <c r="I33" s="69"/>
      <c r="J33" s="1"/>
      <c r="K33" s="23"/>
    </row>
    <row r="34" spans="1:11" ht="15.6" x14ac:dyDescent="0.6">
      <c r="A34" s="1"/>
      <c r="B34" s="36"/>
      <c r="C34" s="208"/>
      <c r="D34" s="226">
        <f>H31</f>
        <v>1.0980208476946298</v>
      </c>
      <c r="E34" s="212"/>
      <c r="F34" s="227">
        <f>$H$14</f>
        <v>629263</v>
      </c>
      <c r="G34" s="212"/>
      <c r="H34" s="214"/>
      <c r="I34" s="69"/>
      <c r="J34" s="1"/>
      <c r="K34" s="23"/>
    </row>
    <row r="35" spans="1:11" ht="15.6" x14ac:dyDescent="0.6">
      <c r="A35" s="1"/>
      <c r="B35" s="36"/>
      <c r="C35" s="228" t="s">
        <v>181</v>
      </c>
      <c r="D35" s="212" t="s">
        <v>182</v>
      </c>
      <c r="E35" s="212" t="s">
        <v>176</v>
      </c>
      <c r="F35" s="212" t="s">
        <v>182</v>
      </c>
      <c r="G35" s="212" t="s">
        <v>172</v>
      </c>
      <c r="H35" s="229">
        <f>(H31/H18)*(+F34/F36)</f>
        <v>0.51082818629884086</v>
      </c>
      <c r="I35" s="69"/>
      <c r="J35" s="1"/>
      <c r="K35" s="23"/>
    </row>
    <row r="36" spans="1:11" ht="15.6" x14ac:dyDescent="0.6">
      <c r="A36" s="1"/>
      <c r="B36" s="36"/>
      <c r="C36" s="208"/>
      <c r="D36" s="226">
        <f>H18</f>
        <v>1.2196554671973656</v>
      </c>
      <c r="E36" s="212"/>
      <c r="F36" s="227">
        <f>$H$15</f>
        <v>1108998</v>
      </c>
      <c r="G36" s="212"/>
      <c r="H36" s="229"/>
      <c r="I36" s="69"/>
      <c r="J36" s="1"/>
      <c r="K36" s="23"/>
    </row>
    <row r="37" spans="1:11" ht="15.6" x14ac:dyDescent="0.6">
      <c r="A37" s="1"/>
      <c r="B37" s="36"/>
      <c r="C37" s="208"/>
      <c r="D37" s="226"/>
      <c r="E37" s="212"/>
      <c r="F37" s="227"/>
      <c r="G37" s="212"/>
      <c r="H37" s="229"/>
      <c r="I37" s="69"/>
      <c r="J37" s="1"/>
      <c r="K37" s="23"/>
    </row>
    <row r="38" spans="1:11" ht="15.6" x14ac:dyDescent="0.6">
      <c r="A38" s="1"/>
      <c r="B38" s="36"/>
      <c r="C38" s="208"/>
      <c r="D38" s="227">
        <f>$H$14</f>
        <v>629263</v>
      </c>
      <c r="E38" s="212"/>
      <c r="F38" s="208"/>
      <c r="G38" s="212"/>
      <c r="H38" s="229"/>
      <c r="I38" s="69"/>
      <c r="J38" s="1"/>
      <c r="K38" s="23"/>
    </row>
    <row r="39" spans="1:11" ht="15.6" x14ac:dyDescent="0.6">
      <c r="A39" s="1"/>
      <c r="B39" s="36"/>
      <c r="C39" s="228" t="s">
        <v>183</v>
      </c>
      <c r="D39" s="212" t="s">
        <v>182</v>
      </c>
      <c r="E39" s="212" t="s">
        <v>176</v>
      </c>
      <c r="F39" s="226">
        <f>H22</f>
        <v>0.29104415479087853</v>
      </c>
      <c r="G39" s="212" t="s">
        <v>172</v>
      </c>
      <c r="H39" s="229">
        <f>(+D38/D40)*H22</f>
        <v>0.16514305524101269</v>
      </c>
      <c r="I39" s="69"/>
      <c r="J39" s="1"/>
      <c r="K39" s="23"/>
    </row>
    <row r="40" spans="1:11" ht="15.6" x14ac:dyDescent="0.6">
      <c r="A40" s="1"/>
      <c r="B40" s="36"/>
      <c r="C40" s="208"/>
      <c r="D40" s="227">
        <f>$H$15</f>
        <v>1108998</v>
      </c>
      <c r="E40" s="212"/>
      <c r="F40" s="208"/>
      <c r="G40" s="212"/>
      <c r="H40" s="229"/>
      <c r="I40" s="69"/>
      <c r="J40" s="1"/>
      <c r="K40" s="23"/>
    </row>
    <row r="41" spans="1:11" ht="15.6" x14ac:dyDescent="0.6">
      <c r="A41" s="1"/>
      <c r="B41" s="36"/>
      <c r="C41" s="208"/>
      <c r="D41" s="208"/>
      <c r="E41" s="212"/>
      <c r="F41" s="208"/>
      <c r="G41" s="212"/>
      <c r="H41" s="229"/>
      <c r="I41" s="69"/>
      <c r="J41" s="1"/>
      <c r="K41" s="23"/>
    </row>
    <row r="42" spans="1:11" ht="15.6" x14ac:dyDescent="0.6">
      <c r="A42" s="1"/>
      <c r="B42" s="36"/>
      <c r="C42" s="208"/>
      <c r="D42" s="208"/>
      <c r="E42" s="212"/>
      <c r="F42" s="227">
        <f>$H$14</f>
        <v>629263</v>
      </c>
      <c r="G42" s="212"/>
      <c r="H42" s="229"/>
      <c r="I42" s="69"/>
      <c r="J42" s="1"/>
      <c r="K42" s="23"/>
    </row>
    <row r="43" spans="1:11" ht="15.6" x14ac:dyDescent="0.6">
      <c r="A43" s="1"/>
      <c r="B43" s="36"/>
      <c r="C43" s="228" t="s">
        <v>184</v>
      </c>
      <c r="D43" s="208"/>
      <c r="E43" s="212"/>
      <c r="F43" s="212" t="s">
        <v>182</v>
      </c>
      <c r="G43" s="212" t="s">
        <v>172</v>
      </c>
      <c r="H43" s="229">
        <f>F42/F44</f>
        <v>0.56741581139010167</v>
      </c>
      <c r="I43" s="69"/>
      <c r="J43" s="1"/>
      <c r="K43" s="23"/>
    </row>
    <row r="44" spans="1:11" ht="15.6" x14ac:dyDescent="0.6">
      <c r="A44" s="1"/>
      <c r="B44" s="36"/>
      <c r="C44" s="1"/>
      <c r="D44" s="1"/>
      <c r="E44" s="2"/>
      <c r="F44" s="227">
        <f>$H$15</f>
        <v>1108998</v>
      </c>
      <c r="G44" s="1"/>
      <c r="H44" s="230"/>
      <c r="I44" s="69"/>
      <c r="J44" s="1"/>
      <c r="K44" s="23"/>
    </row>
    <row r="45" spans="1:11" ht="15.6" x14ac:dyDescent="0.6">
      <c r="A45" s="1"/>
      <c r="B45" s="39"/>
      <c r="C45" s="18"/>
      <c r="D45" s="18"/>
      <c r="E45" s="9"/>
      <c r="F45" s="18"/>
      <c r="G45" s="18"/>
      <c r="H45" s="18"/>
      <c r="I45" s="72"/>
      <c r="J45" s="1"/>
      <c r="K45" s="23"/>
    </row>
    <row r="46" spans="1:11" ht="15.6" x14ac:dyDescent="0.6">
      <c r="A46" s="1"/>
      <c r="B46" s="1"/>
      <c r="C46" s="1"/>
      <c r="D46" s="1"/>
      <c r="E46" s="2"/>
      <c r="F46" s="1"/>
      <c r="G46" s="1"/>
      <c r="H46" s="1"/>
      <c r="I46" s="1"/>
      <c r="J46" s="1"/>
      <c r="K46" s="23"/>
    </row>
    <row r="47" spans="1:11" ht="15.6" x14ac:dyDescent="0.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</sheetData>
  <mergeCells count="4">
    <mergeCell ref="C2:H2"/>
    <mergeCell ref="C3:H3"/>
    <mergeCell ref="C5:H5"/>
    <mergeCell ref="B4:I4"/>
  </mergeCells>
  <printOptions horizontalCentered="1"/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SAO</vt:lpstr>
      <vt:lpstr>Adj</vt:lpstr>
      <vt:lpstr>Resale</vt:lpstr>
      <vt:lpstr>DeprAdj</vt:lpstr>
      <vt:lpstr>DSch</vt:lpstr>
      <vt:lpstr>Al_Dpr</vt:lpstr>
      <vt:lpstr>Al_Plnt</vt:lpstr>
      <vt:lpstr>Sys</vt:lpstr>
      <vt:lpstr>Fac</vt:lpstr>
      <vt:lpstr>Mtrx</vt:lpstr>
      <vt:lpstr>Whol</vt:lpstr>
      <vt:lpstr>AlocOM_R</vt:lpstr>
      <vt:lpstr>AlocSum</vt:lpstr>
      <vt:lpstr>Units</vt:lpstr>
      <vt:lpstr>CalcRet</vt:lpstr>
      <vt:lpstr>Rates</vt:lpstr>
      <vt:lpstr>Bills</vt:lpstr>
      <vt:lpstr>Usage</vt:lpstr>
      <vt:lpstr>ExBA</vt:lpstr>
      <vt:lpstr>PropBA</vt:lpstr>
      <vt:lpstr>Al_Dpr!Print_Area</vt:lpstr>
      <vt:lpstr>Al_Plnt!Print_Area</vt:lpstr>
      <vt:lpstr>AlocOM_R!Print_Area</vt:lpstr>
      <vt:lpstr>AlocSum!Print_Area</vt:lpstr>
      <vt:lpstr>Bills!Print_Area</vt:lpstr>
      <vt:lpstr>CalcRet!Print_Area</vt:lpstr>
      <vt:lpstr>DeprAdj!Print_Area</vt:lpstr>
      <vt:lpstr>DSch!Print_Area</vt:lpstr>
      <vt:lpstr>ExBA!Print_Area</vt:lpstr>
      <vt:lpstr>Fac!Print_Area</vt:lpstr>
      <vt:lpstr>Rates!Print_Area</vt:lpstr>
      <vt:lpstr>Resale!Print_Area</vt:lpstr>
      <vt:lpstr>SAO!Print_Area</vt:lpstr>
      <vt:lpstr>Sys!Print_Area</vt:lpstr>
      <vt:lpstr>Units!Print_Area</vt:lpstr>
      <vt:lpstr>Usage!Print_Area</vt:lpstr>
      <vt:lpstr>Whol!Print_Area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AlanV</cp:lastModifiedBy>
  <cp:lastPrinted>2023-03-19T17:46:33Z</cp:lastPrinted>
  <dcterms:created xsi:type="dcterms:W3CDTF">2016-05-18T14:12:06Z</dcterms:created>
  <dcterms:modified xsi:type="dcterms:W3CDTF">2023-04-06T14:48:34Z</dcterms:modified>
</cp:coreProperties>
</file>