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3761BA25-2451-4F39-8A09-C31EFDD64DD4}" xr6:coauthVersionLast="47" xr6:coauthVersionMax="47" xr10:uidLastSave="{00000000-0000-0000-0000-000000000000}"/>
  <bookViews>
    <workbookView xWindow="-19320" yWindow="-120" windowWidth="19440" windowHeight="15000" tabRatio="686" xr2:uid="{F6562CCD-2471-456B-B6B8-41DF8FF41994}"/>
  </bookViews>
  <sheets>
    <sheet name="ExBA" sheetId="10" r:id="rId1"/>
    <sheet name="PropBA" sheetId="15" r:id="rId2"/>
  </sheets>
  <definedNames>
    <definedName name="_xlnm.Print_Area" localSheetId="0">ExBA!$A$1:$I$70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5" l="1"/>
  <c r="E69" i="15"/>
  <c r="E70" i="15"/>
  <c r="E71" i="15"/>
  <c r="E72" i="15"/>
  <c r="E73" i="15"/>
  <c r="E67" i="15"/>
  <c r="G60" i="15"/>
  <c r="G61" i="15"/>
  <c r="G62" i="15"/>
  <c r="G59" i="15"/>
  <c r="G44" i="15"/>
  <c r="G45" i="15"/>
  <c r="G46" i="15"/>
  <c r="G47" i="15"/>
  <c r="G43" i="15"/>
  <c r="G26" i="15"/>
  <c r="G30" i="15"/>
  <c r="G27" i="15"/>
  <c r="G28" i="15"/>
  <c r="G29" i="15"/>
  <c r="B73" i="15"/>
  <c r="F12" i="15" s="1"/>
  <c r="B61" i="15"/>
  <c r="B60" i="15"/>
  <c r="B59" i="15"/>
  <c r="D54" i="15"/>
  <c r="C54" i="15"/>
  <c r="D53" i="15"/>
  <c r="C53" i="15"/>
  <c r="E53" i="15" s="1"/>
  <c r="D52" i="15"/>
  <c r="D55" i="15" s="1"/>
  <c r="F8" i="15" s="1"/>
  <c r="C52" i="15"/>
  <c r="G51" i="15"/>
  <c r="F51" i="15"/>
  <c r="E51" i="15"/>
  <c r="B46" i="15"/>
  <c r="B45" i="15"/>
  <c r="B44" i="15"/>
  <c r="B43" i="15"/>
  <c r="D38" i="15"/>
  <c r="C38" i="15"/>
  <c r="D37" i="15"/>
  <c r="C37" i="15"/>
  <c r="F37" i="15" s="1"/>
  <c r="D36" i="15"/>
  <c r="C36" i="15"/>
  <c r="D35" i="15"/>
  <c r="E35" i="15" s="1"/>
  <c r="C35" i="15"/>
  <c r="C39" i="15" s="1"/>
  <c r="E7" i="15" s="1"/>
  <c r="H34" i="15"/>
  <c r="G34" i="15"/>
  <c r="G38" i="15" s="1"/>
  <c r="F34" i="15"/>
  <c r="E34" i="15"/>
  <c r="E36" i="15" s="1"/>
  <c r="B29" i="15"/>
  <c r="B28" i="15"/>
  <c r="B27" i="15"/>
  <c r="B26" i="15"/>
  <c r="D21" i="15"/>
  <c r="C21" i="15"/>
  <c r="E21" i="15" s="1"/>
  <c r="D20" i="15"/>
  <c r="C20" i="15"/>
  <c r="D19" i="15"/>
  <c r="C19" i="15"/>
  <c r="D18" i="15"/>
  <c r="C18" i="15"/>
  <c r="H17" i="15"/>
  <c r="G17" i="15"/>
  <c r="F17" i="15"/>
  <c r="E17" i="15"/>
  <c r="C22" i="15" l="1"/>
  <c r="E20" i="15"/>
  <c r="D22" i="15"/>
  <c r="F6" i="15" s="1"/>
  <c r="F20" i="15"/>
  <c r="E19" i="15"/>
  <c r="F19" i="15" s="1"/>
  <c r="F22" i="15" s="1"/>
  <c r="D27" i="15" s="1"/>
  <c r="F36" i="15"/>
  <c r="F21" i="15"/>
  <c r="H21" i="15" s="1"/>
  <c r="H22" i="15" s="1"/>
  <c r="D29" i="15" s="1"/>
  <c r="G21" i="15"/>
  <c r="E37" i="15"/>
  <c r="C55" i="15"/>
  <c r="E18" i="15"/>
  <c r="F38" i="15"/>
  <c r="G20" i="15"/>
  <c r="E38" i="15"/>
  <c r="E6" i="15"/>
  <c r="C26" i="15"/>
  <c r="C30" i="15" s="1"/>
  <c r="C59" i="15"/>
  <c r="E8" i="15"/>
  <c r="F53" i="15"/>
  <c r="G37" i="15"/>
  <c r="G39" i="15" s="1"/>
  <c r="D45" i="15" s="1"/>
  <c r="E22" i="15"/>
  <c r="D26" i="15" s="1"/>
  <c r="C43" i="15"/>
  <c r="E52" i="15"/>
  <c r="D39" i="15"/>
  <c r="F7" i="15" s="1"/>
  <c r="F9" i="15" s="1"/>
  <c r="E54" i="15"/>
  <c r="F54" i="15"/>
  <c r="G54" i="15" s="1"/>
  <c r="G55" i="15" s="1"/>
  <c r="D61" i="15" s="1"/>
  <c r="G22" i="15" l="1"/>
  <c r="D28" i="15" s="1"/>
  <c r="H38" i="15"/>
  <c r="H39" i="15" s="1"/>
  <c r="D46" i="15" s="1"/>
  <c r="E39" i="15"/>
  <c r="D43" i="15" s="1"/>
  <c r="D30" i="15"/>
  <c r="F39" i="15"/>
  <c r="D44" i="15" s="1"/>
  <c r="F55" i="15"/>
  <c r="D60" i="15" s="1"/>
  <c r="C62" i="15"/>
  <c r="E55" i="15"/>
  <c r="D59" i="15" s="1"/>
  <c r="C47" i="15"/>
  <c r="E9" i="15"/>
  <c r="D47" i="15" l="1"/>
  <c r="D62" i="15"/>
  <c r="B73" i="10" l="1"/>
  <c r="F12" i="10" s="1"/>
  <c r="D72" i="10"/>
  <c r="D71" i="10"/>
  <c r="D70" i="10"/>
  <c r="D54" i="10"/>
  <c r="D53" i="10"/>
  <c r="D52" i="10"/>
  <c r="C54" i="10"/>
  <c r="C53" i="10"/>
  <c r="C52" i="10"/>
  <c r="D38" i="10"/>
  <c r="D37" i="10"/>
  <c r="D36" i="10"/>
  <c r="D35" i="10"/>
  <c r="C38" i="10"/>
  <c r="C37" i="10"/>
  <c r="C36" i="10"/>
  <c r="C35" i="10"/>
  <c r="D21" i="10"/>
  <c r="D20" i="10"/>
  <c r="D19" i="10"/>
  <c r="D18" i="10"/>
  <c r="C21" i="10"/>
  <c r="C20" i="10"/>
  <c r="C19" i="10"/>
  <c r="C18" i="10"/>
  <c r="B61" i="10"/>
  <c r="B60" i="10"/>
  <c r="B59" i="10"/>
  <c r="G51" i="10"/>
  <c r="F51" i="10"/>
  <c r="E51" i="10"/>
  <c r="B46" i="10"/>
  <c r="B45" i="10"/>
  <c r="B44" i="10"/>
  <c r="B43" i="10"/>
  <c r="H34" i="10"/>
  <c r="G34" i="10"/>
  <c r="F34" i="10"/>
  <c r="E34" i="10"/>
  <c r="E35" i="10" l="1"/>
  <c r="E53" i="10"/>
  <c r="F54" i="10"/>
  <c r="E54" i="10"/>
  <c r="F37" i="10"/>
  <c r="E36" i="10"/>
  <c r="G38" i="10"/>
  <c r="E37" i="10"/>
  <c r="C55" i="10"/>
  <c r="E8" i="10" s="1"/>
  <c r="E38" i="10"/>
  <c r="C39" i="10"/>
  <c r="E7" i="10" s="1"/>
  <c r="D55" i="10"/>
  <c r="F8" i="10" s="1"/>
  <c r="F38" i="10"/>
  <c r="E52" i="10"/>
  <c r="D39" i="10"/>
  <c r="F7" i="10" s="1"/>
  <c r="C59" i="10" l="1"/>
  <c r="C62" i="10" s="1"/>
  <c r="H38" i="10"/>
  <c r="C43" i="10"/>
  <c r="F43" i="10" s="1"/>
  <c r="F59" i="10" l="1"/>
  <c r="C47" i="10"/>
  <c r="D69" i="10" l="1"/>
  <c r="D68" i="10"/>
  <c r="D67" i="10"/>
  <c r="D73" i="10" l="1"/>
  <c r="G12" i="10" s="1"/>
  <c r="H17" i="10" l="1"/>
  <c r="G17" i="10"/>
  <c r="G54" i="10" l="1"/>
  <c r="G55" i="10" l="1"/>
  <c r="D61" i="10" s="1"/>
  <c r="F61" i="10" s="1"/>
  <c r="F53" i="10"/>
  <c r="E55" i="10"/>
  <c r="D59" i="10" s="1"/>
  <c r="F55" i="10" l="1"/>
  <c r="D60" i="10" s="1"/>
  <c r="D62" i="10" s="1"/>
  <c r="F60" i="10" l="1"/>
  <c r="F62" i="10" s="1"/>
  <c r="G8" i="10" s="1"/>
  <c r="E18" i="10" l="1"/>
  <c r="G21" i="10"/>
  <c r="B28" i="10"/>
  <c r="E17" i="10" l="1"/>
  <c r="F17" i="10"/>
  <c r="B26" i="10"/>
  <c r="B27" i="10"/>
  <c r="B29" i="10"/>
  <c r="C22" i="10"/>
  <c r="D69" i="15" l="1"/>
  <c r="D68" i="15"/>
  <c r="D67" i="15"/>
  <c r="D72" i="15"/>
  <c r="D71" i="15"/>
  <c r="D70" i="15"/>
  <c r="G37" i="10"/>
  <c r="F36" i="10"/>
  <c r="E39" i="10"/>
  <c r="D43" i="10" s="1"/>
  <c r="F20" i="10"/>
  <c r="C26" i="10"/>
  <c r="F26" i="10" s="1"/>
  <c r="E6" i="10"/>
  <c r="E19" i="10"/>
  <c r="E20" i="10"/>
  <c r="E21" i="10"/>
  <c r="D22" i="10"/>
  <c r="F21" i="10"/>
  <c r="F19" i="10" l="1"/>
  <c r="F22" i="10" s="1"/>
  <c r="D73" i="15"/>
  <c r="G12" i="15" s="1"/>
  <c r="H21" i="10"/>
  <c r="H22" i="10" s="1"/>
  <c r="G39" i="10"/>
  <c r="D45" i="10" s="1"/>
  <c r="F45" i="10" s="1"/>
  <c r="F39" i="10"/>
  <c r="D44" i="10" s="1"/>
  <c r="F44" i="10" s="1"/>
  <c r="H39" i="10"/>
  <c r="D46" i="10" s="1"/>
  <c r="F46" i="10" s="1"/>
  <c r="E9" i="10"/>
  <c r="G20" i="10"/>
  <c r="G22" i="10" s="1"/>
  <c r="C30" i="10"/>
  <c r="F6" i="10"/>
  <c r="E22" i="10"/>
  <c r="F47" i="10" l="1"/>
  <c r="G7" i="10" s="1"/>
  <c r="D47" i="10"/>
  <c r="F9" i="10"/>
  <c r="D29" i="10"/>
  <c r="F29" i="10" s="1"/>
  <c r="D28" i="10"/>
  <c r="F28" i="10" s="1"/>
  <c r="D27" i="10"/>
  <c r="F27" i="10" s="1"/>
  <c r="D26" i="10"/>
  <c r="F30" i="10" l="1"/>
  <c r="G6" i="10" s="1"/>
  <c r="G9" i="10" s="1"/>
  <c r="G11" i="10" s="1"/>
  <c r="D30" i="10"/>
  <c r="G13" i="10" l="1"/>
  <c r="F27" i="15" l="1"/>
  <c r="F44" i="15" l="1"/>
  <c r="F29" i="15" l="1"/>
  <c r="F61" i="15"/>
  <c r="F60" i="15"/>
  <c r="F28" i="15"/>
  <c r="F46" i="15" l="1"/>
  <c r="F45" i="15"/>
  <c r="F26" i="15" l="1"/>
  <c r="F30" i="15" s="1"/>
  <c r="G6" i="15" s="1"/>
  <c r="F43" i="15" l="1"/>
  <c r="F47" i="15" s="1"/>
  <c r="G7" i="15" s="1"/>
  <c r="F59" i="15" l="1"/>
  <c r="F62" i="15" s="1"/>
  <c r="G8" i="15" s="1"/>
  <c r="G9" i="15" s="1"/>
  <c r="G11" i="15" s="1"/>
  <c r="G13" i="15" s="1"/>
</calcChain>
</file>

<file path=xl/sharedStrings.xml><?xml version="1.0" encoding="utf-8"?>
<sst xmlns="http://schemas.openxmlformats.org/spreadsheetml/2006/main" count="182" uniqueCount="40">
  <si>
    <t>Revenue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</si>
  <si>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</si>
  <si>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</si>
  <si>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</si>
  <si>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</si>
  <si>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</si>
  <si>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</si>
  <si>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</si>
  <si>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</si>
  <si>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</si>
  <si>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</si>
  <si>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NEXT</t>
  </si>
  <si>
    <t>No. of Bills</t>
  </si>
  <si>
    <t xml:space="preserve">  SUMMARY  </t>
  </si>
  <si>
    <t>5/8" x 3/4" METERS</t>
  </si>
  <si>
    <t>1" METERS</t>
  </si>
  <si>
    <t>2" METERS</t>
  </si>
  <si>
    <t xml:space="preserve">     5/8" X 3/4" Meters</t>
  </si>
  <si>
    <t xml:space="preserve">     1" Meters</t>
  </si>
  <si>
    <t xml:space="preserve">     2" Meters</t>
  </si>
  <si>
    <t>SALES FOR RESALE</t>
  </si>
  <si>
    <t>K GALS</t>
  </si>
  <si>
    <t>Total Pro Forma Sales Revenue</t>
  </si>
  <si>
    <t>Green River Valley Water District</t>
  </si>
  <si>
    <t>CURRENT BILLING ANALYSIS - 2021 USAGE &amp; EXISTING RATES</t>
  </si>
  <si>
    <t>Munfordville</t>
  </si>
  <si>
    <t>Larue Co.</t>
  </si>
  <si>
    <t>Green-Taylor</t>
  </si>
  <si>
    <t>Caveland</t>
  </si>
  <si>
    <t>Cave City</t>
  </si>
  <si>
    <t xml:space="preserve">Totals </t>
  </si>
  <si>
    <t xml:space="preserve">     Less Billing Adjustments</t>
  </si>
  <si>
    <t>Pro forma Retail Sales</t>
  </si>
  <si>
    <t>Horse Cave *</t>
  </si>
  <si>
    <t>*</t>
  </si>
  <si>
    <t>Includes Horse Cave line loss billings</t>
  </si>
  <si>
    <t>Plus Sales for Resale</t>
  </si>
  <si>
    <t>PROPOSED BILLING ANALYSIS - 2021 USAGE &amp; PROPOSED RATES</t>
  </si>
  <si>
    <t>Total Proposed Sales Revenue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</si>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</sst>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164" fontId="4" fillId="0" borderId="0" xfId="3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5" fontId="4" fillId="0" borderId="0" xfId="4" applyNumberFormat="1" applyFont="1"/>
    <xf numFmtId="37" fontId="4" fillId="0" borderId="1" xfId="0" applyNumberFormat="1" applyFont="1" applyBorder="1"/>
    <xf numFmtId="0" fontId="3" fillId="0" borderId="0" xfId="0" applyFont="1" applyAlignment="1">
      <alignment horizontal="left"/>
    </xf>
    <xf numFmtId="44" fontId="4" fillId="0" borderId="0" xfId="3" applyFont="1"/>
    <xf numFmtId="0" fontId="4" fillId="0" borderId="1" xfId="0" applyFont="1" applyBorder="1"/>
    <xf numFmtId="43" fontId="4" fillId="0" borderId="1" xfId="4" applyFont="1" applyBorder="1"/>
    <xf numFmtId="43" fontId="4" fillId="0" borderId="0" xfId="4" applyFont="1"/>
    <xf numFmtId="165" fontId="6" fillId="0" borderId="0" xfId="1" applyNumberFormat="1" applyFont="1"/>
    <xf numFmtId="165" fontId="4" fillId="0" borderId="0" xfId="1" applyNumberFormat="1" applyFont="1" applyAlignment="1">
      <alignment horizontal="right"/>
    </xf>
    <xf numFmtId="164" fontId="4" fillId="0" borderId="0" xfId="2" applyNumberFormat="1" applyFont="1"/>
    <xf numFmtId="165" fontId="4" fillId="0" borderId="0" xfId="4" applyNumberFormat="1" applyFont="1" applyFill="1"/>
    <xf numFmtId="165" fontId="4" fillId="0" borderId="1" xfId="4" applyNumberFormat="1" applyFont="1" applyFill="1" applyBorder="1"/>
    <xf numFmtId="165" fontId="4" fillId="0" borderId="0" xfId="4" applyNumberFormat="1" applyFont="1" applyBorder="1"/>
    <xf numFmtId="165" fontId="4" fillId="0" borderId="0" xfId="0" applyNumberFormat="1" applyFont="1"/>
    <xf numFmtId="0" fontId="5" fillId="0" borderId="0" xfId="0" applyFont="1" applyAlignment="1">
      <alignment horizontal="right"/>
    </xf>
    <xf numFmtId="165" fontId="4" fillId="0" borderId="1" xfId="1" applyNumberFormat="1" applyFont="1" applyBorder="1"/>
    <xf numFmtId="165" fontId="6" fillId="0" borderId="0" xfId="1" applyNumberFormat="1" applyFont="1" applyAlignment="1">
      <alignment horizontal="right"/>
    </xf>
    <xf numFmtId="0" fontId="9" fillId="0" borderId="0" xfId="0" applyFont="1"/>
    <xf numFmtId="3" fontId="7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5" fontId="6" fillId="0" borderId="0" xfId="1" applyNumberFormat="1" applyFont="1" applyFill="1"/>
    <xf numFmtId="0" fontId="4" fillId="0" borderId="1" xfId="0" applyFont="1" applyBorder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7" fillId="0" borderId="0" xfId="0" applyFont="1" applyAlignment="1">
      <alignment horizontal="center"/>
    </xf>
    <xf numFmtId="44" fontId="4" fillId="0" borderId="0" xfId="2" applyFont="1"/>
    <xf numFmtId="43" fontId="4" fillId="0" borderId="1" xfId="1" applyFont="1" applyBorder="1"/>
    <xf numFmtId="164" fontId="10" fillId="0" borderId="0" xfId="2" applyNumberFormat="1" applyFont="1" applyBorder="1"/>
    <xf numFmtId="37" fontId="4" fillId="0" borderId="1" xfId="0" applyNumberFormat="1" applyFont="1" applyBorder="1" applyAlignment="1">
      <alignment horizontal="center" vertical="center"/>
    </xf>
    <xf numFmtId="165" fontId="6" fillId="0" borderId="0" xfId="1" applyNumberFormat="1" applyFont="1" applyBorder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FFFFCC"/>
      <color rgb="FFCCFFFF"/>
      <color rgb="FFFFCC99"/>
      <color rgb="FFCBCF99"/>
      <color rgb="FFFFFF99"/>
      <color rgb="FFFFFFFF"/>
      <color rgb="FFCCFFCC"/>
      <color rgb="FF59B58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"/>
  <sheetViews>
    <sheetView tabSelected="1" workbookViewId="0">
      <selection activeCell="A4" sqref="A4"/>
    </sheetView>
  </sheetViews>
  <sheetFormatPr defaultColWidth="8.88671875" defaultRowHeight="15" x14ac:dyDescent="0.25"/>
  <cols>
    <col min="1" max="1" width="11.21875" style="1" customWidth="1"/>
    <col min="2" max="2" width="7.77734375" style="1" customWidth="1"/>
    <col min="3" max="3" width="7.21875" style="1" customWidth="1"/>
    <col min="4" max="4" width="11.5546875" style="1" customWidth="1"/>
    <col min="5" max="7" width="10.77734375" style="1" customWidth="1"/>
    <col min="8" max="8" width="9.77734375" style="1" customWidth="1"/>
    <col min="9" max="9" width="11" style="1" customWidth="1"/>
    <col min="10" max="16384" width="8.88671875" style="1"/>
  </cols>
  <sheetData>
    <row r="1" spans="1:9" ht="18.75" x14ac:dyDescent="0.3">
      <c r="A1" s="43" t="s">
        <v>24</v>
      </c>
      <c r="B1" s="43"/>
      <c r="C1" s="43"/>
      <c r="D1" s="43"/>
      <c r="E1" s="43"/>
      <c r="F1" s="43"/>
      <c r="G1" s="43"/>
      <c r="H1" s="43"/>
      <c r="I1" s="37"/>
    </row>
    <row r="2" spans="1:9" ht="18.75" x14ac:dyDescent="0.25">
      <c r="A2" s="44" t="s">
        <v>23</v>
      </c>
      <c r="B2" s="44"/>
      <c r="C2" s="44"/>
      <c r="D2" s="44"/>
      <c r="E2" s="44"/>
      <c r="F2" s="44"/>
      <c r="G2" s="44"/>
      <c r="H2" s="44"/>
      <c r="I2" s="28"/>
    </row>
    <row r="3" spans="1:9" ht="6.95" customHeight="1" x14ac:dyDescent="0.25"/>
    <row r="4" spans="1:9" x14ac:dyDescent="0.25">
      <c r="C4" s="24" t="s">
        <v>13</v>
      </c>
    </row>
    <row r="5" spans="1:9" x14ac:dyDescent="0.25">
      <c r="C5" s="31"/>
      <c r="D5" s="14"/>
      <c r="E5" s="6" t="s">
        <v>12</v>
      </c>
      <c r="F5" s="6" t="s">
        <v>1</v>
      </c>
      <c r="G5" s="6" t="s">
        <v>0</v>
      </c>
      <c r="H5" s="2"/>
    </row>
    <row r="6" spans="1:9" x14ac:dyDescent="0.25">
      <c r="C6" s="1" t="s">
        <v>17</v>
      </c>
      <c r="E6" s="3">
        <f>C22</f>
        <v>86767</v>
      </c>
      <c r="F6" s="18">
        <f>D22</f>
        <v>396510100</v>
      </c>
      <c r="G6" s="19">
        <f>F30</f>
        <v>3324632.6100000003</v>
      </c>
      <c r="H6" s="19"/>
      <c r="I6" s="19"/>
    </row>
    <row r="7" spans="1:9" x14ac:dyDescent="0.25">
      <c r="C7" s="1" t="s">
        <v>18</v>
      </c>
      <c r="E7" s="3">
        <f>C39</f>
        <v>1436</v>
      </c>
      <c r="F7" s="18">
        <f>D39</f>
        <v>33411200</v>
      </c>
      <c r="G7" s="3">
        <f>F47</f>
        <v>179343.09000000003</v>
      </c>
      <c r="H7" s="3"/>
      <c r="I7" s="3"/>
    </row>
    <row r="8" spans="1:9" ht="17.25" x14ac:dyDescent="0.4">
      <c r="C8" s="1" t="s">
        <v>19</v>
      </c>
      <c r="E8" s="17">
        <f>C55</f>
        <v>360</v>
      </c>
      <c r="F8" s="26">
        <f>D55</f>
        <v>28631200</v>
      </c>
      <c r="G8" s="17">
        <f>F62</f>
        <v>131833.95000000001</v>
      </c>
      <c r="H8" s="3"/>
      <c r="I8" s="17"/>
    </row>
    <row r="9" spans="1:9" x14ac:dyDescent="0.25">
      <c r="D9" s="8" t="s">
        <v>30</v>
      </c>
      <c r="E9" s="23">
        <f>SUM(E6:E8)</f>
        <v>88563</v>
      </c>
      <c r="F9" s="23">
        <f>SUM(F6:F8)</f>
        <v>458552500</v>
      </c>
      <c r="G9" s="29">
        <f>SUM(G6:G8)</f>
        <v>3635809.6500000004</v>
      </c>
      <c r="H9" s="40"/>
      <c r="I9" s="29"/>
    </row>
    <row r="10" spans="1:9" ht="17.25" x14ac:dyDescent="0.4">
      <c r="C10" s="1" t="s">
        <v>31</v>
      </c>
      <c r="D10" s="8"/>
      <c r="E10" s="23"/>
      <c r="F10" s="23"/>
      <c r="G10" s="17">
        <v>-60621</v>
      </c>
      <c r="H10" s="40"/>
      <c r="I10" s="17"/>
    </row>
    <row r="11" spans="1:9" x14ac:dyDescent="0.25">
      <c r="C11" s="1" t="s">
        <v>32</v>
      </c>
      <c r="E11" s="23"/>
      <c r="F11" s="23"/>
      <c r="G11" s="29">
        <f>G9+G10</f>
        <v>3575188.6500000004</v>
      </c>
      <c r="H11" s="40"/>
      <c r="I11" s="29"/>
    </row>
    <row r="12" spans="1:9" ht="17.25" x14ac:dyDescent="0.4">
      <c r="D12" s="33" t="s">
        <v>36</v>
      </c>
      <c r="F12" s="18">
        <f>B73*1000</f>
        <v>629263166.02316606</v>
      </c>
      <c r="G12" s="17">
        <f>D73</f>
        <v>1629791.5999999999</v>
      </c>
      <c r="H12" s="17"/>
      <c r="I12" s="17"/>
    </row>
    <row r="13" spans="1:9" ht="20.100000000000001" customHeight="1" x14ac:dyDescent="0.25">
      <c r="C13" s="35" t="s">
        <v>22</v>
      </c>
      <c r="D13" s="34"/>
      <c r="E13" s="34"/>
      <c r="F13" s="34"/>
      <c r="G13" s="36">
        <f>G11+G12</f>
        <v>5204980.25</v>
      </c>
      <c r="H13" s="29"/>
      <c r="I13" s="36"/>
    </row>
    <row r="14" spans="1:9" ht="6.95" customHeight="1" x14ac:dyDescent="0.4">
      <c r="F14" s="8"/>
      <c r="G14" s="30"/>
      <c r="I14" s="29"/>
    </row>
    <row r="15" spans="1:9" ht="15.75" x14ac:dyDescent="0.25">
      <c r="A15" s="27" t="s">
        <v>14</v>
      </c>
    </row>
    <row r="16" spans="1:9" ht="15.75" x14ac:dyDescent="0.25">
      <c r="E16" s="2" t="s">
        <v>2</v>
      </c>
      <c r="F16" s="2" t="s">
        <v>11</v>
      </c>
      <c r="G16" s="2" t="s">
        <v>11</v>
      </c>
      <c r="H16" s="2" t="s">
        <v>3</v>
      </c>
      <c r="I16"/>
    </row>
    <row r="17" spans="1:9" ht="15.75" x14ac:dyDescent="0.25">
      <c r="B17" s="6" t="s">
        <v>4</v>
      </c>
      <c r="C17" s="7" t="s">
        <v>5</v>
      </c>
      <c r="D17" s="7" t="s">
        <v>6</v>
      </c>
      <c r="E17" s="7">
        <f>B18</f>
        <v>2000</v>
      </c>
      <c r="F17" s="7">
        <f>B19</f>
        <v>8000</v>
      </c>
      <c r="G17" s="7">
        <f>B20</f>
        <v>20000</v>
      </c>
      <c r="H17" s="7">
        <f>B21</f>
        <v>30000</v>
      </c>
      <c r="I17"/>
    </row>
    <row r="18" spans="1:9" ht="15.75" x14ac:dyDescent="0.25">
      <c r="A18" s="8" t="s">
        <v>2</v>
      </c>
      <c r="B18" s="9">
        <v>2000</v>
      </c>
      <c r="C18" s="20">
        <f>11762+752+17156+521</f>
        <v>30191</v>
      </c>
      <c r="D18" s="20">
        <f>11712300+430500+16060200+246100</f>
        <v>28449100</v>
      </c>
      <c r="E18" s="20">
        <f>D18</f>
        <v>28449100</v>
      </c>
      <c r="F18" s="20">
        <v>0</v>
      </c>
      <c r="G18" s="20"/>
      <c r="H18" s="20">
        <v>0</v>
      </c>
      <c r="I18"/>
    </row>
    <row r="19" spans="1:9" ht="15.75" x14ac:dyDescent="0.25">
      <c r="A19" s="8" t="s">
        <v>11</v>
      </c>
      <c r="B19" s="9">
        <v>8000</v>
      </c>
      <c r="C19" s="20">
        <f>19870+286+29060+318</f>
        <v>49534</v>
      </c>
      <c r="D19" s="20">
        <f>87268100+1350100+130722300+1646100</f>
        <v>220986600</v>
      </c>
      <c r="E19" s="20">
        <f>C19*E$17</f>
        <v>99068000</v>
      </c>
      <c r="F19" s="20">
        <f>D19-E19</f>
        <v>121918600</v>
      </c>
      <c r="G19" s="20"/>
      <c r="H19" s="20">
        <v>0</v>
      </c>
      <c r="I19"/>
    </row>
    <row r="20" spans="1:9" ht="15.75" x14ac:dyDescent="0.25">
      <c r="A20" s="8" t="s">
        <v>11</v>
      </c>
      <c r="B20" s="9">
        <v>20000</v>
      </c>
      <c r="C20" s="20">
        <f>2177+117+3688+106</f>
        <v>6088</v>
      </c>
      <c r="D20" s="20">
        <f>33138600+1873400+56443300+1692300</f>
        <v>93147600</v>
      </c>
      <c r="E20" s="20">
        <f>C20*E$17</f>
        <v>12176000</v>
      </c>
      <c r="F20" s="20">
        <f>$C20*F$17</f>
        <v>48704000</v>
      </c>
      <c r="G20" s="20">
        <f>D20-(E20+F20)</f>
        <v>32267600</v>
      </c>
      <c r="H20" s="20"/>
      <c r="I20"/>
    </row>
    <row r="21" spans="1:9" ht="15.75" x14ac:dyDescent="0.25">
      <c r="A21" s="8" t="s">
        <v>3</v>
      </c>
      <c r="B21" s="11">
        <v>30000</v>
      </c>
      <c r="C21" s="21">
        <f>243+69+19+22+6+1+432+97+26+8+23+8</f>
        <v>954</v>
      </c>
      <c r="D21" s="21">
        <f>9715600+5342900+3850500+942600+436600+111500+17470000+7585600+4935900+295200+2088400+1152000</f>
        <v>53926800</v>
      </c>
      <c r="E21" s="21">
        <f>C21*E$17</f>
        <v>1908000</v>
      </c>
      <c r="F21" s="21">
        <f>$C21*F$17</f>
        <v>7632000</v>
      </c>
      <c r="G21" s="21">
        <f>$C21*G$17</f>
        <v>19080000</v>
      </c>
      <c r="H21" s="21">
        <f>D21-(F21+E21+G21)</f>
        <v>25306800</v>
      </c>
      <c r="I21"/>
    </row>
    <row r="22" spans="1:9" ht="15.75" x14ac:dyDescent="0.25">
      <c r="A22" s="8"/>
      <c r="B22" s="9"/>
      <c r="C22" s="22">
        <f t="shared" ref="C22:H22" si="0">SUM(C18:C21)</f>
        <v>86767</v>
      </c>
      <c r="D22" s="22">
        <f t="shared" si="0"/>
        <v>396510100</v>
      </c>
      <c r="E22" s="22">
        <f t="shared" si="0"/>
        <v>141601100</v>
      </c>
      <c r="F22" s="22">
        <f t="shared" si="0"/>
        <v>178254600</v>
      </c>
      <c r="G22" s="22">
        <f t="shared" si="0"/>
        <v>51347600</v>
      </c>
      <c r="H22" s="22">
        <f t="shared" si="0"/>
        <v>25306800</v>
      </c>
      <c r="I22"/>
    </row>
    <row r="23" spans="1:9" x14ac:dyDescent="0.25">
      <c r="A23" s="8"/>
      <c r="B23" s="9"/>
      <c r="D23" s="9"/>
      <c r="E23" s="9"/>
      <c r="F23" s="9"/>
      <c r="G23" s="9"/>
      <c r="H23" s="9"/>
      <c r="I23" s="9"/>
    </row>
    <row r="24" spans="1:9" x14ac:dyDescent="0.25">
      <c r="A24" s="12" t="s">
        <v>8</v>
      </c>
      <c r="B24" s="12"/>
      <c r="D24" s="9"/>
      <c r="E24" s="9"/>
      <c r="F24" s="9"/>
      <c r="G24" s="9"/>
      <c r="H24" s="9"/>
      <c r="I24" s="9"/>
    </row>
    <row r="25" spans="1:9" x14ac:dyDescent="0.25">
      <c r="A25" s="8"/>
      <c r="B25" s="6"/>
      <c r="C25" s="7" t="s">
        <v>5</v>
      </c>
      <c r="D25" s="6" t="s">
        <v>6</v>
      </c>
      <c r="E25" s="7" t="s">
        <v>9</v>
      </c>
      <c r="F25" s="7" t="s">
        <v>10</v>
      </c>
      <c r="G25" s="9"/>
      <c r="H25" s="9"/>
      <c r="I25" s="9"/>
    </row>
    <row r="26" spans="1:9" x14ac:dyDescent="0.25">
      <c r="A26" s="8" t="s">
        <v>2</v>
      </c>
      <c r="B26" s="9">
        <f>B18</f>
        <v>2000</v>
      </c>
      <c r="C26" s="10">
        <f>C22</f>
        <v>86767</v>
      </c>
      <c r="D26" s="20">
        <f>E22</f>
        <v>141601100</v>
      </c>
      <c r="E26" s="13">
        <v>22.1</v>
      </c>
      <c r="F26" s="4">
        <f>E26*C26</f>
        <v>1917550.7000000002</v>
      </c>
      <c r="G26" s="9"/>
    </row>
    <row r="27" spans="1:9" x14ac:dyDescent="0.25">
      <c r="A27" s="8" t="s">
        <v>11</v>
      </c>
      <c r="B27" s="9">
        <f>B19</f>
        <v>8000</v>
      </c>
      <c r="D27" s="20">
        <f>F22</f>
        <v>178254600</v>
      </c>
      <c r="E27" s="16">
        <v>5.95</v>
      </c>
      <c r="F27" s="3">
        <f>E27*(D27/1000)</f>
        <v>1060614.8700000001</v>
      </c>
      <c r="G27" s="9"/>
    </row>
    <row r="28" spans="1:9" x14ac:dyDescent="0.25">
      <c r="A28" s="8" t="s">
        <v>11</v>
      </c>
      <c r="B28" s="9">
        <f>B20</f>
        <v>20000</v>
      </c>
      <c r="D28" s="20">
        <f>G22</f>
        <v>51347600</v>
      </c>
      <c r="E28" s="16">
        <v>4.8499999999999996</v>
      </c>
      <c r="F28" s="3">
        <f>E28*(D28/1000)</f>
        <v>249035.86</v>
      </c>
      <c r="G28" s="9"/>
    </row>
    <row r="29" spans="1:9" x14ac:dyDescent="0.25">
      <c r="A29" s="8" t="s">
        <v>3</v>
      </c>
      <c r="B29" s="11">
        <f>B21</f>
        <v>30000</v>
      </c>
      <c r="C29" s="14"/>
      <c r="D29" s="21">
        <f>H22</f>
        <v>25306800</v>
      </c>
      <c r="E29" s="15">
        <v>3.85</v>
      </c>
      <c r="F29" s="25">
        <f>E29*(D29/1000)</f>
        <v>97431.18</v>
      </c>
      <c r="G29" s="9"/>
    </row>
    <row r="30" spans="1:9" x14ac:dyDescent="0.25">
      <c r="A30" s="8"/>
      <c r="B30" s="9" t="s">
        <v>7</v>
      </c>
      <c r="C30" s="3">
        <f>SUM(C26:C29)</f>
        <v>86767</v>
      </c>
      <c r="D30" s="22">
        <f>SUM(D26:D29)</f>
        <v>396510100</v>
      </c>
      <c r="F30" s="4">
        <f>SUM(F26:F29)</f>
        <v>3324632.6100000003</v>
      </c>
      <c r="G30" s="9"/>
      <c r="H30" s="9"/>
      <c r="I30" s="9"/>
    </row>
    <row r="31" spans="1:9" x14ac:dyDescent="0.25">
      <c r="A31" s="8"/>
      <c r="B31" s="9"/>
      <c r="C31" s="3"/>
      <c r="D31" s="22"/>
      <c r="F31" s="4"/>
      <c r="G31" s="9"/>
      <c r="H31" s="9"/>
      <c r="I31" s="9"/>
    </row>
    <row r="32" spans="1:9" ht="15.75" x14ac:dyDescent="0.25">
      <c r="A32" s="27" t="s">
        <v>15</v>
      </c>
      <c r="I32" s="9"/>
    </row>
    <row r="33" spans="1:9" x14ac:dyDescent="0.25">
      <c r="E33" s="2" t="s">
        <v>2</v>
      </c>
      <c r="F33" s="2" t="s">
        <v>11</v>
      </c>
      <c r="G33" s="2" t="s">
        <v>11</v>
      </c>
      <c r="H33" s="2" t="s">
        <v>3</v>
      </c>
      <c r="I33" s="9"/>
    </row>
    <row r="34" spans="1:9" x14ac:dyDescent="0.25">
      <c r="B34" s="6" t="s">
        <v>4</v>
      </c>
      <c r="C34" s="7" t="s">
        <v>5</v>
      </c>
      <c r="D34" s="7" t="s">
        <v>6</v>
      </c>
      <c r="E34" s="7">
        <f>B35</f>
        <v>5000</v>
      </c>
      <c r="F34" s="7">
        <f>B36</f>
        <v>5000</v>
      </c>
      <c r="G34" s="7">
        <f>B37</f>
        <v>20000</v>
      </c>
      <c r="H34" s="7">
        <f>B38</f>
        <v>30000</v>
      </c>
      <c r="I34" s="9"/>
    </row>
    <row r="35" spans="1:9" x14ac:dyDescent="0.25">
      <c r="A35" s="8" t="s">
        <v>2</v>
      </c>
      <c r="B35" s="9">
        <v>5000</v>
      </c>
      <c r="C35" s="20">
        <f>182+103+235+173</f>
        <v>693</v>
      </c>
      <c r="D35" s="20">
        <f>489200+145300+536100+212200</f>
        <v>1382800</v>
      </c>
      <c r="E35" s="20">
        <f>D35</f>
        <v>1382800</v>
      </c>
      <c r="F35" s="20">
        <v>0</v>
      </c>
      <c r="G35" s="20"/>
      <c r="H35" s="20">
        <v>0</v>
      </c>
      <c r="I35" s="9"/>
    </row>
    <row r="36" spans="1:9" x14ac:dyDescent="0.25">
      <c r="A36" s="8" t="s">
        <v>11</v>
      </c>
      <c r="B36" s="9">
        <v>5000</v>
      </c>
      <c r="C36" s="20">
        <f>92+20+93+24</f>
        <v>229</v>
      </c>
      <c r="D36" s="20">
        <f>650700+141300+669700+171300</f>
        <v>1633000</v>
      </c>
      <c r="E36" s="20">
        <f>C36*E$34</f>
        <v>1145000</v>
      </c>
      <c r="F36" s="20">
        <f>D36-E36</f>
        <v>488000</v>
      </c>
      <c r="G36" s="20"/>
      <c r="H36" s="20">
        <v>0</v>
      </c>
      <c r="I36" s="9"/>
    </row>
    <row r="37" spans="1:9" x14ac:dyDescent="0.25">
      <c r="A37" s="8" t="s">
        <v>11</v>
      </c>
      <c r="B37" s="9">
        <v>20000</v>
      </c>
      <c r="C37" s="20">
        <f>129+20+98+39</f>
        <v>286</v>
      </c>
      <c r="D37" s="20">
        <f>2243100+368900+1540700+693800</f>
        <v>4846500</v>
      </c>
      <c r="E37" s="20">
        <f>C37*E$34</f>
        <v>1430000</v>
      </c>
      <c r="F37" s="20">
        <f>$C37*F$34</f>
        <v>1430000</v>
      </c>
      <c r="G37" s="20">
        <f>D37-(E37+F37)</f>
        <v>1986500</v>
      </c>
      <c r="H37" s="20"/>
      <c r="I37" s="9"/>
    </row>
    <row r="38" spans="1:9" x14ac:dyDescent="0.25">
      <c r="A38" s="8" t="s">
        <v>3</v>
      </c>
      <c r="B38" s="11">
        <v>30000</v>
      </c>
      <c r="C38" s="21">
        <f>31+11+2+19+22+14+20+11+25+27+26+20</f>
        <v>228</v>
      </c>
      <c r="D38" s="21">
        <f>1218700+860600+320400+814100+1806400+8237900+863200+846900+4088000+1062600+2157400+3272700</f>
        <v>25548900</v>
      </c>
      <c r="E38" s="21">
        <f>C38*E$34</f>
        <v>1140000</v>
      </c>
      <c r="F38" s="21">
        <f>$C38*F$34</f>
        <v>1140000</v>
      </c>
      <c r="G38" s="21">
        <f>$C38*G$34</f>
        <v>4560000</v>
      </c>
      <c r="H38" s="21">
        <f>D38-(F38+E38+G38)</f>
        <v>18708900</v>
      </c>
      <c r="I38" s="9"/>
    </row>
    <row r="39" spans="1:9" x14ac:dyDescent="0.25">
      <c r="A39" s="8"/>
      <c r="B39" s="9"/>
      <c r="C39" s="22">
        <f t="shared" ref="C39:H39" si="1">SUM(C35:C38)</f>
        <v>1436</v>
      </c>
      <c r="D39" s="22">
        <f t="shared" si="1"/>
        <v>33411200</v>
      </c>
      <c r="E39" s="22">
        <f t="shared" si="1"/>
        <v>5097800</v>
      </c>
      <c r="F39" s="22">
        <f t="shared" si="1"/>
        <v>3058000</v>
      </c>
      <c r="G39" s="22">
        <f t="shared" si="1"/>
        <v>6546500</v>
      </c>
      <c r="H39" s="22">
        <f t="shared" si="1"/>
        <v>18708900</v>
      </c>
      <c r="I39" s="9"/>
    </row>
    <row r="40" spans="1:9" x14ac:dyDescent="0.25">
      <c r="A40" s="8"/>
      <c r="B40" s="9"/>
      <c r="D40" s="9"/>
      <c r="E40" s="9"/>
      <c r="F40" s="9"/>
      <c r="G40" s="9"/>
      <c r="H40" s="9"/>
      <c r="I40" s="9"/>
    </row>
    <row r="41" spans="1:9" x14ac:dyDescent="0.25">
      <c r="A41" s="12" t="s">
        <v>8</v>
      </c>
      <c r="B41" s="12"/>
      <c r="D41" s="9"/>
      <c r="E41" s="9"/>
      <c r="F41" s="9"/>
      <c r="G41" s="9"/>
      <c r="H41" s="9"/>
      <c r="I41" s="9"/>
    </row>
    <row r="42" spans="1:9" x14ac:dyDescent="0.25">
      <c r="A42" s="8"/>
      <c r="B42" s="6"/>
      <c r="C42" s="7" t="s">
        <v>5</v>
      </c>
      <c r="D42" s="6" t="s">
        <v>6</v>
      </c>
      <c r="E42" s="7" t="s">
        <v>9</v>
      </c>
      <c r="F42" s="7" t="s">
        <v>10</v>
      </c>
      <c r="G42" s="9"/>
      <c r="H42" s="9"/>
      <c r="I42" s="9"/>
    </row>
    <row r="43" spans="1:9" x14ac:dyDescent="0.25">
      <c r="A43" s="8" t="s">
        <v>2</v>
      </c>
      <c r="B43" s="9">
        <f>B35</f>
        <v>5000</v>
      </c>
      <c r="C43" s="10">
        <f>C39</f>
        <v>1436</v>
      </c>
      <c r="D43" s="20">
        <f>E39</f>
        <v>5097800</v>
      </c>
      <c r="E43" s="13">
        <v>39.950000000000003</v>
      </c>
      <c r="F43" s="4">
        <f>E43*C43</f>
        <v>57368.200000000004</v>
      </c>
      <c r="G43" s="9"/>
      <c r="I43" s="9"/>
    </row>
    <row r="44" spans="1:9" x14ac:dyDescent="0.25">
      <c r="A44" s="8" t="s">
        <v>11</v>
      </c>
      <c r="B44" s="9">
        <f>B36</f>
        <v>5000</v>
      </c>
      <c r="D44" s="20">
        <f>F39</f>
        <v>3058000</v>
      </c>
      <c r="E44" s="16">
        <v>5.95</v>
      </c>
      <c r="F44" s="3">
        <f>E44*(D44/1000)</f>
        <v>18195.100000000002</v>
      </c>
      <c r="G44" s="9"/>
      <c r="I44" s="9"/>
    </row>
    <row r="45" spans="1:9" x14ac:dyDescent="0.25">
      <c r="A45" s="8" t="s">
        <v>11</v>
      </c>
      <c r="B45" s="9">
        <f>B37</f>
        <v>20000</v>
      </c>
      <c r="D45" s="20">
        <f>G39</f>
        <v>6546500</v>
      </c>
      <c r="E45" s="16">
        <v>4.8499999999999996</v>
      </c>
      <c r="F45" s="3">
        <f>E45*(D45/1000)</f>
        <v>31750.524999999998</v>
      </c>
      <c r="G45" s="9"/>
      <c r="I45" s="9"/>
    </row>
    <row r="46" spans="1:9" x14ac:dyDescent="0.25">
      <c r="A46" s="8" t="s">
        <v>3</v>
      </c>
      <c r="B46" s="11">
        <f>B38</f>
        <v>30000</v>
      </c>
      <c r="C46" s="14"/>
      <c r="D46" s="21">
        <f>H39</f>
        <v>18708900</v>
      </c>
      <c r="E46" s="15">
        <v>3.85</v>
      </c>
      <c r="F46" s="25">
        <f>E46*(D46/1000)</f>
        <v>72029.265000000014</v>
      </c>
      <c r="G46" s="9"/>
      <c r="I46" s="9"/>
    </row>
    <row r="47" spans="1:9" x14ac:dyDescent="0.25">
      <c r="A47" s="8"/>
      <c r="B47" s="9" t="s">
        <v>7</v>
      </c>
      <c r="C47" s="3">
        <f>SUM(C43:C46)</f>
        <v>1436</v>
      </c>
      <c r="D47" s="22">
        <f>SUM(D43:D46)</f>
        <v>33411200</v>
      </c>
      <c r="F47" s="4">
        <f>SUM(F43:F46)</f>
        <v>179343.09000000003</v>
      </c>
      <c r="G47" s="9"/>
      <c r="H47" s="9"/>
      <c r="I47" s="9"/>
    </row>
    <row r="48" spans="1:9" x14ac:dyDescent="0.25">
      <c r="A48" s="8"/>
      <c r="B48" s="9"/>
      <c r="C48" s="3"/>
      <c r="D48" s="22"/>
      <c r="F48" s="4"/>
      <c r="G48" s="9"/>
      <c r="H48" s="9"/>
      <c r="I48" s="9"/>
    </row>
    <row r="49" spans="1:9" ht="15.75" x14ac:dyDescent="0.25">
      <c r="A49" s="27" t="s">
        <v>16</v>
      </c>
    </row>
    <row r="50" spans="1:9" ht="15.75" x14ac:dyDescent="0.25">
      <c r="E50" s="2" t="s">
        <v>2</v>
      </c>
      <c r="F50" s="2" t="s">
        <v>11</v>
      </c>
      <c r="G50" s="2" t="s">
        <v>3</v>
      </c>
      <c r="H50"/>
      <c r="I50"/>
    </row>
    <row r="51" spans="1:9" ht="15.75" x14ac:dyDescent="0.25">
      <c r="B51" s="6" t="s">
        <v>4</v>
      </c>
      <c r="C51" s="7" t="s">
        <v>5</v>
      </c>
      <c r="D51" s="7" t="s">
        <v>6</v>
      </c>
      <c r="E51" s="7">
        <f>B52</f>
        <v>15000</v>
      </c>
      <c r="F51" s="7">
        <f>B53</f>
        <v>15000</v>
      </c>
      <c r="G51" s="7">
        <f>B54</f>
        <v>30000</v>
      </c>
      <c r="H51"/>
      <c r="I51"/>
    </row>
    <row r="52" spans="1:9" ht="15.75" x14ac:dyDescent="0.25">
      <c r="A52" s="8" t="s">
        <v>2</v>
      </c>
      <c r="B52" s="9">
        <v>15000</v>
      </c>
      <c r="C52" s="20">
        <f>16+21+96</f>
        <v>133</v>
      </c>
      <c r="D52" s="20">
        <f>82600+144000+290600</f>
        <v>517200</v>
      </c>
      <c r="E52" s="20">
        <f>D52</f>
        <v>517200</v>
      </c>
      <c r="F52" s="20">
        <v>0</v>
      </c>
      <c r="G52" s="20">
        <v>0</v>
      </c>
      <c r="H52"/>
      <c r="I52"/>
    </row>
    <row r="53" spans="1:9" ht="15.75" x14ac:dyDescent="0.25">
      <c r="A53" s="8" t="s">
        <v>11</v>
      </c>
      <c r="B53" s="9">
        <v>15000</v>
      </c>
      <c r="C53" s="20">
        <f>8+27+27</f>
        <v>62</v>
      </c>
      <c r="D53" s="20">
        <f>182500+606700+548100</f>
        <v>1337300</v>
      </c>
      <c r="E53" s="20">
        <f>$C53*E$51</f>
        <v>930000</v>
      </c>
      <c r="F53" s="20">
        <f>D53-E53</f>
        <v>407300</v>
      </c>
      <c r="G53" s="20">
        <v>0</v>
      </c>
      <c r="H53"/>
      <c r="I53"/>
    </row>
    <row r="54" spans="1:9" ht="15.75" x14ac:dyDescent="0.25">
      <c r="A54" s="8" t="s">
        <v>3</v>
      </c>
      <c r="B54" s="11">
        <v>30000</v>
      </c>
      <c r="C54" s="21">
        <f>10+7+0+15+11+14+19+16+73</f>
        <v>165</v>
      </c>
      <c r="D54" s="21">
        <f>454900+673700+623300+839000+2233000+870500+1476500+19605800</f>
        <v>26776700</v>
      </c>
      <c r="E54" s="21">
        <f>$C54*E$51</f>
        <v>2475000</v>
      </c>
      <c r="F54" s="21">
        <f>$C54*F$51</f>
        <v>2475000</v>
      </c>
      <c r="G54" s="21">
        <f>D54-(F54+E54)</f>
        <v>21826700</v>
      </c>
      <c r="H54"/>
      <c r="I54"/>
    </row>
    <row r="55" spans="1:9" ht="15.75" x14ac:dyDescent="0.25">
      <c r="A55" s="8"/>
      <c r="B55" s="9"/>
      <c r="C55" s="22">
        <f>SUM(C52:C54)</f>
        <v>360</v>
      </c>
      <c r="D55" s="22">
        <f>SUM(D52:D54)</f>
        <v>28631200</v>
      </c>
      <c r="E55" s="22">
        <f>SUM(E52:E54)</f>
        <v>3922200</v>
      </c>
      <c r="F55" s="22">
        <f>SUM(F52:F54)</f>
        <v>2882300</v>
      </c>
      <c r="G55" s="22">
        <f>SUM(G52:G54)</f>
        <v>21826700</v>
      </c>
      <c r="H55"/>
      <c r="I55"/>
    </row>
    <row r="56" spans="1:9" x14ac:dyDescent="0.25">
      <c r="A56" s="8"/>
      <c r="B56" s="9"/>
      <c r="D56" s="9"/>
      <c r="E56" s="9"/>
      <c r="F56" s="9"/>
      <c r="G56" s="9"/>
      <c r="H56" s="9"/>
    </row>
    <row r="57" spans="1:9" x14ac:dyDescent="0.25">
      <c r="A57" s="12" t="s">
        <v>8</v>
      </c>
      <c r="B57" s="12"/>
      <c r="D57" s="9"/>
      <c r="E57" s="9"/>
      <c r="F57" s="9"/>
      <c r="G57" s="9"/>
      <c r="H57" s="9"/>
    </row>
    <row r="58" spans="1:9" x14ac:dyDescent="0.25">
      <c r="A58" s="8"/>
      <c r="B58" s="6"/>
      <c r="C58" s="7" t="s">
        <v>5</v>
      </c>
      <c r="D58" s="6" t="s">
        <v>6</v>
      </c>
      <c r="E58" s="7" t="s">
        <v>9</v>
      </c>
      <c r="F58" s="7" t="s">
        <v>10</v>
      </c>
      <c r="G58" s="9"/>
      <c r="H58" s="9"/>
    </row>
    <row r="59" spans="1:9" x14ac:dyDescent="0.25">
      <c r="A59" s="8" t="s">
        <v>2</v>
      </c>
      <c r="B59" s="9">
        <f>B52</f>
        <v>15000</v>
      </c>
      <c r="C59" s="10">
        <f>C55</f>
        <v>360</v>
      </c>
      <c r="D59" s="20">
        <f>E55</f>
        <v>3922200</v>
      </c>
      <c r="E59" s="13">
        <v>93.95</v>
      </c>
      <c r="F59" s="4">
        <f>E59*C59</f>
        <v>33822</v>
      </c>
      <c r="G59" s="9"/>
    </row>
    <row r="60" spans="1:9" x14ac:dyDescent="0.25">
      <c r="A60" s="8" t="s">
        <v>11</v>
      </c>
      <c r="B60" s="9">
        <f>B53</f>
        <v>15000</v>
      </c>
      <c r="D60" s="20">
        <f>F55</f>
        <v>2882300</v>
      </c>
      <c r="E60" s="32">
        <v>4.8499999999999996</v>
      </c>
      <c r="F60" s="3">
        <f>E60*(D60/1000)</f>
        <v>13979.155000000001</v>
      </c>
      <c r="G60" s="9"/>
    </row>
    <row r="61" spans="1:9" x14ac:dyDescent="0.25">
      <c r="A61" s="8" t="s">
        <v>3</v>
      </c>
      <c r="B61" s="11">
        <f>B54</f>
        <v>30000</v>
      </c>
      <c r="C61" s="14"/>
      <c r="D61" s="21">
        <f>G55</f>
        <v>21826700</v>
      </c>
      <c r="E61" s="39">
        <v>3.85</v>
      </c>
      <c r="F61" s="25">
        <f>E61*(D61/1000)</f>
        <v>84032.794999999998</v>
      </c>
      <c r="G61" s="9"/>
    </row>
    <row r="62" spans="1:9" x14ac:dyDescent="0.25">
      <c r="A62" s="8"/>
      <c r="B62" s="9" t="s">
        <v>7</v>
      </c>
      <c r="C62" s="3">
        <f>SUM(C59:C61)</f>
        <v>360</v>
      </c>
      <c r="D62" s="22">
        <f>SUM(D59:D61)</f>
        <v>28631200</v>
      </c>
      <c r="F62" s="4">
        <f>SUM(F59:F61)</f>
        <v>131833.95000000001</v>
      </c>
      <c r="G62" s="9"/>
      <c r="H62" s="9"/>
    </row>
    <row r="63" spans="1:9" x14ac:dyDescent="0.25">
      <c r="A63" s="8"/>
      <c r="B63" s="9"/>
      <c r="C63" s="3"/>
      <c r="D63" s="22"/>
      <c r="F63" s="4"/>
      <c r="G63" s="9"/>
      <c r="H63" s="9"/>
    </row>
    <row r="65" spans="1:4" x14ac:dyDescent="0.25">
      <c r="A65" s="5" t="s">
        <v>20</v>
      </c>
    </row>
    <row r="66" spans="1:4" x14ac:dyDescent="0.25">
      <c r="B66" s="7" t="s">
        <v>21</v>
      </c>
      <c r="C66" s="7" t="s">
        <v>9</v>
      </c>
      <c r="D66" s="6" t="s">
        <v>7</v>
      </c>
    </row>
    <row r="67" spans="1:4" x14ac:dyDescent="0.25">
      <c r="A67" s="8" t="s">
        <v>29</v>
      </c>
      <c r="B67" s="3">
        <v>131726</v>
      </c>
      <c r="C67" s="38">
        <v>2.59</v>
      </c>
      <c r="D67" s="4">
        <f>B67*C67</f>
        <v>341170.33999999997</v>
      </c>
    </row>
    <row r="68" spans="1:4" x14ac:dyDescent="0.25">
      <c r="A68" s="8" t="s">
        <v>33</v>
      </c>
      <c r="B68" s="3">
        <v>248022.16602316601</v>
      </c>
      <c r="C68" s="16">
        <v>2.59</v>
      </c>
      <c r="D68" s="3">
        <f>B68*C68</f>
        <v>642377.40999999992</v>
      </c>
    </row>
    <row r="69" spans="1:4" x14ac:dyDescent="0.25">
      <c r="A69" s="8" t="s">
        <v>25</v>
      </c>
      <c r="B69" s="3">
        <v>109429</v>
      </c>
      <c r="C69" s="16">
        <v>2.59</v>
      </c>
      <c r="D69" s="3">
        <f>B69*C69</f>
        <v>283421.11</v>
      </c>
    </row>
    <row r="70" spans="1:4" x14ac:dyDescent="0.25">
      <c r="A70" s="8" t="s">
        <v>26</v>
      </c>
      <c r="B70" s="3">
        <v>92184</v>
      </c>
      <c r="C70" s="16">
        <v>2.59</v>
      </c>
      <c r="D70" s="3">
        <f t="shared" ref="D70:D72" si="2">B70*C70</f>
        <v>238756.56</v>
      </c>
    </row>
    <row r="71" spans="1:4" x14ac:dyDescent="0.25">
      <c r="A71" s="8" t="s">
        <v>27</v>
      </c>
      <c r="B71" s="3">
        <v>32283</v>
      </c>
      <c r="C71" s="16">
        <v>2.59</v>
      </c>
      <c r="D71" s="3">
        <f t="shared" si="2"/>
        <v>83612.97</v>
      </c>
    </row>
    <row r="72" spans="1:4" ht="17.25" x14ac:dyDescent="0.4">
      <c r="A72" s="8" t="s">
        <v>28</v>
      </c>
      <c r="B72" s="17">
        <v>15619</v>
      </c>
      <c r="C72" s="16">
        <v>2.59</v>
      </c>
      <c r="D72" s="17">
        <f t="shared" si="2"/>
        <v>40453.21</v>
      </c>
    </row>
    <row r="73" spans="1:4" x14ac:dyDescent="0.25">
      <c r="B73" s="3">
        <f>SUM(B67:B72)</f>
        <v>629263.16602316604</v>
      </c>
      <c r="D73" s="3">
        <f>SUM(D67:D72)</f>
        <v>1629791.5999999999</v>
      </c>
    </row>
    <row r="75" spans="1:4" x14ac:dyDescent="0.25">
      <c r="A75" s="8" t="s">
        <v>34</v>
      </c>
      <c r="B75" s="1" t="s">
        <v>35</v>
      </c>
    </row>
  </sheetData>
  <mergeCells count="2">
    <mergeCell ref="A1:H1"/>
    <mergeCell ref="A2:H2"/>
  </mergeCells>
  <printOptions horizontalCentered="1"/>
  <pageMargins left="0.7" right="0.6" top="0.6" bottom="0.6" header="0.3" footer="0.3"/>
  <pageSetup scale="82" fitToHeight="2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5"/>
  <sheetViews>
    <sheetView workbookViewId="0">
      <selection activeCell="G62" sqref="G62"/>
    </sheetView>
  </sheetViews>
  <sheetFormatPr defaultColWidth="8.88671875" defaultRowHeight="15" x14ac:dyDescent="0.25"/>
  <cols>
    <col min="1" max="1" width="11.21875" style="1" customWidth="1"/>
    <col min="2" max="2" width="7.77734375" style="1" customWidth="1"/>
    <col min="3" max="3" width="7.21875" style="1" customWidth="1"/>
    <col min="4" max="4" width="11.5546875" style="1" customWidth="1"/>
    <col min="5" max="7" width="10.77734375" style="1" customWidth="1"/>
    <col min="8" max="8" width="9.77734375" style="1" customWidth="1"/>
    <col min="9" max="9" width="11" style="1" customWidth="1"/>
    <col min="10" max="16384" width="8.88671875" style="1"/>
  </cols>
  <sheetData>
    <row r="1" spans="1:9" ht="18.75" x14ac:dyDescent="0.3">
      <c r="A1" s="43" t="s">
        <v>37</v>
      </c>
      <c r="B1" s="43"/>
      <c r="C1" s="43"/>
      <c r="D1" s="43"/>
      <c r="E1" s="43"/>
      <c r="F1" s="43"/>
      <c r="G1" s="43"/>
      <c r="H1" s="43"/>
      <c r="I1" s="37"/>
    </row>
    <row r="2" spans="1:9" ht="18.75" x14ac:dyDescent="0.25">
      <c r="A2" s="44" t="s">
        <v>23</v>
      </c>
      <c r="B2" s="44"/>
      <c r="C2" s="44"/>
      <c r="D2" s="44"/>
      <c r="E2" s="44"/>
      <c r="F2" s="44"/>
      <c r="G2" s="44"/>
      <c r="H2" s="44"/>
      <c r="I2" s="28"/>
    </row>
    <row r="3" spans="1:9" ht="6.95" customHeight="1" x14ac:dyDescent="0.25"/>
    <row r="4" spans="1:9" x14ac:dyDescent="0.25">
      <c r="C4" s="24" t="s">
        <v>13</v>
      </c>
    </row>
    <row r="5" spans="1:9" x14ac:dyDescent="0.25">
      <c r="C5" s="31"/>
      <c r="D5" s="14"/>
      <c r="E5" s="6" t="s">
        <v>12</v>
      </c>
      <c r="F5" s="6" t="s">
        <v>1</v>
      </c>
      <c r="G5" s="6" t="s">
        <v>0</v>
      </c>
      <c r="H5" s="2"/>
    </row>
    <row r="6" spans="1:9" x14ac:dyDescent="0.25">
      <c r="C6" s="1" t="s">
        <v>17</v>
      </c>
      <c r="E6" s="3">
        <f>C22</f>
        <v>86767</v>
      </c>
      <c r="F6" s="18">
        <f>D22</f>
        <v>396510100</v>
      </c>
      <c r="G6" s="19">
        <f>F30</f>
        <v>3905525.0857374817</v>
      </c>
      <c r="H6" s="19"/>
      <c r="I6" s="19"/>
    </row>
    <row r="7" spans="1:9" x14ac:dyDescent="0.25">
      <c r="C7" s="1" t="s">
        <v>18</v>
      </c>
      <c r="E7" s="3">
        <f>C39</f>
        <v>1436</v>
      </c>
      <c r="F7" s="18">
        <f>D39</f>
        <v>33411200</v>
      </c>
      <c r="G7" s="3">
        <f>F47</f>
        <v>219694.17506141763</v>
      </c>
      <c r="H7" s="3"/>
      <c r="I7" s="3"/>
    </row>
    <row r="8" spans="1:9" ht="17.25" x14ac:dyDescent="0.4">
      <c r="C8" s="1" t="s">
        <v>19</v>
      </c>
      <c r="E8" s="17">
        <f>C55</f>
        <v>360</v>
      </c>
      <c r="F8" s="26">
        <f>D55</f>
        <v>28631200</v>
      </c>
      <c r="G8" s="17">
        <f>F62</f>
        <v>165078.12303768151</v>
      </c>
      <c r="H8" s="3"/>
      <c r="I8" s="17"/>
    </row>
    <row r="9" spans="1:9" x14ac:dyDescent="0.25">
      <c r="D9" s="8" t="s">
        <v>30</v>
      </c>
      <c r="E9" s="23">
        <f>SUM(E6:E8)</f>
        <v>88563</v>
      </c>
      <c r="F9" s="23">
        <f>SUM(F6:F8)</f>
        <v>458552500</v>
      </c>
      <c r="G9" s="29">
        <f>SUM(G6:G8)</f>
        <v>4290297.3838365814</v>
      </c>
      <c r="H9" s="40"/>
      <c r="I9" s="29"/>
    </row>
    <row r="10" spans="1:9" ht="17.25" x14ac:dyDescent="0.4">
      <c r="C10" s="1" t="s">
        <v>31</v>
      </c>
      <c r="D10" s="8"/>
      <c r="E10" s="23"/>
      <c r="F10" s="23"/>
      <c r="G10" s="17">
        <v>-71332.7307</v>
      </c>
      <c r="H10" s="40"/>
      <c r="I10" s="17"/>
    </row>
    <row r="11" spans="1:9" x14ac:dyDescent="0.25">
      <c r="C11" s="1" t="s">
        <v>32</v>
      </c>
      <c r="E11" s="23"/>
      <c r="F11" s="23"/>
      <c r="G11" s="29">
        <f>G9+G10</f>
        <v>4218964.6531365812</v>
      </c>
      <c r="H11" s="40"/>
      <c r="I11" s="29"/>
    </row>
    <row r="12" spans="1:9" ht="17.25" x14ac:dyDescent="0.4">
      <c r="D12" s="33" t="s">
        <v>36</v>
      </c>
      <c r="F12" s="18">
        <f>B73*1000</f>
        <v>629263166.02316606</v>
      </c>
      <c r="G12" s="17">
        <f>D73</f>
        <v>1906667.3930501929</v>
      </c>
      <c r="H12" s="17"/>
      <c r="I12" s="17"/>
    </row>
    <row r="13" spans="1:9" ht="20.100000000000001" customHeight="1" x14ac:dyDescent="0.25">
      <c r="C13" s="35" t="s">
        <v>38</v>
      </c>
      <c r="D13" s="34"/>
      <c r="E13" s="34"/>
      <c r="F13" s="34"/>
      <c r="G13" s="36">
        <f>G11+G12</f>
        <v>6125632.046186774</v>
      </c>
      <c r="I13" s="36"/>
    </row>
    <row r="14" spans="1:9" ht="6.95" customHeight="1" x14ac:dyDescent="0.4">
      <c r="F14" s="8"/>
      <c r="G14" s="30"/>
      <c r="I14" s="29"/>
    </row>
    <row r="15" spans="1:9" ht="15.75" x14ac:dyDescent="0.25">
      <c r="A15" s="27" t="s">
        <v>14</v>
      </c>
    </row>
    <row r="16" spans="1:9" ht="15.75" x14ac:dyDescent="0.25">
      <c r="E16" s="2" t="s">
        <v>2</v>
      </c>
      <c r="F16" s="2" t="s">
        <v>11</v>
      </c>
      <c r="G16" s="2" t="s">
        <v>11</v>
      </c>
      <c r="H16" s="2" t="s">
        <v>3</v>
      </c>
      <c r="I16"/>
    </row>
    <row r="17" spans="1:9" ht="15.75" x14ac:dyDescent="0.25">
      <c r="B17" s="6" t="s">
        <v>4</v>
      </c>
      <c r="C17" s="7" t="s">
        <v>5</v>
      </c>
      <c r="D17" s="7" t="s">
        <v>6</v>
      </c>
      <c r="E17" s="7">
        <f>B18</f>
        <v>2000</v>
      </c>
      <c r="F17" s="7">
        <f>B19</f>
        <v>8000</v>
      </c>
      <c r="G17" s="7">
        <f>B20</f>
        <v>20000</v>
      </c>
      <c r="H17" s="7">
        <f>B21</f>
        <v>30000</v>
      </c>
      <c r="I17"/>
    </row>
    <row r="18" spans="1:9" ht="15.75" x14ac:dyDescent="0.25">
      <c r="A18" s="8" t="s">
        <v>2</v>
      </c>
      <c r="B18" s="9">
        <v>2000</v>
      </c>
      <c r="C18" s="20">
        <f>11762+752+17156+521</f>
        <v>30191</v>
      </c>
      <c r="D18" s="20">
        <f>11712300+430500+16060200+246100</f>
        <v>28449100</v>
      </c>
      <c r="E18" s="20">
        <f>D18</f>
        <v>28449100</v>
      </c>
      <c r="F18" s="20">
        <v>0</v>
      </c>
      <c r="G18" s="20"/>
      <c r="H18" s="20">
        <v>0</v>
      </c>
      <c r="I18"/>
    </row>
    <row r="19" spans="1:9" ht="15.75" x14ac:dyDescent="0.25">
      <c r="A19" s="8" t="s">
        <v>11</v>
      </c>
      <c r="B19" s="9">
        <v>8000</v>
      </c>
      <c r="C19" s="20">
        <f>19870+286+29060+318</f>
        <v>49534</v>
      </c>
      <c r="D19" s="20">
        <f>87268100+1350100+130722300+1646100</f>
        <v>220986600</v>
      </c>
      <c r="E19" s="20">
        <f>C19*E$17</f>
        <v>99068000</v>
      </c>
      <c r="F19" s="20">
        <f>D19-E19</f>
        <v>121918600</v>
      </c>
      <c r="G19" s="20"/>
      <c r="H19" s="20">
        <v>0</v>
      </c>
      <c r="I19"/>
    </row>
    <row r="20" spans="1:9" ht="15.75" x14ac:dyDescent="0.25">
      <c r="A20" s="8" t="s">
        <v>11</v>
      </c>
      <c r="B20" s="9">
        <v>20000</v>
      </c>
      <c r="C20" s="20">
        <f>2177+117+3688+106</f>
        <v>6088</v>
      </c>
      <c r="D20" s="20">
        <f>33138600+1873400+56443300+1692300</f>
        <v>93147600</v>
      </c>
      <c r="E20" s="20">
        <f>C20*E$17</f>
        <v>12176000</v>
      </c>
      <c r="F20" s="20">
        <f>$C20*F$17</f>
        <v>48704000</v>
      </c>
      <c r="G20" s="20">
        <f>D20-(E20+F20)</f>
        <v>32267600</v>
      </c>
      <c r="H20" s="20"/>
      <c r="I20"/>
    </row>
    <row r="21" spans="1:9" ht="15.75" x14ac:dyDescent="0.25">
      <c r="A21" s="8" t="s">
        <v>3</v>
      </c>
      <c r="B21" s="11">
        <v>30000</v>
      </c>
      <c r="C21" s="21">
        <f>243+69+19+22+6+1+432+97+26+8+23+8</f>
        <v>954</v>
      </c>
      <c r="D21" s="21">
        <f>9715600+5342900+3850500+942600+436600+111500+17470000+7585600+4935900+295200+2088400+1152000</f>
        <v>53926800</v>
      </c>
      <c r="E21" s="21">
        <f>C21*E$17</f>
        <v>1908000</v>
      </c>
      <c r="F21" s="21">
        <f>$C21*F$17</f>
        <v>7632000</v>
      </c>
      <c r="G21" s="21">
        <f>$C21*G$17</f>
        <v>19080000</v>
      </c>
      <c r="H21" s="21">
        <f>D21-(F21+E21+G21)</f>
        <v>25306800</v>
      </c>
      <c r="I21"/>
    </row>
    <row r="22" spans="1:9" ht="15.75" x14ac:dyDescent="0.25">
      <c r="A22" s="8"/>
      <c r="B22" s="9"/>
      <c r="C22" s="22">
        <f t="shared" ref="C22:H22" si="0">SUM(C18:C21)</f>
        <v>86767</v>
      </c>
      <c r="D22" s="22">
        <f t="shared" si="0"/>
        <v>396510100</v>
      </c>
      <c r="E22" s="22">
        <f t="shared" si="0"/>
        <v>141601100</v>
      </c>
      <c r="F22" s="22">
        <f t="shared" si="0"/>
        <v>178254600</v>
      </c>
      <c r="G22" s="22">
        <f t="shared" si="0"/>
        <v>51347600</v>
      </c>
      <c r="H22" s="22">
        <f t="shared" si="0"/>
        <v>25306800</v>
      </c>
      <c r="I22"/>
    </row>
    <row r="23" spans="1:9" x14ac:dyDescent="0.25">
      <c r="A23" s="8"/>
      <c r="B23" s="9"/>
      <c r="D23" s="9"/>
      <c r="E23" s="9"/>
      <c r="F23" s="9"/>
      <c r="G23" s="9"/>
      <c r="H23" s="9"/>
      <c r="I23" s="9"/>
    </row>
    <row r="24" spans="1:9" x14ac:dyDescent="0.25">
      <c r="A24" s="12" t="s">
        <v>8</v>
      </c>
      <c r="B24" s="12"/>
      <c r="D24" s="9"/>
      <c r="E24" s="9"/>
      <c r="F24" s="9"/>
      <c r="G24" s="9"/>
      <c r="H24" s="9"/>
      <c r="I24" s="9"/>
    </row>
    <row r="25" spans="1:9" x14ac:dyDescent="0.25">
      <c r="A25" s="8"/>
      <c r="B25" s="6"/>
      <c r="C25" s="7" t="s">
        <v>5</v>
      </c>
      <c r="D25" s="6" t="s">
        <v>6</v>
      </c>
      <c r="E25" s="7" t="s">
        <v>9</v>
      </c>
      <c r="F25" s="7" t="s">
        <v>10</v>
      </c>
      <c r="G25" s="41" t="s">
        <v>39</v>
      </c>
      <c r="H25" s="9"/>
      <c r="I25" s="9"/>
    </row>
    <row r="26" spans="1:9" x14ac:dyDescent="0.25">
      <c r="A26" s="8" t="s">
        <v>2</v>
      </c>
      <c r="B26" s="9">
        <f>B18</f>
        <v>2000</v>
      </c>
      <c r="C26" s="10">
        <f>C22</f>
        <v>86767</v>
      </c>
      <c r="D26" s="20">
        <f>E22</f>
        <v>141601100</v>
      </c>
      <c r="E26" s="13">
        <v>25.695522326892501</v>
      </c>
      <c r="F26" s="4">
        <f>E26*C26</f>
        <v>2229523.3857374815</v>
      </c>
      <c r="G26" s="19">
        <f>F26-ExBA!F26</f>
        <v>311972.68573748134</v>
      </c>
    </row>
    <row r="27" spans="1:9" x14ac:dyDescent="0.25">
      <c r="A27" s="8" t="s">
        <v>11</v>
      </c>
      <c r="B27" s="9">
        <f>B19</f>
        <v>8000</v>
      </c>
      <c r="D27" s="20">
        <f>F22</f>
        <v>178254600</v>
      </c>
      <c r="E27" s="16">
        <v>7</v>
      </c>
      <c r="F27" s="3">
        <f>E27*(D27/1000)</f>
        <v>1247782.2</v>
      </c>
      <c r="G27" s="9">
        <f>F27-ExBA!F27</f>
        <v>187167.32999999984</v>
      </c>
    </row>
    <row r="28" spans="1:9" x14ac:dyDescent="0.25">
      <c r="A28" s="8" t="s">
        <v>11</v>
      </c>
      <c r="B28" s="9">
        <f>B20</f>
        <v>20000</v>
      </c>
      <c r="D28" s="20">
        <f>G22</f>
        <v>51347600</v>
      </c>
      <c r="E28" s="16">
        <v>5.9</v>
      </c>
      <c r="F28" s="3">
        <f>E28*(D28/1000)</f>
        <v>302950.84000000003</v>
      </c>
      <c r="G28" s="9">
        <f>F28-ExBA!F28</f>
        <v>53914.98000000004</v>
      </c>
    </row>
    <row r="29" spans="1:9" x14ac:dyDescent="0.25">
      <c r="A29" s="8" t="s">
        <v>3</v>
      </c>
      <c r="B29" s="11">
        <f>B21</f>
        <v>30000</v>
      </c>
      <c r="C29" s="14"/>
      <c r="D29" s="21">
        <f>H22</f>
        <v>25306800</v>
      </c>
      <c r="E29" s="15">
        <v>4.95</v>
      </c>
      <c r="F29" s="25">
        <f>E29*(D29/1000)</f>
        <v>125268.66</v>
      </c>
      <c r="G29" s="11">
        <f>F29-ExBA!F29</f>
        <v>27837.48000000001</v>
      </c>
    </row>
    <row r="30" spans="1:9" x14ac:dyDescent="0.25">
      <c r="A30" s="8"/>
      <c r="B30" s="9" t="s">
        <v>7</v>
      </c>
      <c r="C30" s="3">
        <f>SUM(C26:C29)</f>
        <v>86767</v>
      </c>
      <c r="D30" s="22">
        <f>SUM(D26:D29)</f>
        <v>396510100</v>
      </c>
      <c r="F30" s="4">
        <f>SUM(F26:F29)</f>
        <v>3905525.0857374817</v>
      </c>
      <c r="G30" s="19">
        <f>F30-ExBA!F30</f>
        <v>580892.47573748138</v>
      </c>
      <c r="H30" s="9"/>
      <c r="I30" s="9"/>
    </row>
    <row r="31" spans="1:9" x14ac:dyDescent="0.25">
      <c r="A31" s="8"/>
      <c r="B31" s="9"/>
      <c r="C31" s="3"/>
      <c r="D31" s="22"/>
      <c r="F31" s="4"/>
      <c r="G31" s="9"/>
      <c r="H31" s="9"/>
      <c r="I31" s="9"/>
    </row>
    <row r="32" spans="1:9" ht="15.75" x14ac:dyDescent="0.25">
      <c r="A32" s="27" t="s">
        <v>15</v>
      </c>
      <c r="I32" s="9"/>
    </row>
    <row r="33" spans="1:9" x14ac:dyDescent="0.25">
      <c r="E33" s="2" t="s">
        <v>2</v>
      </c>
      <c r="F33" s="2" t="s">
        <v>11</v>
      </c>
      <c r="G33" s="2" t="s">
        <v>11</v>
      </c>
      <c r="H33" s="2" t="s">
        <v>3</v>
      </c>
      <c r="I33" s="9"/>
    </row>
    <row r="34" spans="1:9" x14ac:dyDescent="0.25">
      <c r="B34" s="6" t="s">
        <v>4</v>
      </c>
      <c r="C34" s="7" t="s">
        <v>5</v>
      </c>
      <c r="D34" s="7" t="s">
        <v>6</v>
      </c>
      <c r="E34" s="7">
        <f>B35</f>
        <v>5000</v>
      </c>
      <c r="F34" s="7">
        <f>B36</f>
        <v>5000</v>
      </c>
      <c r="G34" s="7">
        <f>B37</f>
        <v>20000</v>
      </c>
      <c r="H34" s="7">
        <f>B38</f>
        <v>30000</v>
      </c>
      <c r="I34" s="9"/>
    </row>
    <row r="35" spans="1:9" x14ac:dyDescent="0.25">
      <c r="A35" s="8" t="s">
        <v>2</v>
      </c>
      <c r="B35" s="9">
        <v>5000</v>
      </c>
      <c r="C35" s="20">
        <f>182+103+235+173</f>
        <v>693</v>
      </c>
      <c r="D35" s="20">
        <f>489200+145300+536100+212200</f>
        <v>1382800</v>
      </c>
      <c r="E35" s="20">
        <f>D35</f>
        <v>1382800</v>
      </c>
      <c r="F35" s="20">
        <v>0</v>
      </c>
      <c r="G35" s="20"/>
      <c r="H35" s="20">
        <v>0</v>
      </c>
      <c r="I35" s="9"/>
    </row>
    <row r="36" spans="1:9" x14ac:dyDescent="0.25">
      <c r="A36" s="8" t="s">
        <v>11</v>
      </c>
      <c r="B36" s="9">
        <v>5000</v>
      </c>
      <c r="C36" s="20">
        <f>92+20+93+24</f>
        <v>229</v>
      </c>
      <c r="D36" s="20">
        <f>650700+141300+669700+171300</f>
        <v>1633000</v>
      </c>
      <c r="E36" s="20">
        <f>C36*E$34</f>
        <v>1145000</v>
      </c>
      <c r="F36" s="20">
        <f>D36-E36</f>
        <v>488000</v>
      </c>
      <c r="G36" s="20"/>
      <c r="H36" s="20">
        <v>0</v>
      </c>
      <c r="I36" s="9"/>
    </row>
    <row r="37" spans="1:9" x14ac:dyDescent="0.25">
      <c r="A37" s="8" t="s">
        <v>11</v>
      </c>
      <c r="B37" s="9">
        <v>20000</v>
      </c>
      <c r="C37" s="20">
        <f>129+20+98+39</f>
        <v>286</v>
      </c>
      <c r="D37" s="20">
        <f>2243100+368900+1540700+693800</f>
        <v>4846500</v>
      </c>
      <c r="E37" s="20">
        <f>C37*E$34</f>
        <v>1430000</v>
      </c>
      <c r="F37" s="20">
        <f>$C37*F$34</f>
        <v>1430000</v>
      </c>
      <c r="G37" s="20">
        <f>D37-(E37+F37)</f>
        <v>1986500</v>
      </c>
      <c r="H37" s="20"/>
      <c r="I37" s="9"/>
    </row>
    <row r="38" spans="1:9" x14ac:dyDescent="0.25">
      <c r="A38" s="8" t="s">
        <v>3</v>
      </c>
      <c r="B38" s="11">
        <v>30000</v>
      </c>
      <c r="C38" s="21">
        <f>31+11+2+19+22+14+20+11+25+27+26+20</f>
        <v>228</v>
      </c>
      <c r="D38" s="21">
        <f>1218700+860600+320400+814100+1806400+8237900+863200+846900+4088000+1062600+2157400+3272700</f>
        <v>25548900</v>
      </c>
      <c r="E38" s="21">
        <f>C38*E$34</f>
        <v>1140000</v>
      </c>
      <c r="F38" s="21">
        <f>$C38*F$34</f>
        <v>1140000</v>
      </c>
      <c r="G38" s="21">
        <f>$C38*G$34</f>
        <v>4560000</v>
      </c>
      <c r="H38" s="21">
        <f>D38-(F38+E38+G38)</f>
        <v>18708900</v>
      </c>
      <c r="I38" s="9"/>
    </row>
    <row r="39" spans="1:9" x14ac:dyDescent="0.25">
      <c r="A39" s="8"/>
      <c r="B39" s="9"/>
      <c r="C39" s="22">
        <f t="shared" ref="C39:H39" si="1">SUM(C35:C38)</f>
        <v>1436</v>
      </c>
      <c r="D39" s="22">
        <f t="shared" si="1"/>
        <v>33411200</v>
      </c>
      <c r="E39" s="22">
        <f t="shared" si="1"/>
        <v>5097800</v>
      </c>
      <c r="F39" s="22">
        <f t="shared" si="1"/>
        <v>3058000</v>
      </c>
      <c r="G39" s="22">
        <f t="shared" si="1"/>
        <v>6546500</v>
      </c>
      <c r="H39" s="22">
        <f t="shared" si="1"/>
        <v>18708900</v>
      </c>
      <c r="I39" s="9"/>
    </row>
    <row r="40" spans="1:9" x14ac:dyDescent="0.25">
      <c r="A40" s="8"/>
      <c r="B40" s="9"/>
      <c r="D40" s="9"/>
      <c r="E40" s="9"/>
      <c r="F40" s="9"/>
      <c r="G40" s="9"/>
      <c r="H40" s="9"/>
      <c r="I40" s="9"/>
    </row>
    <row r="41" spans="1:9" x14ac:dyDescent="0.25">
      <c r="A41" s="12" t="s">
        <v>8</v>
      </c>
      <c r="B41" s="12"/>
      <c r="D41" s="9"/>
      <c r="E41" s="9"/>
      <c r="F41" s="9"/>
      <c r="G41" s="9"/>
      <c r="H41" s="9"/>
      <c r="I41" s="9"/>
    </row>
    <row r="42" spans="1:9" x14ac:dyDescent="0.25">
      <c r="A42" s="8"/>
      <c r="B42" s="6"/>
      <c r="C42" s="7" t="s">
        <v>5</v>
      </c>
      <c r="D42" s="6" t="s">
        <v>6</v>
      </c>
      <c r="E42" s="7" t="s">
        <v>9</v>
      </c>
      <c r="F42" s="7" t="s">
        <v>10</v>
      </c>
      <c r="G42" s="41" t="s">
        <v>39</v>
      </c>
      <c r="H42" s="9"/>
      <c r="I42" s="9"/>
    </row>
    <row r="43" spans="1:9" x14ac:dyDescent="0.25">
      <c r="A43" s="8" t="s">
        <v>2</v>
      </c>
      <c r="B43" s="9">
        <f>B35</f>
        <v>5000</v>
      </c>
      <c r="C43" s="10">
        <f>C39</f>
        <v>1436</v>
      </c>
      <c r="D43" s="20">
        <f>E39</f>
        <v>5097800</v>
      </c>
      <c r="E43" s="13">
        <v>46.695522326892501</v>
      </c>
      <c r="F43" s="4">
        <f>E43*C43</f>
        <v>67054.770061417628</v>
      </c>
      <c r="G43" s="19">
        <f>F43-ExBA!F43</f>
        <v>9686.5700614176239</v>
      </c>
      <c r="I43" s="9"/>
    </row>
    <row r="44" spans="1:9" x14ac:dyDescent="0.25">
      <c r="A44" s="8" t="s">
        <v>11</v>
      </c>
      <c r="B44" s="9">
        <f>B36</f>
        <v>5000</v>
      </c>
      <c r="D44" s="20">
        <f>F39</f>
        <v>3058000</v>
      </c>
      <c r="E44" s="16">
        <v>7</v>
      </c>
      <c r="F44" s="3">
        <f>E44*(D44/1000)</f>
        <v>21406</v>
      </c>
      <c r="G44" s="9">
        <f>F44-ExBA!F44</f>
        <v>3210.8999999999978</v>
      </c>
      <c r="I44" s="9"/>
    </row>
    <row r="45" spans="1:9" x14ac:dyDescent="0.25">
      <c r="A45" s="8" t="s">
        <v>11</v>
      </c>
      <c r="B45" s="9">
        <f>B37</f>
        <v>20000</v>
      </c>
      <c r="D45" s="20">
        <f>G39</f>
        <v>6546500</v>
      </c>
      <c r="E45" s="16">
        <v>5.9</v>
      </c>
      <c r="F45" s="3">
        <f>E45*(D45/1000)</f>
        <v>38624.350000000006</v>
      </c>
      <c r="G45" s="9">
        <f>F45-ExBA!F45</f>
        <v>6873.825000000008</v>
      </c>
      <c r="I45" s="9"/>
    </row>
    <row r="46" spans="1:9" x14ac:dyDescent="0.25">
      <c r="A46" s="8" t="s">
        <v>3</v>
      </c>
      <c r="B46" s="11">
        <f>B38</f>
        <v>30000</v>
      </c>
      <c r="C46" s="14"/>
      <c r="D46" s="21">
        <f>H39</f>
        <v>18708900</v>
      </c>
      <c r="E46" s="15">
        <v>4.95</v>
      </c>
      <c r="F46" s="25">
        <f>E46*(D46/1000)</f>
        <v>92609.055000000008</v>
      </c>
      <c r="G46" s="11">
        <f>F46-ExBA!F46</f>
        <v>20579.789999999994</v>
      </c>
      <c r="I46" s="9"/>
    </row>
    <row r="47" spans="1:9" x14ac:dyDescent="0.25">
      <c r="A47" s="8"/>
      <c r="B47" s="9" t="s">
        <v>7</v>
      </c>
      <c r="C47" s="3">
        <f>SUM(C43:C46)</f>
        <v>1436</v>
      </c>
      <c r="D47" s="22">
        <f>SUM(D43:D46)</f>
        <v>33411200</v>
      </c>
      <c r="F47" s="4">
        <f>SUM(F43:F46)</f>
        <v>219694.17506141763</v>
      </c>
      <c r="G47" s="19">
        <f>F47-ExBA!F47</f>
        <v>40351.085061417602</v>
      </c>
      <c r="H47" s="9"/>
      <c r="I47" s="9"/>
    </row>
    <row r="48" spans="1:9" x14ac:dyDescent="0.25">
      <c r="A48" s="8"/>
      <c r="B48" s="9"/>
      <c r="C48" s="3"/>
      <c r="D48" s="22"/>
      <c r="F48" s="4"/>
      <c r="G48" s="9"/>
      <c r="H48" s="9"/>
      <c r="I48" s="9"/>
    </row>
    <row r="49" spans="1:9" ht="15.75" x14ac:dyDescent="0.25">
      <c r="A49" s="27" t="s">
        <v>16</v>
      </c>
    </row>
    <row r="50" spans="1:9" ht="15.75" x14ac:dyDescent="0.25">
      <c r="E50" s="2" t="s">
        <v>2</v>
      </c>
      <c r="F50" s="2" t="s">
        <v>11</v>
      </c>
      <c r="G50" s="2" t="s">
        <v>3</v>
      </c>
      <c r="H50"/>
      <c r="I50"/>
    </row>
    <row r="51" spans="1:9" ht="15.75" x14ac:dyDescent="0.25">
      <c r="B51" s="6" t="s">
        <v>4</v>
      </c>
      <c r="C51" s="7" t="s">
        <v>5</v>
      </c>
      <c r="D51" s="7" t="s">
        <v>6</v>
      </c>
      <c r="E51" s="7">
        <f>B52</f>
        <v>15000</v>
      </c>
      <c r="F51" s="7">
        <f>B53</f>
        <v>15000</v>
      </c>
      <c r="G51" s="7">
        <f>B54</f>
        <v>30000</v>
      </c>
      <c r="H51"/>
      <c r="I51"/>
    </row>
    <row r="52" spans="1:9" ht="15.75" x14ac:dyDescent="0.25">
      <c r="A52" s="8" t="s">
        <v>2</v>
      </c>
      <c r="B52" s="9">
        <v>15000</v>
      </c>
      <c r="C52" s="20">
        <f>16+21+96</f>
        <v>133</v>
      </c>
      <c r="D52" s="20">
        <f>82600+144000+290600</f>
        <v>517200</v>
      </c>
      <c r="E52" s="20">
        <f>D52</f>
        <v>517200</v>
      </c>
      <c r="F52" s="20">
        <v>0</v>
      </c>
      <c r="G52" s="20">
        <v>0</v>
      </c>
      <c r="H52"/>
      <c r="I52"/>
    </row>
    <row r="53" spans="1:9" ht="15.75" x14ac:dyDescent="0.25">
      <c r="A53" s="8" t="s">
        <v>11</v>
      </c>
      <c r="B53" s="9">
        <v>15000</v>
      </c>
      <c r="C53" s="20">
        <f>8+27+27</f>
        <v>62</v>
      </c>
      <c r="D53" s="20">
        <f>182500+606700+548100</f>
        <v>1337300</v>
      </c>
      <c r="E53" s="20">
        <f>$C53*E$51</f>
        <v>930000</v>
      </c>
      <c r="F53" s="20">
        <f>D53-E53</f>
        <v>407300</v>
      </c>
      <c r="G53" s="20">
        <v>0</v>
      </c>
      <c r="H53"/>
      <c r="I53"/>
    </row>
    <row r="54" spans="1:9" ht="15.75" x14ac:dyDescent="0.25">
      <c r="A54" s="8" t="s">
        <v>3</v>
      </c>
      <c r="B54" s="11">
        <v>30000</v>
      </c>
      <c r="C54" s="21">
        <f>10+7+0+15+11+14+19+16+73</f>
        <v>165</v>
      </c>
      <c r="D54" s="21">
        <f>454900+673700+623300+839000+2233000+870500+1476500+19605800</f>
        <v>26776700</v>
      </c>
      <c r="E54" s="21">
        <f>$C54*E$51</f>
        <v>2475000</v>
      </c>
      <c r="F54" s="21">
        <f>$C54*F$51</f>
        <v>2475000</v>
      </c>
      <c r="G54" s="21">
        <f>D54-(F54+E54)</f>
        <v>21826700</v>
      </c>
      <c r="H54"/>
      <c r="I54"/>
    </row>
    <row r="55" spans="1:9" ht="15.75" x14ac:dyDescent="0.25">
      <c r="A55" s="8"/>
      <c r="B55" s="9"/>
      <c r="C55" s="22">
        <f>SUM(C52:C54)</f>
        <v>360</v>
      </c>
      <c r="D55" s="22">
        <f>SUM(D52:D54)</f>
        <v>28631200</v>
      </c>
      <c r="E55" s="22">
        <f>SUM(E52:E54)</f>
        <v>3922200</v>
      </c>
      <c r="F55" s="22">
        <f>SUM(F52:F54)</f>
        <v>2882300</v>
      </c>
      <c r="G55" s="22">
        <f>SUM(G52:G54)</f>
        <v>21826700</v>
      </c>
      <c r="H55"/>
      <c r="I55"/>
    </row>
    <row r="56" spans="1:9" x14ac:dyDescent="0.25">
      <c r="A56" s="8"/>
      <c r="B56" s="9"/>
      <c r="D56" s="9"/>
      <c r="E56" s="9"/>
      <c r="F56" s="9"/>
      <c r="G56" s="9"/>
      <c r="H56" s="9"/>
    </row>
    <row r="57" spans="1:9" x14ac:dyDescent="0.25">
      <c r="A57" s="12" t="s">
        <v>8</v>
      </c>
      <c r="B57" s="12"/>
      <c r="D57" s="9"/>
      <c r="E57" s="9"/>
      <c r="F57" s="9"/>
      <c r="G57" s="9"/>
      <c r="H57" s="9"/>
    </row>
    <row r="58" spans="1:9" x14ac:dyDescent="0.25">
      <c r="A58" s="8"/>
      <c r="B58" s="6"/>
      <c r="C58" s="7" t="s">
        <v>5</v>
      </c>
      <c r="D58" s="6" t="s">
        <v>6</v>
      </c>
      <c r="E58" s="7" t="s">
        <v>9</v>
      </c>
      <c r="F58" s="7" t="s">
        <v>10</v>
      </c>
      <c r="G58" s="7" t="s">
        <v>39</v>
      </c>
      <c r="H58" s="9"/>
    </row>
    <row r="59" spans="1:9" x14ac:dyDescent="0.25">
      <c r="A59" s="8" t="s">
        <v>2</v>
      </c>
      <c r="B59" s="9">
        <f>B52</f>
        <v>15000</v>
      </c>
      <c r="C59" s="10">
        <f>C55</f>
        <v>360</v>
      </c>
      <c r="D59" s="20">
        <f>E55</f>
        <v>3922200</v>
      </c>
      <c r="E59" s="13">
        <v>111.195522326893</v>
      </c>
      <c r="F59" s="4">
        <f>E59*C59</f>
        <v>40030.388037681478</v>
      </c>
      <c r="G59" s="19">
        <f>F59-ExBA!F59</f>
        <v>6208.3880376814777</v>
      </c>
    </row>
    <row r="60" spans="1:9" x14ac:dyDescent="0.25">
      <c r="A60" s="8" t="s">
        <v>11</v>
      </c>
      <c r="B60" s="9">
        <f>B53</f>
        <v>15000</v>
      </c>
      <c r="D60" s="20">
        <f>F55</f>
        <v>2882300</v>
      </c>
      <c r="E60" s="32">
        <v>5.9</v>
      </c>
      <c r="F60" s="3">
        <f>E60*(D60/1000)</f>
        <v>17005.570000000003</v>
      </c>
      <c r="G60" s="9">
        <f>F60-ExBA!F60</f>
        <v>3026.4150000000027</v>
      </c>
    </row>
    <row r="61" spans="1:9" x14ac:dyDescent="0.25">
      <c r="A61" s="8" t="s">
        <v>3</v>
      </c>
      <c r="B61" s="11">
        <f>B54</f>
        <v>30000</v>
      </c>
      <c r="C61" s="14"/>
      <c r="D61" s="21">
        <f>G55</f>
        <v>21826700</v>
      </c>
      <c r="E61" s="39">
        <v>4.95</v>
      </c>
      <c r="F61" s="25">
        <f>E61*(D61/1000)</f>
        <v>108042.16500000001</v>
      </c>
      <c r="G61" s="11">
        <f>F61-ExBA!F61</f>
        <v>24009.37000000001</v>
      </c>
    </row>
    <row r="62" spans="1:9" x14ac:dyDescent="0.25">
      <c r="A62" s="8"/>
      <c r="B62" s="9" t="s">
        <v>7</v>
      </c>
      <c r="C62" s="3">
        <f>SUM(C59:C61)</f>
        <v>360</v>
      </c>
      <c r="D62" s="22">
        <f>SUM(D59:D61)</f>
        <v>28631200</v>
      </c>
      <c r="F62" s="4">
        <f>SUM(F59:F61)</f>
        <v>165078.12303768151</v>
      </c>
      <c r="G62" s="19">
        <f>F62-ExBA!F62</f>
        <v>33244.173037681496</v>
      </c>
      <c r="H62" s="9"/>
    </row>
    <row r="63" spans="1:9" x14ac:dyDescent="0.25">
      <c r="A63" s="8"/>
      <c r="B63" s="9"/>
      <c r="C63" s="3"/>
      <c r="D63" s="22"/>
      <c r="F63" s="4"/>
      <c r="G63" s="9"/>
      <c r="H63" s="9"/>
    </row>
    <row r="65" spans="1:5" x14ac:dyDescent="0.25">
      <c r="A65" s="5" t="s">
        <v>20</v>
      </c>
    </row>
    <row r="66" spans="1:5" x14ac:dyDescent="0.25">
      <c r="B66" s="7" t="s">
        <v>21</v>
      </c>
      <c r="C66" s="7" t="s">
        <v>9</v>
      </c>
      <c r="D66" s="6" t="s">
        <v>7</v>
      </c>
      <c r="E66" s="6" t="s">
        <v>39</v>
      </c>
    </row>
    <row r="67" spans="1:5" x14ac:dyDescent="0.25">
      <c r="A67" s="8" t="s">
        <v>29</v>
      </c>
      <c r="B67" s="3">
        <v>131726</v>
      </c>
      <c r="C67" s="38">
        <v>3.03</v>
      </c>
      <c r="D67" s="4">
        <f>B67*C67</f>
        <v>399129.77999999997</v>
      </c>
      <c r="E67" s="29">
        <f>D67-ExBA!D67</f>
        <v>57959.44</v>
      </c>
    </row>
    <row r="68" spans="1:5" x14ac:dyDescent="0.25">
      <c r="A68" s="8" t="s">
        <v>33</v>
      </c>
      <c r="B68" s="3">
        <v>248022.16602316601</v>
      </c>
      <c r="C68" s="16">
        <v>3.03</v>
      </c>
      <c r="D68" s="3">
        <f>B68*C68</f>
        <v>751507.16305019299</v>
      </c>
      <c r="E68" s="3">
        <f>D68-ExBA!D68</f>
        <v>109129.75305019307</v>
      </c>
    </row>
    <row r="69" spans="1:5" x14ac:dyDescent="0.25">
      <c r="A69" s="8" t="s">
        <v>25</v>
      </c>
      <c r="B69" s="3">
        <v>109429</v>
      </c>
      <c r="C69" s="16">
        <v>3.03</v>
      </c>
      <c r="D69" s="3">
        <f>B69*C69</f>
        <v>331569.87</v>
      </c>
      <c r="E69" s="3">
        <f>D69-ExBA!D69</f>
        <v>48148.760000000009</v>
      </c>
    </row>
    <row r="70" spans="1:5" x14ac:dyDescent="0.25">
      <c r="A70" s="8" t="s">
        <v>26</v>
      </c>
      <c r="B70" s="3">
        <v>92184</v>
      </c>
      <c r="C70" s="16">
        <v>3.03</v>
      </c>
      <c r="D70" s="3">
        <f t="shared" ref="D70:D72" si="2">B70*C70</f>
        <v>279317.51999999996</v>
      </c>
      <c r="E70" s="3">
        <f>D70-ExBA!D70</f>
        <v>40560.959999999963</v>
      </c>
    </row>
    <row r="71" spans="1:5" x14ac:dyDescent="0.25">
      <c r="A71" s="8" t="s">
        <v>27</v>
      </c>
      <c r="B71" s="3">
        <v>32283</v>
      </c>
      <c r="C71" s="16">
        <v>3.03</v>
      </c>
      <c r="D71" s="3">
        <f t="shared" si="2"/>
        <v>97817.489999999991</v>
      </c>
      <c r="E71" s="3">
        <f>D71-ExBA!D71</f>
        <v>14204.51999999999</v>
      </c>
    </row>
    <row r="72" spans="1:5" ht="17.25" x14ac:dyDescent="0.4">
      <c r="A72" s="8" t="s">
        <v>28</v>
      </c>
      <c r="B72" s="17">
        <v>15619</v>
      </c>
      <c r="C72" s="16">
        <v>3.03</v>
      </c>
      <c r="D72" s="17">
        <f t="shared" si="2"/>
        <v>47325.57</v>
      </c>
      <c r="E72" s="42">
        <f>D72-ExBA!D72</f>
        <v>6872.3600000000006</v>
      </c>
    </row>
    <row r="73" spans="1:5" x14ac:dyDescent="0.25">
      <c r="B73" s="3">
        <f>SUM(B67:B72)</f>
        <v>629263.16602316604</v>
      </c>
      <c r="D73" s="3">
        <f>SUM(D67:D72)</f>
        <v>1906667.3930501929</v>
      </c>
      <c r="E73" s="29">
        <f>D73-ExBA!D73</f>
        <v>276875.79305019299</v>
      </c>
    </row>
    <row r="75" spans="1:5" x14ac:dyDescent="0.25">
      <c r="A75" s="8" t="s">
        <v>34</v>
      </c>
      <c r="B75" s="1" t="s">
        <v>35</v>
      </c>
    </row>
  </sheetData>
  <mergeCells count="2">
    <mergeCell ref="A1:H1"/>
    <mergeCell ref="A2:H2"/>
  </mergeCells>
  <printOptions horizontalCentered="1"/>
  <pageMargins left="0.6" right="0.6" top="1.25" bottom="0.5" header="0.3" footer="0.3"/>
  <pageSetup scale="85" fitToHeight="2" orientation="portrait" r:id="rId1"/>
  <headerFooter>
    <oddFooter>Page &amp;P of &amp;N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ExBA</vt:lpstr>
      <vt:lpstr>PropBA</vt:lpstr>
      <vt:lpstr>ExBA!Print_Area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2023-04-27T16:11:26Z</dcterms:created>
  <dcterms:modified xsi:type="dcterms:W3CDTF">2023-05-01T14:50:46Z</dcterms:modified>
</cp:coreProperties>
</file>