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hute\Desktop\"/>
    </mc:Choice>
  </mc:AlternateContent>
  <xr:revisionPtr revIDLastSave="0" documentId="13_ncr:1_{24BCAC0C-AEE4-4610-B66E-F97179CCAFF5}" xr6:coauthVersionLast="47" xr6:coauthVersionMax="47" xr10:uidLastSave="{00000000-0000-0000-0000-000000000000}"/>
  <bookViews>
    <workbookView xWindow="384" yWindow="384" windowWidth="21108" windowHeight="8928" activeTab="1" xr2:uid="{E3CFA119-7DA2-4C62-8639-B77F4E546B5D}"/>
  </bookViews>
  <sheets>
    <sheet name="Rates" sheetId="7" r:id="rId1"/>
    <sheet name="Sched I Rate Dtrm" sheetId="5" r:id="rId2"/>
    <sheet name="Sched II EGC " sheetId="8" r:id="rId3"/>
    <sheet name="Sch III GBA" sheetId="1" r:id="rId4"/>
    <sheet name="BSum" sheetId="10" r:id="rId5"/>
    <sheet name="Metrics" sheetId="12" r:id="rId6"/>
    <sheet name="GBA hist" sheetId="9" r:id="rId7"/>
    <sheet name="GBA zero" sheetId="11" r:id="rId8"/>
  </sheets>
  <definedNames>
    <definedName name="_xlnm.Print_Area" localSheetId="4">BSum!$A$1:$O$32</definedName>
    <definedName name="_xlnm.Print_Area" localSheetId="6">'GBA hist'!$A$3:$P$324</definedName>
    <definedName name="_xlnm.Print_Area" localSheetId="7">'GBA zero'!$A$3:$P$168</definedName>
    <definedName name="_xlnm.Print_Area" localSheetId="5">Metrics!$A$1:$L$32</definedName>
    <definedName name="_xlnm.Print_Area" localSheetId="0">Rates!$A$1:$G$45</definedName>
    <definedName name="_xlnm.Print_Area" localSheetId="3">'Sch III GBA'!$A$3:$P$173</definedName>
    <definedName name="_xlnm.Print_Area" localSheetId="1">'Sched I Rate Dtrm'!$A$5:$H$62</definedName>
    <definedName name="_xlnm.Print_Area" localSheetId="2">'Sched II EGC '!$A$1:$G$62</definedName>
    <definedName name="_xlnm.Print_Titles" localSheetId="6">'GBA hist'!$1:$2</definedName>
    <definedName name="_xlnm.Print_Titles" localSheetId="7">'GBA zero'!$1:$2</definedName>
    <definedName name="_xlnm.Print_Titles" localSheetId="3">'Sch III GBA'!$1:$2</definedName>
    <definedName name="_xlnm.Print_Titles" localSheetId="1">'Sched I Rate Dtrm'!$1:$4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2" l="1"/>
  <c r="N18" i="12"/>
  <c r="N16" i="12"/>
  <c r="F18" i="12"/>
  <c r="F17" i="12"/>
  <c r="F16" i="12"/>
  <c r="J18" i="12"/>
  <c r="J17" i="12"/>
  <c r="J16" i="12"/>
  <c r="H18" i="12"/>
  <c r="H17" i="12"/>
  <c r="H16" i="12"/>
  <c r="L18" i="12" l="1"/>
  <c r="L17" i="12"/>
  <c r="L16" i="12"/>
  <c r="D18" i="12"/>
  <c r="D17" i="12"/>
  <c r="D16" i="12"/>
  <c r="E114" i="11"/>
  <c r="H114" i="11"/>
  <c r="P114" i="11"/>
  <c r="I122" i="11" s="1"/>
  <c r="J122" i="11" s="1"/>
  <c r="E115" i="11"/>
  <c r="H115" i="11"/>
  <c r="I115" i="11"/>
  <c r="J115" i="11"/>
  <c r="C116" i="11"/>
  <c r="E116" i="11" s="1"/>
  <c r="D116" i="11"/>
  <c r="G116" i="11"/>
  <c r="E118" i="11"/>
  <c r="H118" i="11"/>
  <c r="E119" i="11"/>
  <c r="H119" i="11"/>
  <c r="C120" i="11"/>
  <c r="D120" i="11"/>
  <c r="E120" i="11"/>
  <c r="G120" i="11"/>
  <c r="E122" i="11"/>
  <c r="H122" i="11"/>
  <c r="E123" i="11"/>
  <c r="H123" i="11"/>
  <c r="I123" i="11"/>
  <c r="J123" i="11"/>
  <c r="J124" i="11" s="1"/>
  <c r="C124" i="11"/>
  <c r="D124" i="11"/>
  <c r="E124" i="11" s="1"/>
  <c r="G124" i="11"/>
  <c r="E126" i="11"/>
  <c r="H126" i="11"/>
  <c r="I126" i="11"/>
  <c r="J126" i="11" s="1"/>
  <c r="E127" i="11"/>
  <c r="H127" i="11"/>
  <c r="I127" i="11"/>
  <c r="J127" i="11" s="1"/>
  <c r="E128" i="11"/>
  <c r="H128" i="11"/>
  <c r="I128" i="11"/>
  <c r="C129" i="11"/>
  <c r="D129" i="11"/>
  <c r="E129" i="11" s="1"/>
  <c r="G129" i="11"/>
  <c r="E131" i="11"/>
  <c r="H131" i="11"/>
  <c r="E132" i="11"/>
  <c r="H132" i="11"/>
  <c r="E133" i="11"/>
  <c r="H133" i="11"/>
  <c r="I133" i="11"/>
  <c r="J133" i="11" s="1"/>
  <c r="C134" i="11"/>
  <c r="D134" i="11"/>
  <c r="E134" i="11"/>
  <c r="G134" i="11"/>
  <c r="E136" i="11"/>
  <c r="H136" i="11"/>
  <c r="P136" i="11"/>
  <c r="I136" i="11" s="1"/>
  <c r="J136" i="11" s="1"/>
  <c r="E137" i="11"/>
  <c r="H137" i="11"/>
  <c r="C138" i="11"/>
  <c r="D138" i="11"/>
  <c r="E138" i="11"/>
  <c r="G138" i="11"/>
  <c r="E140" i="11"/>
  <c r="H140" i="11"/>
  <c r="P140" i="11"/>
  <c r="I140" i="11" s="1"/>
  <c r="J140" i="11" s="1"/>
  <c r="E141" i="11"/>
  <c r="H141" i="11"/>
  <c r="C142" i="11"/>
  <c r="D142" i="11"/>
  <c r="E142" i="11" s="1"/>
  <c r="G142" i="11"/>
  <c r="E144" i="11"/>
  <c r="H144" i="11"/>
  <c r="E145" i="11"/>
  <c r="H145" i="11"/>
  <c r="C146" i="11"/>
  <c r="D146" i="11"/>
  <c r="G146" i="11"/>
  <c r="D148" i="11"/>
  <c r="D152" i="11" s="1"/>
  <c r="E148" i="11"/>
  <c r="H148" i="11"/>
  <c r="E149" i="11"/>
  <c r="H149" i="11"/>
  <c r="C150" i="11"/>
  <c r="D150" i="11"/>
  <c r="E150" i="11"/>
  <c r="G150" i="11"/>
  <c r="C152" i="11"/>
  <c r="G152" i="11"/>
  <c r="M152" i="11"/>
  <c r="C153" i="11"/>
  <c r="D153" i="11"/>
  <c r="G153" i="11"/>
  <c r="M153" i="11" s="1"/>
  <c r="E156" i="11"/>
  <c r="H156" i="11"/>
  <c r="P156" i="11"/>
  <c r="I165" i="11" s="1"/>
  <c r="J165" i="11" s="1"/>
  <c r="E157" i="11"/>
  <c r="H157" i="11"/>
  <c r="C158" i="11"/>
  <c r="E158" i="11" s="1"/>
  <c r="D158" i="11"/>
  <c r="G158" i="11"/>
  <c r="E160" i="11"/>
  <c r="H160" i="11"/>
  <c r="E161" i="11"/>
  <c r="H161" i="11"/>
  <c r="C162" i="11"/>
  <c r="D162" i="11"/>
  <c r="E162" i="11"/>
  <c r="G162" i="11"/>
  <c r="H162" i="11"/>
  <c r="E164" i="11"/>
  <c r="H164" i="11"/>
  <c r="E165" i="11"/>
  <c r="H165" i="11"/>
  <c r="C166" i="11"/>
  <c r="D166" i="11"/>
  <c r="E166" i="11" s="1"/>
  <c r="G166" i="11"/>
  <c r="G112" i="11"/>
  <c r="D112" i="11"/>
  <c r="C112" i="11"/>
  <c r="H111" i="11"/>
  <c r="E111" i="11"/>
  <c r="H110" i="11"/>
  <c r="G108" i="11"/>
  <c r="D108" i="11"/>
  <c r="C108" i="11"/>
  <c r="H107" i="11"/>
  <c r="E107" i="11"/>
  <c r="H106" i="11"/>
  <c r="E106" i="11"/>
  <c r="G104" i="11"/>
  <c r="D104" i="11"/>
  <c r="C104" i="11"/>
  <c r="H103" i="11"/>
  <c r="E103" i="11"/>
  <c r="P102" i="11"/>
  <c r="I111" i="11" s="1"/>
  <c r="J111" i="11" s="1"/>
  <c r="I102" i="11"/>
  <c r="J102" i="11" s="1"/>
  <c r="H102" i="11"/>
  <c r="E102" i="11"/>
  <c r="G99" i="11"/>
  <c r="D99" i="11"/>
  <c r="C99" i="11"/>
  <c r="G98" i="11"/>
  <c r="M98" i="11" s="1"/>
  <c r="C98" i="11"/>
  <c r="G96" i="11"/>
  <c r="C96" i="11"/>
  <c r="H95" i="11"/>
  <c r="E95" i="11"/>
  <c r="H94" i="11"/>
  <c r="D94" i="11"/>
  <c r="E94" i="11" s="1"/>
  <c r="G92" i="11"/>
  <c r="D92" i="11"/>
  <c r="C92" i="11"/>
  <c r="H92" i="11" s="1"/>
  <c r="H91" i="11"/>
  <c r="E91" i="11"/>
  <c r="H90" i="11"/>
  <c r="E90" i="11"/>
  <c r="G88" i="11"/>
  <c r="D88" i="11"/>
  <c r="C88" i="11"/>
  <c r="H88" i="11" s="1"/>
  <c r="H87" i="11"/>
  <c r="E87" i="11"/>
  <c r="P86" i="11"/>
  <c r="I95" i="11" s="1"/>
  <c r="J95" i="11" s="1"/>
  <c r="I86" i="11"/>
  <c r="J86" i="11" s="1"/>
  <c r="H86" i="11"/>
  <c r="E86" i="11"/>
  <c r="G84" i="11"/>
  <c r="D84" i="11"/>
  <c r="C84" i="11"/>
  <c r="H83" i="11"/>
  <c r="E83" i="11"/>
  <c r="H82" i="11"/>
  <c r="E82" i="11"/>
  <c r="G80" i="11"/>
  <c r="D80" i="11"/>
  <c r="C80" i="11"/>
  <c r="H80" i="11" s="1"/>
  <c r="H79" i="11"/>
  <c r="E79" i="11"/>
  <c r="H78" i="11"/>
  <c r="E78" i="11"/>
  <c r="G76" i="11"/>
  <c r="D76" i="11"/>
  <c r="C76" i="11"/>
  <c r="H75" i="11"/>
  <c r="E75" i="11"/>
  <c r="P74" i="11"/>
  <c r="I83" i="11" s="1"/>
  <c r="J83" i="11" s="1"/>
  <c r="H74" i="11"/>
  <c r="E74" i="11"/>
  <c r="G72" i="11"/>
  <c r="D72" i="11"/>
  <c r="C72" i="11"/>
  <c r="H72" i="11" s="1"/>
  <c r="P71" i="11"/>
  <c r="I71" i="11"/>
  <c r="J71" i="11" s="1"/>
  <c r="H71" i="11"/>
  <c r="E71" i="11"/>
  <c r="P70" i="11"/>
  <c r="I70" i="11"/>
  <c r="J70" i="11" s="1"/>
  <c r="H70" i="11"/>
  <c r="E70" i="11"/>
  <c r="G68" i="11"/>
  <c r="D68" i="11"/>
  <c r="C68" i="11"/>
  <c r="P67" i="11"/>
  <c r="I67" i="11" s="1"/>
  <c r="J67" i="11" s="1"/>
  <c r="H67" i="11"/>
  <c r="E67" i="11"/>
  <c r="P66" i="11"/>
  <c r="I66" i="11"/>
  <c r="J66" i="11" s="1"/>
  <c r="J68" i="11" s="1"/>
  <c r="H66" i="11"/>
  <c r="E66" i="11"/>
  <c r="G64" i="11"/>
  <c r="D64" i="11"/>
  <c r="C64" i="11"/>
  <c r="H64" i="11" s="1"/>
  <c r="P63" i="11"/>
  <c r="I63" i="11" s="1"/>
  <c r="H63" i="11"/>
  <c r="E63" i="11"/>
  <c r="P62" i="11"/>
  <c r="I62" i="11" s="1"/>
  <c r="J62" i="11" s="1"/>
  <c r="H62" i="11"/>
  <c r="E62" i="11"/>
  <c r="G60" i="11"/>
  <c r="D60" i="11"/>
  <c r="C60" i="11"/>
  <c r="P59" i="11"/>
  <c r="I59" i="11"/>
  <c r="J59" i="11" s="1"/>
  <c r="H59" i="11"/>
  <c r="E59" i="11"/>
  <c r="P58" i="11"/>
  <c r="I58" i="11"/>
  <c r="J58" i="11" s="1"/>
  <c r="H58" i="11"/>
  <c r="E58" i="11"/>
  <c r="G56" i="11"/>
  <c r="D56" i="11"/>
  <c r="C56" i="11"/>
  <c r="P55" i="11"/>
  <c r="I55" i="11"/>
  <c r="J55" i="11" s="1"/>
  <c r="H55" i="11"/>
  <c r="E55" i="11"/>
  <c r="P54" i="11"/>
  <c r="I54" i="11" s="1"/>
  <c r="J54" i="11" s="1"/>
  <c r="H54" i="11"/>
  <c r="E54" i="11"/>
  <c r="G52" i="11"/>
  <c r="D52" i="11"/>
  <c r="C52" i="11"/>
  <c r="P51" i="11"/>
  <c r="I51" i="11"/>
  <c r="J51" i="11" s="1"/>
  <c r="H51" i="11"/>
  <c r="E51" i="11"/>
  <c r="P50" i="11"/>
  <c r="I50" i="11" s="1"/>
  <c r="J50" i="11"/>
  <c r="H50" i="11"/>
  <c r="E50" i="11"/>
  <c r="G47" i="11"/>
  <c r="U47" i="11" s="1"/>
  <c r="D47" i="11"/>
  <c r="C47" i="11"/>
  <c r="G46" i="11"/>
  <c r="U46" i="11" s="1"/>
  <c r="C46" i="11"/>
  <c r="G43" i="11"/>
  <c r="C43" i="11"/>
  <c r="H43" i="11" s="1"/>
  <c r="P42" i="11"/>
  <c r="I42" i="11"/>
  <c r="J42" i="11" s="1"/>
  <c r="H42" i="11"/>
  <c r="E42" i="11"/>
  <c r="P41" i="11"/>
  <c r="I41" i="11" s="1"/>
  <c r="H41" i="11"/>
  <c r="D41" i="11"/>
  <c r="G39" i="11"/>
  <c r="D39" i="11"/>
  <c r="C39" i="11"/>
  <c r="P38" i="11"/>
  <c r="I38" i="11" s="1"/>
  <c r="J38" i="11" s="1"/>
  <c r="H38" i="11"/>
  <c r="E38" i="11"/>
  <c r="P37" i="11"/>
  <c r="I37" i="11" s="1"/>
  <c r="J37" i="11" s="1"/>
  <c r="J39" i="11" s="1"/>
  <c r="H37" i="11"/>
  <c r="E37" i="11"/>
  <c r="G35" i="11"/>
  <c r="D35" i="11"/>
  <c r="C35" i="11"/>
  <c r="H35" i="11" s="1"/>
  <c r="P34" i="11"/>
  <c r="I34" i="11"/>
  <c r="J34" i="11" s="1"/>
  <c r="H34" i="11"/>
  <c r="E34" i="11"/>
  <c r="P33" i="11"/>
  <c r="I33" i="11" s="1"/>
  <c r="J33" i="11" s="1"/>
  <c r="J35" i="11" s="1"/>
  <c r="H33" i="11"/>
  <c r="E33" i="11"/>
  <c r="G31" i="11"/>
  <c r="D31" i="11"/>
  <c r="C31" i="11"/>
  <c r="P30" i="11"/>
  <c r="I30" i="11" s="1"/>
  <c r="J30" i="11" s="1"/>
  <c r="H30" i="11"/>
  <c r="E30" i="11"/>
  <c r="P29" i="11"/>
  <c r="I29" i="11" s="1"/>
  <c r="J29" i="11" s="1"/>
  <c r="H29" i="11"/>
  <c r="E29" i="11"/>
  <c r="G27" i="11"/>
  <c r="D27" i="11"/>
  <c r="C27" i="11"/>
  <c r="H27" i="11" s="1"/>
  <c r="P26" i="11"/>
  <c r="I26" i="11" s="1"/>
  <c r="J26" i="11" s="1"/>
  <c r="H26" i="11"/>
  <c r="E26" i="11"/>
  <c r="P25" i="11"/>
  <c r="I25" i="11" s="1"/>
  <c r="J25" i="11" s="1"/>
  <c r="J27" i="11" s="1"/>
  <c r="H25" i="11"/>
  <c r="E25" i="11"/>
  <c r="G23" i="11"/>
  <c r="D23" i="11"/>
  <c r="C23" i="11"/>
  <c r="P22" i="11"/>
  <c r="I22" i="11"/>
  <c r="J22" i="11" s="1"/>
  <c r="H22" i="11"/>
  <c r="E22" i="11"/>
  <c r="P21" i="11"/>
  <c r="I21" i="11" s="1"/>
  <c r="J21" i="11" s="1"/>
  <c r="H21" i="11"/>
  <c r="E21" i="11"/>
  <c r="G19" i="11"/>
  <c r="D19" i="11"/>
  <c r="C19" i="11"/>
  <c r="H18" i="11"/>
  <c r="E18" i="11"/>
  <c r="H17" i="11"/>
  <c r="E17" i="11"/>
  <c r="G15" i="11"/>
  <c r="D15" i="11"/>
  <c r="C15" i="11"/>
  <c r="H14" i="11"/>
  <c r="E14" i="11"/>
  <c r="H13" i="11"/>
  <c r="E13" i="11"/>
  <c r="G11" i="11"/>
  <c r="D11" i="11"/>
  <c r="C11" i="11"/>
  <c r="H11" i="11" s="1"/>
  <c r="H10" i="11"/>
  <c r="E10" i="11"/>
  <c r="P9" i="11"/>
  <c r="I14" i="11" s="1"/>
  <c r="J14" i="11" s="1"/>
  <c r="I9" i="11"/>
  <c r="J9" i="11" s="1"/>
  <c r="H9" i="11"/>
  <c r="E9" i="11"/>
  <c r="G7" i="11"/>
  <c r="D7" i="11"/>
  <c r="C7" i="11"/>
  <c r="H7" i="11" s="1"/>
  <c r="H6" i="11"/>
  <c r="E6" i="11"/>
  <c r="P5" i="11"/>
  <c r="H5" i="11"/>
  <c r="E5" i="11"/>
  <c r="R43" i="8"/>
  <c r="Q43" i="8"/>
  <c r="H28" i="8"/>
  <c r="G31" i="8"/>
  <c r="F28" i="8"/>
  <c r="F29" i="8"/>
  <c r="H166" i="11" l="1"/>
  <c r="H150" i="11"/>
  <c r="E152" i="11"/>
  <c r="H120" i="11"/>
  <c r="I119" i="11"/>
  <c r="J119" i="11" s="1"/>
  <c r="H146" i="11"/>
  <c r="I132" i="11"/>
  <c r="J132" i="11" s="1"/>
  <c r="I145" i="11"/>
  <c r="J145" i="11" s="1"/>
  <c r="I118" i="11"/>
  <c r="J118" i="11" s="1"/>
  <c r="H116" i="11"/>
  <c r="E15" i="11"/>
  <c r="H124" i="11"/>
  <c r="H19" i="11"/>
  <c r="I74" i="11"/>
  <c r="J74" i="11" s="1"/>
  <c r="H134" i="11"/>
  <c r="E146" i="11"/>
  <c r="J120" i="11"/>
  <c r="E23" i="11"/>
  <c r="H129" i="11"/>
  <c r="I137" i="11"/>
  <c r="J137" i="11" s="1"/>
  <c r="J138" i="11" s="1"/>
  <c r="V47" i="11"/>
  <c r="H108" i="11"/>
  <c r="J52" i="11"/>
  <c r="H142" i="11"/>
  <c r="J23" i="11"/>
  <c r="E76" i="11"/>
  <c r="E153" i="11"/>
  <c r="I141" i="11"/>
  <c r="J141" i="11" s="1"/>
  <c r="J142" i="11"/>
  <c r="H152" i="11"/>
  <c r="H138" i="11"/>
  <c r="I149" i="11"/>
  <c r="J149" i="11" s="1"/>
  <c r="H104" i="11"/>
  <c r="C154" i="11"/>
  <c r="J60" i="11"/>
  <c r="D154" i="11"/>
  <c r="E154" i="11" s="1"/>
  <c r="E39" i="11"/>
  <c r="H158" i="11"/>
  <c r="I154" i="11"/>
  <c r="J128" i="11"/>
  <c r="J129" i="11" s="1"/>
  <c r="J72" i="11"/>
  <c r="I160" i="11"/>
  <c r="J160" i="11" s="1"/>
  <c r="I161" i="11"/>
  <c r="J161" i="11" s="1"/>
  <c r="I157" i="11"/>
  <c r="G154" i="11"/>
  <c r="M154" i="11" s="1"/>
  <c r="I156" i="11"/>
  <c r="I164" i="11"/>
  <c r="J164" i="11" s="1"/>
  <c r="J166" i="11" s="1"/>
  <c r="G48" i="11"/>
  <c r="U48" i="11" s="1"/>
  <c r="H31" i="11"/>
  <c r="H153" i="11"/>
  <c r="N153" i="11"/>
  <c r="N152" i="11"/>
  <c r="E84" i="11"/>
  <c r="I144" i="11"/>
  <c r="J144" i="11" s="1"/>
  <c r="J146" i="11" s="1"/>
  <c r="I148" i="11"/>
  <c r="J148" i="11" s="1"/>
  <c r="I131" i="11"/>
  <c r="J131" i="11" s="1"/>
  <c r="J134" i="11" s="1"/>
  <c r="I114" i="11"/>
  <c r="J114" i="11" s="1"/>
  <c r="J116" i="11" s="1"/>
  <c r="H52" i="11"/>
  <c r="E52" i="11"/>
  <c r="H84" i="11"/>
  <c r="H23" i="11"/>
  <c r="E88" i="11"/>
  <c r="I107" i="11"/>
  <c r="J107" i="11" s="1"/>
  <c r="V46" i="11"/>
  <c r="E7" i="11"/>
  <c r="E99" i="11"/>
  <c r="E35" i="11"/>
  <c r="I103" i="11"/>
  <c r="H15" i="11"/>
  <c r="I79" i="11"/>
  <c r="J79" i="11" s="1"/>
  <c r="I17" i="11"/>
  <c r="J17" i="11" s="1"/>
  <c r="E68" i="11"/>
  <c r="E19" i="11"/>
  <c r="H99" i="11"/>
  <c r="H60" i="11"/>
  <c r="E104" i="11"/>
  <c r="I75" i="11"/>
  <c r="J75" i="11" s="1"/>
  <c r="E11" i="11"/>
  <c r="I106" i="11"/>
  <c r="E92" i="11"/>
  <c r="I78" i="11"/>
  <c r="J78" i="11" s="1"/>
  <c r="H39" i="11"/>
  <c r="J31" i="11"/>
  <c r="J41" i="11"/>
  <c r="J43" i="11" s="1"/>
  <c r="I110" i="11"/>
  <c r="J110" i="11" s="1"/>
  <c r="J112" i="11" s="1"/>
  <c r="E80" i="11"/>
  <c r="I94" i="11"/>
  <c r="J94" i="11" s="1"/>
  <c r="J96" i="11" s="1"/>
  <c r="H56" i="11"/>
  <c r="H68" i="11"/>
  <c r="E47" i="11"/>
  <c r="E72" i="11"/>
  <c r="E60" i="11"/>
  <c r="E64" i="11"/>
  <c r="H112" i="11"/>
  <c r="I18" i="11"/>
  <c r="J18" i="11" s="1"/>
  <c r="E31" i="11"/>
  <c r="I82" i="11"/>
  <c r="J82" i="11" s="1"/>
  <c r="J84" i="11" s="1"/>
  <c r="H96" i="11"/>
  <c r="E112" i="11"/>
  <c r="J63" i="11"/>
  <c r="J64" i="11" s="1"/>
  <c r="J56" i="11"/>
  <c r="E27" i="11"/>
  <c r="H47" i="11"/>
  <c r="I6" i="11"/>
  <c r="I5" i="11"/>
  <c r="C48" i="11"/>
  <c r="H76" i="11"/>
  <c r="G100" i="11"/>
  <c r="M100" i="11" s="1"/>
  <c r="I10" i="11"/>
  <c r="J10" i="11" s="1"/>
  <c r="J11" i="11" s="1"/>
  <c r="I13" i="11"/>
  <c r="J13" i="11" s="1"/>
  <c r="J15" i="11" s="1"/>
  <c r="E108" i="11"/>
  <c r="M99" i="11"/>
  <c r="N99" i="11" s="1"/>
  <c r="D46" i="11"/>
  <c r="E46" i="11" s="1"/>
  <c r="D43" i="11"/>
  <c r="E43" i="11" s="1"/>
  <c r="I91" i="11"/>
  <c r="J91" i="11" s="1"/>
  <c r="I90" i="11"/>
  <c r="J90" i="11" s="1"/>
  <c r="J92" i="11" s="1"/>
  <c r="I87" i="11"/>
  <c r="J87" i="11" s="1"/>
  <c r="J88" i="11" s="1"/>
  <c r="E41" i="11"/>
  <c r="C100" i="11"/>
  <c r="D98" i="11"/>
  <c r="E98" i="11" s="1"/>
  <c r="D96" i="11"/>
  <c r="E96" i="11" s="1"/>
  <c r="N98" i="11"/>
  <c r="H98" i="11"/>
  <c r="E56" i="11"/>
  <c r="H46" i="11"/>
  <c r="G29" i="8"/>
  <c r="J76" i="11" l="1"/>
  <c r="J152" i="11"/>
  <c r="J154" i="11" s="1"/>
  <c r="J80" i="11"/>
  <c r="J150" i="11"/>
  <c r="J106" i="11"/>
  <c r="J108" i="11" s="1"/>
  <c r="I152" i="11"/>
  <c r="J157" i="11"/>
  <c r="J162" i="11"/>
  <c r="H154" i="11"/>
  <c r="N154" i="11"/>
  <c r="R154" i="11" s="1"/>
  <c r="W46" i="11"/>
  <c r="W48" i="11" s="1"/>
  <c r="J156" i="11"/>
  <c r="J158" i="11" s="1"/>
  <c r="J19" i="11"/>
  <c r="J103" i="11"/>
  <c r="J104" i="11" s="1"/>
  <c r="I153" i="11"/>
  <c r="I99" i="11"/>
  <c r="H100" i="11"/>
  <c r="N100" i="11"/>
  <c r="V48" i="11"/>
  <c r="H48" i="11"/>
  <c r="J98" i="11"/>
  <c r="J100" i="11" s="1"/>
  <c r="I46" i="11"/>
  <c r="J5" i="11"/>
  <c r="J6" i="11"/>
  <c r="I47" i="11"/>
  <c r="D100" i="11"/>
  <c r="E100" i="11" s="1"/>
  <c r="D48" i="11"/>
  <c r="E48" i="11" s="1"/>
  <c r="I98" i="11"/>
  <c r="N17" i="7"/>
  <c r="G37" i="8"/>
  <c r="Q178" i="11" l="1"/>
  <c r="R48" i="11"/>
  <c r="J7" i="11"/>
  <c r="K7" i="11" s="1"/>
  <c r="K11" i="11" s="1"/>
  <c r="K15" i="11" s="1"/>
  <c r="K19" i="11" s="1"/>
  <c r="K23" i="11" s="1"/>
  <c r="K27" i="11" s="1"/>
  <c r="K31" i="11" s="1"/>
  <c r="K35" i="11" s="1"/>
  <c r="K39" i="11" s="1"/>
  <c r="K43" i="11" s="1"/>
  <c r="K52" i="11" s="1"/>
  <c r="K56" i="11" s="1"/>
  <c r="K60" i="11" s="1"/>
  <c r="K64" i="11" s="1"/>
  <c r="K68" i="11" s="1"/>
  <c r="K72" i="11" s="1"/>
  <c r="K76" i="11" s="1"/>
  <c r="K80" i="11" s="1"/>
  <c r="K84" i="11" s="1"/>
  <c r="K88" i="11" s="1"/>
  <c r="K92" i="11" s="1"/>
  <c r="K96" i="11" s="1"/>
  <c r="K100" i="11" s="1"/>
  <c r="K104" i="11" s="1"/>
  <c r="K108" i="11" s="1"/>
  <c r="K112" i="11" s="1"/>
  <c r="K116" i="11" s="1"/>
  <c r="K120" i="11" s="1"/>
  <c r="K124" i="11" s="1"/>
  <c r="K129" i="11" s="1"/>
  <c r="K134" i="11" s="1"/>
  <c r="K138" i="11" s="1"/>
  <c r="K142" i="11" s="1"/>
  <c r="K146" i="11" s="1"/>
  <c r="K150" i="11" s="1"/>
  <c r="K154" i="11" s="1"/>
  <c r="K158" i="11" s="1"/>
  <c r="K162" i="11" s="1"/>
  <c r="K166" i="11" s="1"/>
  <c r="R100" i="11"/>
  <c r="D33" i="5"/>
  <c r="J8" i="11" l="1"/>
  <c r="K8" i="11" s="1"/>
  <c r="Q18" i="10"/>
  <c r="O17" i="10" l="1"/>
  <c r="O23" i="10"/>
  <c r="M20" i="10"/>
  <c r="O16" i="10"/>
  <c r="O15" i="10"/>
  <c r="O14" i="10"/>
  <c r="O13" i="10"/>
  <c r="O12" i="10"/>
  <c r="O11" i="10"/>
  <c r="O10" i="10"/>
  <c r="O9" i="10"/>
  <c r="O8" i="10"/>
  <c r="H20" i="10" l="1"/>
  <c r="P17" i="10"/>
  <c r="I20" i="10"/>
  <c r="J20" i="10"/>
  <c r="C20" i="10"/>
  <c r="D20" i="10"/>
  <c r="K20" i="10"/>
  <c r="L20" i="10"/>
  <c r="G20" i="10"/>
  <c r="F20" i="10"/>
  <c r="P14" i="10"/>
  <c r="P16" i="10"/>
  <c r="P13" i="10"/>
  <c r="P15" i="10"/>
  <c r="E20" i="10"/>
  <c r="O18" i="10" l="1"/>
  <c r="P18" i="10" s="1"/>
  <c r="J25" i="10"/>
  <c r="D25" i="10"/>
  <c r="G25" i="10"/>
  <c r="M25" i="10"/>
  <c r="B20" i="10"/>
  <c r="C30" i="10" l="1"/>
  <c r="O20" i="10"/>
  <c r="B21" i="10" s="1"/>
  <c r="E30" i="10" l="1"/>
  <c r="D30" i="10"/>
  <c r="M30" i="10"/>
  <c r="F30" i="10"/>
  <c r="L30" i="10"/>
  <c r="B30" i="10"/>
  <c r="K30" i="10"/>
  <c r="J30" i="10"/>
  <c r="I30" i="10"/>
  <c r="H30" i="10"/>
  <c r="M21" i="10"/>
  <c r="K21" i="10"/>
  <c r="C21" i="10"/>
  <c r="L21" i="10"/>
  <c r="H21" i="10"/>
  <c r="I21" i="10"/>
  <c r="G21" i="10"/>
  <c r="D21" i="10"/>
  <c r="J21" i="10"/>
  <c r="E21" i="10"/>
  <c r="F21" i="10"/>
  <c r="G30" i="10"/>
  <c r="O30" i="10" l="1"/>
  <c r="P8" i="10" s="1"/>
  <c r="P10" i="10"/>
  <c r="P12" i="10"/>
  <c r="P11" i="10"/>
  <c r="P9" i="10" l="1"/>
  <c r="G322" i="9"/>
  <c r="C322" i="9"/>
  <c r="H321" i="9"/>
  <c r="D321" i="9"/>
  <c r="E321" i="9" s="1"/>
  <c r="H320" i="9"/>
  <c r="E320" i="9"/>
  <c r="D320" i="9"/>
  <c r="D322" i="9" s="1"/>
  <c r="E322" i="9" s="1"/>
  <c r="G318" i="9"/>
  <c r="C318" i="9"/>
  <c r="H318" i="9" s="1"/>
  <c r="I317" i="9"/>
  <c r="H317" i="9"/>
  <c r="D317" i="9"/>
  <c r="E317" i="9" s="1"/>
  <c r="I316" i="9"/>
  <c r="H316" i="9"/>
  <c r="D316" i="9"/>
  <c r="D318" i="9" s="1"/>
  <c r="E318" i="9" s="1"/>
  <c r="G314" i="9"/>
  <c r="C314" i="9"/>
  <c r="H313" i="9"/>
  <c r="E313" i="9"/>
  <c r="P312" i="9"/>
  <c r="I313" i="9" s="1"/>
  <c r="J313" i="9" s="1"/>
  <c r="I312" i="9"/>
  <c r="H312" i="9"/>
  <c r="D312" i="9"/>
  <c r="D314" i="9" s="1"/>
  <c r="G309" i="9"/>
  <c r="M309" i="9" s="1"/>
  <c r="D309" i="9"/>
  <c r="C309" i="9"/>
  <c r="G308" i="9"/>
  <c r="M308" i="9" s="1"/>
  <c r="C308" i="9"/>
  <c r="G306" i="9"/>
  <c r="C306" i="9"/>
  <c r="H305" i="9"/>
  <c r="E305" i="9"/>
  <c r="H304" i="9"/>
  <c r="D304" i="9"/>
  <c r="G302" i="9"/>
  <c r="D302" i="9"/>
  <c r="C302" i="9"/>
  <c r="H302" i="9" s="1"/>
  <c r="H301" i="9"/>
  <c r="E301" i="9"/>
  <c r="H300" i="9"/>
  <c r="E300" i="9"/>
  <c r="G298" i="9"/>
  <c r="H298" i="9" s="1"/>
  <c r="D298" i="9"/>
  <c r="C298" i="9"/>
  <c r="H297" i="9"/>
  <c r="E297" i="9"/>
  <c r="P296" i="9"/>
  <c r="H296" i="9"/>
  <c r="E296" i="9"/>
  <c r="G294" i="9"/>
  <c r="D294" i="9"/>
  <c r="C294" i="9"/>
  <c r="H294" i="9" s="1"/>
  <c r="H293" i="9"/>
  <c r="E293" i="9"/>
  <c r="H292" i="9"/>
  <c r="E292" i="9"/>
  <c r="G290" i="9"/>
  <c r="D290" i="9"/>
  <c r="C290" i="9"/>
  <c r="H289" i="9"/>
  <c r="E289" i="9"/>
  <c r="H288" i="9"/>
  <c r="E288" i="9"/>
  <c r="G286" i="9"/>
  <c r="D286" i="9"/>
  <c r="C286" i="9"/>
  <c r="H286" i="9" s="1"/>
  <c r="H285" i="9"/>
  <c r="E285" i="9"/>
  <c r="P284" i="9"/>
  <c r="I293" i="9" s="1"/>
  <c r="J293" i="9" s="1"/>
  <c r="I284" i="9"/>
  <c r="J284" i="9" s="1"/>
  <c r="H284" i="9"/>
  <c r="E284" i="9"/>
  <c r="G282" i="9"/>
  <c r="D282" i="9"/>
  <c r="E282" i="9" s="1"/>
  <c r="C282" i="9"/>
  <c r="H281" i="9"/>
  <c r="E281" i="9"/>
  <c r="H280" i="9"/>
  <c r="E280" i="9"/>
  <c r="G278" i="9"/>
  <c r="D278" i="9"/>
  <c r="C278" i="9"/>
  <c r="H277" i="9"/>
  <c r="E277" i="9"/>
  <c r="H276" i="9"/>
  <c r="E276" i="9"/>
  <c r="G274" i="9"/>
  <c r="D274" i="9"/>
  <c r="E274" i="9" s="1"/>
  <c r="C274" i="9"/>
  <c r="H274" i="9" s="1"/>
  <c r="H273" i="9"/>
  <c r="E273" i="9"/>
  <c r="N272" i="9"/>
  <c r="P272" i="9" s="1"/>
  <c r="I272" i="9"/>
  <c r="J272" i="9" s="1"/>
  <c r="H272" i="9"/>
  <c r="E272" i="9"/>
  <c r="G270" i="9"/>
  <c r="D270" i="9"/>
  <c r="C270" i="9"/>
  <c r="H270" i="9" s="1"/>
  <c r="H269" i="9"/>
  <c r="E269" i="9"/>
  <c r="H268" i="9"/>
  <c r="E268" i="9"/>
  <c r="G266" i="9"/>
  <c r="D266" i="9"/>
  <c r="C266" i="9"/>
  <c r="H266" i="9" s="1"/>
  <c r="H265" i="9"/>
  <c r="E265" i="9"/>
  <c r="N264" i="9"/>
  <c r="P264" i="9" s="1"/>
  <c r="I264" i="9"/>
  <c r="J264" i="9" s="1"/>
  <c r="H264" i="9"/>
  <c r="E264" i="9"/>
  <c r="G262" i="9"/>
  <c r="G310" i="9" s="1"/>
  <c r="M310" i="9" s="1"/>
  <c r="D262" i="9"/>
  <c r="E262" i="9" s="1"/>
  <c r="C262" i="9"/>
  <c r="H261" i="9"/>
  <c r="E261" i="9"/>
  <c r="P260" i="9"/>
  <c r="I261" i="9" s="1"/>
  <c r="I260" i="9"/>
  <c r="J260" i="9" s="1"/>
  <c r="H260" i="9"/>
  <c r="E260" i="9"/>
  <c r="G257" i="9"/>
  <c r="M257" i="9" s="1"/>
  <c r="D257" i="9"/>
  <c r="C257" i="9"/>
  <c r="G256" i="9"/>
  <c r="M256" i="9" s="1"/>
  <c r="N256" i="9" s="1"/>
  <c r="E256" i="9"/>
  <c r="D256" i="9"/>
  <c r="D258" i="9" s="1"/>
  <c r="C256" i="9"/>
  <c r="G254" i="9"/>
  <c r="H254" i="9" s="1"/>
  <c r="D254" i="9"/>
  <c r="E254" i="9" s="1"/>
  <c r="C254" i="9"/>
  <c r="I253" i="9"/>
  <c r="J253" i="9" s="1"/>
  <c r="H253" i="9"/>
  <c r="E253" i="9"/>
  <c r="H252" i="9"/>
  <c r="D252" i="9"/>
  <c r="E252" i="9" s="1"/>
  <c r="G250" i="9"/>
  <c r="D250" i="9"/>
  <c r="C250" i="9"/>
  <c r="I249" i="9"/>
  <c r="J249" i="9" s="1"/>
  <c r="H249" i="9"/>
  <c r="E249" i="9"/>
  <c r="H248" i="9"/>
  <c r="E248" i="9"/>
  <c r="G246" i="9"/>
  <c r="D246" i="9"/>
  <c r="C246" i="9"/>
  <c r="H245" i="9"/>
  <c r="E245" i="9"/>
  <c r="P244" i="9"/>
  <c r="I248" i="9" s="1"/>
  <c r="J248" i="9" s="1"/>
  <c r="I244" i="9"/>
  <c r="J244" i="9" s="1"/>
  <c r="H244" i="9"/>
  <c r="E244" i="9"/>
  <c r="G242" i="9"/>
  <c r="D242" i="9"/>
  <c r="E242" i="9" s="1"/>
  <c r="C242" i="9"/>
  <c r="H242" i="9" s="1"/>
  <c r="H241" i="9"/>
  <c r="E241" i="9"/>
  <c r="H240" i="9"/>
  <c r="E240" i="9"/>
  <c r="G238" i="9"/>
  <c r="D238" i="9"/>
  <c r="E238" i="9" s="1"/>
  <c r="C238" i="9"/>
  <c r="H237" i="9"/>
  <c r="E237" i="9"/>
  <c r="H236" i="9"/>
  <c r="E236" i="9"/>
  <c r="G234" i="9"/>
  <c r="D234" i="9"/>
  <c r="C234" i="9"/>
  <c r="H234" i="9" s="1"/>
  <c r="H233" i="9"/>
  <c r="E233" i="9"/>
  <c r="P232" i="9"/>
  <c r="I232" i="9" s="1"/>
  <c r="J232" i="9" s="1"/>
  <c r="H232" i="9"/>
  <c r="E232" i="9"/>
  <c r="G230" i="9"/>
  <c r="D230" i="9"/>
  <c r="C230" i="9"/>
  <c r="H229" i="9"/>
  <c r="E229" i="9"/>
  <c r="I228" i="9"/>
  <c r="J228" i="9" s="1"/>
  <c r="H228" i="9"/>
  <c r="E228" i="9"/>
  <c r="G226" i="9"/>
  <c r="D226" i="9"/>
  <c r="C226" i="9"/>
  <c r="H225" i="9"/>
  <c r="E225" i="9"/>
  <c r="I224" i="9"/>
  <c r="J224" i="9" s="1"/>
  <c r="H224" i="9"/>
  <c r="E224" i="9"/>
  <c r="G222" i="9"/>
  <c r="D222" i="9"/>
  <c r="C222" i="9"/>
  <c r="H221" i="9"/>
  <c r="E221" i="9"/>
  <c r="P220" i="9"/>
  <c r="I221" i="9" s="1"/>
  <c r="J221" i="9" s="1"/>
  <c r="I220" i="9"/>
  <c r="H220" i="9"/>
  <c r="E220" i="9"/>
  <c r="G218" i="9"/>
  <c r="D218" i="9"/>
  <c r="C218" i="9"/>
  <c r="H218" i="9" s="1"/>
  <c r="H217" i="9"/>
  <c r="E217" i="9"/>
  <c r="H216" i="9"/>
  <c r="E216" i="9"/>
  <c r="G214" i="9"/>
  <c r="D214" i="9"/>
  <c r="E214" i="9" s="1"/>
  <c r="C214" i="9"/>
  <c r="I213" i="9"/>
  <c r="J213" i="9" s="1"/>
  <c r="H213" i="9"/>
  <c r="E213" i="9"/>
  <c r="H212" i="9"/>
  <c r="E212" i="9"/>
  <c r="G210" i="9"/>
  <c r="D210" i="9"/>
  <c r="C210" i="9"/>
  <c r="H209" i="9"/>
  <c r="E209" i="9"/>
  <c r="P208" i="9"/>
  <c r="I216" i="9" s="1"/>
  <c r="J216" i="9" s="1"/>
  <c r="I208" i="9"/>
  <c r="J208" i="9" s="1"/>
  <c r="H208" i="9"/>
  <c r="E208" i="9"/>
  <c r="G205" i="9"/>
  <c r="M205" i="9" s="1"/>
  <c r="D205" i="9"/>
  <c r="E205" i="9" s="1"/>
  <c r="C205" i="9"/>
  <c r="G204" i="9"/>
  <c r="C204" i="9"/>
  <c r="G202" i="9"/>
  <c r="C202" i="9"/>
  <c r="H202" i="9" s="1"/>
  <c r="I201" i="9"/>
  <c r="J201" i="9" s="1"/>
  <c r="H201" i="9"/>
  <c r="E201" i="9"/>
  <c r="I200" i="9"/>
  <c r="H200" i="9"/>
  <c r="D200" i="9"/>
  <c r="E200" i="9" s="1"/>
  <c r="G198" i="9"/>
  <c r="H198" i="9" s="1"/>
  <c r="E198" i="9"/>
  <c r="D198" i="9"/>
  <c r="C198" i="9"/>
  <c r="H197" i="9"/>
  <c r="E197" i="9"/>
  <c r="I196" i="9"/>
  <c r="J196" i="9" s="1"/>
  <c r="H196" i="9"/>
  <c r="E196" i="9"/>
  <c r="G194" i="9"/>
  <c r="D194" i="9"/>
  <c r="E194" i="9" s="1"/>
  <c r="C194" i="9"/>
  <c r="H193" i="9"/>
  <c r="E193" i="9"/>
  <c r="P192" i="9"/>
  <c r="I197" i="9" s="1"/>
  <c r="J197" i="9" s="1"/>
  <c r="I192" i="9"/>
  <c r="J192" i="9" s="1"/>
  <c r="H192" i="9"/>
  <c r="E192" i="9"/>
  <c r="G190" i="9"/>
  <c r="D190" i="9"/>
  <c r="C190" i="9"/>
  <c r="I189" i="9"/>
  <c r="J189" i="9" s="1"/>
  <c r="H189" i="9"/>
  <c r="E189" i="9"/>
  <c r="I188" i="9"/>
  <c r="J188" i="9" s="1"/>
  <c r="H188" i="9"/>
  <c r="E188" i="9"/>
  <c r="G186" i="9"/>
  <c r="D186" i="9"/>
  <c r="C186" i="9"/>
  <c r="H186" i="9" s="1"/>
  <c r="I185" i="9"/>
  <c r="J185" i="9" s="1"/>
  <c r="H185" i="9"/>
  <c r="E185" i="9"/>
  <c r="I184" i="9"/>
  <c r="J184" i="9" s="1"/>
  <c r="H184" i="9"/>
  <c r="E184" i="9"/>
  <c r="G182" i="9"/>
  <c r="D182" i="9"/>
  <c r="C182" i="9"/>
  <c r="H182" i="9" s="1"/>
  <c r="I181" i="9"/>
  <c r="J181" i="9" s="1"/>
  <c r="H181" i="9"/>
  <c r="E181" i="9"/>
  <c r="P180" i="9"/>
  <c r="I180" i="9"/>
  <c r="J180" i="9" s="1"/>
  <c r="H180" i="9"/>
  <c r="E180" i="9"/>
  <c r="G178" i="9"/>
  <c r="D178" i="9"/>
  <c r="C178" i="9"/>
  <c r="H178" i="9" s="1"/>
  <c r="H177" i="9"/>
  <c r="E177" i="9"/>
  <c r="H176" i="9"/>
  <c r="E176" i="9"/>
  <c r="G174" i="9"/>
  <c r="D174" i="9"/>
  <c r="C174" i="9"/>
  <c r="H174" i="9" s="1"/>
  <c r="H173" i="9"/>
  <c r="E173" i="9"/>
  <c r="H172" i="9"/>
  <c r="E172" i="9"/>
  <c r="G170" i="9"/>
  <c r="H170" i="9" s="1"/>
  <c r="D170" i="9"/>
  <c r="C170" i="9"/>
  <c r="H169" i="9"/>
  <c r="E169" i="9"/>
  <c r="P168" i="9"/>
  <c r="I169" i="9" s="1"/>
  <c r="J169" i="9" s="1"/>
  <c r="H168" i="9"/>
  <c r="E168" i="9"/>
  <c r="G166" i="9"/>
  <c r="D166" i="9"/>
  <c r="C166" i="9"/>
  <c r="H166" i="9" s="1"/>
  <c r="H165" i="9"/>
  <c r="E165" i="9"/>
  <c r="H164" i="9"/>
  <c r="E164" i="9"/>
  <c r="G162" i="9"/>
  <c r="D162" i="9"/>
  <c r="E162" i="9" s="1"/>
  <c r="C162" i="9"/>
  <c r="I161" i="9"/>
  <c r="J161" i="9" s="1"/>
  <c r="H161" i="9"/>
  <c r="E161" i="9"/>
  <c r="I160" i="9"/>
  <c r="H160" i="9"/>
  <c r="E160" i="9"/>
  <c r="G158" i="9"/>
  <c r="G206" i="9" s="1"/>
  <c r="M206" i="9" s="1"/>
  <c r="E158" i="9"/>
  <c r="D158" i="9"/>
  <c r="C158" i="9"/>
  <c r="H157" i="9"/>
  <c r="E157" i="9"/>
  <c r="P156" i="9"/>
  <c r="I157" i="9" s="1"/>
  <c r="I156" i="9"/>
  <c r="H156" i="9"/>
  <c r="E156" i="9"/>
  <c r="G153" i="9"/>
  <c r="M153" i="9" s="1"/>
  <c r="D153" i="9"/>
  <c r="C153" i="9"/>
  <c r="N153" i="9" s="1"/>
  <c r="M152" i="9"/>
  <c r="N152" i="9" s="1"/>
  <c r="G152" i="9"/>
  <c r="C152" i="9"/>
  <c r="H152" i="9" s="1"/>
  <c r="G150" i="9"/>
  <c r="C150" i="9"/>
  <c r="H150" i="9" s="1"/>
  <c r="H149" i="9"/>
  <c r="E149" i="9"/>
  <c r="H148" i="9"/>
  <c r="D148" i="9"/>
  <c r="D150" i="9" s="1"/>
  <c r="E150" i="9" s="1"/>
  <c r="G146" i="9"/>
  <c r="D146" i="9"/>
  <c r="E146" i="9" s="1"/>
  <c r="C146" i="9"/>
  <c r="I145" i="9"/>
  <c r="J145" i="9" s="1"/>
  <c r="H145" i="9"/>
  <c r="E145" i="9"/>
  <c r="H144" i="9"/>
  <c r="E144" i="9"/>
  <c r="G142" i="9"/>
  <c r="D142" i="9"/>
  <c r="C142" i="9"/>
  <c r="H141" i="9"/>
  <c r="E141" i="9"/>
  <c r="P140" i="9"/>
  <c r="I149" i="9" s="1"/>
  <c r="J149" i="9" s="1"/>
  <c r="I140" i="9"/>
  <c r="J140" i="9" s="1"/>
  <c r="H140" i="9"/>
  <c r="E140" i="9"/>
  <c r="G138" i="9"/>
  <c r="D138" i="9"/>
  <c r="C138" i="9"/>
  <c r="H138" i="9" s="1"/>
  <c r="H137" i="9"/>
  <c r="E137" i="9"/>
  <c r="P136" i="9"/>
  <c r="I137" i="9" s="1"/>
  <c r="J137" i="9" s="1"/>
  <c r="J138" i="9" s="1"/>
  <c r="I136" i="9"/>
  <c r="J136" i="9" s="1"/>
  <c r="H136" i="9"/>
  <c r="E136" i="9"/>
  <c r="G134" i="9"/>
  <c r="D134" i="9"/>
  <c r="C134" i="9"/>
  <c r="I133" i="9"/>
  <c r="J133" i="9" s="1"/>
  <c r="H133" i="9"/>
  <c r="E133" i="9"/>
  <c r="H132" i="9"/>
  <c r="E132" i="9"/>
  <c r="H131" i="9"/>
  <c r="E131" i="9"/>
  <c r="G129" i="9"/>
  <c r="D129" i="9"/>
  <c r="C129" i="9"/>
  <c r="H129" i="9" s="1"/>
  <c r="I128" i="9"/>
  <c r="J128" i="9" s="1"/>
  <c r="H128" i="9"/>
  <c r="E128" i="9"/>
  <c r="I127" i="9"/>
  <c r="J127" i="9" s="1"/>
  <c r="H127" i="9"/>
  <c r="E127" i="9"/>
  <c r="H126" i="9"/>
  <c r="E126" i="9"/>
  <c r="G124" i="9"/>
  <c r="D124" i="9"/>
  <c r="E124" i="9" s="1"/>
  <c r="C124" i="9"/>
  <c r="H123" i="9"/>
  <c r="E123" i="9"/>
  <c r="I122" i="9"/>
  <c r="J122" i="9" s="1"/>
  <c r="H122" i="9"/>
  <c r="E122" i="9"/>
  <c r="G120" i="9"/>
  <c r="D120" i="9"/>
  <c r="E120" i="9" s="1"/>
  <c r="C120" i="9"/>
  <c r="H119" i="9"/>
  <c r="E119" i="9"/>
  <c r="H118" i="9"/>
  <c r="E118" i="9"/>
  <c r="G116" i="9"/>
  <c r="D116" i="9"/>
  <c r="C116" i="9"/>
  <c r="H115" i="9"/>
  <c r="E115" i="9"/>
  <c r="P114" i="9"/>
  <c r="I123" i="9" s="1"/>
  <c r="J123" i="9" s="1"/>
  <c r="I114" i="9"/>
  <c r="J114" i="9" s="1"/>
  <c r="H114" i="9"/>
  <c r="E114" i="9"/>
  <c r="G112" i="9"/>
  <c r="D112" i="9"/>
  <c r="C112" i="9"/>
  <c r="H111" i="9"/>
  <c r="E111" i="9"/>
  <c r="I110" i="9"/>
  <c r="J110" i="9" s="1"/>
  <c r="J112" i="9" s="1"/>
  <c r="H110" i="9"/>
  <c r="G108" i="9"/>
  <c r="D108" i="9"/>
  <c r="C108" i="9"/>
  <c r="H108" i="9" s="1"/>
  <c r="I107" i="9"/>
  <c r="J107" i="9" s="1"/>
  <c r="J108" i="9" s="1"/>
  <c r="H107" i="9"/>
  <c r="E107" i="9"/>
  <c r="I106" i="9"/>
  <c r="J106" i="9" s="1"/>
  <c r="H106" i="9"/>
  <c r="E106" i="9"/>
  <c r="G104" i="9"/>
  <c r="D104" i="9"/>
  <c r="C104" i="9"/>
  <c r="E104" i="9" s="1"/>
  <c r="I103" i="9"/>
  <c r="H103" i="9"/>
  <c r="E103" i="9"/>
  <c r="P102" i="9"/>
  <c r="I111" i="9" s="1"/>
  <c r="J111" i="9" s="1"/>
  <c r="I102" i="9"/>
  <c r="H102" i="9"/>
  <c r="E102" i="9"/>
  <c r="G99" i="9"/>
  <c r="M99" i="9" s="1"/>
  <c r="D99" i="9"/>
  <c r="C99" i="9"/>
  <c r="N99" i="9" s="1"/>
  <c r="G98" i="9"/>
  <c r="C98" i="9"/>
  <c r="G96" i="9"/>
  <c r="H96" i="9" s="1"/>
  <c r="C96" i="9"/>
  <c r="H95" i="9"/>
  <c r="E95" i="9"/>
  <c r="H94" i="9"/>
  <c r="D94" i="9"/>
  <c r="D98" i="9" s="1"/>
  <c r="G92" i="9"/>
  <c r="D92" i="9"/>
  <c r="C92" i="9"/>
  <c r="H92" i="9" s="1"/>
  <c r="I91" i="9"/>
  <c r="J91" i="9" s="1"/>
  <c r="H91" i="9"/>
  <c r="E91" i="9"/>
  <c r="I90" i="9"/>
  <c r="J90" i="9" s="1"/>
  <c r="J92" i="9" s="1"/>
  <c r="H90" i="9"/>
  <c r="E90" i="9"/>
  <c r="G88" i="9"/>
  <c r="H88" i="9" s="1"/>
  <c r="D88" i="9"/>
  <c r="E88" i="9" s="1"/>
  <c r="C88" i="9"/>
  <c r="H87" i="9"/>
  <c r="E87" i="9"/>
  <c r="P86" i="9"/>
  <c r="I95" i="9" s="1"/>
  <c r="J95" i="9" s="1"/>
  <c r="I86" i="9"/>
  <c r="J86" i="9" s="1"/>
  <c r="H86" i="9"/>
  <c r="E86" i="9"/>
  <c r="G84" i="9"/>
  <c r="D84" i="9"/>
  <c r="E84" i="9" s="1"/>
  <c r="C84" i="9"/>
  <c r="H83" i="9"/>
  <c r="E83" i="9"/>
  <c r="I82" i="9"/>
  <c r="J82" i="9" s="1"/>
  <c r="H82" i="9"/>
  <c r="E82" i="9"/>
  <c r="G80" i="9"/>
  <c r="D80" i="9"/>
  <c r="C80" i="9"/>
  <c r="H80" i="9" s="1"/>
  <c r="I79" i="9"/>
  <c r="J79" i="9" s="1"/>
  <c r="H79" i="9"/>
  <c r="E79" i="9"/>
  <c r="H78" i="9"/>
  <c r="E78" i="9"/>
  <c r="G76" i="9"/>
  <c r="D76" i="9"/>
  <c r="C76" i="9"/>
  <c r="H76" i="9" s="1"/>
  <c r="I75" i="9"/>
  <c r="J75" i="9" s="1"/>
  <c r="H75" i="9"/>
  <c r="E75" i="9"/>
  <c r="P74" i="9"/>
  <c r="I83" i="9" s="1"/>
  <c r="J83" i="9" s="1"/>
  <c r="H74" i="9"/>
  <c r="E74" i="9"/>
  <c r="G72" i="9"/>
  <c r="D72" i="9"/>
  <c r="C72" i="9"/>
  <c r="H72" i="9" s="1"/>
  <c r="P71" i="9"/>
  <c r="I71" i="9"/>
  <c r="J71" i="9" s="1"/>
  <c r="H71" i="9"/>
  <c r="E71" i="9"/>
  <c r="P70" i="9"/>
  <c r="I70" i="9" s="1"/>
  <c r="J70" i="9" s="1"/>
  <c r="J72" i="9" s="1"/>
  <c r="H70" i="9"/>
  <c r="E70" i="9"/>
  <c r="G68" i="9"/>
  <c r="D68" i="9"/>
  <c r="C68" i="9"/>
  <c r="H68" i="9" s="1"/>
  <c r="P67" i="9"/>
  <c r="I67" i="9" s="1"/>
  <c r="J67" i="9"/>
  <c r="H67" i="9"/>
  <c r="E67" i="9"/>
  <c r="P66" i="9"/>
  <c r="I66" i="9"/>
  <c r="J66" i="9" s="1"/>
  <c r="J68" i="9" s="1"/>
  <c r="H66" i="9"/>
  <c r="E66" i="9"/>
  <c r="G64" i="9"/>
  <c r="D64" i="9"/>
  <c r="C64" i="9"/>
  <c r="H64" i="9" s="1"/>
  <c r="P63" i="9"/>
  <c r="I63" i="9" s="1"/>
  <c r="J63" i="9" s="1"/>
  <c r="H63" i="9"/>
  <c r="E63" i="9"/>
  <c r="P62" i="9"/>
  <c r="I62" i="9"/>
  <c r="J62" i="9" s="1"/>
  <c r="H62" i="9"/>
  <c r="E62" i="9"/>
  <c r="G60" i="9"/>
  <c r="D60" i="9"/>
  <c r="C60" i="9"/>
  <c r="H60" i="9" s="1"/>
  <c r="P59" i="9"/>
  <c r="I59" i="9" s="1"/>
  <c r="H59" i="9"/>
  <c r="E59" i="9"/>
  <c r="P58" i="9"/>
  <c r="I58" i="9" s="1"/>
  <c r="J58" i="9" s="1"/>
  <c r="H58" i="9"/>
  <c r="E58" i="9"/>
  <c r="G56" i="9"/>
  <c r="D56" i="9"/>
  <c r="C56" i="9"/>
  <c r="P55" i="9"/>
  <c r="I55" i="9"/>
  <c r="J55" i="9" s="1"/>
  <c r="H55" i="9"/>
  <c r="E55" i="9"/>
  <c r="P54" i="9"/>
  <c r="I54" i="9" s="1"/>
  <c r="J54" i="9" s="1"/>
  <c r="J56" i="9" s="1"/>
  <c r="H54" i="9"/>
  <c r="E54" i="9"/>
  <c r="G52" i="9"/>
  <c r="D52" i="9"/>
  <c r="E52" i="9" s="1"/>
  <c r="C52" i="9"/>
  <c r="C100" i="9" s="1"/>
  <c r="P51" i="9"/>
  <c r="I51" i="9" s="1"/>
  <c r="J51" i="9" s="1"/>
  <c r="H51" i="9"/>
  <c r="E51" i="9"/>
  <c r="P50" i="9"/>
  <c r="I50" i="9"/>
  <c r="J50" i="9" s="1"/>
  <c r="H50" i="9"/>
  <c r="E50" i="9"/>
  <c r="G47" i="9"/>
  <c r="U47" i="9" s="1"/>
  <c r="D47" i="9"/>
  <c r="C47" i="9"/>
  <c r="H47" i="9" s="1"/>
  <c r="G46" i="9"/>
  <c r="U46" i="9" s="1"/>
  <c r="C46" i="9"/>
  <c r="G43" i="9"/>
  <c r="C43" i="9"/>
  <c r="H43" i="9" s="1"/>
  <c r="P42" i="9"/>
  <c r="I42" i="9"/>
  <c r="J42" i="9" s="1"/>
  <c r="H42" i="9"/>
  <c r="E42" i="9"/>
  <c r="P41" i="9"/>
  <c r="I41" i="9"/>
  <c r="H41" i="9"/>
  <c r="D41" i="9"/>
  <c r="E41" i="9" s="1"/>
  <c r="G39" i="9"/>
  <c r="D39" i="9"/>
  <c r="C39" i="9"/>
  <c r="H39" i="9" s="1"/>
  <c r="P38" i="9"/>
  <c r="I38" i="9" s="1"/>
  <c r="J38" i="9" s="1"/>
  <c r="H38" i="9"/>
  <c r="E38" i="9"/>
  <c r="P37" i="9"/>
  <c r="I37" i="9"/>
  <c r="J37" i="9" s="1"/>
  <c r="H37" i="9"/>
  <c r="E37" i="9"/>
  <c r="G35" i="9"/>
  <c r="D35" i="9"/>
  <c r="C35" i="9"/>
  <c r="H35" i="9" s="1"/>
  <c r="P34" i="9"/>
  <c r="I34" i="9" s="1"/>
  <c r="J34" i="9" s="1"/>
  <c r="H34" i="9"/>
  <c r="E34" i="9"/>
  <c r="P33" i="9"/>
  <c r="I33" i="9" s="1"/>
  <c r="J33" i="9" s="1"/>
  <c r="J35" i="9" s="1"/>
  <c r="H33" i="9"/>
  <c r="E33" i="9"/>
  <c r="G31" i="9"/>
  <c r="D31" i="9"/>
  <c r="C31" i="9"/>
  <c r="H31" i="9" s="1"/>
  <c r="P30" i="9"/>
  <c r="I30" i="9" s="1"/>
  <c r="J30" i="9"/>
  <c r="H30" i="9"/>
  <c r="E30" i="9"/>
  <c r="P29" i="9"/>
  <c r="I29" i="9" s="1"/>
  <c r="J29" i="9" s="1"/>
  <c r="J31" i="9" s="1"/>
  <c r="H29" i="9"/>
  <c r="E29" i="9"/>
  <c r="G27" i="9"/>
  <c r="D27" i="9"/>
  <c r="C27" i="9"/>
  <c r="H27" i="9" s="1"/>
  <c r="P26" i="9"/>
  <c r="I26" i="9"/>
  <c r="J26" i="9" s="1"/>
  <c r="H26" i="9"/>
  <c r="E26" i="9"/>
  <c r="P25" i="9"/>
  <c r="I25" i="9" s="1"/>
  <c r="J25" i="9" s="1"/>
  <c r="H25" i="9"/>
  <c r="E25" i="9"/>
  <c r="G23" i="9"/>
  <c r="D23" i="9"/>
  <c r="C23" i="9"/>
  <c r="H23" i="9" s="1"/>
  <c r="P22" i="9"/>
  <c r="I22" i="9"/>
  <c r="J22" i="9" s="1"/>
  <c r="H22" i="9"/>
  <c r="E22" i="9"/>
  <c r="P21" i="9"/>
  <c r="I21" i="9" s="1"/>
  <c r="J21" i="9" s="1"/>
  <c r="J23" i="9" s="1"/>
  <c r="H21" i="9"/>
  <c r="E21" i="9"/>
  <c r="G19" i="9"/>
  <c r="D19" i="9"/>
  <c r="C19" i="9"/>
  <c r="H18" i="9"/>
  <c r="E18" i="9"/>
  <c r="H17" i="9"/>
  <c r="E17" i="9"/>
  <c r="G15" i="9"/>
  <c r="D15" i="9"/>
  <c r="C15" i="9"/>
  <c r="I14" i="9"/>
  <c r="J14" i="9" s="1"/>
  <c r="H14" i="9"/>
  <c r="E14" i="9"/>
  <c r="H13" i="9"/>
  <c r="E13" i="9"/>
  <c r="H11" i="9"/>
  <c r="G11" i="9"/>
  <c r="D11" i="9"/>
  <c r="C11" i="9"/>
  <c r="H10" i="9"/>
  <c r="E10" i="9"/>
  <c r="P9" i="9"/>
  <c r="I18" i="9" s="1"/>
  <c r="J18" i="9" s="1"/>
  <c r="H9" i="9"/>
  <c r="E9" i="9"/>
  <c r="G7" i="9"/>
  <c r="D7" i="9"/>
  <c r="C7" i="9"/>
  <c r="H6" i="9"/>
  <c r="E6" i="9"/>
  <c r="P5" i="9"/>
  <c r="I6" i="9" s="1"/>
  <c r="I5" i="9"/>
  <c r="H5" i="9"/>
  <c r="E5" i="9"/>
  <c r="P161" i="1"/>
  <c r="N257" i="9" l="1"/>
  <c r="J250" i="9"/>
  <c r="E166" i="9"/>
  <c r="E278" i="9"/>
  <c r="E112" i="9"/>
  <c r="H98" i="9"/>
  <c r="H112" i="9"/>
  <c r="E222" i="9"/>
  <c r="M98" i="9"/>
  <c r="N98" i="9" s="1"/>
  <c r="J98" i="9" s="1"/>
  <c r="J100" i="9" s="1"/>
  <c r="H222" i="9"/>
  <c r="E60" i="9"/>
  <c r="I154" i="9"/>
  <c r="I209" i="9"/>
  <c r="J209" i="9" s="1"/>
  <c r="J210" i="9" s="1"/>
  <c r="E250" i="9"/>
  <c r="E294" i="9"/>
  <c r="E99" i="9"/>
  <c r="H238" i="9"/>
  <c r="H250" i="9"/>
  <c r="J312" i="9"/>
  <c r="J314" i="9" s="1"/>
  <c r="E23" i="9"/>
  <c r="I141" i="9"/>
  <c r="J141" i="9" s="1"/>
  <c r="J142" i="9" s="1"/>
  <c r="E210" i="9"/>
  <c r="D154" i="9"/>
  <c r="E154" i="9" s="1"/>
  <c r="J52" i="9"/>
  <c r="J64" i="9"/>
  <c r="E142" i="9"/>
  <c r="I240" i="9"/>
  <c r="J240" i="9" s="1"/>
  <c r="J242" i="9" s="1"/>
  <c r="I252" i="9"/>
  <c r="J252" i="9" s="1"/>
  <c r="J254" i="9" s="1"/>
  <c r="E11" i="9"/>
  <c r="I87" i="9"/>
  <c r="J87" i="9" s="1"/>
  <c r="J88" i="9" s="1"/>
  <c r="H116" i="9"/>
  <c r="H142" i="9"/>
  <c r="E266" i="9"/>
  <c r="E170" i="9"/>
  <c r="I212" i="9"/>
  <c r="J212" i="9" s="1"/>
  <c r="H226" i="9"/>
  <c r="H282" i="9"/>
  <c r="H314" i="9"/>
  <c r="J27" i="9"/>
  <c r="J39" i="9"/>
  <c r="I131" i="9"/>
  <c r="J131" i="9" s="1"/>
  <c r="I144" i="9"/>
  <c r="J144" i="9" s="1"/>
  <c r="J146" i="9" s="1"/>
  <c r="I241" i="9"/>
  <c r="J241" i="9" s="1"/>
  <c r="E298" i="9"/>
  <c r="E316" i="9"/>
  <c r="E270" i="9"/>
  <c r="E39" i="9"/>
  <c r="E174" i="9"/>
  <c r="E134" i="9"/>
  <c r="J41" i="9"/>
  <c r="J43" i="9" s="1"/>
  <c r="E98" i="9"/>
  <c r="E190" i="9"/>
  <c r="I217" i="9"/>
  <c r="J217" i="9" s="1"/>
  <c r="J218" i="9" s="1"/>
  <c r="I288" i="9"/>
  <c r="J288" i="9" s="1"/>
  <c r="J290" i="9" s="1"/>
  <c r="J256" i="9"/>
  <c r="J258" i="9" s="1"/>
  <c r="E186" i="9"/>
  <c r="D100" i="9"/>
  <c r="E100" i="9" s="1"/>
  <c r="E27" i="9"/>
  <c r="H214" i="9"/>
  <c r="E92" i="9"/>
  <c r="H134" i="9"/>
  <c r="D202" i="9"/>
  <c r="E202" i="9" s="1"/>
  <c r="E94" i="9"/>
  <c r="E218" i="9"/>
  <c r="E56" i="9"/>
  <c r="E19" i="9"/>
  <c r="E68" i="9"/>
  <c r="I164" i="9"/>
  <c r="J164" i="9" s="1"/>
  <c r="D43" i="9"/>
  <c r="E43" i="9" s="1"/>
  <c r="I321" i="9"/>
  <c r="J321" i="9" s="1"/>
  <c r="H124" i="9"/>
  <c r="E138" i="9"/>
  <c r="J182" i="9"/>
  <c r="J214" i="9"/>
  <c r="E15" i="9"/>
  <c r="H120" i="9"/>
  <c r="H256" i="9"/>
  <c r="E286" i="9"/>
  <c r="H230" i="9"/>
  <c r="I148" i="9"/>
  <c r="J148" i="9" s="1"/>
  <c r="J150" i="9" s="1"/>
  <c r="E80" i="9"/>
  <c r="D204" i="9"/>
  <c r="E204" i="9" s="1"/>
  <c r="I245" i="9"/>
  <c r="J245" i="9" s="1"/>
  <c r="J246" i="9" s="1"/>
  <c r="H306" i="9"/>
  <c r="H19" i="9"/>
  <c r="D96" i="9"/>
  <c r="E96" i="9" s="1"/>
  <c r="D152" i="9"/>
  <c r="E152" i="9" s="1"/>
  <c r="J152" i="9" s="1"/>
  <c r="J154" i="9" s="1"/>
  <c r="H322" i="9"/>
  <c r="E64" i="9"/>
  <c r="J200" i="9"/>
  <c r="J202" i="9" s="1"/>
  <c r="I285" i="9"/>
  <c r="J285" i="9" s="1"/>
  <c r="J286" i="9" s="1"/>
  <c r="H146" i="9"/>
  <c r="E230" i="9"/>
  <c r="J317" i="9"/>
  <c r="J124" i="9"/>
  <c r="E257" i="9"/>
  <c r="H162" i="9"/>
  <c r="H190" i="9"/>
  <c r="I94" i="9"/>
  <c r="J94" i="9" s="1"/>
  <c r="J96" i="9" s="1"/>
  <c r="E246" i="9"/>
  <c r="H56" i="9"/>
  <c r="H246" i="9"/>
  <c r="E31" i="9"/>
  <c r="D46" i="9"/>
  <c r="E46" i="9" s="1"/>
  <c r="I165" i="9"/>
  <c r="J165" i="9" s="1"/>
  <c r="I193" i="9"/>
  <c r="J193" i="9" s="1"/>
  <c r="V46" i="9"/>
  <c r="J59" i="9"/>
  <c r="J60" i="9" s="1"/>
  <c r="H100" i="9"/>
  <c r="I276" i="9"/>
  <c r="J276" i="9" s="1"/>
  <c r="I273" i="9"/>
  <c r="J273" i="9" s="1"/>
  <c r="J274" i="9" s="1"/>
  <c r="I281" i="9"/>
  <c r="J281" i="9" s="1"/>
  <c r="I280" i="9"/>
  <c r="J280" i="9" s="1"/>
  <c r="J282" i="9" s="1"/>
  <c r="G154" i="9"/>
  <c r="M154" i="9" s="1"/>
  <c r="M204" i="9"/>
  <c r="N204" i="9" s="1"/>
  <c r="J204" i="9" s="1"/>
  <c r="J206" i="9" s="1"/>
  <c r="H204" i="9"/>
  <c r="E116" i="9"/>
  <c r="J262" i="9"/>
  <c r="H104" i="9"/>
  <c r="J160" i="9"/>
  <c r="J162" i="9" s="1"/>
  <c r="E182" i="9"/>
  <c r="E129" i="9"/>
  <c r="I172" i="9"/>
  <c r="J172" i="9" s="1"/>
  <c r="I176" i="9"/>
  <c r="J176" i="9" s="1"/>
  <c r="I173" i="9"/>
  <c r="J173" i="9" s="1"/>
  <c r="H158" i="9"/>
  <c r="G100" i="9"/>
  <c r="M100" i="9" s="1"/>
  <c r="N100" i="9" s="1"/>
  <c r="J261" i="9"/>
  <c r="H52" i="9"/>
  <c r="H205" i="9"/>
  <c r="C310" i="9"/>
  <c r="H262" i="9"/>
  <c r="J186" i="9"/>
  <c r="E302" i="9"/>
  <c r="I301" i="9"/>
  <c r="J301" i="9" s="1"/>
  <c r="I300" i="9"/>
  <c r="J300" i="9" s="1"/>
  <c r="J302" i="9" s="1"/>
  <c r="I297" i="9"/>
  <c r="J297" i="9" s="1"/>
  <c r="I305" i="9"/>
  <c r="J305" i="9" s="1"/>
  <c r="I304" i="9"/>
  <c r="J304" i="9" s="1"/>
  <c r="J306" i="9" s="1"/>
  <c r="I296" i="9"/>
  <c r="J296" i="9" s="1"/>
  <c r="J103" i="9"/>
  <c r="I277" i="9"/>
  <c r="J277" i="9" s="1"/>
  <c r="H290" i="9"/>
  <c r="D308" i="9"/>
  <c r="D306" i="9"/>
  <c r="E306" i="9" s="1"/>
  <c r="E304" i="9"/>
  <c r="E108" i="9"/>
  <c r="H278" i="9"/>
  <c r="E290" i="9"/>
  <c r="H153" i="9"/>
  <c r="J316" i="9"/>
  <c r="E35" i="9"/>
  <c r="H46" i="9"/>
  <c r="H99" i="9"/>
  <c r="C154" i="9"/>
  <c r="C258" i="9"/>
  <c r="J220" i="9"/>
  <c r="J222" i="9" s="1"/>
  <c r="J84" i="9"/>
  <c r="I177" i="9"/>
  <c r="J177" i="9" s="1"/>
  <c r="J190" i="9"/>
  <c r="G258" i="9"/>
  <c r="M258" i="9" s="1"/>
  <c r="I237" i="9"/>
  <c r="J237" i="9" s="1"/>
  <c r="I236" i="9"/>
  <c r="J236" i="9" s="1"/>
  <c r="J238" i="9" s="1"/>
  <c r="I233" i="9"/>
  <c r="J233" i="9" s="1"/>
  <c r="H210" i="9"/>
  <c r="N308" i="9"/>
  <c r="H308" i="9"/>
  <c r="J194" i="9"/>
  <c r="E153" i="9"/>
  <c r="J266" i="9"/>
  <c r="C48" i="9"/>
  <c r="J5" i="9"/>
  <c r="H15" i="9"/>
  <c r="J234" i="9"/>
  <c r="E178" i="9"/>
  <c r="D206" i="9"/>
  <c r="E206" i="9" s="1"/>
  <c r="J6" i="9"/>
  <c r="E234" i="9"/>
  <c r="J102" i="9"/>
  <c r="E7" i="9"/>
  <c r="V47" i="9"/>
  <c r="C206" i="9"/>
  <c r="N309" i="9"/>
  <c r="H309" i="9"/>
  <c r="G48" i="9"/>
  <c r="U48" i="9" s="1"/>
  <c r="I168" i="9"/>
  <c r="J168" i="9" s="1"/>
  <c r="J170" i="9" s="1"/>
  <c r="H7" i="9"/>
  <c r="E309" i="9"/>
  <c r="E72" i="9"/>
  <c r="H84" i="9"/>
  <c r="I268" i="9"/>
  <c r="J268" i="9" s="1"/>
  <c r="J270" i="9" s="1"/>
  <c r="I265" i="9"/>
  <c r="J265" i="9" s="1"/>
  <c r="E47" i="9"/>
  <c r="H194" i="9"/>
  <c r="N205" i="9"/>
  <c r="I13" i="9"/>
  <c r="J13" i="9" s="1"/>
  <c r="J15" i="9" s="1"/>
  <c r="I10" i="9"/>
  <c r="J10" i="9" s="1"/>
  <c r="I9" i="9"/>
  <c r="J9" i="9" s="1"/>
  <c r="J11" i="9" s="1"/>
  <c r="I17" i="9"/>
  <c r="J17" i="9" s="1"/>
  <c r="J19" i="9" s="1"/>
  <c r="I74" i="9"/>
  <c r="J74" i="9" s="1"/>
  <c r="J76" i="9" s="1"/>
  <c r="I78" i="9"/>
  <c r="J78" i="9" s="1"/>
  <c r="J80" i="9" s="1"/>
  <c r="I119" i="9"/>
  <c r="J119" i="9" s="1"/>
  <c r="I118" i="9"/>
  <c r="J118" i="9" s="1"/>
  <c r="J120" i="9" s="1"/>
  <c r="I132" i="9"/>
  <c r="J132" i="9" s="1"/>
  <c r="J134" i="9" s="1"/>
  <c r="I115" i="9"/>
  <c r="J115" i="9" s="1"/>
  <c r="J116" i="9" s="1"/>
  <c r="I126" i="9"/>
  <c r="J126" i="9" s="1"/>
  <c r="J129" i="9" s="1"/>
  <c r="J198" i="9"/>
  <c r="E314" i="9"/>
  <c r="E76" i="9"/>
  <c r="E148" i="9"/>
  <c r="J156" i="9"/>
  <c r="E226" i="9"/>
  <c r="H257" i="9"/>
  <c r="I269" i="9"/>
  <c r="J269" i="9" s="1"/>
  <c r="J157" i="9"/>
  <c r="I225" i="9"/>
  <c r="J225" i="9" s="1"/>
  <c r="J226" i="9" s="1"/>
  <c r="I289" i="9"/>
  <c r="J289" i="9" s="1"/>
  <c r="E312" i="9"/>
  <c r="I320" i="9"/>
  <c r="J320" i="9" s="1"/>
  <c r="J322" i="9" s="1"/>
  <c r="I229" i="9"/>
  <c r="J229" i="9" s="1"/>
  <c r="J230" i="9" s="1"/>
  <c r="I292" i="9"/>
  <c r="J292" i="9" s="1"/>
  <c r="J294" i="9" s="1"/>
  <c r="G171" i="1"/>
  <c r="C171" i="1"/>
  <c r="D170" i="1"/>
  <c r="E170" i="1" s="1"/>
  <c r="D169" i="1"/>
  <c r="D171" i="1" s="1"/>
  <c r="E171" i="1" s="1"/>
  <c r="G167" i="1"/>
  <c r="C167" i="1"/>
  <c r="D166" i="1"/>
  <c r="E166" i="1" s="1"/>
  <c r="D165" i="1"/>
  <c r="D167" i="1" s="1"/>
  <c r="E167" i="1" s="1"/>
  <c r="G163" i="1"/>
  <c r="C163" i="1"/>
  <c r="E162" i="1"/>
  <c r="D161" i="1"/>
  <c r="D163" i="1" s="1"/>
  <c r="E163" i="1" s="1"/>
  <c r="G143" i="1"/>
  <c r="D143" i="1"/>
  <c r="C143" i="1"/>
  <c r="E142" i="1"/>
  <c r="E141" i="1"/>
  <c r="G139" i="1"/>
  <c r="D139" i="1"/>
  <c r="C139" i="1"/>
  <c r="E138" i="1"/>
  <c r="E137" i="1"/>
  <c r="G135" i="1"/>
  <c r="D135" i="1"/>
  <c r="C135" i="1"/>
  <c r="E134" i="1"/>
  <c r="E133" i="1"/>
  <c r="G131" i="1"/>
  <c r="D131" i="1"/>
  <c r="C131" i="1"/>
  <c r="E130" i="1"/>
  <c r="E129" i="1"/>
  <c r="G127" i="1"/>
  <c r="D127" i="1"/>
  <c r="C127" i="1"/>
  <c r="E126" i="1"/>
  <c r="E125" i="1"/>
  <c r="G123" i="1"/>
  <c r="D123" i="1"/>
  <c r="C123" i="1"/>
  <c r="E122" i="1"/>
  <c r="E121" i="1"/>
  <c r="D153" i="1"/>
  <c r="D157" i="1" s="1"/>
  <c r="D101" i="1"/>
  <c r="D49" i="1"/>
  <c r="P145" i="1"/>
  <c r="I146" i="1" s="1"/>
  <c r="J146" i="1" s="1"/>
  <c r="G155" i="1"/>
  <c r="H155" i="1" s="1"/>
  <c r="I154" i="1"/>
  <c r="J154" i="1" s="1"/>
  <c r="H154" i="1"/>
  <c r="I153" i="1"/>
  <c r="H153" i="1"/>
  <c r="G151" i="1"/>
  <c r="H151" i="1" s="1"/>
  <c r="I150" i="1"/>
  <c r="J150" i="1" s="1"/>
  <c r="H150" i="1"/>
  <c r="I149" i="1"/>
  <c r="J149" i="1" s="1"/>
  <c r="J151" i="1" s="1"/>
  <c r="H149" i="1"/>
  <c r="G147" i="1"/>
  <c r="H147" i="1" s="1"/>
  <c r="H146" i="1"/>
  <c r="H145" i="1"/>
  <c r="C155" i="1"/>
  <c r="E154" i="1"/>
  <c r="D151" i="1"/>
  <c r="C151" i="1"/>
  <c r="E150" i="1"/>
  <c r="E149" i="1"/>
  <c r="D147" i="1"/>
  <c r="C147" i="1"/>
  <c r="E146" i="1"/>
  <c r="E145" i="1"/>
  <c r="G158" i="1"/>
  <c r="M158" i="1" s="1"/>
  <c r="D158" i="1"/>
  <c r="C158" i="1"/>
  <c r="G157" i="1"/>
  <c r="M157" i="1" s="1"/>
  <c r="C157" i="1"/>
  <c r="P15" i="7"/>
  <c r="J298" i="9" l="1"/>
  <c r="I99" i="9"/>
  <c r="I47" i="9"/>
  <c r="I256" i="9"/>
  <c r="I257" i="9"/>
  <c r="W46" i="9"/>
  <c r="W48" i="9" s="1"/>
  <c r="I309" i="9"/>
  <c r="J104" i="9"/>
  <c r="I152" i="9"/>
  <c r="D48" i="9"/>
  <c r="E48" i="9" s="1"/>
  <c r="J318" i="9"/>
  <c r="J178" i="9"/>
  <c r="J166" i="9"/>
  <c r="I308" i="9"/>
  <c r="E131" i="1"/>
  <c r="E135" i="1"/>
  <c r="E139" i="1"/>
  <c r="E143" i="1"/>
  <c r="E123" i="1"/>
  <c r="E147" i="1"/>
  <c r="E127" i="1"/>
  <c r="E151" i="1"/>
  <c r="I145" i="1"/>
  <c r="J145" i="1" s="1"/>
  <c r="J147" i="1" s="1"/>
  <c r="I258" i="9"/>
  <c r="I310" i="9"/>
  <c r="V48" i="9"/>
  <c r="R48" i="9" s="1"/>
  <c r="H48" i="9"/>
  <c r="J174" i="9"/>
  <c r="I206" i="9"/>
  <c r="I46" i="9"/>
  <c r="J7" i="9"/>
  <c r="K7" i="9" s="1"/>
  <c r="K11" i="9" s="1"/>
  <c r="K15" i="9" s="1"/>
  <c r="K19" i="9" s="1"/>
  <c r="K23" i="9" s="1"/>
  <c r="K27" i="9" s="1"/>
  <c r="K31" i="9" s="1"/>
  <c r="K35" i="9" s="1"/>
  <c r="K39" i="9" s="1"/>
  <c r="K43" i="9" s="1"/>
  <c r="K52" i="9" s="1"/>
  <c r="K56" i="9" s="1"/>
  <c r="K60" i="9" s="1"/>
  <c r="K64" i="9" s="1"/>
  <c r="K68" i="9" s="1"/>
  <c r="K72" i="9" s="1"/>
  <c r="K76" i="9" s="1"/>
  <c r="K80" i="9" s="1"/>
  <c r="K84" i="9" s="1"/>
  <c r="K88" i="9" s="1"/>
  <c r="K92" i="9" s="1"/>
  <c r="K96" i="9" s="1"/>
  <c r="K100" i="9" s="1"/>
  <c r="K104" i="9" s="1"/>
  <c r="K108" i="9" s="1"/>
  <c r="K112" i="9" s="1"/>
  <c r="K116" i="9" s="1"/>
  <c r="K120" i="9" s="1"/>
  <c r="K124" i="9" s="1"/>
  <c r="K129" i="9" s="1"/>
  <c r="K134" i="9" s="1"/>
  <c r="K138" i="9" s="1"/>
  <c r="K142" i="9" s="1"/>
  <c r="K146" i="9" s="1"/>
  <c r="K150" i="9" s="1"/>
  <c r="K154" i="9" s="1"/>
  <c r="E308" i="9"/>
  <c r="J308" i="9" s="1"/>
  <c r="J310" i="9" s="1"/>
  <c r="D310" i="9"/>
  <c r="E310" i="9" s="1"/>
  <c r="J278" i="9"/>
  <c r="I205" i="9"/>
  <c r="I98" i="9"/>
  <c r="N310" i="9"/>
  <c r="R310" i="9" s="1"/>
  <c r="H310" i="9"/>
  <c r="R100" i="9"/>
  <c r="I204" i="9"/>
  <c r="N258" i="9"/>
  <c r="H258" i="9"/>
  <c r="E258" i="9"/>
  <c r="I153" i="9"/>
  <c r="J158" i="9"/>
  <c r="H206" i="9"/>
  <c r="N206" i="9"/>
  <c r="R206" i="9" s="1"/>
  <c r="N154" i="9"/>
  <c r="R154" i="9" s="1"/>
  <c r="H154" i="9"/>
  <c r="E161" i="1"/>
  <c r="E165" i="1"/>
  <c r="E169" i="1"/>
  <c r="E158" i="1"/>
  <c r="D159" i="1"/>
  <c r="N158" i="1"/>
  <c r="D155" i="1"/>
  <c r="E155" i="1" s="1"/>
  <c r="J153" i="1"/>
  <c r="J155" i="1" s="1"/>
  <c r="N157" i="1"/>
  <c r="E153" i="1"/>
  <c r="E157" i="1"/>
  <c r="H157" i="1"/>
  <c r="H158" i="1"/>
  <c r="E33" i="5"/>
  <c r="N26" i="5"/>
  <c r="R258" i="9" l="1"/>
  <c r="K158" i="9"/>
  <c r="K162" i="9" s="1"/>
  <c r="K166" i="9" s="1"/>
  <c r="K170" i="9" s="1"/>
  <c r="K174" i="9" s="1"/>
  <c r="K178" i="9" s="1"/>
  <c r="K182" i="9" s="1"/>
  <c r="K186" i="9" s="1"/>
  <c r="K190" i="9" s="1"/>
  <c r="K194" i="9" s="1"/>
  <c r="K198" i="9" s="1"/>
  <c r="K202" i="9" s="1"/>
  <c r="K206" i="9" s="1"/>
  <c r="K210" i="9" s="1"/>
  <c r="K214" i="9" s="1"/>
  <c r="K218" i="9" s="1"/>
  <c r="K222" i="9" s="1"/>
  <c r="K226" i="9" s="1"/>
  <c r="K230" i="9" s="1"/>
  <c r="K234" i="9" s="1"/>
  <c r="K238" i="9" s="1"/>
  <c r="K242" i="9" s="1"/>
  <c r="K246" i="9" s="1"/>
  <c r="K250" i="9" s="1"/>
  <c r="K254" i="9" s="1"/>
  <c r="K258" i="9" s="1"/>
  <c r="K262" i="9" s="1"/>
  <c r="K266" i="9" s="1"/>
  <c r="K270" i="9" s="1"/>
  <c r="K274" i="9" s="1"/>
  <c r="K278" i="9" s="1"/>
  <c r="K282" i="9" s="1"/>
  <c r="K286" i="9" s="1"/>
  <c r="K290" i="9" s="1"/>
  <c r="K294" i="9" s="1"/>
  <c r="K298" i="9" s="1"/>
  <c r="K302" i="9" s="1"/>
  <c r="K306" i="9" s="1"/>
  <c r="K310" i="9" s="1"/>
  <c r="K314" i="9" s="1"/>
  <c r="K318" i="9" s="1"/>
  <c r="K322" i="9" s="1"/>
  <c r="J8" i="9"/>
  <c r="K8" i="9" s="1"/>
  <c r="J157" i="1"/>
  <c r="J159" i="1" s="1"/>
  <c r="C33" i="8"/>
  <c r="I170" i="1"/>
  <c r="H170" i="1"/>
  <c r="I169" i="1"/>
  <c r="H169" i="1"/>
  <c r="H167" i="1"/>
  <c r="I166" i="1"/>
  <c r="H166" i="1"/>
  <c r="I165" i="1"/>
  <c r="H165" i="1"/>
  <c r="H163" i="1"/>
  <c r="I162" i="1"/>
  <c r="J162" i="1" s="1"/>
  <c r="H162" i="1"/>
  <c r="I161" i="1"/>
  <c r="J161" i="1" s="1"/>
  <c r="J163" i="1" s="1"/>
  <c r="H161" i="1"/>
  <c r="H143" i="1"/>
  <c r="H142" i="1"/>
  <c r="H141" i="1"/>
  <c r="H139" i="1"/>
  <c r="H138" i="1"/>
  <c r="H137" i="1"/>
  <c r="H135" i="1"/>
  <c r="H134" i="1"/>
  <c r="P133" i="1"/>
  <c r="I142" i="1" s="1"/>
  <c r="J142" i="1" s="1"/>
  <c r="I133" i="1"/>
  <c r="J133" i="1" s="1"/>
  <c r="H133" i="1"/>
  <c r="H131" i="1"/>
  <c r="H130" i="1"/>
  <c r="H129" i="1"/>
  <c r="H126" i="1"/>
  <c r="H125" i="1"/>
  <c r="H123" i="1"/>
  <c r="H122" i="1"/>
  <c r="N121" i="1"/>
  <c r="P121" i="1" s="1"/>
  <c r="H121" i="1"/>
  <c r="D119" i="1"/>
  <c r="C119" i="1"/>
  <c r="E118" i="1"/>
  <c r="E117" i="1"/>
  <c r="D115" i="1"/>
  <c r="C115" i="1"/>
  <c r="E114" i="1"/>
  <c r="E113" i="1"/>
  <c r="D111" i="1"/>
  <c r="C111" i="1"/>
  <c r="E110" i="1"/>
  <c r="E109" i="1"/>
  <c r="C103" i="1"/>
  <c r="D103" i="1"/>
  <c r="D99" i="1"/>
  <c r="C99" i="1"/>
  <c r="D95" i="1"/>
  <c r="C95" i="1"/>
  <c r="D91" i="1"/>
  <c r="C91" i="1"/>
  <c r="D87" i="1"/>
  <c r="C87" i="1"/>
  <c r="D83" i="1"/>
  <c r="C83" i="1"/>
  <c r="D79" i="1"/>
  <c r="C79" i="1"/>
  <c r="D75" i="1"/>
  <c r="C75" i="1"/>
  <c r="C159" i="1" l="1"/>
  <c r="H171" i="1"/>
  <c r="I141" i="1"/>
  <c r="J141" i="1" s="1"/>
  <c r="J143" i="1" s="1"/>
  <c r="H127" i="1"/>
  <c r="J169" i="1"/>
  <c r="J170" i="1"/>
  <c r="J165" i="1"/>
  <c r="J166" i="1"/>
  <c r="I122" i="1"/>
  <c r="J122" i="1" s="1"/>
  <c r="I130" i="1"/>
  <c r="J130" i="1" s="1"/>
  <c r="I126" i="1"/>
  <c r="J126" i="1" s="1"/>
  <c r="I129" i="1"/>
  <c r="J129" i="1" s="1"/>
  <c r="J131" i="1" s="1"/>
  <c r="I125" i="1"/>
  <c r="J125" i="1" s="1"/>
  <c r="I121" i="1"/>
  <c r="J121" i="1" s="1"/>
  <c r="J123" i="1" s="1"/>
  <c r="E111" i="1"/>
  <c r="I137" i="1"/>
  <c r="J137" i="1" s="1"/>
  <c r="E115" i="1"/>
  <c r="I138" i="1"/>
  <c r="J138" i="1" s="1"/>
  <c r="I134" i="1"/>
  <c r="J134" i="1" s="1"/>
  <c r="J135" i="1" s="1"/>
  <c r="E119" i="1"/>
  <c r="N113" i="1"/>
  <c r="P113" i="1" s="1"/>
  <c r="P109" i="1"/>
  <c r="I110" i="1" s="1"/>
  <c r="G119" i="1"/>
  <c r="H119" i="1" s="1"/>
  <c r="H118" i="1"/>
  <c r="H117" i="1"/>
  <c r="G115" i="1"/>
  <c r="H115" i="1"/>
  <c r="H114" i="1"/>
  <c r="H113" i="1"/>
  <c r="G111" i="1"/>
  <c r="H110" i="1"/>
  <c r="H109" i="1"/>
  <c r="J127" i="1" l="1"/>
  <c r="H111" i="1"/>
  <c r="G159" i="1"/>
  <c r="M159" i="1" s="1"/>
  <c r="N159" i="1" s="1"/>
  <c r="E159" i="1"/>
  <c r="J167" i="1"/>
  <c r="I109" i="1"/>
  <c r="J171" i="1"/>
  <c r="J139" i="1"/>
  <c r="I117" i="1"/>
  <c r="I113" i="1"/>
  <c r="I114" i="1"/>
  <c r="I118" i="1"/>
  <c r="I158" i="1" l="1"/>
  <c r="R159" i="1"/>
  <c r="I157" i="1"/>
  <c r="I159" i="1" s="1"/>
  <c r="H159" i="1"/>
  <c r="J109" i="1"/>
  <c r="J114" i="1" l="1"/>
  <c r="J110" i="1"/>
  <c r="J111" i="1" s="1"/>
  <c r="J118" i="1"/>
  <c r="J113" i="1"/>
  <c r="J117" i="1"/>
  <c r="J119" i="1" s="1"/>
  <c r="E25" i="8"/>
  <c r="J115" i="1" l="1"/>
  <c r="D71" i="1" l="1"/>
  <c r="C71" i="1"/>
  <c r="D67" i="1"/>
  <c r="C67" i="1"/>
  <c r="D63" i="1"/>
  <c r="C63" i="1"/>
  <c r="D59" i="1"/>
  <c r="C59" i="1"/>
  <c r="F33" i="5" l="1"/>
  <c r="P57" i="1" l="1"/>
  <c r="P69" i="1"/>
  <c r="P81" i="1"/>
  <c r="P93" i="1"/>
  <c r="J28" i="8"/>
  <c r="I28" i="8"/>
  <c r="E31" i="8"/>
  <c r="J22" i="8"/>
  <c r="I22" i="8"/>
  <c r="J21" i="8"/>
  <c r="I21" i="8"/>
  <c r="J19" i="8"/>
  <c r="I19" i="8"/>
  <c r="F16" i="8"/>
  <c r="G16" i="8" s="1"/>
  <c r="J10" i="8"/>
  <c r="I10" i="8"/>
  <c r="F9" i="8"/>
  <c r="G9" i="8" s="1"/>
  <c r="I62" i="1" l="1"/>
  <c r="I61" i="1"/>
  <c r="I66" i="1"/>
  <c r="I65" i="1"/>
  <c r="I58" i="1"/>
  <c r="I57" i="1"/>
  <c r="I81" i="1"/>
  <c r="I82" i="1"/>
  <c r="I90" i="1"/>
  <c r="I86" i="1"/>
  <c r="I85" i="1"/>
  <c r="I89" i="1"/>
  <c r="I73" i="1"/>
  <c r="I70" i="1"/>
  <c r="I69" i="1"/>
  <c r="I77" i="1"/>
  <c r="I74" i="1"/>
  <c r="I78" i="1"/>
  <c r="I102" i="1"/>
  <c r="I101" i="1"/>
  <c r="I98" i="1"/>
  <c r="I97" i="1"/>
  <c r="I94" i="1"/>
  <c r="I93" i="1"/>
  <c r="I23" i="8"/>
  <c r="J23" i="8"/>
  <c r="C28" i="8"/>
  <c r="F33" i="8"/>
  <c r="C25" i="8"/>
  <c r="K23" i="8" l="1"/>
  <c r="M42" i="8" s="1"/>
  <c r="N42" i="8" s="1"/>
  <c r="O42" i="8" s="1"/>
  <c r="J24" i="8"/>
  <c r="M41" i="8" l="1"/>
  <c r="N41" i="8" s="1"/>
  <c r="O41" i="8" s="1"/>
  <c r="M40" i="8"/>
  <c r="N40" i="8" s="1"/>
  <c r="N43" i="8" l="1"/>
  <c r="O40" i="8"/>
  <c r="O43" i="8" s="1"/>
  <c r="K44" i="8" l="1"/>
  <c r="C44" i="8" s="1"/>
  <c r="C46" i="8" s="1"/>
  <c r="C51" i="8" l="1"/>
  <c r="G28" i="8" s="1"/>
  <c r="C56" i="8"/>
  <c r="F17" i="8" s="1"/>
  <c r="G17" i="8" s="1"/>
  <c r="C52" i="8"/>
  <c r="F11" i="8" s="1"/>
  <c r="G11" i="8" s="1"/>
  <c r="C57" i="8"/>
  <c r="F18" i="8" s="1"/>
  <c r="G18" i="8" s="1"/>
  <c r="C59" i="8"/>
  <c r="F21" i="8" s="1"/>
  <c r="G21" i="8" s="1"/>
  <c r="C60" i="8"/>
  <c r="F19" i="8" s="1"/>
  <c r="G19" i="8" s="1"/>
  <c r="F15" i="8"/>
  <c r="G15" i="8" s="1"/>
  <c r="C53" i="8"/>
  <c r="F13" i="8" s="1"/>
  <c r="G13" i="8" s="1"/>
  <c r="C54" i="8"/>
  <c r="F23" i="8" s="1"/>
  <c r="G23" i="8" s="1"/>
  <c r="C50" i="8"/>
  <c r="F12" i="8" l="1"/>
  <c r="G12" i="8" s="1"/>
  <c r="C58" i="8"/>
  <c r="F20" i="8" s="1"/>
  <c r="G20" i="8" s="1"/>
  <c r="G24" i="8"/>
  <c r="F14" i="8"/>
  <c r="G14" i="8" s="1"/>
  <c r="F10" i="8"/>
  <c r="G10" i="8" s="1"/>
  <c r="F22" i="8"/>
  <c r="G22" i="8" s="1"/>
  <c r="G25" i="8" l="1"/>
  <c r="H25" i="8" s="1"/>
  <c r="F31" i="8" l="1"/>
  <c r="G36" i="8"/>
  <c r="G39" i="8" s="1"/>
  <c r="F33" i="7" l="1"/>
  <c r="F27" i="7"/>
  <c r="F21" i="7"/>
  <c r="F15" i="7"/>
  <c r="C58" i="5" l="1"/>
  <c r="B57" i="5"/>
  <c r="B56" i="5"/>
  <c r="B55" i="5"/>
  <c r="B54" i="5"/>
  <c r="B53" i="5"/>
  <c r="B52" i="5"/>
  <c r="B51" i="5"/>
  <c r="B50" i="5"/>
  <c r="B49" i="5"/>
  <c r="B48" i="5"/>
  <c r="B47" i="5"/>
  <c r="B46" i="5"/>
  <c r="E38" i="5"/>
  <c r="D38" i="5"/>
  <c r="C39" i="5"/>
  <c r="C34" i="5"/>
  <c r="F38" i="5" l="1"/>
  <c r="G106" i="1"/>
  <c r="M106" i="1" s="1"/>
  <c r="D106" i="1"/>
  <c r="C106" i="1"/>
  <c r="G105" i="1"/>
  <c r="M105" i="1" s="1"/>
  <c r="D105" i="1"/>
  <c r="D107" i="1" s="1"/>
  <c r="C105" i="1"/>
  <c r="G103" i="1"/>
  <c r="H102" i="1"/>
  <c r="E102" i="1"/>
  <c r="H101" i="1"/>
  <c r="E101" i="1"/>
  <c r="G99" i="1"/>
  <c r="H98" i="1"/>
  <c r="E98" i="1"/>
  <c r="H97" i="1"/>
  <c r="E97" i="1"/>
  <c r="G95" i="1"/>
  <c r="H94" i="1"/>
  <c r="E94" i="1"/>
  <c r="H93" i="1"/>
  <c r="E93" i="1"/>
  <c r="G91" i="1"/>
  <c r="H90" i="1"/>
  <c r="E90" i="1"/>
  <c r="H89" i="1"/>
  <c r="E89" i="1"/>
  <c r="G87" i="1"/>
  <c r="H86" i="1"/>
  <c r="E86" i="1"/>
  <c r="H85" i="1"/>
  <c r="E85" i="1"/>
  <c r="G83" i="1"/>
  <c r="H82" i="1"/>
  <c r="E82" i="1"/>
  <c r="H81" i="1"/>
  <c r="E81" i="1"/>
  <c r="G79" i="1"/>
  <c r="H78" i="1"/>
  <c r="E78" i="1"/>
  <c r="H77" i="1"/>
  <c r="E77" i="1"/>
  <c r="G75" i="1"/>
  <c r="H74" i="1"/>
  <c r="E74" i="1"/>
  <c r="H73" i="1"/>
  <c r="E73" i="1"/>
  <c r="G71" i="1"/>
  <c r="H70" i="1"/>
  <c r="E70" i="1"/>
  <c r="H69" i="1"/>
  <c r="E69" i="1"/>
  <c r="G67" i="1"/>
  <c r="H66" i="1"/>
  <c r="E66" i="1"/>
  <c r="H65" i="1"/>
  <c r="E65" i="1"/>
  <c r="G63" i="1"/>
  <c r="H62" i="1"/>
  <c r="E62" i="1"/>
  <c r="H61" i="1"/>
  <c r="E61" i="1"/>
  <c r="G59" i="1"/>
  <c r="H58" i="1"/>
  <c r="E58" i="1"/>
  <c r="H57" i="1"/>
  <c r="E57" i="1"/>
  <c r="G54" i="1"/>
  <c r="M54" i="1" s="1"/>
  <c r="D54" i="1"/>
  <c r="C54" i="1"/>
  <c r="G53" i="1"/>
  <c r="M53" i="1" s="1"/>
  <c r="D53" i="1"/>
  <c r="C53" i="1"/>
  <c r="G51" i="1"/>
  <c r="D51" i="1"/>
  <c r="C51" i="1"/>
  <c r="H50" i="1"/>
  <c r="E50" i="1"/>
  <c r="H49" i="1"/>
  <c r="E49" i="1"/>
  <c r="G47" i="1"/>
  <c r="D47" i="1"/>
  <c r="C47" i="1"/>
  <c r="H46" i="1"/>
  <c r="E46" i="1"/>
  <c r="H45" i="1"/>
  <c r="E45" i="1"/>
  <c r="G43" i="1"/>
  <c r="D43" i="1"/>
  <c r="C43" i="1"/>
  <c r="H42" i="1"/>
  <c r="E42" i="1"/>
  <c r="P41" i="1"/>
  <c r="H41" i="1"/>
  <c r="E41" i="1"/>
  <c r="G39" i="1"/>
  <c r="D39" i="1"/>
  <c r="C39" i="1"/>
  <c r="H38" i="1"/>
  <c r="E38" i="1"/>
  <c r="H37" i="1"/>
  <c r="E37" i="1"/>
  <c r="G35" i="1"/>
  <c r="D35" i="1"/>
  <c r="C35" i="1"/>
  <c r="H34" i="1"/>
  <c r="E34" i="1"/>
  <c r="H33" i="1"/>
  <c r="E33" i="1"/>
  <c r="G31" i="1"/>
  <c r="D31" i="1"/>
  <c r="C31" i="1"/>
  <c r="H30" i="1"/>
  <c r="E30" i="1"/>
  <c r="P29" i="1"/>
  <c r="H29" i="1"/>
  <c r="E29" i="1"/>
  <c r="G27" i="1"/>
  <c r="D27" i="1"/>
  <c r="C27" i="1"/>
  <c r="H26" i="1"/>
  <c r="E26" i="1"/>
  <c r="H25" i="1"/>
  <c r="E25" i="1"/>
  <c r="G23" i="1"/>
  <c r="D23" i="1"/>
  <c r="C23" i="1"/>
  <c r="H22" i="1"/>
  <c r="E22" i="1"/>
  <c r="H21" i="1"/>
  <c r="E21" i="1"/>
  <c r="G19" i="1"/>
  <c r="D19" i="1"/>
  <c r="C19" i="1"/>
  <c r="H18" i="1"/>
  <c r="E18" i="1"/>
  <c r="P17" i="1"/>
  <c r="H17" i="1"/>
  <c r="E17" i="1"/>
  <c r="G15" i="1"/>
  <c r="D15" i="1"/>
  <c r="C15" i="1"/>
  <c r="H14" i="1"/>
  <c r="E14" i="1"/>
  <c r="H13" i="1"/>
  <c r="E13" i="1"/>
  <c r="G11" i="1"/>
  <c r="D11" i="1"/>
  <c r="C11" i="1"/>
  <c r="H10" i="1"/>
  <c r="E10" i="1"/>
  <c r="H9" i="1"/>
  <c r="E9" i="1"/>
  <c r="G7" i="1"/>
  <c r="D7" i="1"/>
  <c r="C7" i="1"/>
  <c r="H6" i="1"/>
  <c r="E6" i="1"/>
  <c r="P5" i="1"/>
  <c r="H5" i="1"/>
  <c r="E5" i="1"/>
  <c r="I38" i="1" l="1"/>
  <c r="J38" i="1" s="1"/>
  <c r="I37" i="1"/>
  <c r="J37" i="1" s="1"/>
  <c r="I29" i="1"/>
  <c r="J29" i="1" s="1"/>
  <c r="I34" i="1"/>
  <c r="J34" i="1" s="1"/>
  <c r="I30" i="1"/>
  <c r="J30" i="1" s="1"/>
  <c r="I33" i="1"/>
  <c r="J33" i="1" s="1"/>
  <c r="I21" i="1"/>
  <c r="J21" i="1" s="1"/>
  <c r="I18" i="1"/>
  <c r="J18" i="1" s="1"/>
  <c r="I17" i="1"/>
  <c r="J17" i="1" s="1"/>
  <c r="I26" i="1"/>
  <c r="J26" i="1" s="1"/>
  <c r="I25" i="1"/>
  <c r="J25" i="1" s="1"/>
  <c r="I22" i="1"/>
  <c r="J22" i="1" s="1"/>
  <c r="I14" i="1"/>
  <c r="J14" i="1" s="1"/>
  <c r="I13" i="1"/>
  <c r="J13" i="1" s="1"/>
  <c r="I10" i="1"/>
  <c r="J10" i="1" s="1"/>
  <c r="I6" i="1"/>
  <c r="J6" i="1" s="1"/>
  <c r="I5" i="1"/>
  <c r="I9" i="1"/>
  <c r="J9" i="1" s="1"/>
  <c r="I46" i="1"/>
  <c r="J46" i="1" s="1"/>
  <c r="I45" i="1"/>
  <c r="J45" i="1" s="1"/>
  <c r="I42" i="1"/>
  <c r="J42" i="1" s="1"/>
  <c r="I49" i="1"/>
  <c r="J49" i="1" s="1"/>
  <c r="I41" i="1"/>
  <c r="J41" i="1" s="1"/>
  <c r="I50" i="1"/>
  <c r="J50" i="1" s="1"/>
  <c r="E7" i="1"/>
  <c r="H53" i="1"/>
  <c r="H54" i="1"/>
  <c r="H106" i="1"/>
  <c r="H105" i="1"/>
  <c r="J57" i="1"/>
  <c r="J58" i="1"/>
  <c r="J62" i="1"/>
  <c r="J61" i="1"/>
  <c r="J82" i="1"/>
  <c r="J102" i="1"/>
  <c r="J101" i="1"/>
  <c r="J66" i="1"/>
  <c r="J65" i="1"/>
  <c r="J70" i="1"/>
  <c r="J69" i="1"/>
  <c r="J86" i="1"/>
  <c r="J85" i="1"/>
  <c r="J74" i="1"/>
  <c r="J73" i="1"/>
  <c r="J89" i="1"/>
  <c r="J90" i="1"/>
  <c r="J78" i="1"/>
  <c r="J77" i="1"/>
  <c r="J94" i="1"/>
  <c r="J98" i="1"/>
  <c r="J97" i="1"/>
  <c r="E39" i="1"/>
  <c r="H43" i="1"/>
  <c r="E51" i="1"/>
  <c r="E99" i="1"/>
  <c r="E106" i="1"/>
  <c r="H99" i="1"/>
  <c r="H67" i="1"/>
  <c r="E83" i="1"/>
  <c r="E35" i="1"/>
  <c r="H91" i="1"/>
  <c r="E43" i="1"/>
  <c r="E59" i="1"/>
  <c r="E87" i="1"/>
  <c r="E23" i="1"/>
  <c r="H87" i="1"/>
  <c r="H11" i="1"/>
  <c r="E53" i="1"/>
  <c r="H75" i="1"/>
  <c r="E19" i="1"/>
  <c r="H39" i="1"/>
  <c r="H59" i="1"/>
  <c r="E79" i="1"/>
  <c r="E105" i="1"/>
  <c r="H23" i="1"/>
  <c r="E54" i="1"/>
  <c r="E71" i="1"/>
  <c r="N54" i="1"/>
  <c r="H71" i="1"/>
  <c r="H31" i="1"/>
  <c r="H103" i="1"/>
  <c r="H35" i="1"/>
  <c r="H27" i="1"/>
  <c r="H15" i="1"/>
  <c r="H47" i="1"/>
  <c r="N105" i="1"/>
  <c r="G55" i="1"/>
  <c r="M55" i="1" s="1"/>
  <c r="E75" i="1"/>
  <c r="E103" i="1"/>
  <c r="D55" i="1"/>
  <c r="H63" i="1"/>
  <c r="E95" i="1"/>
  <c r="E11" i="1"/>
  <c r="H19" i="1"/>
  <c r="H51" i="1"/>
  <c r="N53" i="1"/>
  <c r="H95" i="1"/>
  <c r="H79" i="1"/>
  <c r="E27" i="1"/>
  <c r="E67" i="1"/>
  <c r="C107" i="1"/>
  <c r="E91" i="1"/>
  <c r="N106" i="1"/>
  <c r="E63" i="1"/>
  <c r="H83" i="1"/>
  <c r="E31" i="1"/>
  <c r="C55" i="1"/>
  <c r="E15" i="1"/>
  <c r="E47" i="1"/>
  <c r="G107" i="1"/>
  <c r="H7" i="1"/>
  <c r="J43" i="1" l="1"/>
  <c r="M107" i="1"/>
  <c r="N107" i="1" s="1"/>
  <c r="J35" i="1"/>
  <c r="J31" i="1"/>
  <c r="J27" i="1"/>
  <c r="J19" i="1"/>
  <c r="H55" i="1"/>
  <c r="J59" i="1"/>
  <c r="J47" i="1"/>
  <c r="J51" i="1"/>
  <c r="J15" i="1"/>
  <c r="J11" i="1"/>
  <c r="I53" i="1"/>
  <c r="J53" i="1"/>
  <c r="J55" i="1" s="1"/>
  <c r="J99" i="1"/>
  <c r="J71" i="1"/>
  <c r="J5" i="1"/>
  <c r="J7" i="1" s="1"/>
  <c r="J39" i="1"/>
  <c r="J79" i="1"/>
  <c r="J75" i="1"/>
  <c r="J23" i="1"/>
  <c r="H107" i="1"/>
  <c r="J67" i="1"/>
  <c r="J91" i="1"/>
  <c r="J103" i="1"/>
  <c r="J87" i="1"/>
  <c r="J63" i="1"/>
  <c r="J81" i="1"/>
  <c r="J83" i="1" s="1"/>
  <c r="I105" i="1"/>
  <c r="I106" i="1"/>
  <c r="J93" i="1"/>
  <c r="J95" i="1" s="1"/>
  <c r="I54" i="1"/>
  <c r="I55" i="1"/>
  <c r="J105" i="1"/>
  <c r="J107" i="1" s="1"/>
  <c r="E107" i="1"/>
  <c r="N55" i="1"/>
  <c r="E55" i="1"/>
  <c r="I107" i="1" l="1"/>
  <c r="E34" i="8"/>
  <c r="F23" i="5"/>
  <c r="E8" i="5" s="1"/>
  <c r="R107" i="1"/>
  <c r="R55" i="1"/>
  <c r="K7" i="1" l="1"/>
  <c r="K11" i="1" s="1"/>
  <c r="K15" i="1" s="1"/>
  <c r="K19" i="1" s="1"/>
  <c r="K23" i="1" s="1"/>
  <c r="K27" i="1" s="1"/>
  <c r="K31" i="1" s="1"/>
  <c r="K35" i="1" s="1"/>
  <c r="K39" i="1" s="1"/>
  <c r="K43" i="1" s="1"/>
  <c r="K47" i="1" s="1"/>
  <c r="K51" i="1" s="1"/>
  <c r="D32" i="5" l="1"/>
  <c r="K55" i="1"/>
  <c r="K59" i="1" s="1"/>
  <c r="D34" i="5" l="1"/>
  <c r="D37" i="5"/>
  <c r="D39" i="5" s="1"/>
  <c r="K63" i="1"/>
  <c r="K67" i="1" s="1"/>
  <c r="K71" i="1" s="1"/>
  <c r="K75" i="1" s="1"/>
  <c r="K79" i="1" s="1"/>
  <c r="K83" i="1" s="1"/>
  <c r="K87" i="1" s="1"/>
  <c r="K91" i="1" s="1"/>
  <c r="K95" i="1" s="1"/>
  <c r="K99" i="1" s="1"/>
  <c r="K103" i="1" s="1"/>
  <c r="K107" i="1" l="1"/>
  <c r="K111" i="1" l="1"/>
  <c r="K115" i="1" s="1"/>
  <c r="K119" i="1" s="1"/>
  <c r="K123" i="1" l="1"/>
  <c r="K127" i="1" s="1"/>
  <c r="K131" i="1" s="1"/>
  <c r="K135" i="1" s="1"/>
  <c r="K139" i="1" s="1"/>
  <c r="K143" i="1" s="1"/>
  <c r="K147" i="1" s="1"/>
  <c r="K151" i="1" s="1"/>
  <c r="K155" i="1" s="1"/>
  <c r="K159" i="1" l="1"/>
  <c r="K163" i="1" s="1"/>
  <c r="K167" i="1" s="1"/>
  <c r="K171" i="1" s="1"/>
  <c r="E18" i="5" s="1"/>
  <c r="E20" i="5" s="1"/>
  <c r="F24" i="5" s="1"/>
  <c r="E32" i="5" s="1"/>
  <c r="F32" i="5" s="1"/>
  <c r="D60" i="5" s="1"/>
  <c r="E37" i="5" l="1"/>
  <c r="F37" i="5" s="1"/>
  <c r="E34" i="5"/>
  <c r="F34" i="5" s="1"/>
  <c r="J32" i="5"/>
  <c r="E16" i="7" s="1"/>
  <c r="F16" i="7" s="1"/>
  <c r="P16" i="7" s="1"/>
  <c r="F26" i="5"/>
  <c r="O26" i="5" s="1"/>
  <c r="D46" i="5"/>
  <c r="E46" i="5" s="1"/>
  <c r="E39" i="5"/>
  <c r="F39" i="5" s="1"/>
  <c r="D51" i="5"/>
  <c r="E51" i="5" s="1"/>
  <c r="D49" i="5"/>
  <c r="E49" i="5" s="1"/>
  <c r="D53" i="5"/>
  <c r="E53" i="5" s="1"/>
  <c r="D47" i="5"/>
  <c r="E47" i="5" s="1"/>
  <c r="D54" i="5"/>
  <c r="E54" i="5" s="1"/>
  <c r="D57" i="5"/>
  <c r="E57" i="5" s="1"/>
  <c r="D48" i="5"/>
  <c r="E48" i="5" s="1"/>
  <c r="D55" i="5"/>
  <c r="E55" i="5" s="1"/>
  <c r="D52" i="5"/>
  <c r="E52" i="5" s="1"/>
  <c r="D50" i="5"/>
  <c r="E50" i="5" s="1"/>
  <c r="D56" i="5"/>
  <c r="E56" i="5" s="1"/>
  <c r="E28" i="7" l="1"/>
  <c r="F28" i="7" s="1"/>
  <c r="E34" i="7"/>
  <c r="F34" i="7" s="1"/>
  <c r="E22" i="7"/>
  <c r="F22" i="7" s="1"/>
  <c r="D58" i="5"/>
  <c r="E58" i="5"/>
  <c r="F60" i="5"/>
  <c r="F52" i="5" l="1"/>
  <c r="G52" i="5" s="1"/>
  <c r="H52" i="5" s="1"/>
  <c r="D61" i="5"/>
  <c r="F47" i="5"/>
  <c r="G47" i="5" s="1"/>
  <c r="H47" i="5" s="1"/>
  <c r="F53" i="5"/>
  <c r="G53" i="5" s="1"/>
  <c r="H53" i="5" s="1"/>
  <c r="F57" i="5"/>
  <c r="G57" i="5" s="1"/>
  <c r="H57" i="5" s="1"/>
  <c r="F56" i="5"/>
  <c r="G56" i="5" s="1"/>
  <c r="H56" i="5" s="1"/>
  <c r="F54" i="5"/>
  <c r="G54" i="5" s="1"/>
  <c r="H54" i="5" s="1"/>
  <c r="F46" i="5"/>
  <c r="F55" i="5"/>
  <c r="G55" i="5" s="1"/>
  <c r="H55" i="5" s="1"/>
  <c r="F50" i="5"/>
  <c r="G50" i="5" s="1"/>
  <c r="H50" i="5" s="1"/>
  <c r="F48" i="5"/>
  <c r="G48" i="5" s="1"/>
  <c r="H48" i="5" s="1"/>
  <c r="F51" i="5"/>
  <c r="G51" i="5" s="1"/>
  <c r="H51" i="5" s="1"/>
  <c r="F49" i="5"/>
  <c r="G49" i="5" s="1"/>
  <c r="H49" i="5" s="1"/>
  <c r="F58" i="5" l="1"/>
  <c r="G46" i="5"/>
  <c r="H46" i="5" l="1"/>
  <c r="G58" i="5"/>
  <c r="H5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</author>
    <author>S.Shute</author>
  </authors>
  <commentList>
    <comment ref="L11" authorId="0" shapeId="0" xr:uid="{8F0D9DE5-8FA5-4693-BEE0-6D9EBBD77FCC}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from last filing K30, projected balance at the end of the first month</t>
        </r>
      </text>
    </comment>
    <comment ref="L13" authorId="0" shapeId="0" xr:uid="{F45F20AF-16A4-42B1-BFD1-8115D8D0D352}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revised starting balance with actuals, last period (not automatic, chg $K$xx to start month)</t>
        </r>
      </text>
    </comment>
    <comment ref="G14" authorId="1" shapeId="0" xr:uid="{1E504089-17C7-4060-AEB7-FA286EB996E0}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actual Mar or Sep Costs &amp; Sales are incl in ^Adj'd GBA, so these are the Forward months</t>
        </r>
      </text>
    </comment>
    <comment ref="C44" authorId="1" shapeId="0" xr:uid="{0E85A79F-3FCF-49B7-9291-5A9AF8A8DD78}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updated Feb15 from average 2010-13 from BSUM.xls Profile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Horner</author>
    <author>Steve Shute</author>
  </authors>
  <commentList>
    <comment ref="F8" authorId="0" shapeId="0" xr:uid="{B126E926-C53F-474F-8020-63BD68AB9D48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auto load rate from calc table </t>
        </r>
      </text>
    </comment>
    <comment ref="I45" authorId="1" shapeId="0" xr:uid="{5F42B732-F77D-4AE3-8526-F007841AD248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SS analysis Jan18-Dec22 has TCO at -44c basis for Nov-Mar (77% of Gas Year)</t>
        </r>
      </text>
    </comment>
    <comment ref="C53" authorId="0" shapeId="0" xr:uid="{AE4F1EDB-0601-4F41-A9CF-0F0B49D11014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 </t>
        </r>
      </text>
    </comment>
    <comment ref="C54" authorId="0" shapeId="0" xr:uid="{15B6988A-E20D-4A38-AC05-8615D0A9E9BA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 </t>
        </r>
      </text>
    </comment>
    <comment ref="C58" authorId="0" shapeId="0" xr:uid="{E87B15AC-3443-47DE-8F95-37BE59242F56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Shute</author>
    <author>tc={CE0A400F-DDF4-4B0E-A39E-319CEE1D2A5A}</author>
  </authors>
  <commentList>
    <comment ref="K7" authorId="0" shapeId="0" xr:uid="{31CF1194-2BBB-45A2-8F9B-9980A76AA28B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went big negative here, but 8 more months of large negative AA surcharges</t>
        </r>
      </text>
    </comment>
    <comment ref="K39" authorId="0" shapeId="0" xr:uid="{8DC695FE-E52E-4CD3-B17D-62070E4EAA75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negative surcharges finally stop after 9 months, and much bigger hole</t>
        </r>
      </text>
    </comment>
    <comment ref="D49" authorId="0" shapeId="0" xr:uid="{E7232A49-C1C9-4DAF-9909-0741D3CCD5C1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</t>
        </r>
      </text>
    </comment>
    <comment ref="D57" authorId="0" shapeId="0" xr:uid="{94033D4C-C3EB-435D-B700-56D52A575813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final figs 12/22/22</t>
        </r>
      </text>
    </comment>
    <comment ref="C73" authorId="0" shapeId="0" xr:uid="{302AE779-1497-4B72-96B1-D04309BAEFF5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updated 4/26/23</t>
        </r>
      </text>
    </comment>
    <comment ref="D101" authorId="0" shapeId="0" xr:uid="{0F6E7EBA-FA41-4B7F-BB12-5E987DE08F4F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</t>
        </r>
      </text>
    </comment>
    <comment ref="G109" authorId="0" shapeId="0" xr:uid="{EFF27EC8-6FA3-4F8B-AB3C-F04C0645E67F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actuals BREG Dec 2, moved Daysboro to Public</t>
        </r>
      </text>
    </comment>
    <comment ref="G114" authorId="0" shapeId="0" xr:uid="{66B87F8C-E430-4CEB-9F57-E3FCE0E7F042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M.Rob Jan 5, Daysb is in Frontier figure</t>
        </r>
      </text>
    </comment>
    <comment ref="P121" authorId="0" shapeId="0" xr:uid="{D0A9C63C-1BA7-4197-ABB3-F2D8477980E4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as filed $9.09 + $1.81 = $10.90 but Denied, continued ..327 rates</t>
        </r>
      </text>
    </comment>
    <comment ref="P131" authorId="0" shapeId="0" xr:uid="{558ABA4A-7DF3-4C34-B8D1-1BC8AFE6A07B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at $10.90 proposed would have been $473k over</t>
        </r>
      </text>
    </comment>
    <comment ref="C133" authorId="0" shapeId="0" xr:uid="{084A03C0-3E43-434D-AE3B-BEBC1381F3FE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Sigma lost 3000 mcf on no-report dig-in, old gas station on Parkway</t>
        </r>
      </text>
    </comment>
    <comment ref="P133" authorId="1" shapeId="0" xr:uid="{CE0A400F-DDF4-4B0E-A39E-319CEE1D2A5A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Billed at old rate but d$ credited on June bills</t>
        </r>
      </text>
    </comment>
    <comment ref="D153" authorId="0" shapeId="0" xr:uid="{BCE129C4-6706-4D47-A62E-05E790DF3634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the gas portion of Bad Debts for past yr, est from previous adjmt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Shute</author>
  </authors>
  <commentList>
    <comment ref="A6" authorId="0" shapeId="0" xr:uid="{DA62DD7C-16CC-4DBF-9595-75330F19D494}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from Profiles tab of BSUM.xls</t>
        </r>
      </text>
    </comment>
    <comment ref="A11" authorId="0" shapeId="0" xr:uid="{244A1C85-3FEA-4576-BA90-EB75A1AB1DF0}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incl Public Gas full year, start Dec15</t>
        </r>
      </text>
    </comment>
    <comment ref="M18" authorId="0" shapeId="0" xr:uid="{2E936F66-412C-4DF4-AEB5-C88D85F9BB2B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fcst with 5 yr ave</t>
        </r>
      </text>
    </comment>
    <comment ref="A23" authorId="0" shapeId="0" xr:uid="{F12C104B-ED26-4CD3-95E0-8643576896DD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GR17 ARF Model has 361,800 mcf annual Q, monthly allocation from  Mtrs &amp; Vols tab ln 32</t>
        </r>
      </text>
    </comment>
    <comment ref="A28" authorId="0" shapeId="0" xr:uid="{AAF386CB-7201-44D0-B953-A4FA322CD7AC}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as filed GR12 at typ monthly split</t>
        </r>
      </text>
    </comment>
    <comment ref="A29" authorId="0" shapeId="0" xr:uid="{496D3B38-19E2-4821-A7FC-BA9B3DFDC315}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average 2008-14 is 120,7k mcf per PSC Annual Reports</t>
        </r>
      </text>
    </comment>
    <comment ref="B29" authorId="0" shapeId="0" xr:uid="{F0A3402F-3C39-4A44-84F2-72191621616E}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est at same %/month as Frontier 5 yrs 2011-15; altho Pub had good sumr hot mix load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Joel Shute</author>
  </authors>
  <commentList>
    <comment ref="J10" authorId="0" shapeId="0" xr:uid="{1B4D494C-0C76-46A5-83A7-03BB5C47E817}">
      <text>
        <r>
          <rPr>
            <b/>
            <sz val="9"/>
            <color indexed="81"/>
            <rFont val="Tahoma"/>
            <charset val="1"/>
          </rPr>
          <t>Joel Shute:</t>
        </r>
        <r>
          <rPr>
            <sz val="9"/>
            <color indexed="81"/>
            <rFont val="Tahoma"/>
            <charset val="1"/>
          </rPr>
          <t xml:space="preserve">
suspect figure but same range 2020-22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Shute</author>
    <author>tc={74C387EC-F105-4CEF-8082-5961158A81A0}</author>
  </authors>
  <commentList>
    <comment ref="D41" authorId="0" shapeId="0" xr:uid="{69BA0636-C996-46E9-BCFB-CB7ECE093062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Debt, see Bad Debts doc</t>
        </r>
      </text>
    </comment>
    <comment ref="D94" authorId="0" shapeId="0" xr:uid="{53ACF809-AC6C-4391-8836-EE059389C7F5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</t>
        </r>
      </text>
    </comment>
    <comment ref="D148" authorId="0" shapeId="0" xr:uid="{1395BABE-2E94-4BFD-BA6F-9619A5F6BD1C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</t>
        </r>
      </text>
    </comment>
    <comment ref="K158" authorId="0" shapeId="0" xr:uid="{CA186993-4E3D-41B3-A5D8-2DEF0471D394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went big negative here, but 8 more months of large negative AA surcharges</t>
        </r>
      </text>
    </comment>
    <comment ref="K190" authorId="0" shapeId="0" xr:uid="{173A988B-1558-4F80-8201-39DA82A2FB5A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negative surcharges finally stop after 9 months, and much bigger hole</t>
        </r>
      </text>
    </comment>
    <comment ref="D200" authorId="0" shapeId="0" xr:uid="{36E618C4-9D13-4B32-A19A-001EAFD67DE0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</t>
        </r>
      </text>
    </comment>
    <comment ref="D208" authorId="0" shapeId="0" xr:uid="{475144EB-DB08-487F-AE03-42059FD7D96C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final figs 12/22/22</t>
        </r>
      </text>
    </comment>
    <comment ref="C224" authorId="0" shapeId="0" xr:uid="{F522C56A-AAEC-4F4A-B11A-767F0DE5BBF3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updated 4/26/23</t>
        </r>
      </text>
    </comment>
    <comment ref="D252" authorId="0" shapeId="0" xr:uid="{B4945797-A255-44B0-A8ED-AE9D1EFE11F7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</t>
        </r>
      </text>
    </comment>
    <comment ref="G260" authorId="0" shapeId="0" xr:uid="{1FA1D82C-426E-409B-A65F-114A974834FB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actuals BREG Dec 2, moved Daysboro to Public</t>
        </r>
      </text>
    </comment>
    <comment ref="G265" authorId="0" shapeId="0" xr:uid="{574066F9-B243-4D1B-AD69-3B4C8AB2D0DA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M.Rob Jan 5, Daysb is in Frontier figure</t>
        </r>
      </text>
    </comment>
    <comment ref="P272" authorId="0" shapeId="0" xr:uid="{16590823-3E56-4941-A329-5E9BCEF3685D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as filed $9.09 + $1.81 = $10.90 but Denied, continued ..327 rates</t>
        </r>
      </text>
    </comment>
    <comment ref="P282" authorId="0" shapeId="0" xr:uid="{7D29EE4B-6D3C-43DA-977A-D210AD469055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at $10.90 proposed would have been $473k over</t>
        </r>
      </text>
    </comment>
    <comment ref="C284" authorId="0" shapeId="0" xr:uid="{9104B3DD-9826-4D48-87C6-B59CF08DD69F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Sigma lost 3000 mcf on no-report dig-in, old gas station on Parkway</t>
        </r>
      </text>
    </comment>
    <comment ref="P284" authorId="1" shapeId="0" xr:uid="{74C387EC-F105-4CEF-8082-5961158A81A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Billed at old rate but d$ credited on June bills</t>
        </r>
      </text>
    </comment>
    <comment ref="D304" authorId="0" shapeId="0" xr:uid="{D78AAF0C-EF92-4FCA-A1EF-F6530F5A6EBA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the gas portion of Bad Debts for past yr, est from previous adjmt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Shute</author>
  </authors>
  <commentList>
    <comment ref="D41" authorId="0" shapeId="0" xr:uid="{948C796F-9FC1-41FD-A581-B570172987DB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Debt, see Bad Debts doc</t>
        </r>
      </text>
    </comment>
    <comment ref="D94" authorId="0" shapeId="0" xr:uid="{09C327EB-446C-45E6-9379-FE1263B78E14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</t>
        </r>
      </text>
    </comment>
    <comment ref="D148" authorId="0" shapeId="0" xr:uid="{C4EE239F-01B8-43D5-9A18-04C764A86B64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allocation of gas cost part of Bad Debt</t>
        </r>
      </text>
    </comment>
    <comment ref="K158" authorId="0" shapeId="0" xr:uid="{60CC8FBA-D9B2-445C-AB80-21AD76E50862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went big negative here, but 8 more months of large negative AA surcharges</t>
        </r>
      </text>
    </comment>
  </commentList>
</comments>
</file>

<file path=xl/sharedStrings.xml><?xml version="1.0" encoding="utf-8"?>
<sst xmlns="http://schemas.openxmlformats.org/spreadsheetml/2006/main" count="1035" uniqueCount="358">
  <si>
    <t>Month</t>
  </si>
  <si>
    <t>System</t>
  </si>
  <si>
    <t>Purch      Mcf</t>
  </si>
  <si>
    <t>Purch</t>
  </si>
  <si>
    <t>Purch $/Mcf</t>
  </si>
  <si>
    <t>Sales Mcf</t>
  </si>
  <si>
    <t>L&amp;U</t>
  </si>
  <si>
    <t>Gas Sales</t>
  </si>
  <si>
    <t>O/U Recov Cost</t>
  </si>
  <si>
    <t>Expected Gas Cost $/MCF</t>
  </si>
  <si>
    <t>AA + BA Adjst</t>
  </si>
  <si>
    <t>Gas Cost Reconcil'n</t>
  </si>
  <si>
    <t>GCA Rate $/Mcf</t>
  </si>
  <si>
    <t>KFG</t>
  </si>
  <si>
    <t>first month of combined gas costs</t>
  </si>
  <si>
    <t>PGC</t>
  </si>
  <si>
    <t>under GR17 consol rates</t>
  </si>
  <si>
    <t>Total</t>
  </si>
  <si>
    <t>assume GBAs were close to $0</t>
  </si>
  <si>
    <t>PSC ordered no AA+BA</t>
  </si>
  <si>
    <t>until August billing</t>
  </si>
  <si>
    <t>PSC Case 2018-00334</t>
  </si>
  <si>
    <t>Excess L&amp;U</t>
  </si>
  <si>
    <t>Totals</t>
  </si>
  <si>
    <t>"return to std 5% loss limit" for rates eff Nov18</t>
  </si>
  <si>
    <t>&lt;Total x Ave GC</t>
  </si>
  <si>
    <t>Daysboro</t>
  </si>
  <si>
    <t>reduce L&amp;U volume by unused Public credit</t>
  </si>
  <si>
    <t>TCO</t>
  </si>
  <si>
    <t>SCHEDULE II</t>
  </si>
  <si>
    <t>EXPECTED GAS COST</t>
  </si>
  <si>
    <t>MCF Purchases for 12 months ended:</t>
  </si>
  <si>
    <t>(4) x (5)</t>
  </si>
  <si>
    <t>Supplier</t>
  </si>
  <si>
    <t>Btu Factor</t>
  </si>
  <si>
    <t>Mcf</t>
  </si>
  <si>
    <t>Rate</t>
  </si>
  <si>
    <t>Cost</t>
  </si>
  <si>
    <t>N/A</t>
  </si>
  <si>
    <t>Cumberland Valley (Auxier)</t>
  </si>
  <si>
    <t>Diversified Energy (39-E,181-S)</t>
  </si>
  <si>
    <t>*</t>
  </si>
  <si>
    <t>HI-Energy</t>
  </si>
  <si>
    <t>**</t>
  </si>
  <si>
    <t>HTC (Sigma) includes $1.25/Mcf DLR trans</t>
  </si>
  <si>
    <t>Magnum Drilling, Inc.</t>
  </si>
  <si>
    <t>Nytis (Auxier)</t>
  </si>
  <si>
    <t>Quality (Belfry)</t>
  </si>
  <si>
    <t>Slone Energy</t>
  </si>
  <si>
    <t>Spirit</t>
  </si>
  <si>
    <t xml:space="preserve">Line loss 12 months ended: </t>
  </si>
  <si>
    <t>and sales of</t>
  </si>
  <si>
    <t>Amount</t>
  </si>
  <si>
    <t>$</t>
  </si>
  <si>
    <t>/</t>
  </si>
  <si>
    <t>$/Mcf</t>
  </si>
  <si>
    <t xml:space="preserve">   past filings lopped 3-5% off known, forecast gas costs</t>
  </si>
  <si>
    <t>Sales &amp; Purchase volumes from last whole year, used for $ /mcf calcs</t>
  </si>
  <si>
    <t>Columbia charges retail rate at Phelps &amp; GobleRobts, small load</t>
  </si>
  <si>
    <t>many smaller producers are 80% of TCO</t>
  </si>
  <si>
    <t>Columbia of KY</t>
  </si>
  <si>
    <t>Diversified</t>
  </si>
  <si>
    <t>Southern Energy</t>
  </si>
  <si>
    <t>OVER/(UNDER)  RECOVERY BEGINNING OF PERIOD</t>
  </si>
  <si>
    <t>last filing, est balance Mar15</t>
  </si>
  <si>
    <t>ADJUSTMENT TO  BEGINNING PERIOD TO ACTUAL GAS COST</t>
  </si>
  <si>
    <t>adj. to actual gas costs</t>
  </si>
  <si>
    <t>ADJUSTED OVER RECOVERY BEGINNING OF PERIOD</t>
  </si>
  <si>
    <t>actual balance Mar15</t>
  </si>
  <si>
    <t xml:space="preserve">GAS PURCHASE COSTS </t>
  </si>
  <si>
    <t>Apr15 to Dec15</t>
  </si>
  <si>
    <t>INTEREST ON OVER RECOVERY</t>
  </si>
  <si>
    <t xml:space="preserve">GAS SALES REVENUES </t>
  </si>
  <si>
    <t xml:space="preserve">CUMULATIVE OVER/(UNDER)  RECOVERY </t>
  </si>
  <si>
    <t>proposed</t>
  </si>
  <si>
    <t>current</t>
  </si>
  <si>
    <t xml:space="preserve"> change</t>
  </si>
  <si>
    <t>Large Commercial</t>
  </si>
  <si>
    <t>Gas Cost</t>
  </si>
  <si>
    <t>Gas Use</t>
  </si>
  <si>
    <t>Gas</t>
  </si>
  <si>
    <t>New Rate</t>
  </si>
  <si>
    <t>Old Rate</t>
  </si>
  <si>
    <t>% of Yr</t>
  </si>
  <si>
    <t>Charge</t>
  </si>
  <si>
    <t>Total Bill</t>
  </si>
  <si>
    <t>Change $</t>
  </si>
  <si>
    <t>Change %</t>
  </si>
  <si>
    <t>Annualized Effect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</si>
  <si>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</si>
  <si>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</si>
  <si>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</si>
  <si>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</si>
  <si>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</si>
  <si>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</si>
  <si>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</si>
  <si>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</si>
  <si>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</si>
  <si>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</si>
  <si>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</si>
  <si>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</si>
  <si>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^Average Residential profile</t>
  </si>
  <si>
    <t>Gross sales components, $ per MCF</t>
  </si>
  <si>
    <t>MCF</t>
  </si>
  <si>
    <t>per MCF of sales, next period</t>
  </si>
  <si>
    <t>rate per MCF</t>
  </si>
  <si>
    <t>L&amp;U Limit calcs</t>
  </si>
  <si>
    <t>Sales/limtr</t>
  </si>
  <si>
    <t xml:space="preserve">         Residental &amp; Commercial</t>
  </si>
  <si>
    <t xml:space="preserve">                            FOR  ENTIRE AREA SERVED                              </t>
  </si>
  <si>
    <t>KENTUCKY FRONTIER GAS, LLC</t>
  </si>
  <si>
    <t>Kentucky Frontier Gas, LLC</t>
  </si>
  <si>
    <t>(Name of Utility)</t>
  </si>
  <si>
    <t>RATES AND CHARGES</t>
  </si>
  <si>
    <t>APPLICABLE:</t>
  </si>
  <si>
    <t xml:space="preserve">      Entire area served</t>
  </si>
  <si>
    <t>Frontier Residential and Small Commercial</t>
  </si>
  <si>
    <r>
      <t xml:space="preserve">   </t>
    </r>
    <r>
      <rPr>
        <u/>
        <sz val="10"/>
        <rFont val="Arial"/>
        <family val="2"/>
      </rPr>
      <t>Base Rate</t>
    </r>
  </si>
  <si>
    <r>
      <t xml:space="preserve">        </t>
    </r>
    <r>
      <rPr>
        <u/>
        <sz val="10"/>
        <rFont val="Arial"/>
        <family val="2"/>
      </rPr>
      <t>Total</t>
    </r>
  </si>
  <si>
    <t>Frontier Large Commercial</t>
  </si>
  <si>
    <t>Daysboro Residential</t>
  </si>
  <si>
    <t>Daysboro Commercial</t>
  </si>
  <si>
    <t>DATE OF ISSUE</t>
  </si>
  <si>
    <t>DATE EFFECTIVE</t>
  </si>
  <si>
    <t>ISSUED BY</t>
  </si>
  <si>
    <t>TITLE</t>
  </si>
  <si>
    <t>Agent</t>
  </si>
  <si>
    <t>IN CASE NO.</t>
  </si>
  <si>
    <t>DATED</t>
  </si>
  <si>
    <t>PSC KY TARIFF NO.3</t>
  </si>
  <si>
    <t>Canceling</t>
  </si>
  <si>
    <t>no credit carryover</t>
  </si>
  <si>
    <t>Inclusion of Daysboro into KFG</t>
  </si>
  <si>
    <t>Dths</t>
  </si>
  <si>
    <t>Wtd Avg Btu</t>
  </si>
  <si>
    <t>Tackett</t>
  </si>
  <si>
    <t>Total Frontier less Public Gas</t>
  </si>
  <si>
    <t>former Public Gas</t>
  </si>
  <si>
    <t xml:space="preserve">Jefferson-EKM (incl Daysboro) </t>
  </si>
  <si>
    <t>NYMEX</t>
  </si>
  <si>
    <t>Est Dth</t>
  </si>
  <si>
    <t>to Schedule I</t>
  </si>
  <si>
    <t>per DTh at NYMEX</t>
  </si>
  <si>
    <t>NYMEx</t>
  </si>
  <si>
    <t>Hi Energy contract</t>
  </si>
  <si>
    <t>$4.25/Dth or 80% of FOM TCo Appal Index, whichever is greater</t>
  </si>
  <si>
    <t>$4.00/Dth or 80% of FOM TCo Appal Index, whichever is greater</t>
  </si>
  <si>
    <t>TCO basis</t>
  </si>
  <si>
    <t>Allocation of gas costs by supplier</t>
  </si>
  <si>
    <t>Kentucky Frontier Gas, LLC - unified utility</t>
  </si>
  <si>
    <t xml:space="preserve">based on purchase of </t>
  </si>
  <si>
    <t>Adjusted cost basis by Supplier</t>
  </si>
  <si>
    <t>DLR (Sigma)</t>
  </si>
  <si>
    <t>tariffed utility rate</t>
  </si>
  <si>
    <t>greater of 80% TCO or $4.00 /Dth</t>
  </si>
  <si>
    <t>HTC, Spirit/Tackett contract</t>
  </si>
  <si>
    <t>greater of 80% TCO or $4.25 /Dth</t>
  </si>
  <si>
    <t>80% TCO</t>
  </si>
  <si>
    <t>TCO + $0.10</t>
  </si>
  <si>
    <t>per DTh</t>
  </si>
  <si>
    <t>TCO + $1.15 marketing</t>
  </si>
  <si>
    <t>TCo + $0.9246 (14% Fuel) + $1.05 (Commodity) + $0.20 (Demand)</t>
  </si>
  <si>
    <t>fixed contract for Blaine</t>
  </si>
  <si>
    <t>Wtd Ave</t>
  </si>
  <si>
    <t>wt av btu</t>
  </si>
  <si>
    <t>est Sales mcf</t>
  </si>
  <si>
    <t>Futures</t>
  </si>
  <si>
    <t>wtd ave futures price for next quarter</t>
  </si>
  <si>
    <t>TCO Appal Basis FofMo</t>
  </si>
  <si>
    <t xml:space="preserve">   forecast TCO FOM</t>
  </si>
  <si>
    <t>per ave basis off NYMEx</t>
  </si>
  <si>
    <t>TCO + 14% KWV L&amp;U-fuel; PL comm-demand</t>
  </si>
  <si>
    <t>NYMEx + TCoPL fuel-demand-comm, marktg</t>
  </si>
  <si>
    <t>Jefferson EKM (Public)</t>
  </si>
  <si>
    <t>Slone Egy contract</t>
  </si>
  <si>
    <t>Nytis (Sigma)</t>
  </si>
  <si>
    <t>Columbia (Goble Roberts, Peoples)</t>
  </si>
  <si>
    <t>Southern Energy (Sigma) incl $1.25/Mcf DLR trans</t>
  </si>
  <si>
    <t>CVR Cumberland Valley (Auxier)</t>
  </si>
  <si>
    <t>Magnum Drilling contract</t>
  </si>
  <si>
    <t>Southern Energy (EKU-MLG-Price)</t>
  </si>
  <si>
    <t>forecasts the TCO index…</t>
  </si>
  <si>
    <t>automate, so that entering the NYMEx futures price…</t>
  </si>
  <si>
    <t xml:space="preserve">  to predict the cost from each supplier</t>
  </si>
  <si>
    <t xml:space="preserve">TCo + $0.1318/Dth (1.996% Fuel) + $0.0190/Dth Commodity + $0.3417/Dth (TCo Demand) +  </t>
  </si>
  <si>
    <t>Comments non-printing</t>
  </si>
  <si>
    <t>from GBA tab, Col K</t>
  </si>
  <si>
    <t>DETERMINATION OF RATES by Class of Customer:</t>
  </si>
  <si>
    <t>Non Gas</t>
  </si>
  <si>
    <t>surcharge to amortize Gas Bal Acct</t>
  </si>
  <si>
    <t>total Gas charge, carry to Rates sheet</t>
  </si>
  <si>
    <t>current surcharge is AA+BA from last quarterly filing</t>
  </si>
  <si>
    <t>change in total volumetric rate</t>
  </si>
  <si>
    <t>EFFECT OF RATE CHANGE on Average Residential customer:</t>
  </si>
  <si>
    <t>ave annual 50 mcf from BSUM Profile</t>
  </si>
  <si>
    <t>Res'l monthly usage profile from BSUM</t>
  </si>
  <si>
    <t>Monthly Customer Charge</t>
  </si>
  <si>
    <t>Gas Usage, All CCF</t>
  </si>
  <si>
    <t>Purchases were within % limits</t>
  </si>
  <si>
    <t>SCHEDULE I</t>
  </si>
  <si>
    <t>RATE DETERMINATION</t>
  </si>
  <si>
    <t>GAS BALANCING ACCOUNT</t>
  </si>
  <si>
    <t>Kentucky Frontier Gas</t>
  </si>
  <si>
    <t>EXPECTED GAS COST - EGC</t>
  </si>
  <si>
    <t>amortize Balance over next year of gas sales</t>
  </si>
  <si>
    <t xml:space="preserve">  divide GBA balance / annual Sales MCF</t>
  </si>
  <si>
    <t>Total EGC</t>
  </si>
  <si>
    <t>5 year ave sales from BSUM records</t>
  </si>
  <si>
    <t>SCHEDULE III</t>
  </si>
  <si>
    <t>BALANCING ADJUSTMENT</t>
  </si>
  <si>
    <t>EXPECTED GAS COST of sales</t>
  </si>
  <si>
    <t>EXPECTED GAS COST per MCF of sales</t>
  </si>
  <si>
    <t>GAS COST RECOVERY RATES:</t>
  </si>
  <si>
    <t>TOTAL Gas Cost Recovery RATE</t>
  </si>
  <si>
    <t>Adjustment</t>
  </si>
  <si>
    <t>from Schedule II</t>
  </si>
  <si>
    <t>from Schedule III</t>
  </si>
  <si>
    <t>EGC</t>
  </si>
  <si>
    <t>incl gas cost portion of Bad Debt into Purch cost</t>
  </si>
  <si>
    <t>Balance Adjmt</t>
  </si>
  <si>
    <t>per MCF</t>
  </si>
  <si>
    <t>BY AUTHORITY OF ORDER OF THE PUBLIC SERVICE COMMISSION</t>
  </si>
  <si>
    <t>increment by 1 each filing</t>
  </si>
  <si>
    <t>EGC from Schedule I</t>
  </si>
  <si>
    <t>rates from GR17</t>
  </si>
  <si>
    <t>holdover rate from West Liberty</t>
  </si>
  <si>
    <t>applies to nearly every Frontier customer</t>
  </si>
  <si>
    <t>last month of full actual figures</t>
  </si>
  <si>
    <t>L&amp;U Limiter</t>
  </si>
  <si>
    <t>applied to annual losses in Gas Year</t>
  </si>
  <si>
    <t xml:space="preserve">   only going forward; past L&amp;U not ltd</t>
  </si>
  <si>
    <t>(4)</t>
  </si>
  <si>
    <t>(5)</t>
  </si>
  <si>
    <t>^ to Sched I</t>
  </si>
  <si>
    <t>Nytis (Sigma) incl $1.25/Mcf DLR transpt</t>
  </si>
  <si>
    <t>Cumberland Valley (Sigma) incl $1.25 DLR transpt</t>
  </si>
  <si>
    <t xml:space="preserve">   this is the only section kept for new GCR calcs</t>
  </si>
  <si>
    <t>BTU among largest sources</t>
  </si>
  <si>
    <t>NYMEX index is industry std, gas futures out many months; TCO is typ lower</t>
  </si>
  <si>
    <t>^same</t>
  </si>
  <si>
    <t>for the 22-327 filing, we removed forward-looking haircut for excess L&amp;U</t>
  </si>
  <si>
    <t xml:space="preserve">  aprx 30 meters</t>
  </si>
  <si>
    <t xml:space="preserve">  aprx 4900 meters</t>
  </si>
  <si>
    <t>3 large meters for AUX prison + hospital</t>
  </si>
  <si>
    <t>NOT TO FILE - use this sheet to populate the Word document formatted for Tariffs</t>
  </si>
  <si>
    <t>Daysboro rates not calc'd here, see Tariff sheet</t>
  </si>
  <si>
    <t>change</t>
  </si>
  <si>
    <t xml:space="preserve">   minimal volume</t>
  </si>
  <si>
    <t>similar model used for Pinedale NG, Wyoming PSC</t>
  </si>
  <si>
    <t xml:space="preserve">  Revision from last GCR filing</t>
  </si>
  <si>
    <t>curious higher GR for Comml</t>
  </si>
  <si>
    <t>Cum O/U Recov GBA Balance</t>
  </si>
  <si>
    <t xml:space="preserve"> (R) </t>
  </si>
  <si>
    <t>denotes change from last Tariff</t>
  </si>
  <si>
    <t>EKM (Sigma) rate incl $1.25/Mcf DLR transpt</t>
  </si>
  <si>
    <t>Tackett contract</t>
  </si>
  <si>
    <t>split rate Nov billing, 1/3 on old rate</t>
  </si>
  <si>
    <t>as approved ..327</t>
  </si>
  <si>
    <t>3 year average differential, for this period</t>
  </si>
  <si>
    <t>from NYMEx</t>
  </si>
  <si>
    <t xml:space="preserve">30th revised sheet No. 4   </t>
  </si>
  <si>
    <t>Resl rate</t>
  </si>
  <si>
    <t>diff</t>
  </si>
  <si>
    <t>Qtr adjs</t>
  </si>
  <si>
    <t>lower with old math</t>
  </si>
  <si>
    <t>Top 5 incl EKM</t>
  </si>
  <si>
    <t xml:space="preserve">31st revised sheet No. 4   </t>
  </si>
  <si>
    <t>round to 3 digits for CCF rate</t>
  </si>
  <si>
    <t>Gas Bal Acct forecast at January 31, 2024</t>
  </si>
  <si>
    <t>Gas Balance to amortize</t>
  </si>
  <si>
    <t>GAS SALES VOLUMES, next 12 months</t>
  </si>
  <si>
    <t>TCO App Index</t>
  </si>
  <si>
    <t>Gas Balancing Account stipulated balance</t>
  </si>
  <si>
    <t>from below from Sched II</t>
  </si>
  <si>
    <t>Calendar 2013</t>
  </si>
  <si>
    <t>Calendar 2014</t>
  </si>
  <si>
    <t>Calendar 2015</t>
  </si>
  <si>
    <t>Calendar 2016</t>
  </si>
  <si>
    <t>Calendar 2017</t>
  </si>
  <si>
    <t>Calendar 2018</t>
  </si>
  <si>
    <t>Calendar 2019</t>
  </si>
  <si>
    <t>Calendar 2020</t>
  </si>
  <si>
    <t>Calendar 2021</t>
  </si>
  <si>
    <t>Calendar 2022</t>
  </si>
  <si>
    <t>Calendar 2023</t>
  </si>
  <si>
    <t>Utility Sales MCF</t>
  </si>
  <si>
    <t>with Public Gas, excluding Farm Taps</t>
  </si>
  <si>
    <t>of GR12 case</t>
  </si>
  <si>
    <t>of GR17 case</t>
  </si>
  <si>
    <t>Utility volume fcst GR17</t>
  </si>
  <si>
    <t>This Year vs Forecast GR17</t>
  </si>
  <si>
    <t>Utility volume fcst GR12</t>
  </si>
  <si>
    <t>Frontier GR12</t>
  </si>
  <si>
    <t>Public Gas purch 2015</t>
  </si>
  <si>
    <t xml:space="preserve">Total fcst 2016+ </t>
  </si>
  <si>
    <t>Average since GR17</t>
  </si>
  <si>
    <t>Total CCF</t>
  </si>
  <si>
    <t>BSUM Billing Summary from Caselle billing software</t>
  </si>
  <si>
    <t>Public Gas add to Frontier</t>
  </si>
  <si>
    <t xml:space="preserve">   month vs annual</t>
  </si>
  <si>
    <t>General Rate case 2017</t>
  </si>
  <si>
    <t xml:space="preserve">    to incorp Public Gas into Frontier</t>
  </si>
  <si>
    <t>Public Gas figures from Gas Natural</t>
  </si>
  <si>
    <t>General Rate case 2012</t>
  </si>
  <si>
    <t>vs GR case</t>
  </si>
  <si>
    <t>Last full 5 yrs</t>
  </si>
  <si>
    <t xml:space="preserve">    to incorp Auxier + Sigma into Frontier</t>
  </si>
  <si>
    <t>est</t>
  </si>
  <si>
    <t>from Row 34 above</t>
  </si>
  <si>
    <t>Top 5 suppliers are 87% of annual volume</t>
  </si>
  <si>
    <t>present form thru PGA filing 2023-00329</t>
  </si>
  <si>
    <t>This is the entire GBA history, back to the last GR case</t>
  </si>
  <si>
    <t>MCF Sales</t>
  </si>
  <si>
    <t>Ave Expected Gas Cost per MCF Sold</t>
  </si>
  <si>
    <t>transpt frm 8 suppliers to Auxier-BTU-Sigma</t>
  </si>
  <si>
    <t>Dennis Horner as Agent</t>
  </si>
  <si>
    <t xml:space="preserve">  1 Comml customer</t>
  </si>
  <si>
    <t>Compare with old math GCA</t>
  </si>
  <si>
    <t>old GCA method</t>
  </si>
  <si>
    <t>mcf</t>
  </si>
  <si>
    <t>manual</t>
  </si>
  <si>
    <t xml:space="preserve">   PLUS (Under) / MINUS (Over) -Recovery Balancing Adjmt</t>
  </si>
  <si>
    <t>Balance to amortize next 12 mos</t>
  </si>
  <si>
    <t>Carry credit for next period</t>
  </si>
  <si>
    <t>rate decrease denied</t>
  </si>
  <si>
    <t>TCO + $5.75  +$0.60 FT/Mktg (L&amp;U above)</t>
  </si>
  <si>
    <t>Total Expected Cost of Purchases</t>
  </si>
  <si>
    <t>EKM L&amp;U-Fuel 12%</t>
  </si>
  <si>
    <t>EKM Jefferson claims to be non-regulated, reselling FERC gas at 28% of total volume at 50% of cost</t>
  </si>
  <si>
    <t>recent ave sales from BSUM</t>
  </si>
  <si>
    <t>Negative balances start in Nov20 using any L&amp;U limiter 5-7%</t>
  </si>
  <si>
    <t>GBA fluctuates normally Jan18 to Oct20,</t>
  </si>
  <si>
    <r>
      <t xml:space="preserve">  </t>
    </r>
    <r>
      <rPr>
        <i/>
        <sz val="11"/>
        <color theme="1"/>
        <rFont val="Calibri"/>
        <family val="2"/>
        <scheme val="minor"/>
      </rPr>
      <t xml:space="preserve">and escalate substantially, continue through </t>
    </r>
    <r>
      <rPr>
        <sz val="11"/>
        <color theme="1"/>
        <rFont val="Calibri"/>
        <family val="2"/>
        <scheme val="minor"/>
      </rPr>
      <t>early 2023</t>
    </r>
  </si>
  <si>
    <t>Gas Balance if Limiter is</t>
  </si>
  <si>
    <t xml:space="preserve">of which </t>
  </si>
  <si>
    <t>L&amp;U Comparison</t>
  </si>
  <si>
    <t>KyFrontier</t>
  </si>
  <si>
    <t>Burkesville</t>
  </si>
  <si>
    <t>Delta</t>
  </si>
  <si>
    <t>Atmos</t>
  </si>
  <si>
    <t>Louisville</t>
  </si>
  <si>
    <t>Utility Customers</t>
  </si>
  <si>
    <t>Miles of Mains</t>
  </si>
  <si>
    <t>Leaks Reported</t>
  </si>
  <si>
    <t>Metrics</t>
  </si>
  <si>
    <t>Meters per Mile</t>
  </si>
  <si>
    <t>MCF per Mile</t>
  </si>
  <si>
    <t>Miles per Leak</t>
  </si>
  <si>
    <t>A leak like this on the Frontier system has 4 to 9x the effect</t>
  </si>
  <si>
    <t xml:space="preserve">   on Frontier L&amp;U as the same exact leak has on Atmos or LG&amp;E</t>
  </si>
  <si>
    <t xml:space="preserve">       A 5% limit on Frontier L&amp;U is equivalent to 1/2% to LG&amp;E</t>
  </si>
  <si>
    <t>relative effects of Lost &amp; Unaccounted-for Gas per Annual Reports to PSC &amp; DOT</t>
  </si>
  <si>
    <t xml:space="preserve">       or 2x as Burkesville or Delta</t>
  </si>
  <si>
    <t>Annual MCF volume</t>
  </si>
  <si>
    <t>incl Transport</t>
  </si>
  <si>
    <t>LGE</t>
  </si>
  <si>
    <t>is over-credited</t>
  </si>
  <si>
    <t>as reported, seems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</si>
</sst>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  <numFmt numFmtId="169" formatCode="[$-409]mmmm\ d\,\ yyyy;@"/>
    <numFmt numFmtId="170" formatCode="0.0000"/>
    <numFmt numFmtId="171" formatCode="_(&quot;$&quot;* #,##0.0000_);_(&quot;$&quot;* \(#,##0.0000\);_(&quot;$&quot;* &quot;-&quot;????_);_(@_)"/>
    <numFmt numFmtId="172" formatCode="#,##0.00000_);\(#,##0.00000\)"/>
    <numFmt numFmtId="173" formatCode="0.0"/>
    <numFmt numFmtId="174" formatCode="#,##0.0000"/>
    <numFmt numFmtId="175" formatCode="_(&quot;$&quot;* #,##0.0000_);_(&quot;$&quot;* \(#,##0.0000\);_(&quot;$&quot;* &quot;-&quot;??_);_(@_)"/>
    <numFmt numFmtId="176" formatCode="_(&quot;$&quot;* #,##0.000_);_(&quot;$&quot;* \(#,##0.000\);_(&quot;$&quot;* &quot;-&quot;????_);_(@_)"/>
    <numFmt numFmtId="177" formatCode="_(* #,##0.00_);_(* \(#,##0.00\);_(* \-??_);_(@_)"/>
    <numFmt numFmtId="178" formatCode="_(* #,##0_);_(* \(#,##0\);_(* \-??_);_(@_)"/>
    <numFmt numFmtId="179" formatCode="_(\$* #,##0.00_);_(\$* \(#,##0.00\);_(\$* \-??_);_(@_)"/>
    <numFmt numFmtId="180" formatCode="_(* #,##0.0_);_(* \(#,##0.0\);_(* &quot;-&quot;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Univers (W1)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u val="double"/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6"/>
      <color theme="1"/>
      <name val="Arial Black"/>
      <family val="2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9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D4F2"/>
        <bgColor indexed="64"/>
      </patternFill>
    </fill>
    <fill>
      <patternFill patternType="solid">
        <fgColor rgb="FFFCE3D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14" fillId="0" borderId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0" fontId="38" fillId="0" borderId="0">
      <alignment vertical="top"/>
    </xf>
    <xf numFmtId="43" fontId="14" fillId="0" borderId="0" applyFont="0" applyFill="0" applyBorder="0" applyAlignment="0" applyProtection="0"/>
    <xf numFmtId="179" fontId="14" fillId="0" borderId="0" applyFill="0" applyBorder="0" applyAlignment="0" applyProtection="0"/>
  </cellStyleXfs>
  <cellXfs count="397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5" fontId="2" fillId="2" borderId="1" xfId="0" applyNumberFormat="1" applyFont="1" applyFill="1" applyBorder="1" applyAlignment="1">
      <alignment horizontal="center" wrapText="1"/>
    </xf>
    <xf numFmtId="165" fontId="5" fillId="2" borderId="1" xfId="2" applyNumberFormat="1" applyFont="1" applyFill="1" applyBorder="1" applyAlignment="1">
      <alignment horizontal="center" wrapText="1"/>
    </xf>
    <xf numFmtId="5" fontId="2" fillId="2" borderId="2" xfId="0" applyNumberFormat="1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165" fontId="2" fillId="2" borderId="1" xfId="2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left"/>
    </xf>
    <xf numFmtId="0" fontId="4" fillId="3" borderId="0" xfId="0" applyFont="1" applyFill="1"/>
    <xf numFmtId="3" fontId="4" fillId="3" borderId="0" xfId="0" applyNumberFormat="1" applyFont="1" applyFill="1"/>
    <xf numFmtId="5" fontId="4" fillId="3" borderId="0" xfId="0" applyNumberFormat="1" applyFont="1" applyFill="1"/>
    <xf numFmtId="165" fontId="3" fillId="3" borderId="0" xfId="2" applyNumberFormat="1" applyFont="1" applyFill="1"/>
    <xf numFmtId="5" fontId="4" fillId="3" borderId="3" xfId="0" applyNumberFormat="1" applyFont="1" applyFill="1" applyBorder="1"/>
    <xf numFmtId="9" fontId="4" fillId="3" borderId="0" xfId="0" applyNumberFormat="1" applyFont="1" applyFill="1"/>
    <xf numFmtId="5" fontId="2" fillId="3" borderId="0" xfId="0" applyNumberFormat="1" applyFont="1" applyFill="1"/>
    <xf numFmtId="165" fontId="3" fillId="3" borderId="0" xfId="2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5" fontId="4" fillId="0" borderId="0" xfId="0" applyNumberFormat="1" applyFont="1"/>
    <xf numFmtId="165" fontId="3" fillId="0" borderId="0" xfId="2" applyNumberFormat="1" applyFont="1"/>
    <xf numFmtId="9" fontId="4" fillId="0" borderId="0" xfId="0" applyNumberFormat="1" applyFont="1"/>
    <xf numFmtId="5" fontId="2" fillId="0" borderId="0" xfId="0" applyNumberFormat="1" applyFont="1"/>
    <xf numFmtId="165" fontId="3" fillId="0" borderId="0" xfId="2" applyNumberFormat="1" applyFont="1" applyAlignment="1">
      <alignment horizontal="center"/>
    </xf>
    <xf numFmtId="0" fontId="3" fillId="0" borderId="0" xfId="0" applyFont="1"/>
    <xf numFmtId="164" fontId="6" fillId="4" borderId="4" xfId="0" applyNumberFormat="1" applyFont="1" applyFill="1" applyBorder="1" applyAlignment="1">
      <alignment horizontal="left"/>
    </xf>
    <xf numFmtId="0" fontId="6" fillId="4" borderId="5" xfId="0" applyFont="1" applyFill="1" applyBorder="1"/>
    <xf numFmtId="3" fontId="6" fillId="4" borderId="5" xfId="0" applyNumberFormat="1" applyFont="1" applyFill="1" applyBorder="1"/>
    <xf numFmtId="5" fontId="6" fillId="4" borderId="5" xfId="0" applyNumberFormat="1" applyFont="1" applyFill="1" applyBorder="1"/>
    <xf numFmtId="165" fontId="7" fillId="4" borderId="5" xfId="2" applyNumberFormat="1" applyFont="1" applyFill="1" applyBorder="1"/>
    <xf numFmtId="5" fontId="6" fillId="4" borderId="3" xfId="0" applyNumberFormat="1" applyFont="1" applyFill="1" applyBorder="1"/>
    <xf numFmtId="5" fontId="8" fillId="4" borderId="5" xfId="0" applyNumberFormat="1" applyFont="1" applyFill="1" applyBorder="1"/>
    <xf numFmtId="165" fontId="7" fillId="4" borderId="4" xfId="2" applyNumberFormat="1" applyFont="1" applyFill="1" applyBorder="1"/>
    <xf numFmtId="165" fontId="7" fillId="4" borderId="6" xfId="2" applyNumberFormat="1" applyFont="1" applyFill="1" applyBorder="1"/>
    <xf numFmtId="0" fontId="6" fillId="4" borderId="0" xfId="0" applyFont="1" applyFill="1"/>
    <xf numFmtId="164" fontId="4" fillId="0" borderId="4" xfId="0" applyNumberFormat="1" applyFont="1" applyBorder="1" applyAlignment="1">
      <alignment horizontal="left"/>
    </xf>
    <xf numFmtId="0" fontId="4" fillId="0" borderId="5" xfId="0" applyFont="1" applyBorder="1"/>
    <xf numFmtId="3" fontId="4" fillId="0" borderId="5" xfId="0" applyNumberFormat="1" applyFont="1" applyBorder="1"/>
    <xf numFmtId="5" fontId="4" fillId="0" borderId="5" xfId="0" applyNumberFormat="1" applyFont="1" applyBorder="1"/>
    <xf numFmtId="165" fontId="3" fillId="0" borderId="5" xfId="2" applyNumberFormat="1" applyFont="1" applyBorder="1"/>
    <xf numFmtId="5" fontId="2" fillId="0" borderId="5" xfId="0" applyNumberFormat="1" applyFont="1" applyBorder="1"/>
    <xf numFmtId="165" fontId="3" fillId="0" borderId="4" xfId="2" applyNumberFormat="1" applyFont="1" applyBorder="1"/>
    <xf numFmtId="165" fontId="3" fillId="0" borderId="6" xfId="2" applyNumberFormat="1" applyFont="1" applyBorder="1"/>
    <xf numFmtId="0" fontId="2" fillId="0" borderId="0" xfId="0" applyFont="1"/>
    <xf numFmtId="165" fontId="4" fillId="0" borderId="0" xfId="2" applyNumberFormat="1" applyFont="1"/>
    <xf numFmtId="44" fontId="3" fillId="0" borderId="0" xfId="2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3" fontId="5" fillId="5" borderId="0" xfId="0" applyNumberFormat="1" applyFont="1" applyFill="1"/>
    <xf numFmtId="3" fontId="2" fillId="5" borderId="0" xfId="0" applyNumberFormat="1" applyFont="1" applyFill="1"/>
    <xf numFmtId="166" fontId="4" fillId="5" borderId="0" xfId="2" applyNumberFormat="1" applyFont="1" applyFill="1"/>
    <xf numFmtId="44" fontId="3" fillId="5" borderId="0" xfId="2" applyFont="1" applyFill="1"/>
    <xf numFmtId="167" fontId="3" fillId="5" borderId="0" xfId="3" applyNumberFormat="1" applyFont="1" applyFill="1"/>
    <xf numFmtId="168" fontId="4" fillId="5" borderId="0" xfId="1" applyNumberFormat="1" applyFont="1" applyFill="1"/>
    <xf numFmtId="164" fontId="3" fillId="5" borderId="0" xfId="0" applyNumberFormat="1" applyFont="1" applyFill="1" applyAlignment="1">
      <alignment horizontal="left"/>
    </xf>
    <xf numFmtId="0" fontId="3" fillId="5" borderId="0" xfId="0" applyFont="1" applyFill="1"/>
    <xf numFmtId="3" fontId="3" fillId="0" borderId="0" xfId="0" applyNumberFormat="1" applyFont="1"/>
    <xf numFmtId="166" fontId="2" fillId="5" borderId="0" xfId="2" applyNumberFormat="1" applyFont="1" applyFill="1"/>
    <xf numFmtId="3" fontId="3" fillId="5" borderId="0" xfId="0" applyNumberFormat="1" applyFont="1" applyFill="1"/>
    <xf numFmtId="165" fontId="6" fillId="4" borderId="4" xfId="2" applyNumberFormat="1" applyFont="1" applyFill="1" applyBorder="1"/>
    <xf numFmtId="165" fontId="6" fillId="4" borderId="5" xfId="2" applyNumberFormat="1" applyFont="1" applyFill="1" applyBorder="1"/>
    <xf numFmtId="165" fontId="6" fillId="4" borderId="6" xfId="2" applyNumberFormat="1" applyFont="1" applyFill="1" applyBorder="1"/>
    <xf numFmtId="3" fontId="2" fillId="0" borderId="0" xfId="0" applyNumberFormat="1" applyFont="1"/>
    <xf numFmtId="5" fontId="2" fillId="5" borderId="0" xfId="0" applyNumberFormat="1" applyFont="1" applyFill="1"/>
    <xf numFmtId="5" fontId="4" fillId="3" borderId="7" xfId="0" applyNumberFormat="1" applyFont="1" applyFill="1" applyBorder="1"/>
    <xf numFmtId="0" fontId="4" fillId="6" borderId="0" xfId="0" applyFont="1" applyFill="1"/>
    <xf numFmtId="164" fontId="4" fillId="0" borderId="8" xfId="0" applyNumberFormat="1" applyFont="1" applyBorder="1" applyAlignment="1">
      <alignment horizontal="left"/>
    </xf>
    <xf numFmtId="0" fontId="4" fillId="0" borderId="9" xfId="0" applyFont="1" applyBorder="1"/>
    <xf numFmtId="3" fontId="4" fillId="0" borderId="9" xfId="0" applyNumberFormat="1" applyFont="1" applyBorder="1"/>
    <xf numFmtId="5" fontId="4" fillId="0" borderId="9" xfId="0" applyNumberFormat="1" applyFont="1" applyBorder="1"/>
    <xf numFmtId="165" fontId="3" fillId="0" borderId="9" xfId="2" applyNumberFormat="1" applyFont="1" applyBorder="1"/>
    <xf numFmtId="9" fontId="4" fillId="0" borderId="9" xfId="0" applyNumberFormat="1" applyFont="1" applyBorder="1"/>
    <xf numFmtId="5" fontId="2" fillId="0" borderId="9" xfId="0" applyNumberFormat="1" applyFont="1" applyBorder="1"/>
    <xf numFmtId="37" fontId="4" fillId="0" borderId="0" xfId="0" applyNumberFormat="1" applyFont="1"/>
    <xf numFmtId="5" fontId="4" fillId="3" borderId="1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9" fontId="10" fillId="0" borderId="0" xfId="3" applyFont="1"/>
    <xf numFmtId="44" fontId="3" fillId="0" borderId="0" xfId="2" applyFont="1"/>
    <xf numFmtId="3" fontId="11" fillId="0" borderId="0" xfId="0" applyNumberFormat="1" applyFont="1" applyAlignment="1">
      <alignment vertical="top"/>
    </xf>
    <xf numFmtId="168" fontId="4" fillId="0" borderId="0" xfId="1" applyNumberFormat="1" applyFont="1"/>
    <xf numFmtId="166" fontId="4" fillId="0" borderId="0" xfId="2" applyNumberFormat="1" applyFont="1"/>
    <xf numFmtId="0" fontId="2" fillId="0" borderId="0" xfId="0" applyFont="1" applyAlignment="1">
      <alignment horizontal="center"/>
    </xf>
    <xf numFmtId="168" fontId="4" fillId="0" borderId="0" xfId="1" applyNumberFormat="1" applyFont="1" applyFill="1"/>
    <xf numFmtId="166" fontId="4" fillId="0" borderId="0" xfId="2" applyNumberFormat="1" applyFont="1" applyFill="1"/>
    <xf numFmtId="166" fontId="2" fillId="0" borderId="0" xfId="0" applyNumberFormat="1" applyFont="1"/>
    <xf numFmtId="166" fontId="2" fillId="0" borderId="0" xfId="2" applyNumberFormat="1" applyFont="1" applyFill="1"/>
    <xf numFmtId="0" fontId="14" fillId="0" borderId="0" xfId="4" applyAlignment="1">
      <alignment horizontal="left"/>
    </xf>
    <xf numFmtId="0" fontId="19" fillId="0" borderId="0" xfId="5" applyFont="1"/>
    <xf numFmtId="0" fontId="20" fillId="0" borderId="0" xfId="5" applyFont="1"/>
    <xf numFmtId="0" fontId="20" fillId="0" borderId="0" xfId="5" applyFont="1" applyAlignment="1">
      <alignment horizontal="right"/>
    </xf>
    <xf numFmtId="0" fontId="19" fillId="0" borderId="0" xfId="5" applyFont="1" applyAlignment="1">
      <alignment horizontal="left"/>
    </xf>
    <xf numFmtId="0" fontId="20" fillId="0" borderId="0" xfId="5" applyFont="1" applyAlignment="1">
      <alignment horizontal="centerContinuous"/>
    </xf>
    <xf numFmtId="0" fontId="21" fillId="0" borderId="0" xfId="5" applyFont="1"/>
    <xf numFmtId="0" fontId="20" fillId="0" borderId="0" xfId="5" applyFont="1" applyAlignment="1">
      <alignment horizontal="left"/>
    </xf>
    <xf numFmtId="37" fontId="20" fillId="9" borderId="0" xfId="5" applyNumberFormat="1" applyFont="1" applyFill="1"/>
    <xf numFmtId="0" fontId="21" fillId="10" borderId="0" xfId="5" applyFont="1" applyFill="1"/>
    <xf numFmtId="2" fontId="20" fillId="0" borderId="0" xfId="5" applyNumberFormat="1" applyFont="1"/>
    <xf numFmtId="44" fontId="19" fillId="0" borderId="0" xfId="5" applyNumberFormat="1" applyFont="1"/>
    <xf numFmtId="5" fontId="20" fillId="0" borderId="0" xfId="5" applyNumberFormat="1" applyFont="1"/>
    <xf numFmtId="14" fontId="20" fillId="0" borderId="0" xfId="5" applyNumberFormat="1" applyFont="1"/>
    <xf numFmtId="0" fontId="20" fillId="2" borderId="0" xfId="5" applyFont="1" applyFill="1"/>
    <xf numFmtId="49" fontId="20" fillId="0" borderId="0" xfId="5" applyNumberFormat="1" applyFont="1"/>
    <xf numFmtId="0" fontId="20" fillId="0" borderId="0" xfId="5" quotePrefix="1" applyFont="1" applyAlignment="1">
      <alignment horizontal="right"/>
    </xf>
    <xf numFmtId="41" fontId="20" fillId="0" borderId="0" xfId="6" applyNumberFormat="1" applyFont="1"/>
    <xf numFmtId="166" fontId="22" fillId="7" borderId="11" xfId="2" applyNumberFormat="1" applyFont="1" applyFill="1" applyBorder="1" applyProtection="1"/>
    <xf numFmtId="166" fontId="20" fillId="0" borderId="13" xfId="5" applyNumberFormat="1" applyFont="1" applyBorder="1"/>
    <xf numFmtId="3" fontId="20" fillId="0" borderId="0" xfId="5" applyNumberFormat="1" applyFont="1"/>
    <xf numFmtId="3" fontId="21" fillId="10" borderId="0" xfId="5" applyNumberFormat="1" applyFont="1" applyFill="1"/>
    <xf numFmtId="172" fontId="20" fillId="0" borderId="0" xfId="5" applyNumberFormat="1" applyFont="1"/>
    <xf numFmtId="44" fontId="11" fillId="0" borderId="11" xfId="5" applyNumberFormat="1" applyFont="1" applyBorder="1"/>
    <xf numFmtId="44" fontId="19" fillId="0" borderId="0" xfId="7" applyFont="1" applyProtection="1"/>
    <xf numFmtId="2" fontId="20" fillId="0" borderId="0" xfId="7" applyNumberFormat="1" applyFont="1" applyProtection="1"/>
    <xf numFmtId="0" fontId="23" fillId="0" borderId="0" xfId="5" applyFont="1" applyAlignment="1">
      <alignment horizontal="left"/>
    </xf>
    <xf numFmtId="0" fontId="23" fillId="0" borderId="0" xfId="5" applyFont="1"/>
    <xf numFmtId="0" fontId="19" fillId="0" borderId="11" xfId="5" applyFont="1" applyBorder="1" applyAlignment="1">
      <alignment horizontal="right"/>
    </xf>
    <xf numFmtId="0" fontId="19" fillId="0" borderId="0" xfId="5" applyFont="1" applyAlignment="1">
      <alignment horizontal="right"/>
    </xf>
    <xf numFmtId="43" fontId="11" fillId="0" borderId="0" xfId="6" applyFont="1" applyFill="1"/>
    <xf numFmtId="43" fontId="11" fillId="0" borderId="0" xfId="6" applyFont="1"/>
    <xf numFmtId="44" fontId="20" fillId="0" borderId="0" xfId="7" applyFont="1"/>
    <xf numFmtId="167" fontId="21" fillId="0" borderId="0" xfId="8" applyNumberFormat="1" applyFont="1"/>
    <xf numFmtId="0" fontId="21" fillId="0" borderId="0" xfId="5" applyFont="1" applyAlignment="1">
      <alignment horizontal="left"/>
    </xf>
    <xf numFmtId="0" fontId="19" fillId="0" borderId="0" xfId="5" applyFont="1" applyAlignment="1">
      <alignment horizontal="center"/>
    </xf>
    <xf numFmtId="0" fontId="20" fillId="0" borderId="0" xfId="5" applyFont="1" applyAlignment="1">
      <alignment horizontal="center"/>
    </xf>
    <xf numFmtId="173" fontId="20" fillId="0" borderId="0" xfId="5" applyNumberFormat="1" applyFont="1" applyAlignment="1">
      <alignment horizontal="right"/>
    </xf>
    <xf numFmtId="43" fontId="20" fillId="0" borderId="0" xfId="6" applyFont="1"/>
    <xf numFmtId="173" fontId="20" fillId="0" borderId="11" xfId="5" applyNumberFormat="1" applyFont="1" applyBorder="1" applyAlignment="1">
      <alignment horizontal="right"/>
    </xf>
    <xf numFmtId="167" fontId="21" fillId="0" borderId="11" xfId="8" applyNumberFormat="1" applyFont="1" applyBorder="1"/>
    <xf numFmtId="43" fontId="20" fillId="0" borderId="11" xfId="6" applyFont="1" applyBorder="1"/>
    <xf numFmtId="173" fontId="19" fillId="0" borderId="0" xfId="5" applyNumberFormat="1" applyFont="1" applyAlignment="1">
      <alignment horizontal="right"/>
    </xf>
    <xf numFmtId="167" fontId="21" fillId="0" borderId="0" xfId="5" applyNumberFormat="1" applyFont="1"/>
    <xf numFmtId="167" fontId="23" fillId="0" borderId="0" xfId="8" applyNumberFormat="1" applyFont="1" applyFill="1"/>
    <xf numFmtId="44" fontId="23" fillId="0" borderId="0" xfId="2" applyFont="1"/>
    <xf numFmtId="43" fontId="19" fillId="0" borderId="0" xfId="6" applyFont="1"/>
    <xf numFmtId="0" fontId="14" fillId="0" borderId="0" xfId="4" applyAlignment="1">
      <alignment horizontal="right"/>
    </xf>
    <xf numFmtId="0" fontId="14" fillId="0" borderId="0" xfId="4" applyAlignment="1">
      <alignment horizontal="center"/>
    </xf>
    <xf numFmtId="5" fontId="5" fillId="0" borderId="0" xfId="0" applyNumberFormat="1" applyFont="1"/>
    <xf numFmtId="0" fontId="14" fillId="0" borderId="0" xfId="4"/>
    <xf numFmtId="0" fontId="16" fillId="0" borderId="0" xfId="4" applyFont="1" applyAlignment="1">
      <alignment horizontal="center"/>
    </xf>
    <xf numFmtId="0" fontId="16" fillId="0" borderId="0" xfId="4" applyFont="1"/>
    <xf numFmtId="171" fontId="14" fillId="0" borderId="0" xfId="4" applyNumberFormat="1"/>
    <xf numFmtId="0" fontId="14" fillId="0" borderId="1" xfId="4" applyBorder="1"/>
    <xf numFmtId="169" fontId="14" fillId="0" borderId="11" xfId="4" applyNumberFormat="1" applyBorder="1" applyAlignment="1">
      <alignment horizontal="center"/>
    </xf>
    <xf numFmtId="0" fontId="14" fillId="0" borderId="11" xfId="4" applyBorder="1" applyAlignment="1">
      <alignment horizontal="center"/>
    </xf>
    <xf numFmtId="44" fontId="21" fillId="10" borderId="0" xfId="2" applyFont="1" applyFill="1"/>
    <xf numFmtId="44" fontId="14" fillId="0" borderId="0" xfId="2" applyFont="1" applyAlignment="1">
      <alignment horizontal="center"/>
    </xf>
    <xf numFmtId="0" fontId="6" fillId="8" borderId="0" xfId="4" applyFont="1" applyFill="1" applyProtection="1">
      <protection locked="0"/>
    </xf>
    <xf numFmtId="0" fontId="7" fillId="0" borderId="0" xfId="4" applyFont="1" applyAlignment="1" applyProtection="1">
      <alignment horizontal="left"/>
      <protection locked="0"/>
    </xf>
    <xf numFmtId="0" fontId="17" fillId="0" borderId="0" xfId="4" applyFont="1"/>
    <xf numFmtId="9" fontId="4" fillId="0" borderId="0" xfId="3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4" applyFont="1" applyProtection="1">
      <protection locked="0"/>
    </xf>
    <xf numFmtId="0" fontId="27" fillId="0" borderId="0" xfId="4" applyFont="1" applyAlignment="1" applyProtection="1">
      <alignment horizontal="center"/>
      <protection locked="0"/>
    </xf>
    <xf numFmtId="0" fontId="27" fillId="0" borderId="0" xfId="4" applyFont="1" applyAlignment="1" applyProtection="1">
      <alignment horizontal="left"/>
      <protection locked="0"/>
    </xf>
    <xf numFmtId="0" fontId="27" fillId="0" borderId="0" xfId="4" applyFont="1" applyAlignment="1">
      <alignment horizontal="left"/>
    </xf>
    <xf numFmtId="169" fontId="27" fillId="0" borderId="0" xfId="4" applyNumberFormat="1" applyFont="1" applyAlignment="1">
      <alignment horizontal="left"/>
    </xf>
    <xf numFmtId="0" fontId="27" fillId="0" borderId="11" xfId="4" applyFont="1" applyBorder="1" applyAlignment="1" applyProtection="1">
      <alignment horizontal="center"/>
      <protection locked="0"/>
    </xf>
    <xf numFmtId="0" fontId="27" fillId="0" borderId="0" xfId="4" applyFont="1" applyAlignment="1" applyProtection="1">
      <alignment horizontal="right"/>
      <protection locked="0"/>
    </xf>
    <xf numFmtId="170" fontId="27" fillId="0" borderId="0" xfId="4" applyNumberFormat="1" applyFont="1" applyAlignment="1" applyProtection="1">
      <alignment horizontal="center"/>
      <protection locked="0"/>
    </xf>
    <xf numFmtId="3" fontId="27" fillId="0" borderId="0" xfId="4" applyNumberFormat="1" applyFont="1" applyProtection="1">
      <protection locked="0"/>
    </xf>
    <xf numFmtId="44" fontId="28" fillId="0" borderId="0" xfId="4" applyNumberFormat="1" applyFont="1" applyProtection="1">
      <protection hidden="1"/>
    </xf>
    <xf numFmtId="166" fontId="27" fillId="0" borderId="0" xfId="2" applyNumberFormat="1" applyFont="1" applyProtection="1">
      <protection hidden="1"/>
    </xf>
    <xf numFmtId="0" fontId="27" fillId="2" borderId="0" xfId="4" applyFont="1" applyFill="1" applyAlignment="1" applyProtection="1">
      <alignment horizontal="center"/>
      <protection locked="0"/>
    </xf>
    <xf numFmtId="171" fontId="27" fillId="0" borderId="0" xfId="4" applyNumberFormat="1" applyFont="1" applyProtection="1">
      <protection hidden="1"/>
    </xf>
    <xf numFmtId="5" fontId="27" fillId="0" borderId="0" xfId="4" applyNumberFormat="1" applyFont="1" applyProtection="1">
      <protection hidden="1"/>
    </xf>
    <xf numFmtId="170" fontId="27" fillId="0" borderId="0" xfId="4" applyNumberFormat="1" applyFont="1" applyProtection="1">
      <protection locked="0"/>
    </xf>
    <xf numFmtId="1" fontId="27" fillId="2" borderId="0" xfId="4" applyNumberFormat="1" applyFont="1" applyFill="1" applyProtection="1">
      <protection locked="0"/>
    </xf>
    <xf numFmtId="3" fontId="27" fillId="2" borderId="0" xfId="4" applyNumberFormat="1" applyFont="1" applyFill="1" applyProtection="1">
      <protection locked="0"/>
    </xf>
    <xf numFmtId="0" fontId="27" fillId="2" borderId="0" xfId="4" applyFont="1" applyFill="1" applyProtection="1">
      <protection locked="0"/>
    </xf>
    <xf numFmtId="1" fontId="27" fillId="2" borderId="0" xfId="4" applyNumberFormat="1" applyFont="1" applyFill="1" applyAlignment="1" applyProtection="1">
      <alignment horizontal="right"/>
      <protection locked="0"/>
    </xf>
    <xf numFmtId="170" fontId="27" fillId="0" borderId="0" xfId="4" applyNumberFormat="1" applyFont="1" applyAlignment="1" applyProtection="1">
      <alignment horizontal="right"/>
      <protection locked="0"/>
    </xf>
    <xf numFmtId="3" fontId="27" fillId="2" borderId="11" xfId="4" applyNumberFormat="1" applyFont="1" applyFill="1" applyBorder="1" applyProtection="1">
      <protection locked="0"/>
    </xf>
    <xf numFmtId="0" fontId="28" fillId="0" borderId="0" xfId="4" applyFont="1" applyAlignment="1" applyProtection="1">
      <alignment horizontal="right" indent="1"/>
      <protection locked="0"/>
    </xf>
    <xf numFmtId="0" fontId="28" fillId="0" borderId="0" xfId="4" applyFont="1" applyAlignment="1" applyProtection="1">
      <alignment horizontal="right"/>
      <protection locked="0"/>
    </xf>
    <xf numFmtId="0" fontId="25" fillId="0" borderId="1" xfId="4" applyFont="1" applyBorder="1" applyProtection="1">
      <protection locked="0"/>
    </xf>
    <xf numFmtId="3" fontId="25" fillId="0" borderId="1" xfId="4" applyNumberFormat="1" applyFont="1" applyBorder="1" applyProtection="1">
      <protection hidden="1"/>
    </xf>
    <xf numFmtId="44" fontId="29" fillId="0" borderId="1" xfId="4" applyNumberFormat="1" applyFont="1" applyBorder="1" applyProtection="1">
      <protection locked="0"/>
    </xf>
    <xf numFmtId="166" fontId="25" fillId="0" borderId="1" xfId="4" applyNumberFormat="1" applyFont="1" applyBorder="1" applyProtection="1">
      <protection hidden="1"/>
    </xf>
    <xf numFmtId="0" fontId="28" fillId="0" borderId="0" xfId="4" applyFont="1" applyProtection="1">
      <protection locked="0"/>
    </xf>
    <xf numFmtId="171" fontId="27" fillId="0" borderId="0" xfId="4" applyNumberFormat="1" applyFont="1" applyProtection="1">
      <protection locked="0"/>
    </xf>
    <xf numFmtId="0" fontId="27" fillId="3" borderId="12" xfId="4" applyFont="1" applyFill="1" applyBorder="1" applyAlignment="1" applyProtection="1">
      <alignment horizontal="center"/>
      <protection locked="0"/>
    </xf>
    <xf numFmtId="0" fontId="27" fillId="3" borderId="12" xfId="4" applyFont="1" applyFill="1" applyBorder="1" applyProtection="1">
      <protection locked="0"/>
    </xf>
    <xf numFmtId="3" fontId="27" fillId="3" borderId="12" xfId="4" applyNumberFormat="1" applyFont="1" applyFill="1" applyBorder="1" applyProtection="1">
      <protection locked="0"/>
    </xf>
    <xf numFmtId="164" fontId="30" fillId="6" borderId="0" xfId="4" applyNumberFormat="1" applyFont="1" applyFill="1" applyAlignment="1" applyProtection="1">
      <alignment horizontal="center"/>
      <protection locked="0"/>
    </xf>
    <xf numFmtId="0" fontId="27" fillId="0" borderId="0" xfId="4" applyFont="1"/>
    <xf numFmtId="3" fontId="27" fillId="0" borderId="11" xfId="4" applyNumberFormat="1" applyFont="1" applyBorder="1" applyAlignment="1" applyProtection="1">
      <alignment horizontal="center"/>
      <protection locked="0"/>
    </xf>
    <xf numFmtId="167" fontId="28" fillId="0" borderId="11" xfId="4" applyNumberFormat="1" applyFont="1" applyBorder="1" applyAlignment="1" applyProtection="1">
      <alignment horizontal="center"/>
      <protection locked="0"/>
    </xf>
    <xf numFmtId="0" fontId="30" fillId="0" borderId="0" xfId="4" applyFont="1" applyAlignment="1" applyProtection="1">
      <alignment horizontal="center"/>
      <protection locked="0"/>
    </xf>
    <xf numFmtId="0" fontId="27" fillId="2" borderId="0" xfId="4" applyFont="1" applyFill="1" applyAlignment="1" applyProtection="1">
      <alignment horizontal="center"/>
      <protection hidden="1"/>
    </xf>
    <xf numFmtId="43" fontId="27" fillId="2" borderId="0" xfId="1" applyFont="1" applyFill="1" applyAlignment="1" applyProtection="1">
      <alignment horizontal="center"/>
      <protection locked="0"/>
    </xf>
    <xf numFmtId="170" fontId="27" fillId="2" borderId="0" xfId="4" applyNumberFormat="1" applyFont="1" applyFill="1" applyProtection="1">
      <protection hidden="1"/>
    </xf>
    <xf numFmtId="42" fontId="27" fillId="2" borderId="0" xfId="4" applyNumberFormat="1" applyFont="1" applyFill="1" applyProtection="1">
      <protection locked="0"/>
    </xf>
    <xf numFmtId="49" fontId="27" fillId="0" borderId="11" xfId="4" applyNumberFormat="1" applyFont="1" applyBorder="1" applyAlignment="1" applyProtection="1">
      <alignment horizontal="center"/>
      <protection locked="0"/>
    </xf>
    <xf numFmtId="0" fontId="27" fillId="0" borderId="11" xfId="4" applyFont="1" applyBorder="1" applyProtection="1">
      <protection locked="0"/>
    </xf>
    <xf numFmtId="49" fontId="27" fillId="0" borderId="0" xfId="4" applyNumberFormat="1" applyFont="1" applyAlignment="1" applyProtection="1">
      <alignment horizontal="center"/>
      <protection locked="0"/>
    </xf>
    <xf numFmtId="0" fontId="28" fillId="2" borderId="0" xfId="4" applyFont="1" applyFill="1" applyProtection="1">
      <protection locked="0"/>
    </xf>
    <xf numFmtId="49" fontId="27" fillId="3" borderId="12" xfId="4" applyNumberFormat="1" applyFont="1" applyFill="1" applyBorder="1" applyAlignment="1" applyProtection="1">
      <alignment horizontal="center"/>
      <protection locked="0"/>
    </xf>
    <xf numFmtId="42" fontId="27" fillId="3" borderId="12" xfId="4" applyNumberFormat="1" applyFont="1" applyFill="1" applyBorder="1" applyProtection="1">
      <protection hidden="1"/>
    </xf>
    <xf numFmtId="44" fontId="25" fillId="0" borderId="0" xfId="4" applyNumberFormat="1" applyFont="1" applyProtection="1">
      <protection hidden="1"/>
    </xf>
    <xf numFmtId="0" fontId="29" fillId="0" borderId="0" xfId="4" applyFont="1" applyProtection="1">
      <protection locked="0"/>
    </xf>
    <xf numFmtId="174" fontId="26" fillId="0" borderId="0" xfId="0" applyNumberFormat="1" applyFont="1" applyProtection="1">
      <protection hidden="1"/>
    </xf>
    <xf numFmtId="0" fontId="28" fillId="0" borderId="0" xfId="4" applyFont="1" applyAlignment="1" applyProtection="1">
      <alignment horizontal="left"/>
      <protection locked="0"/>
    </xf>
    <xf numFmtId="0" fontId="28" fillId="0" borderId="0" xfId="4" applyFont="1" applyAlignment="1" applyProtection="1">
      <alignment horizontal="center"/>
      <protection locked="0"/>
    </xf>
    <xf numFmtId="164" fontId="27" fillId="2" borderId="0" xfId="0" applyNumberFormat="1" applyFont="1" applyFill="1" applyAlignment="1">
      <alignment horizontal="center"/>
    </xf>
    <xf numFmtId="0" fontId="29" fillId="2" borderId="0" xfId="4" applyFont="1" applyFill="1" applyProtection="1">
      <protection locked="0"/>
    </xf>
    <xf numFmtId="0" fontId="29" fillId="0" borderId="0" xfId="4" applyFont="1" applyAlignment="1" applyProtection="1">
      <alignment horizontal="left"/>
      <protection locked="0"/>
    </xf>
    <xf numFmtId="0" fontId="31" fillId="0" borderId="0" xfId="0" applyFont="1" applyAlignment="1">
      <alignment horizontal="left"/>
    </xf>
    <xf numFmtId="0" fontId="21" fillId="0" borderId="0" xfId="4" applyFont="1" applyProtection="1">
      <protection locked="0"/>
    </xf>
    <xf numFmtId="0" fontId="9" fillId="10" borderId="0" xfId="0" applyFont="1" applyFill="1" applyAlignment="1">
      <alignment horizontal="left"/>
    </xf>
    <xf numFmtId="0" fontId="27" fillId="10" borderId="0" xfId="4" applyFont="1" applyFill="1" applyProtection="1">
      <protection locked="0"/>
    </xf>
    <xf numFmtId="3" fontId="27" fillId="10" borderId="0" xfId="4" applyNumberFormat="1" applyFont="1" applyFill="1" applyProtection="1">
      <protection locked="0"/>
    </xf>
    <xf numFmtId="0" fontId="21" fillId="10" borderId="0" xfId="4" applyFont="1" applyFill="1" applyProtection="1">
      <protection locked="0"/>
    </xf>
    <xf numFmtId="14" fontId="21" fillId="0" borderId="0" xfId="5" applyNumberFormat="1" applyFont="1" applyAlignment="1">
      <alignment horizontal="left"/>
    </xf>
    <xf numFmtId="0" fontId="23" fillId="10" borderId="0" xfId="5" applyFont="1" applyFill="1"/>
    <xf numFmtId="0" fontId="25" fillId="0" borderId="0" xfId="5" applyFont="1"/>
    <xf numFmtId="0" fontId="27" fillId="0" borderId="0" xfId="5" applyFont="1"/>
    <xf numFmtId="0" fontId="25" fillId="0" borderId="0" xfId="5" applyFont="1" applyAlignment="1">
      <alignment horizontal="left"/>
    </xf>
    <xf numFmtId="0" fontId="28" fillId="0" borderId="0" xfId="5" applyFont="1"/>
    <xf numFmtId="168" fontId="27" fillId="0" borderId="0" xfId="5" applyNumberFormat="1" applyFont="1"/>
    <xf numFmtId="44" fontId="25" fillId="0" borderId="0" xfId="5" applyNumberFormat="1" applyFont="1"/>
    <xf numFmtId="0" fontId="33" fillId="0" borderId="0" xfId="5" applyFont="1" applyAlignment="1">
      <alignment horizontal="left"/>
    </xf>
    <xf numFmtId="0" fontId="25" fillId="0" borderId="0" xfId="5" applyFont="1" applyAlignment="1">
      <alignment horizontal="right"/>
    </xf>
    <xf numFmtId="0" fontId="25" fillId="0" borderId="0" xfId="5" applyFont="1" applyAlignment="1">
      <alignment horizontal="center"/>
    </xf>
    <xf numFmtId="167" fontId="28" fillId="0" borderId="0" xfId="8" applyNumberFormat="1" applyFont="1"/>
    <xf numFmtId="44" fontId="27" fillId="0" borderId="0" xfId="7" applyFont="1"/>
    <xf numFmtId="43" fontId="27" fillId="0" borderId="0" xfId="6" applyFont="1"/>
    <xf numFmtId="43" fontId="27" fillId="0" borderId="0" xfId="1" applyFont="1"/>
    <xf numFmtId="43" fontId="27" fillId="0" borderId="0" xfId="1" applyFont="1" applyBorder="1"/>
    <xf numFmtId="43" fontId="27" fillId="0" borderId="0" xfId="6" applyFont="1" applyBorder="1"/>
    <xf numFmtId="9" fontId="28" fillId="0" borderId="0" xfId="3" applyFont="1"/>
    <xf numFmtId="44" fontId="28" fillId="0" borderId="0" xfId="5" applyNumberFormat="1" applyFont="1"/>
    <xf numFmtId="0" fontId="28" fillId="0" borderId="0" xfId="5" applyFont="1" applyAlignment="1">
      <alignment horizontal="center"/>
    </xf>
    <xf numFmtId="17" fontId="34" fillId="0" borderId="0" xfId="5" applyNumberFormat="1" applyFont="1" applyAlignment="1">
      <alignment horizontal="right"/>
    </xf>
    <xf numFmtId="43" fontId="11" fillId="5" borderId="0" xfId="6" applyFont="1" applyFill="1"/>
    <xf numFmtId="43" fontId="11" fillId="7" borderId="0" xfId="6" applyFont="1" applyFill="1"/>
    <xf numFmtId="0" fontId="19" fillId="0" borderId="11" xfId="5" applyFont="1" applyBorder="1" applyAlignment="1">
      <alignment horizontal="center"/>
    </xf>
    <xf numFmtId="44" fontId="29" fillId="5" borderId="0" xfId="4" applyNumberFormat="1" applyFont="1" applyFill="1" applyProtection="1">
      <protection hidden="1"/>
    </xf>
    <xf numFmtId="164" fontId="2" fillId="2" borderId="0" xfId="0" applyNumberFormat="1" applyFont="1" applyFill="1"/>
    <xf numFmtId="0" fontId="25" fillId="0" borderId="0" xfId="4" applyFont="1" applyProtection="1">
      <protection locked="0"/>
    </xf>
    <xf numFmtId="0" fontId="32" fillId="0" borderId="0" xfId="0" applyFont="1"/>
    <xf numFmtId="0" fontId="25" fillId="2" borderId="11" xfId="4" applyFont="1" applyFill="1" applyBorder="1" applyAlignment="1" applyProtection="1">
      <alignment horizontal="center"/>
      <protection locked="0"/>
    </xf>
    <xf numFmtId="0" fontId="25" fillId="2" borderId="11" xfId="4" applyFont="1" applyFill="1" applyBorder="1" applyAlignment="1" applyProtection="1">
      <alignment horizontal="center" wrapText="1"/>
      <protection locked="0"/>
    </xf>
    <xf numFmtId="0" fontId="36" fillId="0" borderId="0" xfId="5" applyFont="1" applyAlignment="1">
      <alignment horizontal="left"/>
    </xf>
    <xf numFmtId="5" fontId="4" fillId="12" borderId="0" xfId="0" applyNumberFormat="1" applyFont="1" applyFill="1"/>
    <xf numFmtId="0" fontId="27" fillId="0" borderId="0" xfId="4" quotePrefix="1" applyFont="1" applyAlignment="1" applyProtection="1">
      <alignment horizontal="center"/>
      <protection locked="0"/>
    </xf>
    <xf numFmtId="42" fontId="29" fillId="5" borderId="0" xfId="4" applyNumberFormat="1" applyFont="1" applyFill="1" applyProtection="1">
      <protection hidden="1"/>
    </xf>
    <xf numFmtId="3" fontId="25" fillId="5" borderId="11" xfId="4" applyNumberFormat="1" applyFont="1" applyFill="1" applyBorder="1" applyAlignment="1" applyProtection="1">
      <alignment horizontal="center"/>
      <protection locked="0"/>
    </xf>
    <xf numFmtId="0" fontId="28" fillId="5" borderId="0" xfId="4" applyFont="1" applyFill="1" applyProtection="1">
      <protection locked="0"/>
    </xf>
    <xf numFmtId="5" fontId="3" fillId="7" borderId="0" xfId="0" applyNumberFormat="1" applyFont="1" applyFill="1"/>
    <xf numFmtId="167" fontId="3" fillId="11" borderId="0" xfId="3" applyNumberFormat="1" applyFont="1" applyFill="1"/>
    <xf numFmtId="0" fontId="5" fillId="11" borderId="0" xfId="0" applyFont="1" applyFill="1"/>
    <xf numFmtId="170" fontId="21" fillId="0" borderId="0" xfId="4" applyNumberFormat="1" applyFont="1" applyProtection="1">
      <protection locked="0"/>
    </xf>
    <xf numFmtId="170" fontId="29" fillId="2" borderId="0" xfId="4" applyNumberFormat="1" applyFont="1" applyFill="1" applyProtection="1">
      <protection locked="0"/>
    </xf>
    <xf numFmtId="171" fontId="21" fillId="0" borderId="0" xfId="4" applyNumberFormat="1" applyFont="1" applyProtection="1">
      <protection hidden="1"/>
    </xf>
    <xf numFmtId="9" fontId="21" fillId="0" borderId="0" xfId="3" applyFont="1" applyProtection="1">
      <protection locked="0"/>
    </xf>
    <xf numFmtId="9" fontId="7" fillId="0" borderId="0" xfId="3" applyFont="1" applyProtection="1">
      <protection locked="0"/>
    </xf>
    <xf numFmtId="0" fontId="6" fillId="0" borderId="0" xfId="4" applyFont="1" applyProtection="1">
      <protection locked="0"/>
    </xf>
    <xf numFmtId="0" fontId="25" fillId="2" borderId="0" xfId="4" applyFont="1" applyFill="1" applyAlignment="1" applyProtection="1">
      <alignment horizontal="center"/>
      <protection locked="0"/>
    </xf>
    <xf numFmtId="44" fontId="29" fillId="2" borderId="0" xfId="4" applyNumberFormat="1" applyFont="1" applyFill="1" applyAlignment="1" applyProtection="1">
      <alignment horizontal="center"/>
      <protection locked="0"/>
    </xf>
    <xf numFmtId="0" fontId="20" fillId="10" borderId="0" xfId="5" applyFont="1" applyFill="1"/>
    <xf numFmtId="44" fontId="21" fillId="0" borderId="0" xfId="2" applyFont="1"/>
    <xf numFmtId="43" fontId="21" fillId="0" borderId="0" xfId="6" applyFont="1"/>
    <xf numFmtId="0" fontId="14" fillId="0" borderId="0" xfId="4" quotePrefix="1" applyAlignment="1">
      <alignment horizontal="center"/>
    </xf>
    <xf numFmtId="0" fontId="21" fillId="10" borderId="0" xfId="5" applyFont="1" applyFill="1" applyAlignment="1">
      <alignment horizontal="center"/>
    </xf>
    <xf numFmtId="165" fontId="3" fillId="13" borderId="0" xfId="2" applyNumberFormat="1" applyFont="1" applyFill="1"/>
    <xf numFmtId="175" fontId="29" fillId="0" borderId="0" xfId="4" applyNumberFormat="1" applyFont="1" applyProtection="1">
      <protection hidden="1"/>
    </xf>
    <xf numFmtId="175" fontId="28" fillId="0" borderId="0" xfId="4" applyNumberFormat="1" applyFont="1" applyProtection="1">
      <protection hidden="1"/>
    </xf>
    <xf numFmtId="175" fontId="24" fillId="0" borderId="0" xfId="2" applyNumberFormat="1" applyFont="1"/>
    <xf numFmtId="175" fontId="11" fillId="0" borderId="0" xfId="2" applyNumberFormat="1" applyFont="1"/>
    <xf numFmtId="175" fontId="19" fillId="0" borderId="0" xfId="2" applyNumberFormat="1" applyFont="1" applyProtection="1"/>
    <xf numFmtId="175" fontId="11" fillId="5" borderId="0" xfId="2" applyNumberFormat="1" applyFont="1" applyFill="1"/>
    <xf numFmtId="175" fontId="22" fillId="7" borderId="0" xfId="6" applyNumberFormat="1" applyFont="1" applyFill="1"/>
    <xf numFmtId="171" fontId="14" fillId="0" borderId="0" xfId="4" applyNumberFormat="1" applyAlignment="1">
      <alignment horizontal="center"/>
    </xf>
    <xf numFmtId="165" fontId="3" fillId="11" borderId="0" xfId="2" applyNumberFormat="1" applyFont="1" applyFill="1"/>
    <xf numFmtId="3" fontId="4" fillId="2" borderId="0" xfId="0" applyNumberFormat="1" applyFont="1" applyFill="1"/>
    <xf numFmtId="5" fontId="4" fillId="2" borderId="0" xfId="0" applyNumberFormat="1" applyFont="1" applyFill="1"/>
    <xf numFmtId="3" fontId="4" fillId="7" borderId="0" xfId="0" applyNumberFormat="1" applyFont="1" applyFill="1"/>
    <xf numFmtId="5" fontId="4" fillId="7" borderId="0" xfId="0" applyNumberFormat="1" applyFont="1" applyFill="1"/>
    <xf numFmtId="5" fontId="2" fillId="14" borderId="0" xfId="0" applyNumberFormat="1" applyFont="1" applyFill="1"/>
    <xf numFmtId="0" fontId="28" fillId="2" borderId="0" xfId="5" applyFont="1" applyFill="1"/>
    <xf numFmtId="44" fontId="28" fillId="2" borderId="0" xfId="2" applyFont="1" applyFill="1"/>
    <xf numFmtId="0" fontId="27" fillId="2" borderId="0" xfId="5" applyFont="1" applyFill="1"/>
    <xf numFmtId="0" fontId="28" fillId="10" borderId="0" xfId="4" applyFont="1" applyFill="1" applyProtection="1">
      <protection locked="0"/>
    </xf>
    <xf numFmtId="176" fontId="17" fillId="0" borderId="0" xfId="4" applyNumberFormat="1" applyFont="1"/>
    <xf numFmtId="0" fontId="17" fillId="0" borderId="11" xfId="4" applyFont="1" applyBorder="1"/>
    <xf numFmtId="5" fontId="2" fillId="15" borderId="0" xfId="0" applyNumberFormat="1" applyFont="1" applyFill="1"/>
    <xf numFmtId="0" fontId="19" fillId="0" borderId="0" xfId="4" applyFont="1" applyAlignment="1">
      <alignment horizontal="center"/>
    </xf>
    <xf numFmtId="0" fontId="23" fillId="0" borderId="0" xfId="4" applyFont="1"/>
    <xf numFmtId="0" fontId="3" fillId="11" borderId="0" xfId="0" applyFont="1" applyFill="1"/>
    <xf numFmtId="3" fontId="4" fillId="11" borderId="0" xfId="0" applyNumberFormat="1" applyFont="1" applyFill="1"/>
    <xf numFmtId="5" fontId="4" fillId="11" borderId="0" xfId="0" applyNumberFormat="1" applyFont="1" applyFill="1"/>
    <xf numFmtId="176" fontId="17" fillId="23" borderId="0" xfId="4" applyNumberFormat="1" applyFont="1" applyFill="1"/>
    <xf numFmtId="44" fontId="28" fillId="2" borderId="0" xfId="5" applyNumberFormat="1" applyFont="1" applyFill="1"/>
    <xf numFmtId="0" fontId="20" fillId="24" borderId="0" xfId="5" applyFont="1" applyFill="1"/>
    <xf numFmtId="165" fontId="19" fillId="5" borderId="0" xfId="5" applyNumberFormat="1" applyFont="1" applyFill="1"/>
    <xf numFmtId="3" fontId="25" fillId="0" borderId="11" xfId="4" applyNumberFormat="1" applyFont="1" applyBorder="1" applyProtection="1">
      <protection hidden="1"/>
    </xf>
    <xf numFmtId="44" fontId="28" fillId="2" borderId="11" xfId="2" applyFont="1" applyFill="1" applyBorder="1" applyAlignment="1">
      <alignment horizontal="left" indent="1"/>
    </xf>
    <xf numFmtId="175" fontId="29" fillId="2" borderId="0" xfId="4" applyNumberFormat="1" applyFont="1" applyFill="1" applyProtection="1">
      <protection hidden="1"/>
    </xf>
    <xf numFmtId="170" fontId="28" fillId="0" borderId="0" xfId="4" applyNumberFormat="1" applyFont="1" applyAlignment="1" applyProtection="1">
      <alignment horizontal="center"/>
      <protection locked="0"/>
    </xf>
    <xf numFmtId="170" fontId="28" fillId="0" borderId="0" xfId="4" applyNumberFormat="1" applyFont="1" applyProtection="1">
      <protection locked="0"/>
    </xf>
    <xf numFmtId="170" fontId="28" fillId="0" borderId="0" xfId="4" applyNumberFormat="1" applyFont="1" applyAlignment="1" applyProtection="1">
      <alignment horizontal="right"/>
      <protection locked="0"/>
    </xf>
    <xf numFmtId="0" fontId="19" fillId="16" borderId="0" xfId="4" applyFont="1" applyFill="1"/>
    <xf numFmtId="164" fontId="19" fillId="16" borderId="0" xfId="4" applyNumberFormat="1" applyFont="1" applyFill="1" applyAlignment="1">
      <alignment horizontal="center"/>
    </xf>
    <xf numFmtId="0" fontId="19" fillId="17" borderId="0" xfId="4" applyFont="1" applyFill="1" applyAlignment="1">
      <alignment horizontal="center"/>
    </xf>
    <xf numFmtId="0" fontId="19" fillId="18" borderId="0" xfId="4" applyFont="1" applyFill="1" applyAlignment="1">
      <alignment horizontal="center"/>
    </xf>
    <xf numFmtId="0" fontId="20" fillId="0" borderId="0" xfId="4" applyFont="1"/>
    <xf numFmtId="168" fontId="20" fillId="0" borderId="0" xfId="9" applyNumberFormat="1" applyFont="1"/>
    <xf numFmtId="178" fontId="20" fillId="0" borderId="0" xfId="10" applyNumberFormat="1" applyFont="1" applyFill="1" applyBorder="1" applyAlignment="1" applyProtection="1"/>
    <xf numFmtId="168" fontId="20" fillId="0" borderId="0" xfId="4" applyNumberFormat="1" applyFont="1"/>
    <xf numFmtId="0" fontId="19" fillId="21" borderId="0" xfId="4" applyFont="1" applyFill="1"/>
    <xf numFmtId="0" fontId="21" fillId="0" borderId="0" xfId="4" applyFont="1"/>
    <xf numFmtId="167" fontId="23" fillId="0" borderId="0" xfId="12" applyNumberFormat="1" applyFont="1"/>
    <xf numFmtId="0" fontId="19" fillId="0" borderId="0" xfId="4" applyFont="1"/>
    <xf numFmtId="168" fontId="20" fillId="20" borderId="0" xfId="4" applyNumberFormat="1" applyFont="1" applyFill="1"/>
    <xf numFmtId="168" fontId="19" fillId="0" borderId="0" xfId="9" applyNumberFormat="1" applyFont="1" applyFill="1"/>
    <xf numFmtId="167" fontId="21" fillId="12" borderId="0" xfId="12" applyNumberFormat="1" applyFont="1" applyFill="1"/>
    <xf numFmtId="168" fontId="20" fillId="19" borderId="0" xfId="4" applyNumberFormat="1" applyFont="1" applyFill="1"/>
    <xf numFmtId="0" fontId="19" fillId="12" borderId="0" xfId="4" applyFont="1" applyFill="1" applyAlignment="1">
      <alignment horizontal="center"/>
    </xf>
    <xf numFmtId="168" fontId="19" fillId="19" borderId="0" xfId="4" applyNumberFormat="1" applyFont="1" applyFill="1"/>
    <xf numFmtId="168" fontId="19" fillId="20" borderId="0" xfId="9" applyNumberFormat="1" applyFont="1" applyFill="1"/>
    <xf numFmtId="167" fontId="21" fillId="22" borderId="0" xfId="12" applyNumberFormat="1" applyFont="1" applyFill="1"/>
    <xf numFmtId="168" fontId="20" fillId="12" borderId="0" xfId="4" applyNumberFormat="1" applyFont="1" applyFill="1"/>
    <xf numFmtId="168" fontId="19" fillId="12" borderId="0" xfId="9" applyNumberFormat="1" applyFont="1" applyFill="1"/>
    <xf numFmtId="168" fontId="21" fillId="0" borderId="0" xfId="4" applyNumberFormat="1" applyFont="1"/>
    <xf numFmtId="0" fontId="23" fillId="0" borderId="0" xfId="4" applyFont="1" applyAlignment="1">
      <alignment horizontal="right"/>
    </xf>
    <xf numFmtId="0" fontId="21" fillId="0" borderId="0" xfId="4" applyFont="1" applyAlignment="1">
      <alignment horizontal="right"/>
    </xf>
    <xf numFmtId="9" fontId="21" fillId="0" borderId="0" xfId="12" applyFont="1"/>
    <xf numFmtId="0" fontId="41" fillId="0" borderId="0" xfId="4" applyFont="1"/>
    <xf numFmtId="168" fontId="42" fillId="0" borderId="0" xfId="15" applyNumberFormat="1" applyFont="1"/>
    <xf numFmtId="0" fontId="42" fillId="0" borderId="0" xfId="4" applyFont="1"/>
    <xf numFmtId="168" fontId="43" fillId="0" borderId="0" xfId="9" applyNumberFormat="1" applyFont="1" applyFill="1"/>
    <xf numFmtId="167" fontId="21" fillId="0" borderId="0" xfId="12" applyNumberFormat="1" applyFont="1"/>
    <xf numFmtId="0" fontId="19" fillId="0" borderId="0" xfId="4" applyFont="1" applyAlignment="1">
      <alignment horizontal="right"/>
    </xf>
    <xf numFmtId="0" fontId="41" fillId="0" borderId="0" xfId="4" applyFont="1" applyAlignment="1">
      <alignment horizontal="center"/>
    </xf>
    <xf numFmtId="0" fontId="41" fillId="0" borderId="0" xfId="4" applyFont="1" applyAlignment="1">
      <alignment horizontal="right"/>
    </xf>
    <xf numFmtId="168" fontId="43" fillId="0" borderId="0" xfId="4" applyNumberFormat="1" applyFont="1"/>
    <xf numFmtId="5" fontId="2" fillId="25" borderId="0" xfId="0" applyNumberFormat="1" applyFont="1" applyFill="1"/>
    <xf numFmtId="167" fontId="3" fillId="0" borderId="0" xfId="3" applyNumberFormat="1" applyFont="1"/>
    <xf numFmtId="0" fontId="9" fillId="0" borderId="0" xfId="0" applyFont="1"/>
    <xf numFmtId="3" fontId="9" fillId="0" borderId="0" xfId="0" applyNumberFormat="1" applyFont="1"/>
    <xf numFmtId="3" fontId="0" fillId="0" borderId="0" xfId="0" applyNumberFormat="1"/>
    <xf numFmtId="10" fontId="3" fillId="11" borderId="0" xfId="3" applyNumberFormat="1" applyFont="1" applyFill="1"/>
    <xf numFmtId="10" fontId="3" fillId="0" borderId="0" xfId="3" applyNumberFormat="1" applyFont="1"/>
    <xf numFmtId="166" fontId="3" fillId="0" borderId="0" xfId="2" applyNumberFormat="1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4" fillId="2" borderId="0" xfId="0" applyFont="1" applyFill="1"/>
    <xf numFmtId="0" fontId="0" fillId="2" borderId="0" xfId="0" applyFill="1"/>
    <xf numFmtId="0" fontId="48" fillId="0" borderId="0" xfId="0" applyFont="1"/>
    <xf numFmtId="0" fontId="46" fillId="11" borderId="0" xfId="0" applyFont="1" applyFill="1" applyAlignment="1">
      <alignment horizontal="center"/>
    </xf>
    <xf numFmtId="180" fontId="0" fillId="0" borderId="0" xfId="1" applyNumberFormat="1" applyFont="1"/>
    <xf numFmtId="168" fontId="49" fillId="0" borderId="0" xfId="1" applyNumberFormat="1" applyFont="1"/>
    <xf numFmtId="0" fontId="49" fillId="0" borderId="0" xfId="0" applyFont="1"/>
    <xf numFmtId="180" fontId="50" fillId="0" borderId="0" xfId="1" applyNumberFormat="1" applyFont="1"/>
    <xf numFmtId="168" fontId="50" fillId="0" borderId="0" xfId="0" applyNumberFormat="1" applyFont="1"/>
    <xf numFmtId="168" fontId="50" fillId="0" borderId="0" xfId="1" applyNumberFormat="1" applyFont="1"/>
    <xf numFmtId="0" fontId="46" fillId="2" borderId="0" xfId="0" applyFont="1" applyFill="1"/>
    <xf numFmtId="0" fontId="46" fillId="7" borderId="0" xfId="0" applyFont="1" applyFill="1" applyAlignment="1">
      <alignment horizontal="center"/>
    </xf>
    <xf numFmtId="0" fontId="46" fillId="26" borderId="0" xfId="0" applyFont="1" applyFill="1" applyAlignment="1">
      <alignment horizontal="center"/>
    </xf>
    <xf numFmtId="0" fontId="46" fillId="27" borderId="0" xfId="0" applyFont="1" applyFill="1" applyAlignment="1">
      <alignment horizontal="center"/>
    </xf>
    <xf numFmtId="0" fontId="46" fillId="28" borderId="0" xfId="0" applyFont="1" applyFill="1" applyAlignment="1">
      <alignment horizontal="center"/>
    </xf>
    <xf numFmtId="0" fontId="51" fillId="0" borderId="0" xfId="0" applyFont="1" applyAlignment="1">
      <alignment horizontal="right"/>
    </xf>
    <xf numFmtId="164" fontId="2" fillId="14" borderId="0" xfId="0" applyNumberFormat="1" applyFont="1" applyFill="1" applyAlignment="1">
      <alignment horizontal="center"/>
    </xf>
    <xf numFmtId="9" fontId="52" fillId="0" borderId="0" xfId="3" applyFont="1" applyAlignment="1">
      <alignment horizontal="right"/>
    </xf>
    <xf numFmtId="168" fontId="49" fillId="29" borderId="0" xfId="1" applyNumberFormat="1" applyFont="1" applyFill="1"/>
    <xf numFmtId="168" fontId="50" fillId="29" borderId="0" xfId="0" applyNumberFormat="1" applyFont="1" applyFill="1"/>
    <xf numFmtId="0" fontId="55" fillId="0" borderId="0" xfId="0" applyFont="1"/>
    <xf numFmtId="0" fontId="14" fillId="0" borderId="11" xfId="4" applyBorder="1" applyAlignment="1">
      <alignment horizontal="center"/>
    </xf>
    <xf numFmtId="169" fontId="14" fillId="0" borderId="11" xfId="4" applyNumberFormat="1" applyBorder="1" applyAlignment="1">
      <alignment horizontal="center"/>
    </xf>
    <xf numFmtId="0" fontId="14" fillId="0" borderId="0" xfId="4"/>
    <xf numFmtId="0" fontId="0" fillId="0" borderId="11" xfId="0" applyBorder="1" applyAlignment="1">
      <alignment horizontal="center"/>
    </xf>
    <xf numFmtId="0" fontId="16" fillId="0" borderId="0" xfId="4" applyFont="1" applyAlignment="1">
      <alignment horizontal="center"/>
    </xf>
    <xf numFmtId="0" fontId="0" fillId="0" borderId="0" xfId="0" applyAlignment="1">
      <alignment horizontal="center"/>
    </xf>
    <xf numFmtId="169" fontId="14" fillId="6" borderId="11" xfId="4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5" fillId="0" borderId="0" xfId="4" applyFont="1" applyAlignment="1">
      <alignment horizontal="center"/>
    </xf>
    <xf numFmtId="0" fontId="14" fillId="0" borderId="0" xfId="4" applyAlignment="1">
      <alignment horizontal="center"/>
    </xf>
    <xf numFmtId="0" fontId="15" fillId="0" borderId="12" xfId="4" applyFont="1" applyBorder="1" applyAlignment="1">
      <alignment horizontal="center"/>
    </xf>
    <xf numFmtId="0" fontId="16" fillId="0" borderId="0" xfId="4" applyFont="1" applyAlignment="1">
      <alignment horizontal="left"/>
    </xf>
    <xf numFmtId="0" fontId="14" fillId="0" borderId="0" xfId="4" applyAlignment="1">
      <alignment horizontal="left"/>
    </xf>
    <xf numFmtId="0" fontId="17" fillId="0" borderId="0" xfId="4" applyFont="1"/>
    <xf numFmtId="0" fontId="27" fillId="0" borderId="0" xfId="4" applyFont="1" applyAlignment="1" applyProtection="1">
      <alignment horizontal="right"/>
      <protection locked="0"/>
    </xf>
    <xf numFmtId="0" fontId="27" fillId="0" borderId="0" xfId="4" applyFont="1" applyAlignment="1">
      <alignment horizontal="right"/>
    </xf>
    <xf numFmtId="169" fontId="27" fillId="6" borderId="11" xfId="4" applyNumberFormat="1" applyFont="1" applyFill="1" applyBorder="1" applyAlignment="1" applyProtection="1">
      <alignment horizontal="center"/>
      <protection locked="0"/>
    </xf>
    <xf numFmtId="169" fontId="27" fillId="6" borderId="11" xfId="4" applyNumberFormat="1" applyFont="1" applyFill="1" applyBorder="1" applyAlignment="1">
      <alignment horizontal="center"/>
    </xf>
    <xf numFmtId="165" fontId="3" fillId="0" borderId="7" xfId="2" applyNumberFormat="1" applyFont="1" applyBorder="1"/>
    <xf numFmtId="165" fontId="9" fillId="0" borderId="0" xfId="2" applyNumberFormat="1" applyFont="1"/>
    <xf numFmtId="165" fontId="3" fillId="0" borderId="0" xfId="2" applyNumberFormat="1" applyFont="1" applyBorder="1"/>
  </cellXfs>
  <cellStyles count="17">
    <cellStyle name="Comma" xfId="1" builtinId="3"/>
    <cellStyle name="Comma 2" xfId="9" xr:uid="{850914AE-7102-4C07-A2A9-D8FABC098173}"/>
    <cellStyle name="Comma 2 2" xfId="10" xr:uid="{65C1B2A1-2A35-4654-94F7-1564D90D45FE}"/>
    <cellStyle name="Comma 3" xfId="6" xr:uid="{6DF8B1CF-0527-48FC-BB6C-5D1BE903AABC}"/>
    <cellStyle name="Comma 3 2 2" xfId="13" xr:uid="{5D1AED99-E33F-4143-A696-A96806D3007A}"/>
    <cellStyle name="Comma 4" xfId="15" xr:uid="{2552EC86-4395-4D20-95E3-525999E34FD5}"/>
    <cellStyle name="Currency" xfId="2" builtinId="4"/>
    <cellStyle name="Currency 2" xfId="7" xr:uid="{9E73A240-7FC9-4AF9-98DB-853F6CE99B77}"/>
    <cellStyle name="Currency 2 2" xfId="16" xr:uid="{A99DEB07-6FBC-4883-9A25-DCE47BC1BEA3}"/>
    <cellStyle name="Currency 3" xfId="11" xr:uid="{31FB7BAF-1484-4090-B0E0-78E92B3F72A3}"/>
    <cellStyle name="Normal" xfId="0" builtinId="0"/>
    <cellStyle name="Normal 2" xfId="4" xr:uid="{38937792-50CF-4FF9-B44B-AA957A99E22C}"/>
    <cellStyle name="Normal 2 2" xfId="14" xr:uid="{89AE8356-EA99-4022-8808-E55593B68D46}"/>
    <cellStyle name="Normal 5" xfId="5" xr:uid="{FCCA2D9E-DB6E-4C92-A2D0-68E7D144403A}"/>
    <cellStyle name="Percent" xfId="3" builtinId="5"/>
    <cellStyle name="Percent 2" xfId="12" xr:uid="{423ACBFF-5FFF-49DA-A421-26E6645BA73D}"/>
    <cellStyle name="Percent 4" xfId="8" xr:uid="{757A2C85-14A9-4151-B01E-9C132551BFD5}"/>
  </cellStyles>
  <dxfs count="0"/>
  <tableStyles count="0" defaultTableStyle="TableStyleMedium2" defaultPivotStyle="PivotStyleLight16"/>
  <colors>
    <mruColors>
      <color rgb="FFFCE3DC"/>
      <color rgb="FFFAD4CA"/>
      <color rgb="FFF8C4B6"/>
      <color rgb="FFFDCFE1"/>
      <color rgb="FFF8D4F2"/>
      <color rgb="FFFFFFCC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39</xdr:row>
      <xdr:rowOff>83044</xdr:rowOff>
    </xdr:from>
    <xdr:to>
      <xdr:col>5</xdr:col>
      <xdr:colOff>266700</xdr:colOff>
      <xdr:row>41</xdr:row>
      <xdr:rowOff>32084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25BF79-883E-4F44-AF55-7C9EAD864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8122144"/>
          <a:ext cx="1554480" cy="31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43574</xdr:colOff>
      <xdr:row>19</xdr:row>
      <xdr:rowOff>73361</xdr:rowOff>
    </xdr:from>
    <xdr:to>
      <xdr:col>4</xdr:col>
      <xdr:colOff>97971</xdr:colOff>
      <xdr:row>31</xdr:row>
      <xdr:rowOff>76205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EF34C3-83EA-C834-F00D-A94A6B164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17743" y="4029034"/>
          <a:ext cx="2288844" cy="31840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eve Shute" id="{2C377513-48F1-4BC1-9C39-6B568F779AA7}" userId="S::Steve@pipeline.group::1fa8942b-1f53-43e2-ab9c-d3a9265e1b2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133" dT="2023-07-24T16:50:42.90" personId="{2C377513-48F1-4BC1-9C39-6B568F779AA7}" id="{CE0A400F-DDF4-4B0E-A39E-319CEE1D2A5A}">
    <text>Billed at old rate but d$ credited on June bills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P284" dT="2023-07-24T16:50:42.90" personId="{2C377513-48F1-4BC1-9C39-6B568F779AA7}" id="{74C387EC-F105-4CEF-8082-5961158A81A0}">
    <text>Billed at old rate but d$ credited on June bills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5DF5-44CD-4854-948D-896367ECDF92}">
  <dimension ref="A1:Q45"/>
  <sheetViews>
    <sheetView workbookViewId="0">
      <selection activeCell="N16" sqref="N16"/>
    </sheetView>
  </sheetViews>
  <sheetFormatPr defaultRowHeight="13.2"/>
  <cols>
    <col min="1" max="1" width="12" style="144" customWidth="1"/>
    <col min="2" max="3" width="8.88671875" style="144"/>
    <col min="4" max="4" width="11" style="144" bestFit="1" customWidth="1"/>
    <col min="5" max="5" width="10.5546875" style="144" customWidth="1"/>
    <col min="6" max="7" width="11.6640625" style="144" customWidth="1"/>
    <col min="8" max="13" width="8.88671875" style="144"/>
    <col min="14" max="14" width="9.109375" style="144" bestFit="1" customWidth="1"/>
    <col min="15" max="16" width="8.88671875" style="144"/>
    <col min="17" max="17" width="9.109375" style="144" bestFit="1" customWidth="1"/>
    <col min="18" max="254" width="8.88671875" style="144"/>
    <col min="255" max="255" width="12" style="144" customWidth="1"/>
    <col min="256" max="259" width="8.88671875" style="144"/>
    <col min="260" max="261" width="11.6640625" style="144" customWidth="1"/>
    <col min="262" max="262" width="0.88671875" style="144" customWidth="1"/>
    <col min="263" max="263" width="11.6640625" style="144" customWidth="1"/>
    <col min="264" max="510" width="8.88671875" style="144"/>
    <col min="511" max="511" width="12" style="144" customWidth="1"/>
    <col min="512" max="515" width="8.88671875" style="144"/>
    <col min="516" max="517" width="11.6640625" style="144" customWidth="1"/>
    <col min="518" max="518" width="0.88671875" style="144" customWidth="1"/>
    <col min="519" max="519" width="11.6640625" style="144" customWidth="1"/>
    <col min="520" max="766" width="8.88671875" style="144"/>
    <col min="767" max="767" width="12" style="144" customWidth="1"/>
    <col min="768" max="771" width="8.88671875" style="144"/>
    <col min="772" max="773" width="11.6640625" style="144" customWidth="1"/>
    <col min="774" max="774" width="0.88671875" style="144" customWidth="1"/>
    <col min="775" max="775" width="11.6640625" style="144" customWidth="1"/>
    <col min="776" max="1022" width="8.88671875" style="144"/>
    <col min="1023" max="1023" width="12" style="144" customWidth="1"/>
    <col min="1024" max="1027" width="8.88671875" style="144"/>
    <col min="1028" max="1029" width="11.6640625" style="144" customWidth="1"/>
    <col min="1030" max="1030" width="0.88671875" style="144" customWidth="1"/>
    <col min="1031" max="1031" width="11.6640625" style="144" customWidth="1"/>
    <col min="1032" max="1278" width="8.88671875" style="144"/>
    <col min="1279" max="1279" width="12" style="144" customWidth="1"/>
    <col min="1280" max="1283" width="8.88671875" style="144"/>
    <col min="1284" max="1285" width="11.6640625" style="144" customWidth="1"/>
    <col min="1286" max="1286" width="0.88671875" style="144" customWidth="1"/>
    <col min="1287" max="1287" width="11.6640625" style="144" customWidth="1"/>
    <col min="1288" max="1534" width="8.88671875" style="144"/>
    <col min="1535" max="1535" width="12" style="144" customWidth="1"/>
    <col min="1536" max="1539" width="8.88671875" style="144"/>
    <col min="1540" max="1541" width="11.6640625" style="144" customWidth="1"/>
    <col min="1542" max="1542" width="0.88671875" style="144" customWidth="1"/>
    <col min="1543" max="1543" width="11.6640625" style="144" customWidth="1"/>
    <col min="1544" max="1790" width="8.88671875" style="144"/>
    <col min="1791" max="1791" width="12" style="144" customWidth="1"/>
    <col min="1792" max="1795" width="8.88671875" style="144"/>
    <col min="1796" max="1797" width="11.6640625" style="144" customWidth="1"/>
    <col min="1798" max="1798" width="0.88671875" style="144" customWidth="1"/>
    <col min="1799" max="1799" width="11.6640625" style="144" customWidth="1"/>
    <col min="1800" max="2046" width="8.88671875" style="144"/>
    <col min="2047" max="2047" width="12" style="144" customWidth="1"/>
    <col min="2048" max="2051" width="8.88671875" style="144"/>
    <col min="2052" max="2053" width="11.6640625" style="144" customWidth="1"/>
    <col min="2054" max="2054" width="0.88671875" style="144" customWidth="1"/>
    <col min="2055" max="2055" width="11.6640625" style="144" customWidth="1"/>
    <col min="2056" max="2302" width="8.88671875" style="144"/>
    <col min="2303" max="2303" width="12" style="144" customWidth="1"/>
    <col min="2304" max="2307" width="8.88671875" style="144"/>
    <col min="2308" max="2309" width="11.6640625" style="144" customWidth="1"/>
    <col min="2310" max="2310" width="0.88671875" style="144" customWidth="1"/>
    <col min="2311" max="2311" width="11.6640625" style="144" customWidth="1"/>
    <col min="2312" max="2558" width="8.88671875" style="144"/>
    <col min="2559" max="2559" width="12" style="144" customWidth="1"/>
    <col min="2560" max="2563" width="8.88671875" style="144"/>
    <col min="2564" max="2565" width="11.6640625" style="144" customWidth="1"/>
    <col min="2566" max="2566" width="0.88671875" style="144" customWidth="1"/>
    <col min="2567" max="2567" width="11.6640625" style="144" customWidth="1"/>
    <col min="2568" max="2814" width="8.88671875" style="144"/>
    <col min="2815" max="2815" width="12" style="144" customWidth="1"/>
    <col min="2816" max="2819" width="8.88671875" style="144"/>
    <col min="2820" max="2821" width="11.6640625" style="144" customWidth="1"/>
    <col min="2822" max="2822" width="0.88671875" style="144" customWidth="1"/>
    <col min="2823" max="2823" width="11.6640625" style="144" customWidth="1"/>
    <col min="2824" max="3070" width="8.88671875" style="144"/>
    <col min="3071" max="3071" width="12" style="144" customWidth="1"/>
    <col min="3072" max="3075" width="8.88671875" style="144"/>
    <col min="3076" max="3077" width="11.6640625" style="144" customWidth="1"/>
    <col min="3078" max="3078" width="0.88671875" style="144" customWidth="1"/>
    <col min="3079" max="3079" width="11.6640625" style="144" customWidth="1"/>
    <col min="3080" max="3326" width="8.88671875" style="144"/>
    <col min="3327" max="3327" width="12" style="144" customWidth="1"/>
    <col min="3328" max="3331" width="8.88671875" style="144"/>
    <col min="3332" max="3333" width="11.6640625" style="144" customWidth="1"/>
    <col min="3334" max="3334" width="0.88671875" style="144" customWidth="1"/>
    <col min="3335" max="3335" width="11.6640625" style="144" customWidth="1"/>
    <col min="3336" max="3582" width="8.88671875" style="144"/>
    <col min="3583" max="3583" width="12" style="144" customWidth="1"/>
    <col min="3584" max="3587" width="8.88671875" style="144"/>
    <col min="3588" max="3589" width="11.6640625" style="144" customWidth="1"/>
    <col min="3590" max="3590" width="0.88671875" style="144" customWidth="1"/>
    <col min="3591" max="3591" width="11.6640625" style="144" customWidth="1"/>
    <col min="3592" max="3838" width="8.88671875" style="144"/>
    <col min="3839" max="3839" width="12" style="144" customWidth="1"/>
    <col min="3840" max="3843" width="8.88671875" style="144"/>
    <col min="3844" max="3845" width="11.6640625" style="144" customWidth="1"/>
    <col min="3846" max="3846" width="0.88671875" style="144" customWidth="1"/>
    <col min="3847" max="3847" width="11.6640625" style="144" customWidth="1"/>
    <col min="3848" max="4094" width="8.88671875" style="144"/>
    <col min="4095" max="4095" width="12" style="144" customWidth="1"/>
    <col min="4096" max="4099" width="8.88671875" style="144"/>
    <col min="4100" max="4101" width="11.6640625" style="144" customWidth="1"/>
    <col min="4102" max="4102" width="0.88671875" style="144" customWidth="1"/>
    <col min="4103" max="4103" width="11.6640625" style="144" customWidth="1"/>
    <col min="4104" max="4350" width="8.88671875" style="144"/>
    <col min="4351" max="4351" width="12" style="144" customWidth="1"/>
    <col min="4352" max="4355" width="8.88671875" style="144"/>
    <col min="4356" max="4357" width="11.6640625" style="144" customWidth="1"/>
    <col min="4358" max="4358" width="0.88671875" style="144" customWidth="1"/>
    <col min="4359" max="4359" width="11.6640625" style="144" customWidth="1"/>
    <col min="4360" max="4606" width="8.88671875" style="144"/>
    <col min="4607" max="4607" width="12" style="144" customWidth="1"/>
    <col min="4608" max="4611" width="8.88671875" style="144"/>
    <col min="4612" max="4613" width="11.6640625" style="144" customWidth="1"/>
    <col min="4614" max="4614" width="0.88671875" style="144" customWidth="1"/>
    <col min="4615" max="4615" width="11.6640625" style="144" customWidth="1"/>
    <col min="4616" max="4862" width="8.88671875" style="144"/>
    <col min="4863" max="4863" width="12" style="144" customWidth="1"/>
    <col min="4864" max="4867" width="8.88671875" style="144"/>
    <col min="4868" max="4869" width="11.6640625" style="144" customWidth="1"/>
    <col min="4870" max="4870" width="0.88671875" style="144" customWidth="1"/>
    <col min="4871" max="4871" width="11.6640625" style="144" customWidth="1"/>
    <col min="4872" max="5118" width="8.88671875" style="144"/>
    <col min="5119" max="5119" width="12" style="144" customWidth="1"/>
    <col min="5120" max="5123" width="8.88671875" style="144"/>
    <col min="5124" max="5125" width="11.6640625" style="144" customWidth="1"/>
    <col min="5126" max="5126" width="0.88671875" style="144" customWidth="1"/>
    <col min="5127" max="5127" width="11.6640625" style="144" customWidth="1"/>
    <col min="5128" max="5374" width="8.88671875" style="144"/>
    <col min="5375" max="5375" width="12" style="144" customWidth="1"/>
    <col min="5376" max="5379" width="8.88671875" style="144"/>
    <col min="5380" max="5381" width="11.6640625" style="144" customWidth="1"/>
    <col min="5382" max="5382" width="0.88671875" style="144" customWidth="1"/>
    <col min="5383" max="5383" width="11.6640625" style="144" customWidth="1"/>
    <col min="5384" max="5630" width="8.88671875" style="144"/>
    <col min="5631" max="5631" width="12" style="144" customWidth="1"/>
    <col min="5632" max="5635" width="8.88671875" style="144"/>
    <col min="5636" max="5637" width="11.6640625" style="144" customWidth="1"/>
    <col min="5638" max="5638" width="0.88671875" style="144" customWidth="1"/>
    <col min="5639" max="5639" width="11.6640625" style="144" customWidth="1"/>
    <col min="5640" max="5886" width="8.88671875" style="144"/>
    <col min="5887" max="5887" width="12" style="144" customWidth="1"/>
    <col min="5888" max="5891" width="8.88671875" style="144"/>
    <col min="5892" max="5893" width="11.6640625" style="144" customWidth="1"/>
    <col min="5894" max="5894" width="0.88671875" style="144" customWidth="1"/>
    <col min="5895" max="5895" width="11.6640625" style="144" customWidth="1"/>
    <col min="5896" max="6142" width="8.88671875" style="144"/>
    <col min="6143" max="6143" width="12" style="144" customWidth="1"/>
    <col min="6144" max="6147" width="8.88671875" style="144"/>
    <col min="6148" max="6149" width="11.6640625" style="144" customWidth="1"/>
    <col min="6150" max="6150" width="0.88671875" style="144" customWidth="1"/>
    <col min="6151" max="6151" width="11.6640625" style="144" customWidth="1"/>
    <col min="6152" max="6398" width="8.88671875" style="144"/>
    <col min="6399" max="6399" width="12" style="144" customWidth="1"/>
    <col min="6400" max="6403" width="8.88671875" style="144"/>
    <col min="6404" max="6405" width="11.6640625" style="144" customWidth="1"/>
    <col min="6406" max="6406" width="0.88671875" style="144" customWidth="1"/>
    <col min="6407" max="6407" width="11.6640625" style="144" customWidth="1"/>
    <col min="6408" max="6654" width="8.88671875" style="144"/>
    <col min="6655" max="6655" width="12" style="144" customWidth="1"/>
    <col min="6656" max="6659" width="8.88671875" style="144"/>
    <col min="6660" max="6661" width="11.6640625" style="144" customWidth="1"/>
    <col min="6662" max="6662" width="0.88671875" style="144" customWidth="1"/>
    <col min="6663" max="6663" width="11.6640625" style="144" customWidth="1"/>
    <col min="6664" max="6910" width="8.88671875" style="144"/>
    <col min="6911" max="6911" width="12" style="144" customWidth="1"/>
    <col min="6912" max="6915" width="8.88671875" style="144"/>
    <col min="6916" max="6917" width="11.6640625" style="144" customWidth="1"/>
    <col min="6918" max="6918" width="0.88671875" style="144" customWidth="1"/>
    <col min="6919" max="6919" width="11.6640625" style="144" customWidth="1"/>
    <col min="6920" max="7166" width="8.88671875" style="144"/>
    <col min="7167" max="7167" width="12" style="144" customWidth="1"/>
    <col min="7168" max="7171" width="8.88671875" style="144"/>
    <col min="7172" max="7173" width="11.6640625" style="144" customWidth="1"/>
    <col min="7174" max="7174" width="0.88671875" style="144" customWidth="1"/>
    <col min="7175" max="7175" width="11.6640625" style="144" customWidth="1"/>
    <col min="7176" max="7422" width="8.88671875" style="144"/>
    <col min="7423" max="7423" width="12" style="144" customWidth="1"/>
    <col min="7424" max="7427" width="8.88671875" style="144"/>
    <col min="7428" max="7429" width="11.6640625" style="144" customWidth="1"/>
    <col min="7430" max="7430" width="0.88671875" style="144" customWidth="1"/>
    <col min="7431" max="7431" width="11.6640625" style="144" customWidth="1"/>
    <col min="7432" max="7678" width="8.88671875" style="144"/>
    <col min="7679" max="7679" width="12" style="144" customWidth="1"/>
    <col min="7680" max="7683" width="8.88671875" style="144"/>
    <col min="7684" max="7685" width="11.6640625" style="144" customWidth="1"/>
    <col min="7686" max="7686" width="0.88671875" style="144" customWidth="1"/>
    <col min="7687" max="7687" width="11.6640625" style="144" customWidth="1"/>
    <col min="7688" max="7934" width="8.88671875" style="144"/>
    <col min="7935" max="7935" width="12" style="144" customWidth="1"/>
    <col min="7936" max="7939" width="8.88671875" style="144"/>
    <col min="7940" max="7941" width="11.6640625" style="144" customWidth="1"/>
    <col min="7942" max="7942" width="0.88671875" style="144" customWidth="1"/>
    <col min="7943" max="7943" width="11.6640625" style="144" customWidth="1"/>
    <col min="7944" max="8190" width="8.88671875" style="144"/>
    <col min="8191" max="8191" width="12" style="144" customWidth="1"/>
    <col min="8192" max="8195" width="8.88671875" style="144"/>
    <col min="8196" max="8197" width="11.6640625" style="144" customWidth="1"/>
    <col min="8198" max="8198" width="0.88671875" style="144" customWidth="1"/>
    <col min="8199" max="8199" width="11.6640625" style="144" customWidth="1"/>
    <col min="8200" max="8446" width="8.88671875" style="144"/>
    <col min="8447" max="8447" width="12" style="144" customWidth="1"/>
    <col min="8448" max="8451" width="8.88671875" style="144"/>
    <col min="8452" max="8453" width="11.6640625" style="144" customWidth="1"/>
    <col min="8454" max="8454" width="0.88671875" style="144" customWidth="1"/>
    <col min="8455" max="8455" width="11.6640625" style="144" customWidth="1"/>
    <col min="8456" max="8702" width="8.88671875" style="144"/>
    <col min="8703" max="8703" width="12" style="144" customWidth="1"/>
    <col min="8704" max="8707" width="8.88671875" style="144"/>
    <col min="8708" max="8709" width="11.6640625" style="144" customWidth="1"/>
    <col min="8710" max="8710" width="0.88671875" style="144" customWidth="1"/>
    <col min="8711" max="8711" width="11.6640625" style="144" customWidth="1"/>
    <col min="8712" max="8958" width="8.88671875" style="144"/>
    <col min="8959" max="8959" width="12" style="144" customWidth="1"/>
    <col min="8960" max="8963" width="8.88671875" style="144"/>
    <col min="8964" max="8965" width="11.6640625" style="144" customWidth="1"/>
    <col min="8966" max="8966" width="0.88671875" style="144" customWidth="1"/>
    <col min="8967" max="8967" width="11.6640625" style="144" customWidth="1"/>
    <col min="8968" max="9214" width="8.88671875" style="144"/>
    <col min="9215" max="9215" width="12" style="144" customWidth="1"/>
    <col min="9216" max="9219" width="8.88671875" style="144"/>
    <col min="9220" max="9221" width="11.6640625" style="144" customWidth="1"/>
    <col min="9222" max="9222" width="0.88671875" style="144" customWidth="1"/>
    <col min="9223" max="9223" width="11.6640625" style="144" customWidth="1"/>
    <col min="9224" max="9470" width="8.88671875" style="144"/>
    <col min="9471" max="9471" width="12" style="144" customWidth="1"/>
    <col min="9472" max="9475" width="8.88671875" style="144"/>
    <col min="9476" max="9477" width="11.6640625" style="144" customWidth="1"/>
    <col min="9478" max="9478" width="0.88671875" style="144" customWidth="1"/>
    <col min="9479" max="9479" width="11.6640625" style="144" customWidth="1"/>
    <col min="9480" max="9726" width="8.88671875" style="144"/>
    <col min="9727" max="9727" width="12" style="144" customWidth="1"/>
    <col min="9728" max="9731" width="8.88671875" style="144"/>
    <col min="9732" max="9733" width="11.6640625" style="144" customWidth="1"/>
    <col min="9734" max="9734" width="0.88671875" style="144" customWidth="1"/>
    <col min="9735" max="9735" width="11.6640625" style="144" customWidth="1"/>
    <col min="9736" max="9982" width="8.88671875" style="144"/>
    <col min="9983" max="9983" width="12" style="144" customWidth="1"/>
    <col min="9984" max="9987" width="8.88671875" style="144"/>
    <col min="9988" max="9989" width="11.6640625" style="144" customWidth="1"/>
    <col min="9990" max="9990" width="0.88671875" style="144" customWidth="1"/>
    <col min="9991" max="9991" width="11.6640625" style="144" customWidth="1"/>
    <col min="9992" max="10238" width="8.88671875" style="144"/>
    <col min="10239" max="10239" width="12" style="144" customWidth="1"/>
    <col min="10240" max="10243" width="8.88671875" style="144"/>
    <col min="10244" max="10245" width="11.6640625" style="144" customWidth="1"/>
    <col min="10246" max="10246" width="0.88671875" style="144" customWidth="1"/>
    <col min="10247" max="10247" width="11.6640625" style="144" customWidth="1"/>
    <col min="10248" max="10494" width="8.88671875" style="144"/>
    <col min="10495" max="10495" width="12" style="144" customWidth="1"/>
    <col min="10496" max="10499" width="8.88671875" style="144"/>
    <col min="10500" max="10501" width="11.6640625" style="144" customWidth="1"/>
    <col min="10502" max="10502" width="0.88671875" style="144" customWidth="1"/>
    <col min="10503" max="10503" width="11.6640625" style="144" customWidth="1"/>
    <col min="10504" max="10750" width="8.88671875" style="144"/>
    <col min="10751" max="10751" width="12" style="144" customWidth="1"/>
    <col min="10752" max="10755" width="8.88671875" style="144"/>
    <col min="10756" max="10757" width="11.6640625" style="144" customWidth="1"/>
    <col min="10758" max="10758" width="0.88671875" style="144" customWidth="1"/>
    <col min="10759" max="10759" width="11.6640625" style="144" customWidth="1"/>
    <col min="10760" max="11006" width="8.88671875" style="144"/>
    <col min="11007" max="11007" width="12" style="144" customWidth="1"/>
    <col min="11008" max="11011" width="8.88671875" style="144"/>
    <col min="11012" max="11013" width="11.6640625" style="144" customWidth="1"/>
    <col min="11014" max="11014" width="0.88671875" style="144" customWidth="1"/>
    <col min="11015" max="11015" width="11.6640625" style="144" customWidth="1"/>
    <col min="11016" max="11262" width="8.88671875" style="144"/>
    <col min="11263" max="11263" width="12" style="144" customWidth="1"/>
    <col min="11264" max="11267" width="8.88671875" style="144"/>
    <col min="11268" max="11269" width="11.6640625" style="144" customWidth="1"/>
    <col min="11270" max="11270" width="0.88671875" style="144" customWidth="1"/>
    <col min="11271" max="11271" width="11.6640625" style="144" customWidth="1"/>
    <col min="11272" max="11518" width="8.88671875" style="144"/>
    <col min="11519" max="11519" width="12" style="144" customWidth="1"/>
    <col min="11520" max="11523" width="8.88671875" style="144"/>
    <col min="11524" max="11525" width="11.6640625" style="144" customWidth="1"/>
    <col min="11526" max="11526" width="0.88671875" style="144" customWidth="1"/>
    <col min="11527" max="11527" width="11.6640625" style="144" customWidth="1"/>
    <col min="11528" max="11774" width="8.88671875" style="144"/>
    <col min="11775" max="11775" width="12" style="144" customWidth="1"/>
    <col min="11776" max="11779" width="8.88671875" style="144"/>
    <col min="11780" max="11781" width="11.6640625" style="144" customWidth="1"/>
    <col min="11782" max="11782" width="0.88671875" style="144" customWidth="1"/>
    <col min="11783" max="11783" width="11.6640625" style="144" customWidth="1"/>
    <col min="11784" max="12030" width="8.88671875" style="144"/>
    <col min="12031" max="12031" width="12" style="144" customWidth="1"/>
    <col min="12032" max="12035" width="8.88671875" style="144"/>
    <col min="12036" max="12037" width="11.6640625" style="144" customWidth="1"/>
    <col min="12038" max="12038" width="0.88671875" style="144" customWidth="1"/>
    <col min="12039" max="12039" width="11.6640625" style="144" customWidth="1"/>
    <col min="12040" max="12286" width="8.88671875" style="144"/>
    <col min="12287" max="12287" width="12" style="144" customWidth="1"/>
    <col min="12288" max="12291" width="8.88671875" style="144"/>
    <col min="12292" max="12293" width="11.6640625" style="144" customWidth="1"/>
    <col min="12294" max="12294" width="0.88671875" style="144" customWidth="1"/>
    <col min="12295" max="12295" width="11.6640625" style="144" customWidth="1"/>
    <col min="12296" max="12542" width="8.88671875" style="144"/>
    <col min="12543" max="12543" width="12" style="144" customWidth="1"/>
    <col min="12544" max="12547" width="8.88671875" style="144"/>
    <col min="12548" max="12549" width="11.6640625" style="144" customWidth="1"/>
    <col min="12550" max="12550" width="0.88671875" style="144" customWidth="1"/>
    <col min="12551" max="12551" width="11.6640625" style="144" customWidth="1"/>
    <col min="12552" max="12798" width="8.88671875" style="144"/>
    <col min="12799" max="12799" width="12" style="144" customWidth="1"/>
    <col min="12800" max="12803" width="8.88671875" style="144"/>
    <col min="12804" max="12805" width="11.6640625" style="144" customWidth="1"/>
    <col min="12806" max="12806" width="0.88671875" style="144" customWidth="1"/>
    <col min="12807" max="12807" width="11.6640625" style="144" customWidth="1"/>
    <col min="12808" max="13054" width="8.88671875" style="144"/>
    <col min="13055" max="13055" width="12" style="144" customWidth="1"/>
    <col min="13056" max="13059" width="8.88671875" style="144"/>
    <col min="13060" max="13061" width="11.6640625" style="144" customWidth="1"/>
    <col min="13062" max="13062" width="0.88671875" style="144" customWidth="1"/>
    <col min="13063" max="13063" width="11.6640625" style="144" customWidth="1"/>
    <col min="13064" max="13310" width="8.88671875" style="144"/>
    <col min="13311" max="13311" width="12" style="144" customWidth="1"/>
    <col min="13312" max="13315" width="8.88671875" style="144"/>
    <col min="13316" max="13317" width="11.6640625" style="144" customWidth="1"/>
    <col min="13318" max="13318" width="0.88671875" style="144" customWidth="1"/>
    <col min="13319" max="13319" width="11.6640625" style="144" customWidth="1"/>
    <col min="13320" max="13566" width="8.88671875" style="144"/>
    <col min="13567" max="13567" width="12" style="144" customWidth="1"/>
    <col min="13568" max="13571" width="8.88671875" style="144"/>
    <col min="13572" max="13573" width="11.6640625" style="144" customWidth="1"/>
    <col min="13574" max="13574" width="0.88671875" style="144" customWidth="1"/>
    <col min="13575" max="13575" width="11.6640625" style="144" customWidth="1"/>
    <col min="13576" max="13822" width="8.88671875" style="144"/>
    <col min="13823" max="13823" width="12" style="144" customWidth="1"/>
    <col min="13824" max="13827" width="8.88671875" style="144"/>
    <col min="13828" max="13829" width="11.6640625" style="144" customWidth="1"/>
    <col min="13830" max="13830" width="0.88671875" style="144" customWidth="1"/>
    <col min="13831" max="13831" width="11.6640625" style="144" customWidth="1"/>
    <col min="13832" max="14078" width="8.88671875" style="144"/>
    <col min="14079" max="14079" width="12" style="144" customWidth="1"/>
    <col min="14080" max="14083" width="8.88671875" style="144"/>
    <col min="14084" max="14085" width="11.6640625" style="144" customWidth="1"/>
    <col min="14086" max="14086" width="0.88671875" style="144" customWidth="1"/>
    <col min="14087" max="14087" width="11.6640625" style="144" customWidth="1"/>
    <col min="14088" max="14334" width="8.88671875" style="144"/>
    <col min="14335" max="14335" width="12" style="144" customWidth="1"/>
    <col min="14336" max="14339" width="8.88671875" style="144"/>
    <col min="14340" max="14341" width="11.6640625" style="144" customWidth="1"/>
    <col min="14342" max="14342" width="0.88671875" style="144" customWidth="1"/>
    <col min="14343" max="14343" width="11.6640625" style="144" customWidth="1"/>
    <col min="14344" max="14590" width="8.88671875" style="144"/>
    <col min="14591" max="14591" width="12" style="144" customWidth="1"/>
    <col min="14592" max="14595" width="8.88671875" style="144"/>
    <col min="14596" max="14597" width="11.6640625" style="144" customWidth="1"/>
    <col min="14598" max="14598" width="0.88671875" style="144" customWidth="1"/>
    <col min="14599" max="14599" width="11.6640625" style="144" customWidth="1"/>
    <col min="14600" max="14846" width="8.88671875" style="144"/>
    <col min="14847" max="14847" width="12" style="144" customWidth="1"/>
    <col min="14848" max="14851" width="8.88671875" style="144"/>
    <col min="14852" max="14853" width="11.6640625" style="144" customWidth="1"/>
    <col min="14854" max="14854" width="0.88671875" style="144" customWidth="1"/>
    <col min="14855" max="14855" width="11.6640625" style="144" customWidth="1"/>
    <col min="14856" max="15102" width="8.88671875" style="144"/>
    <col min="15103" max="15103" width="12" style="144" customWidth="1"/>
    <col min="15104" max="15107" width="8.88671875" style="144"/>
    <col min="15108" max="15109" width="11.6640625" style="144" customWidth="1"/>
    <col min="15110" max="15110" width="0.88671875" style="144" customWidth="1"/>
    <col min="15111" max="15111" width="11.6640625" style="144" customWidth="1"/>
    <col min="15112" max="15358" width="8.88671875" style="144"/>
    <col min="15359" max="15359" width="12" style="144" customWidth="1"/>
    <col min="15360" max="15363" width="8.88671875" style="144"/>
    <col min="15364" max="15365" width="11.6640625" style="144" customWidth="1"/>
    <col min="15366" max="15366" width="0.88671875" style="144" customWidth="1"/>
    <col min="15367" max="15367" width="11.6640625" style="144" customWidth="1"/>
    <col min="15368" max="15614" width="8.88671875" style="144"/>
    <col min="15615" max="15615" width="12" style="144" customWidth="1"/>
    <col min="15616" max="15619" width="8.88671875" style="144"/>
    <col min="15620" max="15621" width="11.6640625" style="144" customWidth="1"/>
    <col min="15622" max="15622" width="0.88671875" style="144" customWidth="1"/>
    <col min="15623" max="15623" width="11.6640625" style="144" customWidth="1"/>
    <col min="15624" max="15870" width="8.88671875" style="144"/>
    <col min="15871" max="15871" width="12" style="144" customWidth="1"/>
    <col min="15872" max="15875" width="8.88671875" style="144"/>
    <col min="15876" max="15877" width="11.6640625" style="144" customWidth="1"/>
    <col min="15878" max="15878" width="0.88671875" style="144" customWidth="1"/>
    <col min="15879" max="15879" width="11.6640625" style="144" customWidth="1"/>
    <col min="15880" max="16126" width="8.88671875" style="144"/>
    <col min="16127" max="16127" width="12" style="144" customWidth="1"/>
    <col min="16128" max="16131" width="8.88671875" style="144"/>
    <col min="16132" max="16133" width="11.6640625" style="144" customWidth="1"/>
    <col min="16134" max="16134" width="0.88671875" style="144" customWidth="1"/>
    <col min="16135" max="16135" width="11.6640625" style="144" customWidth="1"/>
    <col min="16136" max="16384" width="8.88671875" style="144"/>
  </cols>
  <sheetData>
    <row r="1" spans="1:17" ht="14.4" customHeight="1">
      <c r="A1" s="385" t="s">
        <v>109</v>
      </c>
      <c r="B1" s="385"/>
      <c r="C1" s="385"/>
      <c r="D1" s="385"/>
      <c r="E1" s="385"/>
      <c r="F1" s="385"/>
      <c r="G1" s="385"/>
    </row>
    <row r="2" spans="1:17" ht="14.4">
      <c r="A2" s="384" t="s">
        <v>110</v>
      </c>
      <c r="B2" s="384"/>
      <c r="C2" s="384"/>
      <c r="D2" s="384"/>
      <c r="E2" s="384"/>
      <c r="F2" s="384"/>
      <c r="G2" s="384"/>
      <c r="I2" s="221" t="s">
        <v>185</v>
      </c>
    </row>
    <row r="3" spans="1:17" ht="14.4">
      <c r="I3" s="103" t="s">
        <v>244</v>
      </c>
    </row>
    <row r="4" spans="1:17" ht="14.4">
      <c r="A4" s="387" t="s">
        <v>111</v>
      </c>
      <c r="B4" s="388"/>
      <c r="C4" s="388"/>
      <c r="D4" s="388"/>
      <c r="E4" s="388" t="s">
        <v>129</v>
      </c>
      <c r="F4" s="388"/>
      <c r="G4" s="388"/>
      <c r="I4" s="103"/>
    </row>
    <row r="5" spans="1:17" ht="14.4">
      <c r="A5" s="385" t="s">
        <v>112</v>
      </c>
      <c r="B5" s="385"/>
      <c r="C5" s="385"/>
      <c r="D5" s="385"/>
      <c r="F5" s="144" t="s">
        <v>266</v>
      </c>
      <c r="I5" s="103" t="s">
        <v>222</v>
      </c>
    </row>
    <row r="6" spans="1:17" ht="14.4">
      <c r="E6" s="155" t="s">
        <v>130</v>
      </c>
      <c r="F6" s="144" t="s">
        <v>260</v>
      </c>
      <c r="I6" s="103" t="s">
        <v>249</v>
      </c>
    </row>
    <row r="7" spans="1:17" ht="14.4">
      <c r="C7" s="141"/>
      <c r="E7" s="146"/>
      <c r="I7" s="103"/>
    </row>
    <row r="8" spans="1:17" ht="15" thickBot="1">
      <c r="I8" s="103"/>
    </row>
    <row r="9" spans="1:17" ht="15" thickBot="1">
      <c r="A9" s="386" t="s">
        <v>113</v>
      </c>
      <c r="B9" s="386"/>
      <c r="C9" s="386"/>
      <c r="D9" s="386"/>
      <c r="E9" s="386"/>
      <c r="F9" s="386"/>
      <c r="G9" s="386"/>
      <c r="I9" s="103"/>
    </row>
    <row r="10" spans="1:17" ht="14.4">
      <c r="A10" s="378" t="s">
        <v>114</v>
      </c>
      <c r="B10" s="378"/>
      <c r="D10" s="389" t="s">
        <v>115</v>
      </c>
      <c r="E10" s="389"/>
      <c r="F10" s="389"/>
      <c r="I10" s="103"/>
    </row>
    <row r="11" spans="1:17" ht="14.4">
      <c r="I11" s="103"/>
    </row>
    <row r="12" spans="1:17" ht="14.4">
      <c r="A12" s="380" t="s">
        <v>116</v>
      </c>
      <c r="B12" s="380"/>
      <c r="C12" s="380"/>
      <c r="D12" s="380"/>
      <c r="E12" s="380"/>
      <c r="F12" s="380"/>
      <c r="G12" s="380"/>
      <c r="I12" s="103" t="s">
        <v>226</v>
      </c>
    </row>
    <row r="13" spans="1:17" ht="14.4">
      <c r="A13" s="146"/>
      <c r="B13" s="146"/>
      <c r="E13" s="142" t="s">
        <v>78</v>
      </c>
      <c r="I13" s="103" t="s">
        <v>242</v>
      </c>
    </row>
    <row r="14" spans="1:17" ht="14.4">
      <c r="D14" s="94" t="s">
        <v>117</v>
      </c>
      <c r="E14" s="145" t="s">
        <v>36</v>
      </c>
      <c r="F14" s="94" t="s">
        <v>118</v>
      </c>
      <c r="I14" s="103"/>
      <c r="N14" s="155" t="s">
        <v>317</v>
      </c>
    </row>
    <row r="15" spans="1:17" ht="14.4">
      <c r="A15" s="144" t="s">
        <v>196</v>
      </c>
      <c r="D15" s="152">
        <v>13</v>
      </c>
      <c r="E15" s="152"/>
      <c r="F15" s="152">
        <f>D15+E15</f>
        <v>13</v>
      </c>
      <c r="I15" s="103" t="s">
        <v>224</v>
      </c>
      <c r="N15" s="155">
        <v>0.55900000000000005</v>
      </c>
      <c r="O15" s="155" t="s">
        <v>217</v>
      </c>
      <c r="P15" s="291">
        <f>N17+D16</f>
        <v>0.63800000000000001</v>
      </c>
      <c r="Q15" s="155" t="s">
        <v>261</v>
      </c>
    </row>
    <row r="16" spans="1:17" ht="14.4">
      <c r="A16" s="144" t="s">
        <v>197</v>
      </c>
      <c r="D16" s="280">
        <v>0.42199999999999999</v>
      </c>
      <c r="E16" s="280">
        <f>'Sched I Rate Dtrm'!$J$32/10</f>
        <v>0.57313999999999998</v>
      </c>
      <c r="F16" s="147">
        <f>SUM(D16:E16)</f>
        <v>0.99513999999999991</v>
      </c>
      <c r="G16" s="270" t="s">
        <v>252</v>
      </c>
      <c r="I16" s="103" t="s">
        <v>223</v>
      </c>
      <c r="N16" s="292">
        <v>-0.34300000000000003</v>
      </c>
      <c r="O16" s="155" t="s">
        <v>263</v>
      </c>
      <c r="P16" s="299">
        <f>P15-F16</f>
        <v>-0.3571399999999999</v>
      </c>
      <c r="Q16" s="155" t="s">
        <v>262</v>
      </c>
    </row>
    <row r="17" spans="1:17" ht="14.4">
      <c r="F17" s="147"/>
      <c r="I17" s="103"/>
      <c r="N17" s="155">
        <f>SUM(N15:N16)</f>
        <v>0.21600000000000003</v>
      </c>
      <c r="O17" s="155" t="s">
        <v>78</v>
      </c>
      <c r="P17" s="155"/>
      <c r="Q17" s="155"/>
    </row>
    <row r="18" spans="1:17" ht="14.4">
      <c r="A18" s="380" t="s">
        <v>119</v>
      </c>
      <c r="B18" s="381"/>
      <c r="C18" s="381"/>
      <c r="D18" s="381"/>
      <c r="E18" s="381"/>
      <c r="F18" s="381"/>
      <c r="G18" s="381"/>
      <c r="I18" s="103" t="s">
        <v>243</v>
      </c>
    </row>
    <row r="19" spans="1:17" ht="14.4">
      <c r="E19" s="142" t="s">
        <v>78</v>
      </c>
      <c r="I19" s="103"/>
    </row>
    <row r="20" spans="1:17" ht="14.4">
      <c r="D20" s="94" t="s">
        <v>117</v>
      </c>
      <c r="E20" s="145" t="s">
        <v>36</v>
      </c>
      <c r="F20" s="94" t="s">
        <v>118</v>
      </c>
      <c r="I20" s="103"/>
    </row>
    <row r="21" spans="1:17" ht="14.4">
      <c r="A21" s="144" t="s">
        <v>196</v>
      </c>
      <c r="D21" s="152">
        <v>50</v>
      </c>
      <c r="E21" s="152"/>
      <c r="F21" s="152">
        <f>D21+E21</f>
        <v>50</v>
      </c>
      <c r="I21" s="103"/>
    </row>
    <row r="22" spans="1:17" ht="14.4">
      <c r="A22" s="144" t="s">
        <v>197</v>
      </c>
      <c r="D22" s="280">
        <v>0.34454000000000001</v>
      </c>
      <c r="E22" s="280">
        <f>E16</f>
        <v>0.57313999999999998</v>
      </c>
      <c r="F22" s="147">
        <f>SUM(D22:E22)</f>
        <v>0.91768000000000005</v>
      </c>
      <c r="G22" s="270" t="s">
        <v>252</v>
      </c>
      <c r="I22" s="103"/>
      <c r="J22" s="271" t="s">
        <v>252</v>
      </c>
      <c r="K22" s="155" t="s">
        <v>253</v>
      </c>
    </row>
    <row r="23" spans="1:17" ht="14.4">
      <c r="B23" s="378"/>
      <c r="C23" s="378"/>
      <c r="D23" s="378"/>
      <c r="F23" s="147"/>
      <c r="I23" s="103"/>
    </row>
    <row r="24" spans="1:17" ht="14.4">
      <c r="A24" s="380" t="s">
        <v>120</v>
      </c>
      <c r="B24" s="381"/>
      <c r="C24" s="381"/>
      <c r="D24" s="381"/>
      <c r="E24" s="381"/>
      <c r="F24" s="381"/>
      <c r="G24" s="381"/>
      <c r="I24" s="103" t="s">
        <v>225</v>
      </c>
    </row>
    <row r="25" spans="1:17" ht="14.4">
      <c r="A25" s="146"/>
      <c r="B25" s="146"/>
      <c r="E25" s="142" t="s">
        <v>78</v>
      </c>
      <c r="I25" s="103" t="s">
        <v>241</v>
      </c>
    </row>
    <row r="26" spans="1:17" ht="14.4">
      <c r="D26" s="94" t="s">
        <v>117</v>
      </c>
      <c r="E26" s="145" t="s">
        <v>36</v>
      </c>
      <c r="F26" s="94" t="s">
        <v>118</v>
      </c>
      <c r="I26" s="103"/>
    </row>
    <row r="27" spans="1:17" ht="14.4">
      <c r="A27" s="144" t="s">
        <v>196</v>
      </c>
      <c r="D27" s="152">
        <v>10.71</v>
      </c>
      <c r="E27" s="152"/>
      <c r="F27" s="152">
        <f>D27+E27</f>
        <v>10.71</v>
      </c>
      <c r="I27" s="103"/>
    </row>
    <row r="28" spans="1:17" ht="14.4">
      <c r="A28" s="144" t="s">
        <v>197</v>
      </c>
      <c r="D28" s="280">
        <v>0.45</v>
      </c>
      <c r="E28" s="280">
        <f>E16</f>
        <v>0.57313999999999998</v>
      </c>
      <c r="F28" s="147">
        <f>SUM(D28:E28)</f>
        <v>1.0231399999999999</v>
      </c>
      <c r="G28" s="270" t="s">
        <v>252</v>
      </c>
      <c r="I28" s="103"/>
    </row>
    <row r="29" spans="1:17" ht="14.4">
      <c r="F29" s="147"/>
      <c r="I29" s="103"/>
    </row>
    <row r="30" spans="1:17" ht="14.4">
      <c r="A30" s="380" t="s">
        <v>121</v>
      </c>
      <c r="B30" s="381"/>
      <c r="C30" s="381"/>
      <c r="D30" s="381"/>
      <c r="E30" s="381"/>
      <c r="F30" s="381"/>
      <c r="G30" s="381"/>
      <c r="I30" s="103" t="s">
        <v>225</v>
      </c>
    </row>
    <row r="31" spans="1:17" ht="14.4">
      <c r="E31" s="142" t="s">
        <v>78</v>
      </c>
      <c r="I31" s="103" t="s">
        <v>316</v>
      </c>
    </row>
    <row r="32" spans="1:17" ht="14.4">
      <c r="D32" s="94" t="s">
        <v>117</v>
      </c>
      <c r="E32" s="145" t="s">
        <v>36</v>
      </c>
      <c r="F32" s="94" t="s">
        <v>118</v>
      </c>
      <c r="I32" s="103"/>
    </row>
    <row r="33" spans="1:9" ht="14.4">
      <c r="A33" s="144" t="s">
        <v>196</v>
      </c>
      <c r="D33" s="152">
        <v>12.75</v>
      </c>
      <c r="E33" s="152"/>
      <c r="F33" s="152">
        <f>D33+E33</f>
        <v>12.75</v>
      </c>
      <c r="I33" s="103"/>
    </row>
    <row r="34" spans="1:9" ht="14.4">
      <c r="A34" s="144" t="s">
        <v>197</v>
      </c>
      <c r="D34" s="280">
        <v>0.85699999999999998</v>
      </c>
      <c r="E34" s="280">
        <f>E16</f>
        <v>0.57313999999999998</v>
      </c>
      <c r="F34" s="147">
        <f>SUM(D34:E34)</f>
        <v>1.43014</v>
      </c>
      <c r="G34" s="270" t="s">
        <v>252</v>
      </c>
      <c r="I34" s="103" t="s">
        <v>250</v>
      </c>
    </row>
    <row r="35" spans="1:9" ht="15" thickBot="1">
      <c r="A35" s="148"/>
      <c r="B35" s="148"/>
      <c r="C35" s="148"/>
      <c r="D35" s="148"/>
      <c r="E35" s="148"/>
      <c r="F35" s="148"/>
      <c r="G35" s="148"/>
      <c r="I35" s="103"/>
    </row>
    <row r="36" spans="1:9" ht="14.4">
      <c r="I36" s="103"/>
    </row>
    <row r="37" spans="1:9" ht="14.4">
      <c r="A37" s="378" t="s">
        <v>122</v>
      </c>
      <c r="B37" s="378"/>
      <c r="C37" s="382">
        <v>45289</v>
      </c>
      <c r="D37" s="383"/>
      <c r="E37" s="383"/>
      <c r="F37" s="383"/>
      <c r="G37" s="149"/>
      <c r="I37" s="103"/>
    </row>
    <row r="38" spans="1:9" ht="14.4">
      <c r="C38" s="142"/>
      <c r="D38" s="142"/>
      <c r="E38" s="142"/>
      <c r="F38" s="142"/>
      <c r="G38" s="142"/>
      <c r="I38" s="103"/>
    </row>
    <row r="39" spans="1:9" ht="14.4">
      <c r="A39" s="378" t="s">
        <v>123</v>
      </c>
      <c r="B39" s="378"/>
      <c r="C39" s="382">
        <v>45323</v>
      </c>
      <c r="D39" s="383"/>
      <c r="E39" s="383"/>
      <c r="F39" s="383"/>
      <c r="G39" s="149"/>
      <c r="I39" s="103"/>
    </row>
    <row r="40" spans="1:9" ht="14.4">
      <c r="I40" s="103"/>
    </row>
    <row r="41" spans="1:9" ht="14.4">
      <c r="A41" s="378" t="s">
        <v>124</v>
      </c>
      <c r="B41" s="378"/>
      <c r="C41" s="378"/>
      <c r="D41" s="378"/>
      <c r="E41" s="378"/>
      <c r="F41" s="378"/>
      <c r="G41" s="378"/>
      <c r="I41" s="103"/>
    </row>
    <row r="42" spans="1:9" ht="14.4">
      <c r="A42" s="378" t="s">
        <v>125</v>
      </c>
      <c r="B42" s="378"/>
      <c r="C42" s="376" t="s">
        <v>126</v>
      </c>
      <c r="D42" s="379"/>
      <c r="E42" s="379"/>
      <c r="F42" s="379"/>
      <c r="G42" s="150"/>
      <c r="I42" s="103" t="s">
        <v>315</v>
      </c>
    </row>
    <row r="44" spans="1:9">
      <c r="A44" s="378" t="s">
        <v>221</v>
      </c>
      <c r="B44" s="378"/>
      <c r="C44" s="378"/>
      <c r="D44" s="378"/>
      <c r="E44" s="378"/>
      <c r="F44" s="378"/>
      <c r="G44" s="378"/>
    </row>
    <row r="45" spans="1:9">
      <c r="A45" s="144" t="s">
        <v>127</v>
      </c>
      <c r="B45" s="376"/>
      <c r="C45" s="376"/>
      <c r="D45" s="376"/>
      <c r="E45" s="142" t="s">
        <v>128</v>
      </c>
      <c r="F45" s="377"/>
      <c r="G45" s="377"/>
    </row>
  </sheetData>
  <mergeCells count="24">
    <mergeCell ref="A2:G2"/>
    <mergeCell ref="A1:G1"/>
    <mergeCell ref="A12:G12"/>
    <mergeCell ref="A9:G9"/>
    <mergeCell ref="A24:G24"/>
    <mergeCell ref="A4:D4"/>
    <mergeCell ref="E4:G4"/>
    <mergeCell ref="A5:D5"/>
    <mergeCell ref="A10:B10"/>
    <mergeCell ref="D10:F10"/>
    <mergeCell ref="A18:G18"/>
    <mergeCell ref="B23:D23"/>
    <mergeCell ref="A30:G30"/>
    <mergeCell ref="A37:B37"/>
    <mergeCell ref="C37:F37"/>
    <mergeCell ref="A39:B39"/>
    <mergeCell ref="C39:F39"/>
    <mergeCell ref="B45:D45"/>
    <mergeCell ref="F45:G45"/>
    <mergeCell ref="A41:B41"/>
    <mergeCell ref="C41:G41"/>
    <mergeCell ref="A42:B42"/>
    <mergeCell ref="C42:F42"/>
    <mergeCell ref="A44:G44"/>
  </mergeCells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7A2B-BFA5-4E95-AF0A-5B14CCD6C2CE}">
  <dimension ref="A1:P62"/>
  <sheetViews>
    <sheetView tabSelected="1" workbookViewId="0">
      <selection activeCell="A29" sqref="A29:XFD29"/>
    </sheetView>
  </sheetViews>
  <sheetFormatPr defaultColWidth="11.6640625" defaultRowHeight="15.6"/>
  <cols>
    <col min="1" max="1" width="20.77734375" style="223" customWidth="1"/>
    <col min="2" max="2" width="21.44140625" style="96" customWidth="1"/>
    <col min="3" max="3" width="11.77734375" style="97" customWidth="1"/>
    <col min="4" max="8" width="11.77734375" style="96" customWidth="1"/>
    <col min="9" max="9" width="12.6640625" style="96" customWidth="1"/>
    <col min="10" max="10" width="11.6640625" style="96"/>
    <col min="11" max="12" width="11.6640625" style="223"/>
    <col min="13" max="13" width="13.88671875" style="223" bestFit="1" customWidth="1"/>
    <col min="14" max="14" width="12.33203125" style="223" bestFit="1" customWidth="1"/>
    <col min="15" max="256" width="11.6640625" style="223"/>
    <col min="257" max="257" width="30.6640625" style="223" customWidth="1"/>
    <col min="258" max="258" width="8.33203125" style="223" customWidth="1"/>
    <col min="259" max="259" width="13.44140625" style="223" customWidth="1"/>
    <col min="260" max="260" width="10.88671875" style="223" customWidth="1"/>
    <col min="261" max="261" width="12.6640625" style="223" customWidth="1"/>
    <col min="262" max="262" width="11.6640625" style="223"/>
    <col min="263" max="263" width="13.44140625" style="223" customWidth="1"/>
    <col min="264" max="264" width="12.6640625" style="223" customWidth="1"/>
    <col min="265" max="512" width="11.6640625" style="223"/>
    <col min="513" max="513" width="30.6640625" style="223" customWidth="1"/>
    <col min="514" max="514" width="8.33203125" style="223" customWidth="1"/>
    <col min="515" max="515" width="13.44140625" style="223" customWidth="1"/>
    <col min="516" max="516" width="10.88671875" style="223" customWidth="1"/>
    <col min="517" max="517" width="12.6640625" style="223" customWidth="1"/>
    <col min="518" max="518" width="11.6640625" style="223"/>
    <col min="519" max="519" width="13.44140625" style="223" customWidth="1"/>
    <col min="520" max="520" width="12.6640625" style="223" customWidth="1"/>
    <col min="521" max="768" width="11.6640625" style="223"/>
    <col min="769" max="769" width="30.6640625" style="223" customWidth="1"/>
    <col min="770" max="770" width="8.33203125" style="223" customWidth="1"/>
    <col min="771" max="771" width="13.44140625" style="223" customWidth="1"/>
    <col min="772" max="772" width="10.88671875" style="223" customWidth="1"/>
    <col min="773" max="773" width="12.6640625" style="223" customWidth="1"/>
    <col min="774" max="774" width="11.6640625" style="223"/>
    <col min="775" max="775" width="13.44140625" style="223" customWidth="1"/>
    <col min="776" max="776" width="12.6640625" style="223" customWidth="1"/>
    <col min="777" max="1024" width="11.6640625" style="223"/>
    <col min="1025" max="1025" width="30.6640625" style="223" customWidth="1"/>
    <col min="1026" max="1026" width="8.33203125" style="223" customWidth="1"/>
    <col min="1027" max="1027" width="13.44140625" style="223" customWidth="1"/>
    <col min="1028" max="1028" width="10.88671875" style="223" customWidth="1"/>
    <col min="1029" max="1029" width="12.6640625" style="223" customWidth="1"/>
    <col min="1030" max="1030" width="11.6640625" style="223"/>
    <col min="1031" max="1031" width="13.44140625" style="223" customWidth="1"/>
    <col min="1032" max="1032" width="12.6640625" style="223" customWidth="1"/>
    <col min="1033" max="1280" width="11.6640625" style="223"/>
    <col min="1281" max="1281" width="30.6640625" style="223" customWidth="1"/>
    <col min="1282" max="1282" width="8.33203125" style="223" customWidth="1"/>
    <col min="1283" max="1283" width="13.44140625" style="223" customWidth="1"/>
    <col min="1284" max="1284" width="10.88671875" style="223" customWidth="1"/>
    <col min="1285" max="1285" width="12.6640625" style="223" customWidth="1"/>
    <col min="1286" max="1286" width="11.6640625" style="223"/>
    <col min="1287" max="1287" width="13.44140625" style="223" customWidth="1"/>
    <col min="1288" max="1288" width="12.6640625" style="223" customWidth="1"/>
    <col min="1289" max="1536" width="11.6640625" style="223"/>
    <col min="1537" max="1537" width="30.6640625" style="223" customWidth="1"/>
    <col min="1538" max="1538" width="8.33203125" style="223" customWidth="1"/>
    <col min="1539" max="1539" width="13.44140625" style="223" customWidth="1"/>
    <col min="1540" max="1540" width="10.88671875" style="223" customWidth="1"/>
    <col min="1541" max="1541" width="12.6640625" style="223" customWidth="1"/>
    <col min="1542" max="1542" width="11.6640625" style="223"/>
    <col min="1543" max="1543" width="13.44140625" style="223" customWidth="1"/>
    <col min="1544" max="1544" width="12.6640625" style="223" customWidth="1"/>
    <col min="1545" max="1792" width="11.6640625" style="223"/>
    <col min="1793" max="1793" width="30.6640625" style="223" customWidth="1"/>
    <col min="1794" max="1794" width="8.33203125" style="223" customWidth="1"/>
    <col min="1795" max="1795" width="13.44140625" style="223" customWidth="1"/>
    <col min="1796" max="1796" width="10.88671875" style="223" customWidth="1"/>
    <col min="1797" max="1797" width="12.6640625" style="223" customWidth="1"/>
    <col min="1798" max="1798" width="11.6640625" style="223"/>
    <col min="1799" max="1799" width="13.44140625" style="223" customWidth="1"/>
    <col min="1800" max="1800" width="12.6640625" style="223" customWidth="1"/>
    <col min="1801" max="2048" width="11.6640625" style="223"/>
    <col min="2049" max="2049" width="30.6640625" style="223" customWidth="1"/>
    <col min="2050" max="2050" width="8.33203125" style="223" customWidth="1"/>
    <col min="2051" max="2051" width="13.44140625" style="223" customWidth="1"/>
    <col min="2052" max="2052" width="10.88671875" style="223" customWidth="1"/>
    <col min="2053" max="2053" width="12.6640625" style="223" customWidth="1"/>
    <col min="2054" max="2054" width="11.6640625" style="223"/>
    <col min="2055" max="2055" width="13.44140625" style="223" customWidth="1"/>
    <col min="2056" max="2056" width="12.6640625" style="223" customWidth="1"/>
    <col min="2057" max="2304" width="11.6640625" style="223"/>
    <col min="2305" max="2305" width="30.6640625" style="223" customWidth="1"/>
    <col min="2306" max="2306" width="8.33203125" style="223" customWidth="1"/>
    <col min="2307" max="2307" width="13.44140625" style="223" customWidth="1"/>
    <col min="2308" max="2308" width="10.88671875" style="223" customWidth="1"/>
    <col min="2309" max="2309" width="12.6640625" style="223" customWidth="1"/>
    <col min="2310" max="2310" width="11.6640625" style="223"/>
    <col min="2311" max="2311" width="13.44140625" style="223" customWidth="1"/>
    <col min="2312" max="2312" width="12.6640625" style="223" customWidth="1"/>
    <col min="2313" max="2560" width="11.6640625" style="223"/>
    <col min="2561" max="2561" width="30.6640625" style="223" customWidth="1"/>
    <col min="2562" max="2562" width="8.33203125" style="223" customWidth="1"/>
    <col min="2563" max="2563" width="13.44140625" style="223" customWidth="1"/>
    <col min="2564" max="2564" width="10.88671875" style="223" customWidth="1"/>
    <col min="2565" max="2565" width="12.6640625" style="223" customWidth="1"/>
    <col min="2566" max="2566" width="11.6640625" style="223"/>
    <col min="2567" max="2567" width="13.44140625" style="223" customWidth="1"/>
    <col min="2568" max="2568" width="12.6640625" style="223" customWidth="1"/>
    <col min="2569" max="2816" width="11.6640625" style="223"/>
    <col min="2817" max="2817" width="30.6640625" style="223" customWidth="1"/>
    <col min="2818" max="2818" width="8.33203125" style="223" customWidth="1"/>
    <col min="2819" max="2819" width="13.44140625" style="223" customWidth="1"/>
    <col min="2820" max="2820" width="10.88671875" style="223" customWidth="1"/>
    <col min="2821" max="2821" width="12.6640625" style="223" customWidth="1"/>
    <col min="2822" max="2822" width="11.6640625" style="223"/>
    <col min="2823" max="2823" width="13.44140625" style="223" customWidth="1"/>
    <col min="2824" max="2824" width="12.6640625" style="223" customWidth="1"/>
    <col min="2825" max="3072" width="11.6640625" style="223"/>
    <col min="3073" max="3073" width="30.6640625" style="223" customWidth="1"/>
    <col min="3074" max="3074" width="8.33203125" style="223" customWidth="1"/>
    <col min="3075" max="3075" width="13.44140625" style="223" customWidth="1"/>
    <col min="3076" max="3076" width="10.88671875" style="223" customWidth="1"/>
    <col min="3077" max="3077" width="12.6640625" style="223" customWidth="1"/>
    <col min="3078" max="3078" width="11.6640625" style="223"/>
    <col min="3079" max="3079" width="13.44140625" style="223" customWidth="1"/>
    <col min="3080" max="3080" width="12.6640625" style="223" customWidth="1"/>
    <col min="3081" max="3328" width="11.6640625" style="223"/>
    <col min="3329" max="3329" width="30.6640625" style="223" customWidth="1"/>
    <col min="3330" max="3330" width="8.33203125" style="223" customWidth="1"/>
    <col min="3331" max="3331" width="13.44140625" style="223" customWidth="1"/>
    <col min="3332" max="3332" width="10.88671875" style="223" customWidth="1"/>
    <col min="3333" max="3333" width="12.6640625" style="223" customWidth="1"/>
    <col min="3334" max="3334" width="11.6640625" style="223"/>
    <col min="3335" max="3335" width="13.44140625" style="223" customWidth="1"/>
    <col min="3336" max="3336" width="12.6640625" style="223" customWidth="1"/>
    <col min="3337" max="3584" width="11.6640625" style="223"/>
    <col min="3585" max="3585" width="30.6640625" style="223" customWidth="1"/>
    <col min="3586" max="3586" width="8.33203125" style="223" customWidth="1"/>
    <col min="3587" max="3587" width="13.44140625" style="223" customWidth="1"/>
    <col min="3588" max="3588" width="10.88671875" style="223" customWidth="1"/>
    <col min="3589" max="3589" width="12.6640625" style="223" customWidth="1"/>
    <col min="3590" max="3590" width="11.6640625" style="223"/>
    <col min="3591" max="3591" width="13.44140625" style="223" customWidth="1"/>
    <col min="3592" max="3592" width="12.6640625" style="223" customWidth="1"/>
    <col min="3593" max="3840" width="11.6640625" style="223"/>
    <col min="3841" max="3841" width="30.6640625" style="223" customWidth="1"/>
    <col min="3842" max="3842" width="8.33203125" style="223" customWidth="1"/>
    <col min="3843" max="3843" width="13.44140625" style="223" customWidth="1"/>
    <col min="3844" max="3844" width="10.88671875" style="223" customWidth="1"/>
    <col min="3845" max="3845" width="12.6640625" style="223" customWidth="1"/>
    <col min="3846" max="3846" width="11.6640625" style="223"/>
    <col min="3847" max="3847" width="13.44140625" style="223" customWidth="1"/>
    <col min="3848" max="3848" width="12.6640625" style="223" customWidth="1"/>
    <col min="3849" max="4096" width="11.6640625" style="223"/>
    <col min="4097" max="4097" width="30.6640625" style="223" customWidth="1"/>
    <col min="4098" max="4098" width="8.33203125" style="223" customWidth="1"/>
    <col min="4099" max="4099" width="13.44140625" style="223" customWidth="1"/>
    <col min="4100" max="4100" width="10.88671875" style="223" customWidth="1"/>
    <col min="4101" max="4101" width="12.6640625" style="223" customWidth="1"/>
    <col min="4102" max="4102" width="11.6640625" style="223"/>
    <col min="4103" max="4103" width="13.44140625" style="223" customWidth="1"/>
    <col min="4104" max="4104" width="12.6640625" style="223" customWidth="1"/>
    <col min="4105" max="4352" width="11.6640625" style="223"/>
    <col min="4353" max="4353" width="30.6640625" style="223" customWidth="1"/>
    <col min="4354" max="4354" width="8.33203125" style="223" customWidth="1"/>
    <col min="4355" max="4355" width="13.44140625" style="223" customWidth="1"/>
    <col min="4356" max="4356" width="10.88671875" style="223" customWidth="1"/>
    <col min="4357" max="4357" width="12.6640625" style="223" customWidth="1"/>
    <col min="4358" max="4358" width="11.6640625" style="223"/>
    <col min="4359" max="4359" width="13.44140625" style="223" customWidth="1"/>
    <col min="4360" max="4360" width="12.6640625" style="223" customWidth="1"/>
    <col min="4361" max="4608" width="11.6640625" style="223"/>
    <col min="4609" max="4609" width="30.6640625" style="223" customWidth="1"/>
    <col min="4610" max="4610" width="8.33203125" style="223" customWidth="1"/>
    <col min="4611" max="4611" width="13.44140625" style="223" customWidth="1"/>
    <col min="4612" max="4612" width="10.88671875" style="223" customWidth="1"/>
    <col min="4613" max="4613" width="12.6640625" style="223" customWidth="1"/>
    <col min="4614" max="4614" width="11.6640625" style="223"/>
    <col min="4615" max="4615" width="13.44140625" style="223" customWidth="1"/>
    <col min="4616" max="4616" width="12.6640625" style="223" customWidth="1"/>
    <col min="4617" max="4864" width="11.6640625" style="223"/>
    <col min="4865" max="4865" width="30.6640625" style="223" customWidth="1"/>
    <col min="4866" max="4866" width="8.33203125" style="223" customWidth="1"/>
    <col min="4867" max="4867" width="13.44140625" style="223" customWidth="1"/>
    <col min="4868" max="4868" width="10.88671875" style="223" customWidth="1"/>
    <col min="4869" max="4869" width="12.6640625" style="223" customWidth="1"/>
    <col min="4870" max="4870" width="11.6640625" style="223"/>
    <col min="4871" max="4871" width="13.44140625" style="223" customWidth="1"/>
    <col min="4872" max="4872" width="12.6640625" style="223" customWidth="1"/>
    <col min="4873" max="5120" width="11.6640625" style="223"/>
    <col min="5121" max="5121" width="30.6640625" style="223" customWidth="1"/>
    <col min="5122" max="5122" width="8.33203125" style="223" customWidth="1"/>
    <col min="5123" max="5123" width="13.44140625" style="223" customWidth="1"/>
    <col min="5124" max="5124" width="10.88671875" style="223" customWidth="1"/>
    <col min="5125" max="5125" width="12.6640625" style="223" customWidth="1"/>
    <col min="5126" max="5126" width="11.6640625" style="223"/>
    <col min="5127" max="5127" width="13.44140625" style="223" customWidth="1"/>
    <col min="5128" max="5128" width="12.6640625" style="223" customWidth="1"/>
    <col min="5129" max="5376" width="11.6640625" style="223"/>
    <col min="5377" max="5377" width="30.6640625" style="223" customWidth="1"/>
    <col min="5378" max="5378" width="8.33203125" style="223" customWidth="1"/>
    <col min="5379" max="5379" width="13.44140625" style="223" customWidth="1"/>
    <col min="5380" max="5380" width="10.88671875" style="223" customWidth="1"/>
    <col min="5381" max="5381" width="12.6640625" style="223" customWidth="1"/>
    <col min="5382" max="5382" width="11.6640625" style="223"/>
    <col min="5383" max="5383" width="13.44140625" style="223" customWidth="1"/>
    <col min="5384" max="5384" width="12.6640625" style="223" customWidth="1"/>
    <col min="5385" max="5632" width="11.6640625" style="223"/>
    <col min="5633" max="5633" width="30.6640625" style="223" customWidth="1"/>
    <col min="5634" max="5634" width="8.33203125" style="223" customWidth="1"/>
    <col min="5635" max="5635" width="13.44140625" style="223" customWidth="1"/>
    <col min="5636" max="5636" width="10.88671875" style="223" customWidth="1"/>
    <col min="5637" max="5637" width="12.6640625" style="223" customWidth="1"/>
    <col min="5638" max="5638" width="11.6640625" style="223"/>
    <col min="5639" max="5639" width="13.44140625" style="223" customWidth="1"/>
    <col min="5640" max="5640" width="12.6640625" style="223" customWidth="1"/>
    <col min="5641" max="5888" width="11.6640625" style="223"/>
    <col min="5889" max="5889" width="30.6640625" style="223" customWidth="1"/>
    <col min="5890" max="5890" width="8.33203125" style="223" customWidth="1"/>
    <col min="5891" max="5891" width="13.44140625" style="223" customWidth="1"/>
    <col min="5892" max="5892" width="10.88671875" style="223" customWidth="1"/>
    <col min="5893" max="5893" width="12.6640625" style="223" customWidth="1"/>
    <col min="5894" max="5894" width="11.6640625" style="223"/>
    <col min="5895" max="5895" width="13.44140625" style="223" customWidth="1"/>
    <col min="5896" max="5896" width="12.6640625" style="223" customWidth="1"/>
    <col min="5897" max="6144" width="11.6640625" style="223"/>
    <col min="6145" max="6145" width="30.6640625" style="223" customWidth="1"/>
    <col min="6146" max="6146" width="8.33203125" style="223" customWidth="1"/>
    <col min="6147" max="6147" width="13.44140625" style="223" customWidth="1"/>
    <col min="6148" max="6148" width="10.88671875" style="223" customWidth="1"/>
    <col min="6149" max="6149" width="12.6640625" style="223" customWidth="1"/>
    <col min="6150" max="6150" width="11.6640625" style="223"/>
    <col min="6151" max="6151" width="13.44140625" style="223" customWidth="1"/>
    <col min="6152" max="6152" width="12.6640625" style="223" customWidth="1"/>
    <col min="6153" max="6400" width="11.6640625" style="223"/>
    <col min="6401" max="6401" width="30.6640625" style="223" customWidth="1"/>
    <col min="6402" max="6402" width="8.33203125" style="223" customWidth="1"/>
    <col min="6403" max="6403" width="13.44140625" style="223" customWidth="1"/>
    <col min="6404" max="6404" width="10.88671875" style="223" customWidth="1"/>
    <col min="6405" max="6405" width="12.6640625" style="223" customWidth="1"/>
    <col min="6406" max="6406" width="11.6640625" style="223"/>
    <col min="6407" max="6407" width="13.44140625" style="223" customWidth="1"/>
    <col min="6408" max="6408" width="12.6640625" style="223" customWidth="1"/>
    <col min="6409" max="6656" width="11.6640625" style="223"/>
    <col min="6657" max="6657" width="30.6640625" style="223" customWidth="1"/>
    <col min="6658" max="6658" width="8.33203125" style="223" customWidth="1"/>
    <col min="6659" max="6659" width="13.44140625" style="223" customWidth="1"/>
    <col min="6660" max="6660" width="10.88671875" style="223" customWidth="1"/>
    <col min="6661" max="6661" width="12.6640625" style="223" customWidth="1"/>
    <col min="6662" max="6662" width="11.6640625" style="223"/>
    <col min="6663" max="6663" width="13.44140625" style="223" customWidth="1"/>
    <col min="6664" max="6664" width="12.6640625" style="223" customWidth="1"/>
    <col min="6665" max="6912" width="11.6640625" style="223"/>
    <col min="6913" max="6913" width="30.6640625" style="223" customWidth="1"/>
    <col min="6914" max="6914" width="8.33203125" style="223" customWidth="1"/>
    <col min="6915" max="6915" width="13.44140625" style="223" customWidth="1"/>
    <col min="6916" max="6916" width="10.88671875" style="223" customWidth="1"/>
    <col min="6917" max="6917" width="12.6640625" style="223" customWidth="1"/>
    <col min="6918" max="6918" width="11.6640625" style="223"/>
    <col min="6919" max="6919" width="13.44140625" style="223" customWidth="1"/>
    <col min="6920" max="6920" width="12.6640625" style="223" customWidth="1"/>
    <col min="6921" max="7168" width="11.6640625" style="223"/>
    <col min="7169" max="7169" width="30.6640625" style="223" customWidth="1"/>
    <col min="7170" max="7170" width="8.33203125" style="223" customWidth="1"/>
    <col min="7171" max="7171" width="13.44140625" style="223" customWidth="1"/>
    <col min="7172" max="7172" width="10.88671875" style="223" customWidth="1"/>
    <col min="7173" max="7173" width="12.6640625" style="223" customWidth="1"/>
    <col min="7174" max="7174" width="11.6640625" style="223"/>
    <col min="7175" max="7175" width="13.44140625" style="223" customWidth="1"/>
    <col min="7176" max="7176" width="12.6640625" style="223" customWidth="1"/>
    <col min="7177" max="7424" width="11.6640625" style="223"/>
    <col min="7425" max="7425" width="30.6640625" style="223" customWidth="1"/>
    <col min="7426" max="7426" width="8.33203125" style="223" customWidth="1"/>
    <col min="7427" max="7427" width="13.44140625" style="223" customWidth="1"/>
    <col min="7428" max="7428" width="10.88671875" style="223" customWidth="1"/>
    <col min="7429" max="7429" width="12.6640625" style="223" customWidth="1"/>
    <col min="7430" max="7430" width="11.6640625" style="223"/>
    <col min="7431" max="7431" width="13.44140625" style="223" customWidth="1"/>
    <col min="7432" max="7432" width="12.6640625" style="223" customWidth="1"/>
    <col min="7433" max="7680" width="11.6640625" style="223"/>
    <col min="7681" max="7681" width="30.6640625" style="223" customWidth="1"/>
    <col min="7682" max="7682" width="8.33203125" style="223" customWidth="1"/>
    <col min="7683" max="7683" width="13.44140625" style="223" customWidth="1"/>
    <col min="7684" max="7684" width="10.88671875" style="223" customWidth="1"/>
    <col min="7685" max="7685" width="12.6640625" style="223" customWidth="1"/>
    <col min="7686" max="7686" width="11.6640625" style="223"/>
    <col min="7687" max="7687" width="13.44140625" style="223" customWidth="1"/>
    <col min="7688" max="7688" width="12.6640625" style="223" customWidth="1"/>
    <col min="7689" max="7936" width="11.6640625" style="223"/>
    <col min="7937" max="7937" width="30.6640625" style="223" customWidth="1"/>
    <col min="7938" max="7938" width="8.33203125" style="223" customWidth="1"/>
    <col min="7939" max="7939" width="13.44140625" style="223" customWidth="1"/>
    <col min="7940" max="7940" width="10.88671875" style="223" customWidth="1"/>
    <col min="7941" max="7941" width="12.6640625" style="223" customWidth="1"/>
    <col min="7942" max="7942" width="11.6640625" style="223"/>
    <col min="7943" max="7943" width="13.44140625" style="223" customWidth="1"/>
    <col min="7944" max="7944" width="12.6640625" style="223" customWidth="1"/>
    <col min="7945" max="8192" width="11.6640625" style="223"/>
    <col min="8193" max="8193" width="30.6640625" style="223" customWidth="1"/>
    <col min="8194" max="8194" width="8.33203125" style="223" customWidth="1"/>
    <col min="8195" max="8195" width="13.44140625" style="223" customWidth="1"/>
    <col min="8196" max="8196" width="10.88671875" style="223" customWidth="1"/>
    <col min="8197" max="8197" width="12.6640625" style="223" customWidth="1"/>
    <col min="8198" max="8198" width="11.6640625" style="223"/>
    <col min="8199" max="8199" width="13.44140625" style="223" customWidth="1"/>
    <col min="8200" max="8200" width="12.6640625" style="223" customWidth="1"/>
    <col min="8201" max="8448" width="11.6640625" style="223"/>
    <col min="8449" max="8449" width="30.6640625" style="223" customWidth="1"/>
    <col min="8450" max="8450" width="8.33203125" style="223" customWidth="1"/>
    <col min="8451" max="8451" width="13.44140625" style="223" customWidth="1"/>
    <col min="8452" max="8452" width="10.88671875" style="223" customWidth="1"/>
    <col min="8453" max="8453" width="12.6640625" style="223" customWidth="1"/>
    <col min="8454" max="8454" width="11.6640625" style="223"/>
    <col min="8455" max="8455" width="13.44140625" style="223" customWidth="1"/>
    <col min="8456" max="8456" width="12.6640625" style="223" customWidth="1"/>
    <col min="8457" max="8704" width="11.6640625" style="223"/>
    <col min="8705" max="8705" width="30.6640625" style="223" customWidth="1"/>
    <col min="8706" max="8706" width="8.33203125" style="223" customWidth="1"/>
    <col min="8707" max="8707" width="13.44140625" style="223" customWidth="1"/>
    <col min="8708" max="8708" width="10.88671875" style="223" customWidth="1"/>
    <col min="8709" max="8709" width="12.6640625" style="223" customWidth="1"/>
    <col min="8710" max="8710" width="11.6640625" style="223"/>
    <col min="8711" max="8711" width="13.44140625" style="223" customWidth="1"/>
    <col min="8712" max="8712" width="12.6640625" style="223" customWidth="1"/>
    <col min="8713" max="8960" width="11.6640625" style="223"/>
    <col min="8961" max="8961" width="30.6640625" style="223" customWidth="1"/>
    <col min="8962" max="8962" width="8.33203125" style="223" customWidth="1"/>
    <col min="8963" max="8963" width="13.44140625" style="223" customWidth="1"/>
    <col min="8964" max="8964" width="10.88671875" style="223" customWidth="1"/>
    <col min="8965" max="8965" width="12.6640625" style="223" customWidth="1"/>
    <col min="8966" max="8966" width="11.6640625" style="223"/>
    <col min="8967" max="8967" width="13.44140625" style="223" customWidth="1"/>
    <col min="8968" max="8968" width="12.6640625" style="223" customWidth="1"/>
    <col min="8969" max="9216" width="11.6640625" style="223"/>
    <col min="9217" max="9217" width="30.6640625" style="223" customWidth="1"/>
    <col min="9218" max="9218" width="8.33203125" style="223" customWidth="1"/>
    <col min="9219" max="9219" width="13.44140625" style="223" customWidth="1"/>
    <col min="9220" max="9220" width="10.88671875" style="223" customWidth="1"/>
    <col min="9221" max="9221" width="12.6640625" style="223" customWidth="1"/>
    <col min="9222" max="9222" width="11.6640625" style="223"/>
    <col min="9223" max="9223" width="13.44140625" style="223" customWidth="1"/>
    <col min="9224" max="9224" width="12.6640625" style="223" customWidth="1"/>
    <col min="9225" max="9472" width="11.6640625" style="223"/>
    <col min="9473" max="9473" width="30.6640625" style="223" customWidth="1"/>
    <col min="9474" max="9474" width="8.33203125" style="223" customWidth="1"/>
    <col min="9475" max="9475" width="13.44140625" style="223" customWidth="1"/>
    <col min="9476" max="9476" width="10.88671875" style="223" customWidth="1"/>
    <col min="9477" max="9477" width="12.6640625" style="223" customWidth="1"/>
    <col min="9478" max="9478" width="11.6640625" style="223"/>
    <col min="9479" max="9479" width="13.44140625" style="223" customWidth="1"/>
    <col min="9480" max="9480" width="12.6640625" style="223" customWidth="1"/>
    <col min="9481" max="9728" width="11.6640625" style="223"/>
    <col min="9729" max="9729" width="30.6640625" style="223" customWidth="1"/>
    <col min="9730" max="9730" width="8.33203125" style="223" customWidth="1"/>
    <col min="9731" max="9731" width="13.44140625" style="223" customWidth="1"/>
    <col min="9732" max="9732" width="10.88671875" style="223" customWidth="1"/>
    <col min="9733" max="9733" width="12.6640625" style="223" customWidth="1"/>
    <col min="9734" max="9734" width="11.6640625" style="223"/>
    <col min="9735" max="9735" width="13.44140625" style="223" customWidth="1"/>
    <col min="9736" max="9736" width="12.6640625" style="223" customWidth="1"/>
    <col min="9737" max="9984" width="11.6640625" style="223"/>
    <col min="9985" max="9985" width="30.6640625" style="223" customWidth="1"/>
    <col min="9986" max="9986" width="8.33203125" style="223" customWidth="1"/>
    <col min="9987" max="9987" width="13.44140625" style="223" customWidth="1"/>
    <col min="9988" max="9988" width="10.88671875" style="223" customWidth="1"/>
    <col min="9989" max="9989" width="12.6640625" style="223" customWidth="1"/>
    <col min="9990" max="9990" width="11.6640625" style="223"/>
    <col min="9991" max="9991" width="13.44140625" style="223" customWidth="1"/>
    <col min="9992" max="9992" width="12.6640625" style="223" customWidth="1"/>
    <col min="9993" max="10240" width="11.6640625" style="223"/>
    <col min="10241" max="10241" width="30.6640625" style="223" customWidth="1"/>
    <col min="10242" max="10242" width="8.33203125" style="223" customWidth="1"/>
    <col min="10243" max="10243" width="13.44140625" style="223" customWidth="1"/>
    <col min="10244" max="10244" width="10.88671875" style="223" customWidth="1"/>
    <col min="10245" max="10245" width="12.6640625" style="223" customWidth="1"/>
    <col min="10246" max="10246" width="11.6640625" style="223"/>
    <col min="10247" max="10247" width="13.44140625" style="223" customWidth="1"/>
    <col min="10248" max="10248" width="12.6640625" style="223" customWidth="1"/>
    <col min="10249" max="10496" width="11.6640625" style="223"/>
    <col min="10497" max="10497" width="30.6640625" style="223" customWidth="1"/>
    <col min="10498" max="10498" width="8.33203125" style="223" customWidth="1"/>
    <col min="10499" max="10499" width="13.44140625" style="223" customWidth="1"/>
    <col min="10500" max="10500" width="10.88671875" style="223" customWidth="1"/>
    <col min="10501" max="10501" width="12.6640625" style="223" customWidth="1"/>
    <col min="10502" max="10502" width="11.6640625" style="223"/>
    <col min="10503" max="10503" width="13.44140625" style="223" customWidth="1"/>
    <col min="10504" max="10504" width="12.6640625" style="223" customWidth="1"/>
    <col min="10505" max="10752" width="11.6640625" style="223"/>
    <col min="10753" max="10753" width="30.6640625" style="223" customWidth="1"/>
    <col min="10754" max="10754" width="8.33203125" style="223" customWidth="1"/>
    <col min="10755" max="10755" width="13.44140625" style="223" customWidth="1"/>
    <col min="10756" max="10756" width="10.88671875" style="223" customWidth="1"/>
    <col min="10757" max="10757" width="12.6640625" style="223" customWidth="1"/>
    <col min="10758" max="10758" width="11.6640625" style="223"/>
    <col min="10759" max="10759" width="13.44140625" style="223" customWidth="1"/>
    <col min="10760" max="10760" width="12.6640625" style="223" customWidth="1"/>
    <col min="10761" max="11008" width="11.6640625" style="223"/>
    <col min="11009" max="11009" width="30.6640625" style="223" customWidth="1"/>
    <col min="11010" max="11010" width="8.33203125" style="223" customWidth="1"/>
    <col min="11011" max="11011" width="13.44140625" style="223" customWidth="1"/>
    <col min="11012" max="11012" width="10.88671875" style="223" customWidth="1"/>
    <col min="11013" max="11013" width="12.6640625" style="223" customWidth="1"/>
    <col min="11014" max="11014" width="11.6640625" style="223"/>
    <col min="11015" max="11015" width="13.44140625" style="223" customWidth="1"/>
    <col min="11016" max="11016" width="12.6640625" style="223" customWidth="1"/>
    <col min="11017" max="11264" width="11.6640625" style="223"/>
    <col min="11265" max="11265" width="30.6640625" style="223" customWidth="1"/>
    <col min="11266" max="11266" width="8.33203125" style="223" customWidth="1"/>
    <col min="11267" max="11267" width="13.44140625" style="223" customWidth="1"/>
    <col min="11268" max="11268" width="10.88671875" style="223" customWidth="1"/>
    <col min="11269" max="11269" width="12.6640625" style="223" customWidth="1"/>
    <col min="11270" max="11270" width="11.6640625" style="223"/>
    <col min="11271" max="11271" width="13.44140625" style="223" customWidth="1"/>
    <col min="11272" max="11272" width="12.6640625" style="223" customWidth="1"/>
    <col min="11273" max="11520" width="11.6640625" style="223"/>
    <col min="11521" max="11521" width="30.6640625" style="223" customWidth="1"/>
    <col min="11522" max="11522" width="8.33203125" style="223" customWidth="1"/>
    <col min="11523" max="11523" width="13.44140625" style="223" customWidth="1"/>
    <col min="11524" max="11524" width="10.88671875" style="223" customWidth="1"/>
    <col min="11525" max="11525" width="12.6640625" style="223" customWidth="1"/>
    <col min="11526" max="11526" width="11.6640625" style="223"/>
    <col min="11527" max="11527" width="13.44140625" style="223" customWidth="1"/>
    <col min="11528" max="11528" width="12.6640625" style="223" customWidth="1"/>
    <col min="11529" max="11776" width="11.6640625" style="223"/>
    <col min="11777" max="11777" width="30.6640625" style="223" customWidth="1"/>
    <col min="11778" max="11778" width="8.33203125" style="223" customWidth="1"/>
    <col min="11779" max="11779" width="13.44140625" style="223" customWidth="1"/>
    <col min="11780" max="11780" width="10.88671875" style="223" customWidth="1"/>
    <col min="11781" max="11781" width="12.6640625" style="223" customWidth="1"/>
    <col min="11782" max="11782" width="11.6640625" style="223"/>
    <col min="11783" max="11783" width="13.44140625" style="223" customWidth="1"/>
    <col min="11784" max="11784" width="12.6640625" style="223" customWidth="1"/>
    <col min="11785" max="12032" width="11.6640625" style="223"/>
    <col min="12033" max="12033" width="30.6640625" style="223" customWidth="1"/>
    <col min="12034" max="12034" width="8.33203125" style="223" customWidth="1"/>
    <col min="12035" max="12035" width="13.44140625" style="223" customWidth="1"/>
    <col min="12036" max="12036" width="10.88671875" style="223" customWidth="1"/>
    <col min="12037" max="12037" width="12.6640625" style="223" customWidth="1"/>
    <col min="12038" max="12038" width="11.6640625" style="223"/>
    <col min="12039" max="12039" width="13.44140625" style="223" customWidth="1"/>
    <col min="12040" max="12040" width="12.6640625" style="223" customWidth="1"/>
    <col min="12041" max="12288" width="11.6640625" style="223"/>
    <col min="12289" max="12289" width="30.6640625" style="223" customWidth="1"/>
    <col min="12290" max="12290" width="8.33203125" style="223" customWidth="1"/>
    <col min="12291" max="12291" width="13.44140625" style="223" customWidth="1"/>
    <col min="12292" max="12292" width="10.88671875" style="223" customWidth="1"/>
    <col min="12293" max="12293" width="12.6640625" style="223" customWidth="1"/>
    <col min="12294" max="12294" width="11.6640625" style="223"/>
    <col min="12295" max="12295" width="13.44140625" style="223" customWidth="1"/>
    <col min="12296" max="12296" width="12.6640625" style="223" customWidth="1"/>
    <col min="12297" max="12544" width="11.6640625" style="223"/>
    <col min="12545" max="12545" width="30.6640625" style="223" customWidth="1"/>
    <col min="12546" max="12546" width="8.33203125" style="223" customWidth="1"/>
    <col min="12547" max="12547" width="13.44140625" style="223" customWidth="1"/>
    <col min="12548" max="12548" width="10.88671875" style="223" customWidth="1"/>
    <col min="12549" max="12549" width="12.6640625" style="223" customWidth="1"/>
    <col min="12550" max="12550" width="11.6640625" style="223"/>
    <col min="12551" max="12551" width="13.44140625" style="223" customWidth="1"/>
    <col min="12552" max="12552" width="12.6640625" style="223" customWidth="1"/>
    <col min="12553" max="12800" width="11.6640625" style="223"/>
    <col min="12801" max="12801" width="30.6640625" style="223" customWidth="1"/>
    <col min="12802" max="12802" width="8.33203125" style="223" customWidth="1"/>
    <col min="12803" max="12803" width="13.44140625" style="223" customWidth="1"/>
    <col min="12804" max="12804" width="10.88671875" style="223" customWidth="1"/>
    <col min="12805" max="12805" width="12.6640625" style="223" customWidth="1"/>
    <col min="12806" max="12806" width="11.6640625" style="223"/>
    <col min="12807" max="12807" width="13.44140625" style="223" customWidth="1"/>
    <col min="12808" max="12808" width="12.6640625" style="223" customWidth="1"/>
    <col min="12809" max="13056" width="11.6640625" style="223"/>
    <col min="13057" max="13057" width="30.6640625" style="223" customWidth="1"/>
    <col min="13058" max="13058" width="8.33203125" style="223" customWidth="1"/>
    <col min="13059" max="13059" width="13.44140625" style="223" customWidth="1"/>
    <col min="13060" max="13060" width="10.88671875" style="223" customWidth="1"/>
    <col min="13061" max="13061" width="12.6640625" style="223" customWidth="1"/>
    <col min="13062" max="13062" width="11.6640625" style="223"/>
    <col min="13063" max="13063" width="13.44140625" style="223" customWidth="1"/>
    <col min="13064" max="13064" width="12.6640625" style="223" customWidth="1"/>
    <col min="13065" max="13312" width="11.6640625" style="223"/>
    <col min="13313" max="13313" width="30.6640625" style="223" customWidth="1"/>
    <col min="13314" max="13314" width="8.33203125" style="223" customWidth="1"/>
    <col min="13315" max="13315" width="13.44140625" style="223" customWidth="1"/>
    <col min="13316" max="13316" width="10.88671875" style="223" customWidth="1"/>
    <col min="13317" max="13317" width="12.6640625" style="223" customWidth="1"/>
    <col min="13318" max="13318" width="11.6640625" style="223"/>
    <col min="13319" max="13319" width="13.44140625" style="223" customWidth="1"/>
    <col min="13320" max="13320" width="12.6640625" style="223" customWidth="1"/>
    <col min="13321" max="13568" width="11.6640625" style="223"/>
    <col min="13569" max="13569" width="30.6640625" style="223" customWidth="1"/>
    <col min="13570" max="13570" width="8.33203125" style="223" customWidth="1"/>
    <col min="13571" max="13571" width="13.44140625" style="223" customWidth="1"/>
    <col min="13572" max="13572" width="10.88671875" style="223" customWidth="1"/>
    <col min="13573" max="13573" width="12.6640625" style="223" customWidth="1"/>
    <col min="13574" max="13574" width="11.6640625" style="223"/>
    <col min="13575" max="13575" width="13.44140625" style="223" customWidth="1"/>
    <col min="13576" max="13576" width="12.6640625" style="223" customWidth="1"/>
    <col min="13577" max="13824" width="11.6640625" style="223"/>
    <col min="13825" max="13825" width="30.6640625" style="223" customWidth="1"/>
    <col min="13826" max="13826" width="8.33203125" style="223" customWidth="1"/>
    <col min="13827" max="13827" width="13.44140625" style="223" customWidth="1"/>
    <col min="13828" max="13828" width="10.88671875" style="223" customWidth="1"/>
    <col min="13829" max="13829" width="12.6640625" style="223" customWidth="1"/>
    <col min="13830" max="13830" width="11.6640625" style="223"/>
    <col min="13831" max="13831" width="13.44140625" style="223" customWidth="1"/>
    <col min="13832" max="13832" width="12.6640625" style="223" customWidth="1"/>
    <col min="13833" max="14080" width="11.6640625" style="223"/>
    <col min="14081" max="14081" width="30.6640625" style="223" customWidth="1"/>
    <col min="14082" max="14082" width="8.33203125" style="223" customWidth="1"/>
    <col min="14083" max="14083" width="13.44140625" style="223" customWidth="1"/>
    <col min="14084" max="14084" width="10.88671875" style="223" customWidth="1"/>
    <col min="14085" max="14085" width="12.6640625" style="223" customWidth="1"/>
    <col min="14086" max="14086" width="11.6640625" style="223"/>
    <col min="14087" max="14087" width="13.44140625" style="223" customWidth="1"/>
    <col min="14088" max="14088" width="12.6640625" style="223" customWidth="1"/>
    <col min="14089" max="14336" width="11.6640625" style="223"/>
    <col min="14337" max="14337" width="30.6640625" style="223" customWidth="1"/>
    <col min="14338" max="14338" width="8.33203125" style="223" customWidth="1"/>
    <col min="14339" max="14339" width="13.44140625" style="223" customWidth="1"/>
    <col min="14340" max="14340" width="10.88671875" style="223" customWidth="1"/>
    <col min="14341" max="14341" width="12.6640625" style="223" customWidth="1"/>
    <col min="14342" max="14342" width="11.6640625" style="223"/>
    <col min="14343" max="14343" width="13.44140625" style="223" customWidth="1"/>
    <col min="14344" max="14344" width="12.6640625" style="223" customWidth="1"/>
    <col min="14345" max="14592" width="11.6640625" style="223"/>
    <col min="14593" max="14593" width="30.6640625" style="223" customWidth="1"/>
    <col min="14594" max="14594" width="8.33203125" style="223" customWidth="1"/>
    <col min="14595" max="14595" width="13.44140625" style="223" customWidth="1"/>
    <col min="14596" max="14596" width="10.88671875" style="223" customWidth="1"/>
    <col min="14597" max="14597" width="12.6640625" style="223" customWidth="1"/>
    <col min="14598" max="14598" width="11.6640625" style="223"/>
    <col min="14599" max="14599" width="13.44140625" style="223" customWidth="1"/>
    <col min="14600" max="14600" width="12.6640625" style="223" customWidth="1"/>
    <col min="14601" max="14848" width="11.6640625" style="223"/>
    <col min="14849" max="14849" width="30.6640625" style="223" customWidth="1"/>
    <col min="14850" max="14850" width="8.33203125" style="223" customWidth="1"/>
    <col min="14851" max="14851" width="13.44140625" style="223" customWidth="1"/>
    <col min="14852" max="14852" width="10.88671875" style="223" customWidth="1"/>
    <col min="14853" max="14853" width="12.6640625" style="223" customWidth="1"/>
    <col min="14854" max="14854" width="11.6640625" style="223"/>
    <col min="14855" max="14855" width="13.44140625" style="223" customWidth="1"/>
    <col min="14856" max="14856" width="12.6640625" style="223" customWidth="1"/>
    <col min="14857" max="15104" width="11.6640625" style="223"/>
    <col min="15105" max="15105" width="30.6640625" style="223" customWidth="1"/>
    <col min="15106" max="15106" width="8.33203125" style="223" customWidth="1"/>
    <col min="15107" max="15107" width="13.44140625" style="223" customWidth="1"/>
    <col min="15108" max="15108" width="10.88671875" style="223" customWidth="1"/>
    <col min="15109" max="15109" width="12.6640625" style="223" customWidth="1"/>
    <col min="15110" max="15110" width="11.6640625" style="223"/>
    <col min="15111" max="15111" width="13.44140625" style="223" customWidth="1"/>
    <col min="15112" max="15112" width="12.6640625" style="223" customWidth="1"/>
    <col min="15113" max="15360" width="11.6640625" style="223"/>
    <col min="15361" max="15361" width="30.6640625" style="223" customWidth="1"/>
    <col min="15362" max="15362" width="8.33203125" style="223" customWidth="1"/>
    <col min="15363" max="15363" width="13.44140625" style="223" customWidth="1"/>
    <col min="15364" max="15364" width="10.88671875" style="223" customWidth="1"/>
    <col min="15365" max="15365" width="12.6640625" style="223" customWidth="1"/>
    <col min="15366" max="15366" width="11.6640625" style="223"/>
    <col min="15367" max="15367" width="13.44140625" style="223" customWidth="1"/>
    <col min="15368" max="15368" width="12.6640625" style="223" customWidth="1"/>
    <col min="15369" max="15616" width="11.6640625" style="223"/>
    <col min="15617" max="15617" width="30.6640625" style="223" customWidth="1"/>
    <col min="15618" max="15618" width="8.33203125" style="223" customWidth="1"/>
    <col min="15619" max="15619" width="13.44140625" style="223" customWidth="1"/>
    <col min="15620" max="15620" width="10.88671875" style="223" customWidth="1"/>
    <col min="15621" max="15621" width="12.6640625" style="223" customWidth="1"/>
    <col min="15622" max="15622" width="11.6640625" style="223"/>
    <col min="15623" max="15623" width="13.44140625" style="223" customWidth="1"/>
    <col min="15624" max="15624" width="12.6640625" style="223" customWidth="1"/>
    <col min="15625" max="15872" width="11.6640625" style="223"/>
    <col min="15873" max="15873" width="30.6640625" style="223" customWidth="1"/>
    <col min="15874" max="15874" width="8.33203125" style="223" customWidth="1"/>
    <col min="15875" max="15875" width="13.44140625" style="223" customWidth="1"/>
    <col min="15876" max="15876" width="10.88671875" style="223" customWidth="1"/>
    <col min="15877" max="15877" width="12.6640625" style="223" customWidth="1"/>
    <col min="15878" max="15878" width="11.6640625" style="223"/>
    <col min="15879" max="15879" width="13.44140625" style="223" customWidth="1"/>
    <col min="15880" max="15880" width="12.6640625" style="223" customWidth="1"/>
    <col min="15881" max="16128" width="11.6640625" style="223"/>
    <col min="16129" max="16129" width="30.6640625" style="223" customWidth="1"/>
    <col min="16130" max="16130" width="8.33203125" style="223" customWidth="1"/>
    <col min="16131" max="16131" width="13.44140625" style="223" customWidth="1"/>
    <col min="16132" max="16132" width="10.88671875" style="223" customWidth="1"/>
    <col min="16133" max="16133" width="12.6640625" style="223" customWidth="1"/>
    <col min="16134" max="16134" width="11.6640625" style="223"/>
    <col min="16135" max="16135" width="13.44140625" style="223" customWidth="1"/>
    <col min="16136" max="16136" width="12.6640625" style="223" customWidth="1"/>
    <col min="16137" max="16384" width="11.6640625" style="223"/>
  </cols>
  <sheetData>
    <row r="1" spans="1:12">
      <c r="A1" s="222" t="s">
        <v>199</v>
      </c>
    </row>
    <row r="2" spans="1:12">
      <c r="A2" s="224" t="s">
        <v>149</v>
      </c>
      <c r="C2" s="99"/>
      <c r="E2" s="99"/>
      <c r="F2" s="99"/>
      <c r="G2" s="99"/>
      <c r="H2" s="99"/>
      <c r="J2" s="221" t="s">
        <v>185</v>
      </c>
    </row>
    <row r="3" spans="1:12">
      <c r="A3" s="224" t="s">
        <v>200</v>
      </c>
      <c r="B3" s="100"/>
      <c r="E3" s="99"/>
      <c r="F3" s="99"/>
      <c r="G3" s="99"/>
      <c r="H3" s="99"/>
      <c r="J3" s="103" t="s">
        <v>248</v>
      </c>
    </row>
    <row r="4" spans="1:12">
      <c r="J4" s="103"/>
    </row>
    <row r="5" spans="1:12">
      <c r="B5" s="101" t="s">
        <v>270</v>
      </c>
      <c r="E5" s="102">
        <v>375000</v>
      </c>
      <c r="F5" s="128" t="s">
        <v>103</v>
      </c>
      <c r="J5" s="103" t="s">
        <v>207</v>
      </c>
    </row>
    <row r="6" spans="1:12">
      <c r="J6" s="267"/>
      <c r="L6" s="226"/>
    </row>
    <row r="7" spans="1:12">
      <c r="B7" s="250" t="s">
        <v>30</v>
      </c>
      <c r="E7" s="128" t="s">
        <v>215</v>
      </c>
      <c r="F7" s="101"/>
      <c r="J7" s="103"/>
    </row>
    <row r="8" spans="1:12">
      <c r="C8" s="97" t="s">
        <v>210</v>
      </c>
      <c r="E8" s="302">
        <f>F23</f>
        <v>5.5960000000000001</v>
      </c>
      <c r="F8" s="128" t="s">
        <v>104</v>
      </c>
      <c r="J8" s="103" t="s">
        <v>273</v>
      </c>
    </row>
    <row r="9" spans="1:12">
      <c r="D9" s="106"/>
      <c r="E9" s="101"/>
      <c r="J9" s="103"/>
    </row>
    <row r="10" spans="1:12">
      <c r="B10" s="250" t="s">
        <v>209</v>
      </c>
      <c r="D10" s="223"/>
      <c r="E10" s="128" t="s">
        <v>216</v>
      </c>
      <c r="J10" s="103" t="s">
        <v>227</v>
      </c>
    </row>
    <row r="11" spans="1:12" hidden="1">
      <c r="C11" s="97" t="s">
        <v>63</v>
      </c>
      <c r="F11" s="107" t="s">
        <v>64</v>
      </c>
      <c r="J11" s="108"/>
    </row>
    <row r="12" spans="1:12" hidden="1">
      <c r="C12" s="97" t="s">
        <v>65</v>
      </c>
      <c r="F12" s="96" t="s">
        <v>66</v>
      </c>
    </row>
    <row r="13" spans="1:12" hidden="1">
      <c r="C13" s="97" t="s">
        <v>67</v>
      </c>
      <c r="F13" s="109" t="s">
        <v>68</v>
      </c>
    </row>
    <row r="14" spans="1:12" hidden="1">
      <c r="C14" s="97" t="s">
        <v>69</v>
      </c>
      <c r="F14" s="96" t="s">
        <v>70</v>
      </c>
    </row>
    <row r="15" spans="1:12" hidden="1">
      <c r="C15" s="110" t="s">
        <v>71</v>
      </c>
      <c r="F15" s="96" t="s">
        <v>70</v>
      </c>
    </row>
    <row r="16" spans="1:12" hidden="1">
      <c r="C16" s="110" t="s">
        <v>72</v>
      </c>
      <c r="F16" s="96" t="s">
        <v>70</v>
      </c>
    </row>
    <row r="17" spans="1:16" hidden="1">
      <c r="E17" s="111"/>
    </row>
    <row r="18" spans="1:16">
      <c r="C18" s="110" t="s">
        <v>73</v>
      </c>
      <c r="E18" s="112">
        <f>'Sch III GBA'!K171</f>
        <v>-50793.205111476389</v>
      </c>
      <c r="G18" s="220" t="s">
        <v>268</v>
      </c>
      <c r="J18" s="103" t="s">
        <v>186</v>
      </c>
    </row>
    <row r="19" spans="1:16">
      <c r="J19" s="103"/>
    </row>
    <row r="20" spans="1:16" ht="16.2" thickBot="1">
      <c r="C20" s="97" t="s">
        <v>269</v>
      </c>
      <c r="E20" s="113">
        <f>E18</f>
        <v>-50793.205111476389</v>
      </c>
      <c r="G20" s="100" t="s">
        <v>322</v>
      </c>
      <c r="J20" s="103" t="s">
        <v>204</v>
      </c>
    </row>
    <row r="21" spans="1:16" ht="16.2" thickTop="1">
      <c r="F21" s="114"/>
      <c r="J21" s="103"/>
    </row>
    <row r="22" spans="1:16">
      <c r="B22" s="250" t="s">
        <v>212</v>
      </c>
      <c r="J22" s="115"/>
      <c r="N22" s="287" t="s">
        <v>318</v>
      </c>
      <c r="O22" s="289"/>
    </row>
    <row r="23" spans="1:16">
      <c r="C23" s="97" t="s">
        <v>211</v>
      </c>
      <c r="E23" s="104"/>
      <c r="F23" s="278">
        <f>ROUND('Sched II EGC '!$G$39,3)</f>
        <v>5.5960000000000001</v>
      </c>
      <c r="G23" s="100" t="s">
        <v>217</v>
      </c>
      <c r="J23" s="103" t="s">
        <v>267</v>
      </c>
      <c r="N23" s="288">
        <v>5.59</v>
      </c>
      <c r="O23" s="287"/>
    </row>
    <row r="24" spans="1:16">
      <c r="C24" s="97" t="s">
        <v>321</v>
      </c>
      <c r="E24" s="104"/>
      <c r="F24" s="279">
        <f>-ROUND(E20/(E5),4)</f>
        <v>0.13539999999999999</v>
      </c>
      <c r="G24" s="100" t="s">
        <v>219</v>
      </c>
      <c r="H24" s="116"/>
      <c r="J24" s="103" t="s">
        <v>189</v>
      </c>
      <c r="N24" s="304">
        <v>-3.43</v>
      </c>
      <c r="O24" s="289"/>
    </row>
    <row r="25" spans="1:16">
      <c r="E25" s="104"/>
      <c r="F25" s="117"/>
      <c r="H25" s="116"/>
      <c r="J25" s="103" t="s">
        <v>205</v>
      </c>
      <c r="N25" s="289"/>
      <c r="O25" s="289"/>
    </row>
    <row r="26" spans="1:16">
      <c r="C26" s="97" t="s">
        <v>213</v>
      </c>
      <c r="E26" s="104"/>
      <c r="F26" s="277">
        <f>SUM(F23:F25)</f>
        <v>5.7313999999999998</v>
      </c>
      <c r="G26" s="128" t="s">
        <v>104</v>
      </c>
      <c r="J26" s="103" t="s">
        <v>206</v>
      </c>
      <c r="N26" s="288">
        <f>SUM(N23:N24)</f>
        <v>2.1599999999999997</v>
      </c>
      <c r="O26" s="300">
        <f>N26-F26</f>
        <v>-3.5714000000000001</v>
      </c>
      <c r="P26" s="225" t="s">
        <v>319</v>
      </c>
    </row>
    <row r="27" spans="1:16">
      <c r="E27" s="104"/>
      <c r="F27" s="118"/>
      <c r="G27" s="101"/>
      <c r="J27" s="103"/>
      <c r="O27" s="287" t="s">
        <v>264</v>
      </c>
    </row>
    <row r="28" spans="1:16">
      <c r="E28" s="104"/>
      <c r="F28" s="119"/>
      <c r="G28" s="101"/>
      <c r="J28" s="103"/>
    </row>
    <row r="29" spans="1:16">
      <c r="A29" s="228" t="s">
        <v>187</v>
      </c>
      <c r="B29" s="97"/>
      <c r="C29" s="223"/>
      <c r="D29" s="120" t="s">
        <v>102</v>
      </c>
      <c r="E29" s="121"/>
      <c r="F29" s="95"/>
      <c r="G29" s="95"/>
      <c r="J29" s="103"/>
    </row>
    <row r="30" spans="1:16">
      <c r="B30" s="97"/>
      <c r="C30" s="243" t="s">
        <v>188</v>
      </c>
      <c r="D30" s="243" t="s">
        <v>80</v>
      </c>
      <c r="E30" s="243" t="s">
        <v>214</v>
      </c>
      <c r="F30" s="122" t="s">
        <v>17</v>
      </c>
      <c r="G30" s="223"/>
      <c r="J30" s="103"/>
    </row>
    <row r="31" spans="1:16">
      <c r="B31" s="123" t="s">
        <v>108</v>
      </c>
      <c r="G31" s="223"/>
      <c r="J31" s="103"/>
    </row>
    <row r="32" spans="1:16">
      <c r="B32" s="97" t="s">
        <v>74</v>
      </c>
      <c r="C32" s="124">
        <v>4.22</v>
      </c>
      <c r="D32" s="241">
        <f>F23</f>
        <v>5.5960000000000001</v>
      </c>
      <c r="E32" s="242">
        <f>F24</f>
        <v>0.13539999999999999</v>
      </c>
      <c r="F32" s="275">
        <f>SUM(C32:E32)</f>
        <v>9.9513999999999996</v>
      </c>
      <c r="G32" s="128" t="s">
        <v>220</v>
      </c>
      <c r="J32" s="151">
        <f>D32+E32</f>
        <v>5.7313999999999998</v>
      </c>
      <c r="K32" s="100" t="s">
        <v>190</v>
      </c>
    </row>
    <row r="33" spans="1:13">
      <c r="B33" s="97" t="s">
        <v>75</v>
      </c>
      <c r="C33" s="124">
        <v>4.22</v>
      </c>
      <c r="D33" s="124">
        <f>'Sch III GBA'!$M$161</f>
        <v>6.2594000000000003</v>
      </c>
      <c r="E33" s="124">
        <f>'Sch III GBA'!$N$161</f>
        <v>-3.2437</v>
      </c>
      <c r="F33" s="276">
        <f>SUM(C33:E33)</f>
        <v>7.2356999999999996</v>
      </c>
      <c r="G33" s="223"/>
      <c r="I33" s="301" t="s">
        <v>320</v>
      </c>
      <c r="J33" s="103" t="s">
        <v>191</v>
      </c>
      <c r="K33" s="225"/>
    </row>
    <row r="34" spans="1:13">
      <c r="B34" s="97" t="s">
        <v>76</v>
      </c>
      <c r="C34" s="124">
        <f>(C32-C33)</f>
        <v>0</v>
      </c>
      <c r="D34" s="125">
        <f>(D32-D33)</f>
        <v>-0.66340000000000021</v>
      </c>
      <c r="E34" s="125">
        <f>(E32-E33)</f>
        <v>3.3791000000000002</v>
      </c>
      <c r="F34" s="276">
        <f>SUM(C34:E34)</f>
        <v>2.7157</v>
      </c>
      <c r="G34" s="223"/>
      <c r="J34" s="103" t="s">
        <v>192</v>
      </c>
    </row>
    <row r="35" spans="1:13">
      <c r="B35" s="97"/>
      <c r="C35" s="124"/>
      <c r="D35" s="125"/>
      <c r="E35" s="125"/>
      <c r="F35" s="276"/>
      <c r="G35" s="223"/>
      <c r="J35" s="103"/>
    </row>
    <row r="36" spans="1:13">
      <c r="B36" s="123" t="s">
        <v>77</v>
      </c>
      <c r="C36" s="124"/>
      <c r="D36" s="125"/>
      <c r="E36" s="125"/>
      <c r="F36" s="276"/>
      <c r="G36" s="223"/>
      <c r="J36" s="103"/>
    </row>
    <row r="37" spans="1:13">
      <c r="B37" s="97" t="s">
        <v>74</v>
      </c>
      <c r="C37" s="124">
        <v>3.4453999999999998</v>
      </c>
      <c r="D37" s="125">
        <f>D32</f>
        <v>5.5960000000000001</v>
      </c>
      <c r="E37" s="125">
        <f>E32</f>
        <v>0.13539999999999999</v>
      </c>
      <c r="F37" s="275">
        <f>SUM(C37:E37)</f>
        <v>9.1768000000000001</v>
      </c>
      <c r="G37" s="128" t="s">
        <v>220</v>
      </c>
      <c r="J37" s="103"/>
    </row>
    <row r="38" spans="1:13">
      <c r="B38" s="97" t="s">
        <v>75</v>
      </c>
      <c r="C38" s="124">
        <v>3.4453999999999998</v>
      </c>
      <c r="D38" s="125">
        <f>D33</f>
        <v>6.2594000000000003</v>
      </c>
      <c r="E38" s="125">
        <f>E33</f>
        <v>-3.2437</v>
      </c>
      <c r="F38" s="276">
        <f>SUM(C38:E38)</f>
        <v>6.4611000000000001</v>
      </c>
      <c r="G38" s="223"/>
      <c r="J38" s="103" t="s">
        <v>245</v>
      </c>
    </row>
    <row r="39" spans="1:13">
      <c r="B39" s="97" t="s">
        <v>76</v>
      </c>
      <c r="C39" s="124">
        <f>(C37-C38)</f>
        <v>0</v>
      </c>
      <c r="D39" s="125">
        <f>(D37-D38)</f>
        <v>-0.66340000000000021</v>
      </c>
      <c r="E39" s="125">
        <f>(E37-E38)</f>
        <v>3.3791000000000002</v>
      </c>
      <c r="F39" s="276">
        <f>SUM(C39:E39)</f>
        <v>2.7157</v>
      </c>
      <c r="G39" s="223"/>
      <c r="J39" s="103" t="s">
        <v>247</v>
      </c>
    </row>
    <row r="40" spans="1:13">
      <c r="B40" s="97"/>
      <c r="C40" s="124"/>
      <c r="D40" s="125"/>
      <c r="E40" s="125"/>
      <c r="F40" s="125"/>
      <c r="G40" s="125"/>
      <c r="J40" s="103"/>
    </row>
    <row r="41" spans="1:13">
      <c r="B41" s="97"/>
      <c r="C41" s="104"/>
      <c r="D41" s="104"/>
      <c r="E41" s="104"/>
      <c r="F41" s="104"/>
      <c r="G41" s="119"/>
      <c r="J41" s="103"/>
    </row>
    <row r="42" spans="1:13">
      <c r="A42" s="228" t="s">
        <v>193</v>
      </c>
      <c r="I42" s="100"/>
      <c r="J42" s="103"/>
    </row>
    <row r="43" spans="1:13">
      <c r="B43" s="123" t="s">
        <v>79</v>
      </c>
      <c r="C43" s="129" t="s">
        <v>79</v>
      </c>
      <c r="D43" s="129" t="s">
        <v>80</v>
      </c>
      <c r="E43" s="129" t="s">
        <v>81</v>
      </c>
      <c r="F43" s="129" t="s">
        <v>82</v>
      </c>
      <c r="G43" s="95"/>
      <c r="H43" s="95"/>
      <c r="J43" s="103"/>
      <c r="L43" s="230"/>
      <c r="M43" s="230"/>
    </row>
    <row r="44" spans="1:13">
      <c r="A44" s="230" t="s">
        <v>88</v>
      </c>
      <c r="B44" s="123" t="s">
        <v>103</v>
      </c>
      <c r="C44" s="129" t="s">
        <v>83</v>
      </c>
      <c r="D44" s="129" t="s">
        <v>84</v>
      </c>
      <c r="E44" s="129" t="s">
        <v>85</v>
      </c>
      <c r="F44" s="129" t="s">
        <v>85</v>
      </c>
      <c r="G44" s="129" t="s">
        <v>86</v>
      </c>
      <c r="H44" s="129" t="s">
        <v>87</v>
      </c>
      <c r="J44" s="103"/>
      <c r="L44" s="230"/>
      <c r="M44" s="230"/>
    </row>
    <row r="45" spans="1:13">
      <c r="A45" s="229"/>
      <c r="B45" s="130"/>
      <c r="C45" s="130"/>
      <c r="D45" s="130"/>
      <c r="E45" s="130"/>
      <c r="J45" s="103"/>
    </row>
    <row r="46" spans="1:13">
      <c r="A46" s="240" t="s">
        <v>89</v>
      </c>
      <c r="B46" s="131">
        <f t="shared" ref="B46:B57" si="0">C46*B$58</f>
        <v>10.7</v>
      </c>
      <c r="C46" s="127">
        <v>0.214</v>
      </c>
      <c r="D46" s="126">
        <f t="shared" ref="D46:D57" si="1">B46*D$60</f>
        <v>106.47997999999998</v>
      </c>
      <c r="E46" s="126">
        <f>D46+15</f>
        <v>121.47997999999998</v>
      </c>
      <c r="F46" s="126">
        <f t="shared" ref="F46:F57" si="2">(B46*F$60)+15</f>
        <v>92.421989999999994</v>
      </c>
      <c r="G46" s="126">
        <f>E46-F46</f>
        <v>29.05798999999999</v>
      </c>
      <c r="H46" s="127">
        <f>G46/F46</f>
        <v>0.3144055868089401</v>
      </c>
      <c r="J46" s="103"/>
      <c r="L46" s="232"/>
      <c r="M46" s="232"/>
    </row>
    <row r="47" spans="1:13">
      <c r="A47" s="240" t="s">
        <v>90</v>
      </c>
      <c r="B47" s="131">
        <f t="shared" si="0"/>
        <v>9.4499999999999993</v>
      </c>
      <c r="C47" s="127">
        <v>0.189</v>
      </c>
      <c r="D47" s="132">
        <f t="shared" si="1"/>
        <v>94.040729999999982</v>
      </c>
      <c r="E47" s="132">
        <f t="shared" ref="E47:E57" si="3">D47+15</f>
        <v>109.04072999999998</v>
      </c>
      <c r="F47" s="132">
        <f t="shared" si="2"/>
        <v>83.377364999999998</v>
      </c>
      <c r="G47" s="132">
        <f t="shared" ref="G47:G57" si="4">E47-F47</f>
        <v>25.663364999999985</v>
      </c>
      <c r="H47" s="127">
        <f t="shared" ref="H47:H58" si="5">G47/F47</f>
        <v>0.30779774582705971</v>
      </c>
      <c r="J47" s="103"/>
      <c r="L47" s="233"/>
      <c r="M47" s="233"/>
    </row>
    <row r="48" spans="1:13">
      <c r="A48" s="240" t="s">
        <v>91</v>
      </c>
      <c r="B48" s="131">
        <f t="shared" si="0"/>
        <v>6.9</v>
      </c>
      <c r="C48" s="127">
        <v>0.13800000000000001</v>
      </c>
      <c r="D48" s="132">
        <f t="shared" si="1"/>
        <v>68.664659999999998</v>
      </c>
      <c r="E48" s="132">
        <f t="shared" si="3"/>
        <v>83.664659999999998</v>
      </c>
      <c r="F48" s="132">
        <f t="shared" si="2"/>
        <v>64.926330000000007</v>
      </c>
      <c r="G48" s="132">
        <f t="shared" si="4"/>
        <v>18.738329999999991</v>
      </c>
      <c r="H48" s="127">
        <f t="shared" si="5"/>
        <v>0.2886091051196023</v>
      </c>
      <c r="J48" s="103"/>
      <c r="L48" s="233"/>
      <c r="M48" s="233"/>
    </row>
    <row r="49" spans="1:14">
      <c r="A49" s="240" t="s">
        <v>92</v>
      </c>
      <c r="B49" s="131">
        <f t="shared" si="0"/>
        <v>3.45</v>
      </c>
      <c r="C49" s="127">
        <v>6.9000000000000006E-2</v>
      </c>
      <c r="D49" s="132">
        <f t="shared" si="1"/>
        <v>34.332329999999999</v>
      </c>
      <c r="E49" s="132">
        <f t="shared" si="3"/>
        <v>49.332329999999999</v>
      </c>
      <c r="F49" s="132">
        <f t="shared" si="2"/>
        <v>39.963165000000004</v>
      </c>
      <c r="G49" s="132">
        <f t="shared" si="4"/>
        <v>9.3691649999999953</v>
      </c>
      <c r="H49" s="127">
        <f t="shared" si="5"/>
        <v>0.23444501955738478</v>
      </c>
      <c r="J49" s="103"/>
      <c r="L49" s="233"/>
      <c r="M49" s="233"/>
    </row>
    <row r="50" spans="1:14">
      <c r="A50" s="240" t="s">
        <v>93</v>
      </c>
      <c r="B50" s="131">
        <f t="shared" si="0"/>
        <v>1.55</v>
      </c>
      <c r="C50" s="127">
        <v>3.1E-2</v>
      </c>
      <c r="D50" s="132">
        <f t="shared" si="1"/>
        <v>15.424669999999999</v>
      </c>
      <c r="E50" s="132">
        <f t="shared" si="3"/>
        <v>30.424669999999999</v>
      </c>
      <c r="F50" s="132">
        <f t="shared" si="2"/>
        <v>26.215335</v>
      </c>
      <c r="G50" s="132">
        <f t="shared" si="4"/>
        <v>4.2093349999999994</v>
      </c>
      <c r="H50" s="127">
        <f t="shared" si="5"/>
        <v>0.16056766011191539</v>
      </c>
      <c r="J50" s="103"/>
      <c r="M50" s="233"/>
    </row>
    <row r="51" spans="1:14">
      <c r="A51" s="240" t="s">
        <v>94</v>
      </c>
      <c r="B51" s="131">
        <f t="shared" si="0"/>
        <v>0.70000000000000007</v>
      </c>
      <c r="C51" s="127">
        <v>1.4E-2</v>
      </c>
      <c r="D51" s="132">
        <f t="shared" si="1"/>
        <v>6.9659800000000001</v>
      </c>
      <c r="E51" s="132">
        <f t="shared" si="3"/>
        <v>21.965980000000002</v>
      </c>
      <c r="F51" s="132">
        <f t="shared" si="2"/>
        <v>20.064990000000002</v>
      </c>
      <c r="G51" s="132">
        <f t="shared" si="4"/>
        <v>1.9009900000000002</v>
      </c>
      <c r="H51" s="127">
        <f t="shared" si="5"/>
        <v>9.4741637050404712E-2</v>
      </c>
      <c r="J51" s="103"/>
      <c r="M51" s="233"/>
    </row>
    <row r="52" spans="1:14">
      <c r="A52" s="240" t="s">
        <v>95</v>
      </c>
      <c r="B52" s="131">
        <f t="shared" si="0"/>
        <v>0.54999999999999993</v>
      </c>
      <c r="C52" s="127">
        <v>1.0999999999999999E-2</v>
      </c>
      <c r="D52" s="132">
        <f t="shared" si="1"/>
        <v>5.4732699999999994</v>
      </c>
      <c r="E52" s="132">
        <f t="shared" si="3"/>
        <v>20.473269999999999</v>
      </c>
      <c r="F52" s="132">
        <f t="shared" si="2"/>
        <v>18.979634999999998</v>
      </c>
      <c r="G52" s="132">
        <f t="shared" si="4"/>
        <v>1.4936350000000012</v>
      </c>
      <c r="H52" s="127">
        <f t="shared" si="5"/>
        <v>7.8696718877892077E-2</v>
      </c>
      <c r="J52" s="103"/>
      <c r="M52" s="233"/>
    </row>
    <row r="53" spans="1:14">
      <c r="A53" s="240" t="s">
        <v>96</v>
      </c>
      <c r="B53" s="131">
        <f t="shared" si="0"/>
        <v>0.54999999999999993</v>
      </c>
      <c r="C53" s="127">
        <v>1.0999999999999999E-2</v>
      </c>
      <c r="D53" s="132">
        <f t="shared" si="1"/>
        <v>5.4732699999999994</v>
      </c>
      <c r="E53" s="132">
        <f t="shared" si="3"/>
        <v>20.473269999999999</v>
      </c>
      <c r="F53" s="132">
        <f t="shared" si="2"/>
        <v>18.979634999999998</v>
      </c>
      <c r="G53" s="132">
        <f t="shared" si="4"/>
        <v>1.4936350000000012</v>
      </c>
      <c r="H53" s="127">
        <f t="shared" si="5"/>
        <v>7.8696718877892077E-2</v>
      </c>
      <c r="J53" s="103"/>
      <c r="M53" s="233"/>
    </row>
    <row r="54" spans="1:14">
      <c r="A54" s="240" t="s">
        <v>97</v>
      </c>
      <c r="B54" s="131">
        <f t="shared" si="0"/>
        <v>0.6</v>
      </c>
      <c r="C54" s="127">
        <v>1.2E-2</v>
      </c>
      <c r="D54" s="132">
        <f t="shared" si="1"/>
        <v>5.9708399999999999</v>
      </c>
      <c r="E54" s="132">
        <f t="shared" si="3"/>
        <v>20.970839999999999</v>
      </c>
      <c r="F54" s="132">
        <f t="shared" si="2"/>
        <v>19.341419999999999</v>
      </c>
      <c r="G54" s="132">
        <f t="shared" si="4"/>
        <v>1.6294199999999996</v>
      </c>
      <c r="H54" s="127">
        <f t="shared" si="5"/>
        <v>8.4245107132775138E-2</v>
      </c>
      <c r="J54" s="103"/>
      <c r="M54" s="233"/>
    </row>
    <row r="55" spans="1:14">
      <c r="A55" s="240" t="s">
        <v>98</v>
      </c>
      <c r="B55" s="131">
        <f t="shared" si="0"/>
        <v>2.0500000000000003</v>
      </c>
      <c r="C55" s="127">
        <v>4.1000000000000002E-2</v>
      </c>
      <c r="D55" s="132">
        <f t="shared" si="1"/>
        <v>20.400370000000002</v>
      </c>
      <c r="E55" s="132">
        <f t="shared" si="3"/>
        <v>35.400370000000002</v>
      </c>
      <c r="F55" s="132">
        <f t="shared" si="2"/>
        <v>29.833185</v>
      </c>
      <c r="G55" s="132">
        <f t="shared" si="4"/>
        <v>5.567185000000002</v>
      </c>
      <c r="H55" s="127">
        <f t="shared" si="5"/>
        <v>0.18661048091244706</v>
      </c>
      <c r="J55" s="103"/>
      <c r="L55" s="234"/>
      <c r="M55" s="233"/>
    </row>
    <row r="56" spans="1:14">
      <c r="A56" s="240" t="s">
        <v>99</v>
      </c>
      <c r="B56" s="131">
        <f t="shared" si="0"/>
        <v>5.75</v>
      </c>
      <c r="C56" s="127">
        <v>0.115</v>
      </c>
      <c r="D56" s="132">
        <f t="shared" si="1"/>
        <v>57.220549999999996</v>
      </c>
      <c r="E56" s="132">
        <f t="shared" si="3"/>
        <v>72.220550000000003</v>
      </c>
      <c r="F56" s="132">
        <f t="shared" si="2"/>
        <v>56.605274999999999</v>
      </c>
      <c r="G56" s="132">
        <f t="shared" si="4"/>
        <v>15.615275000000004</v>
      </c>
      <c r="H56" s="127">
        <f t="shared" si="5"/>
        <v>0.27586254107943126</v>
      </c>
      <c r="J56" s="103"/>
      <c r="L56" s="234"/>
      <c r="M56" s="233"/>
    </row>
    <row r="57" spans="1:14">
      <c r="A57" s="240" t="s">
        <v>100</v>
      </c>
      <c r="B57" s="133">
        <f t="shared" si="0"/>
        <v>7.75</v>
      </c>
      <c r="C57" s="134">
        <v>0.155</v>
      </c>
      <c r="D57" s="135">
        <f t="shared" si="1"/>
        <v>77.123350000000002</v>
      </c>
      <c r="E57" s="135">
        <f t="shared" si="3"/>
        <v>92.123350000000002</v>
      </c>
      <c r="F57" s="135">
        <f t="shared" si="2"/>
        <v>71.076674999999994</v>
      </c>
      <c r="G57" s="135">
        <f t="shared" si="4"/>
        <v>21.046675000000008</v>
      </c>
      <c r="H57" s="134">
        <f t="shared" si="5"/>
        <v>0.29611226186368467</v>
      </c>
      <c r="J57" s="103"/>
      <c r="K57" s="225"/>
      <c r="L57" s="235"/>
      <c r="M57" s="236"/>
    </row>
    <row r="58" spans="1:14">
      <c r="A58" s="229" t="s">
        <v>23</v>
      </c>
      <c r="B58" s="136">
        <v>50</v>
      </c>
      <c r="C58" s="137">
        <f>SUM(C46:C57)</f>
        <v>1.0000000000000002</v>
      </c>
      <c r="D58" s="105">
        <f>SUM(D46:D57)</f>
        <v>497.57</v>
      </c>
      <c r="E58" s="105">
        <f>SUM(E46:E57)</f>
        <v>677.56999999999994</v>
      </c>
      <c r="F58" s="105">
        <f>SUM(F46:F57)</f>
        <v>541.78499999999997</v>
      </c>
      <c r="G58" s="105">
        <f>SUM(G46:G57)</f>
        <v>135.78499999999997</v>
      </c>
      <c r="H58" s="138">
        <f t="shared" si="5"/>
        <v>0.25062524802273961</v>
      </c>
      <c r="J58" s="103" t="s">
        <v>194</v>
      </c>
      <c r="K58" s="227"/>
      <c r="L58" s="227"/>
      <c r="M58" s="227"/>
      <c r="N58" s="237"/>
    </row>
    <row r="59" spans="1:14">
      <c r="B59" s="97"/>
      <c r="C59" s="96"/>
      <c r="J59" s="103"/>
      <c r="K59" s="231"/>
    </row>
    <row r="60" spans="1:14">
      <c r="B60" s="97"/>
      <c r="C60" s="96"/>
      <c r="D60" s="139">
        <f>F32</f>
        <v>9.9513999999999996</v>
      </c>
      <c r="E60" s="129" t="s">
        <v>105</v>
      </c>
      <c r="F60" s="139">
        <f>F33</f>
        <v>7.2356999999999996</v>
      </c>
      <c r="G60" s="98" t="s">
        <v>105</v>
      </c>
      <c r="J60" s="103" t="s">
        <v>308</v>
      </c>
      <c r="K60" s="238"/>
      <c r="L60" s="238"/>
      <c r="M60" s="238"/>
      <c r="N60" s="225"/>
    </row>
    <row r="61" spans="1:14">
      <c r="D61" s="268">
        <f>D60-F60</f>
        <v>2.7157</v>
      </c>
      <c r="E61" s="269" t="s">
        <v>246</v>
      </c>
      <c r="F61" s="129"/>
      <c r="G61" s="140"/>
      <c r="H61" s="129"/>
      <c r="J61" s="103"/>
      <c r="K61" s="239"/>
      <c r="M61" s="225"/>
    </row>
    <row r="62" spans="1:14">
      <c r="C62" s="100" t="s">
        <v>101</v>
      </c>
      <c r="J62" s="103" t="s">
        <v>195</v>
      </c>
    </row>
  </sheetData>
  <phoneticPr fontId="35" type="noConversion"/>
  <printOptions horizontalCentered="1"/>
  <pageMargins left="0.3" right="0.3" top="0.75" bottom="0.5" header="0.3" footer="0.3"/>
  <pageSetup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DC21-E71A-4ED7-9DBE-95745B1C905C}">
  <dimension ref="A1:R64"/>
  <sheetViews>
    <sheetView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D3" sqref="D3"/>
    </sheetView>
  </sheetViews>
  <sheetFormatPr defaultColWidth="9.109375" defaultRowHeight="15.6"/>
  <cols>
    <col min="1" max="1" width="3" style="160" customWidth="1"/>
    <col min="2" max="2" width="34.33203125" style="159" customWidth="1"/>
    <col min="3" max="6" width="13.33203125" style="159" customWidth="1"/>
    <col min="7" max="7" width="14.44140625" style="159" customWidth="1"/>
    <col min="8" max="8" width="9.109375" style="159" customWidth="1"/>
    <col min="9" max="9" width="9.21875" style="159" bestFit="1" customWidth="1"/>
    <col min="10" max="10" width="9.109375" style="159" customWidth="1"/>
    <col min="11" max="12" width="12.77734375" style="159" customWidth="1"/>
    <col min="13" max="13" width="10" style="159" bestFit="1" customWidth="1"/>
    <col min="14" max="15" width="11.109375" style="159" customWidth="1"/>
    <col min="16" max="255" width="9.109375" style="159"/>
    <col min="256" max="256" width="3.5546875" style="159" customWidth="1"/>
    <col min="257" max="257" width="19.6640625" style="159" customWidth="1"/>
    <col min="258" max="258" width="14.5546875" style="159" customWidth="1"/>
    <col min="259" max="259" width="10.88671875" style="159" customWidth="1"/>
    <col min="260" max="260" width="13" style="159" customWidth="1"/>
    <col min="261" max="261" width="12.44140625" style="159" customWidth="1"/>
    <col min="262" max="262" width="14.88671875" style="159" customWidth="1"/>
    <col min="263" max="511" width="9.109375" style="159"/>
    <col min="512" max="512" width="3.5546875" style="159" customWidth="1"/>
    <col min="513" max="513" width="19.6640625" style="159" customWidth="1"/>
    <col min="514" max="514" width="14.5546875" style="159" customWidth="1"/>
    <col min="515" max="515" width="10.88671875" style="159" customWidth="1"/>
    <col min="516" max="516" width="13" style="159" customWidth="1"/>
    <col min="517" max="517" width="12.44140625" style="159" customWidth="1"/>
    <col min="518" max="518" width="14.88671875" style="159" customWidth="1"/>
    <col min="519" max="767" width="9.109375" style="159"/>
    <col min="768" max="768" width="3.5546875" style="159" customWidth="1"/>
    <col min="769" max="769" width="19.6640625" style="159" customWidth="1"/>
    <col min="770" max="770" width="14.5546875" style="159" customWidth="1"/>
    <col min="771" max="771" width="10.88671875" style="159" customWidth="1"/>
    <col min="772" max="772" width="13" style="159" customWidth="1"/>
    <col min="773" max="773" width="12.44140625" style="159" customWidth="1"/>
    <col min="774" max="774" width="14.88671875" style="159" customWidth="1"/>
    <col min="775" max="1023" width="9.109375" style="159"/>
    <col min="1024" max="1024" width="3.5546875" style="159" customWidth="1"/>
    <col min="1025" max="1025" width="19.6640625" style="159" customWidth="1"/>
    <col min="1026" max="1026" width="14.5546875" style="159" customWidth="1"/>
    <col min="1027" max="1027" width="10.88671875" style="159" customWidth="1"/>
    <col min="1028" max="1028" width="13" style="159" customWidth="1"/>
    <col min="1029" max="1029" width="12.44140625" style="159" customWidth="1"/>
    <col min="1030" max="1030" width="14.88671875" style="159" customWidth="1"/>
    <col min="1031" max="1279" width="9.109375" style="159"/>
    <col min="1280" max="1280" width="3.5546875" style="159" customWidth="1"/>
    <col min="1281" max="1281" width="19.6640625" style="159" customWidth="1"/>
    <col min="1282" max="1282" width="14.5546875" style="159" customWidth="1"/>
    <col min="1283" max="1283" width="10.88671875" style="159" customWidth="1"/>
    <col min="1284" max="1284" width="13" style="159" customWidth="1"/>
    <col min="1285" max="1285" width="12.44140625" style="159" customWidth="1"/>
    <col min="1286" max="1286" width="14.88671875" style="159" customWidth="1"/>
    <col min="1287" max="1535" width="9.109375" style="159"/>
    <col min="1536" max="1536" width="3.5546875" style="159" customWidth="1"/>
    <col min="1537" max="1537" width="19.6640625" style="159" customWidth="1"/>
    <col min="1538" max="1538" width="14.5546875" style="159" customWidth="1"/>
    <col min="1539" max="1539" width="10.88671875" style="159" customWidth="1"/>
    <col min="1540" max="1540" width="13" style="159" customWidth="1"/>
    <col min="1541" max="1541" width="12.44140625" style="159" customWidth="1"/>
    <col min="1542" max="1542" width="14.88671875" style="159" customWidth="1"/>
    <col min="1543" max="1791" width="9.109375" style="159"/>
    <col min="1792" max="1792" width="3.5546875" style="159" customWidth="1"/>
    <col min="1793" max="1793" width="19.6640625" style="159" customWidth="1"/>
    <col min="1794" max="1794" width="14.5546875" style="159" customWidth="1"/>
    <col min="1795" max="1795" width="10.88671875" style="159" customWidth="1"/>
    <col min="1796" max="1796" width="13" style="159" customWidth="1"/>
    <col min="1797" max="1797" width="12.44140625" style="159" customWidth="1"/>
    <col min="1798" max="1798" width="14.88671875" style="159" customWidth="1"/>
    <col min="1799" max="2047" width="9.109375" style="159"/>
    <col min="2048" max="2048" width="3.5546875" style="159" customWidth="1"/>
    <col min="2049" max="2049" width="19.6640625" style="159" customWidth="1"/>
    <col min="2050" max="2050" width="14.5546875" style="159" customWidth="1"/>
    <col min="2051" max="2051" width="10.88671875" style="159" customWidth="1"/>
    <col min="2052" max="2052" width="13" style="159" customWidth="1"/>
    <col min="2053" max="2053" width="12.44140625" style="159" customWidth="1"/>
    <col min="2054" max="2054" width="14.88671875" style="159" customWidth="1"/>
    <col min="2055" max="2303" width="9.109375" style="159"/>
    <col min="2304" max="2304" width="3.5546875" style="159" customWidth="1"/>
    <col min="2305" max="2305" width="19.6640625" style="159" customWidth="1"/>
    <col min="2306" max="2306" width="14.5546875" style="159" customWidth="1"/>
    <col min="2307" max="2307" width="10.88671875" style="159" customWidth="1"/>
    <col min="2308" max="2308" width="13" style="159" customWidth="1"/>
    <col min="2309" max="2309" width="12.44140625" style="159" customWidth="1"/>
    <col min="2310" max="2310" width="14.88671875" style="159" customWidth="1"/>
    <col min="2311" max="2559" width="9.109375" style="159"/>
    <col min="2560" max="2560" width="3.5546875" style="159" customWidth="1"/>
    <col min="2561" max="2561" width="19.6640625" style="159" customWidth="1"/>
    <col min="2562" max="2562" width="14.5546875" style="159" customWidth="1"/>
    <col min="2563" max="2563" width="10.88671875" style="159" customWidth="1"/>
    <col min="2564" max="2564" width="13" style="159" customWidth="1"/>
    <col min="2565" max="2565" width="12.44140625" style="159" customWidth="1"/>
    <col min="2566" max="2566" width="14.88671875" style="159" customWidth="1"/>
    <col min="2567" max="2815" width="9.109375" style="159"/>
    <col min="2816" max="2816" width="3.5546875" style="159" customWidth="1"/>
    <col min="2817" max="2817" width="19.6640625" style="159" customWidth="1"/>
    <col min="2818" max="2818" width="14.5546875" style="159" customWidth="1"/>
    <col min="2819" max="2819" width="10.88671875" style="159" customWidth="1"/>
    <col min="2820" max="2820" width="13" style="159" customWidth="1"/>
    <col min="2821" max="2821" width="12.44140625" style="159" customWidth="1"/>
    <col min="2822" max="2822" width="14.88671875" style="159" customWidth="1"/>
    <col min="2823" max="3071" width="9.109375" style="159"/>
    <col min="3072" max="3072" width="3.5546875" style="159" customWidth="1"/>
    <col min="3073" max="3073" width="19.6640625" style="159" customWidth="1"/>
    <col min="3074" max="3074" width="14.5546875" style="159" customWidth="1"/>
    <col min="3075" max="3075" width="10.88671875" style="159" customWidth="1"/>
    <col min="3076" max="3076" width="13" style="159" customWidth="1"/>
    <col min="3077" max="3077" width="12.44140625" style="159" customWidth="1"/>
    <col min="3078" max="3078" width="14.88671875" style="159" customWidth="1"/>
    <col min="3079" max="3327" width="9.109375" style="159"/>
    <col min="3328" max="3328" width="3.5546875" style="159" customWidth="1"/>
    <col min="3329" max="3329" width="19.6640625" style="159" customWidth="1"/>
    <col min="3330" max="3330" width="14.5546875" style="159" customWidth="1"/>
    <col min="3331" max="3331" width="10.88671875" style="159" customWidth="1"/>
    <col min="3332" max="3332" width="13" style="159" customWidth="1"/>
    <col min="3333" max="3333" width="12.44140625" style="159" customWidth="1"/>
    <col min="3334" max="3334" width="14.88671875" style="159" customWidth="1"/>
    <col min="3335" max="3583" width="9.109375" style="159"/>
    <col min="3584" max="3584" width="3.5546875" style="159" customWidth="1"/>
    <col min="3585" max="3585" width="19.6640625" style="159" customWidth="1"/>
    <col min="3586" max="3586" width="14.5546875" style="159" customWidth="1"/>
    <col min="3587" max="3587" width="10.88671875" style="159" customWidth="1"/>
    <col min="3588" max="3588" width="13" style="159" customWidth="1"/>
    <col min="3589" max="3589" width="12.44140625" style="159" customWidth="1"/>
    <col min="3590" max="3590" width="14.88671875" style="159" customWidth="1"/>
    <col min="3591" max="3839" width="9.109375" style="159"/>
    <col min="3840" max="3840" width="3.5546875" style="159" customWidth="1"/>
    <col min="3841" max="3841" width="19.6640625" style="159" customWidth="1"/>
    <col min="3842" max="3842" width="14.5546875" style="159" customWidth="1"/>
    <col min="3843" max="3843" width="10.88671875" style="159" customWidth="1"/>
    <col min="3844" max="3844" width="13" style="159" customWidth="1"/>
    <col min="3845" max="3845" width="12.44140625" style="159" customWidth="1"/>
    <col min="3846" max="3846" width="14.88671875" style="159" customWidth="1"/>
    <col min="3847" max="4095" width="9.109375" style="159"/>
    <col min="4096" max="4096" width="3.5546875" style="159" customWidth="1"/>
    <col min="4097" max="4097" width="19.6640625" style="159" customWidth="1"/>
    <col min="4098" max="4098" width="14.5546875" style="159" customWidth="1"/>
    <col min="4099" max="4099" width="10.88671875" style="159" customWidth="1"/>
    <col min="4100" max="4100" width="13" style="159" customWidth="1"/>
    <col min="4101" max="4101" width="12.44140625" style="159" customWidth="1"/>
    <col min="4102" max="4102" width="14.88671875" style="159" customWidth="1"/>
    <col min="4103" max="4351" width="9.109375" style="159"/>
    <col min="4352" max="4352" width="3.5546875" style="159" customWidth="1"/>
    <col min="4353" max="4353" width="19.6640625" style="159" customWidth="1"/>
    <col min="4354" max="4354" width="14.5546875" style="159" customWidth="1"/>
    <col min="4355" max="4355" width="10.88671875" style="159" customWidth="1"/>
    <col min="4356" max="4356" width="13" style="159" customWidth="1"/>
    <col min="4357" max="4357" width="12.44140625" style="159" customWidth="1"/>
    <col min="4358" max="4358" width="14.88671875" style="159" customWidth="1"/>
    <col min="4359" max="4607" width="9.109375" style="159"/>
    <col min="4608" max="4608" width="3.5546875" style="159" customWidth="1"/>
    <col min="4609" max="4609" width="19.6640625" style="159" customWidth="1"/>
    <col min="4610" max="4610" width="14.5546875" style="159" customWidth="1"/>
    <col min="4611" max="4611" width="10.88671875" style="159" customWidth="1"/>
    <col min="4612" max="4612" width="13" style="159" customWidth="1"/>
    <col min="4613" max="4613" width="12.44140625" style="159" customWidth="1"/>
    <col min="4614" max="4614" width="14.88671875" style="159" customWidth="1"/>
    <col min="4615" max="4863" width="9.109375" style="159"/>
    <col min="4864" max="4864" width="3.5546875" style="159" customWidth="1"/>
    <col min="4865" max="4865" width="19.6640625" style="159" customWidth="1"/>
    <col min="4866" max="4866" width="14.5546875" style="159" customWidth="1"/>
    <col min="4867" max="4867" width="10.88671875" style="159" customWidth="1"/>
    <col min="4868" max="4868" width="13" style="159" customWidth="1"/>
    <col min="4869" max="4869" width="12.44140625" style="159" customWidth="1"/>
    <col min="4870" max="4870" width="14.88671875" style="159" customWidth="1"/>
    <col min="4871" max="5119" width="9.109375" style="159"/>
    <col min="5120" max="5120" width="3.5546875" style="159" customWidth="1"/>
    <col min="5121" max="5121" width="19.6640625" style="159" customWidth="1"/>
    <col min="5122" max="5122" width="14.5546875" style="159" customWidth="1"/>
    <col min="5123" max="5123" width="10.88671875" style="159" customWidth="1"/>
    <col min="5124" max="5124" width="13" style="159" customWidth="1"/>
    <col min="5125" max="5125" width="12.44140625" style="159" customWidth="1"/>
    <col min="5126" max="5126" width="14.88671875" style="159" customWidth="1"/>
    <col min="5127" max="5375" width="9.109375" style="159"/>
    <col min="5376" max="5376" width="3.5546875" style="159" customWidth="1"/>
    <col min="5377" max="5377" width="19.6640625" style="159" customWidth="1"/>
    <col min="5378" max="5378" width="14.5546875" style="159" customWidth="1"/>
    <col min="5379" max="5379" width="10.88671875" style="159" customWidth="1"/>
    <col min="5380" max="5380" width="13" style="159" customWidth="1"/>
    <col min="5381" max="5381" width="12.44140625" style="159" customWidth="1"/>
    <col min="5382" max="5382" width="14.88671875" style="159" customWidth="1"/>
    <col min="5383" max="5631" width="9.109375" style="159"/>
    <col min="5632" max="5632" width="3.5546875" style="159" customWidth="1"/>
    <col min="5633" max="5633" width="19.6640625" style="159" customWidth="1"/>
    <col min="5634" max="5634" width="14.5546875" style="159" customWidth="1"/>
    <col min="5635" max="5635" width="10.88671875" style="159" customWidth="1"/>
    <col min="5636" max="5636" width="13" style="159" customWidth="1"/>
    <col min="5637" max="5637" width="12.44140625" style="159" customWidth="1"/>
    <col min="5638" max="5638" width="14.88671875" style="159" customWidth="1"/>
    <col min="5639" max="5887" width="9.109375" style="159"/>
    <col min="5888" max="5888" width="3.5546875" style="159" customWidth="1"/>
    <col min="5889" max="5889" width="19.6640625" style="159" customWidth="1"/>
    <col min="5890" max="5890" width="14.5546875" style="159" customWidth="1"/>
    <col min="5891" max="5891" width="10.88671875" style="159" customWidth="1"/>
    <col min="5892" max="5892" width="13" style="159" customWidth="1"/>
    <col min="5893" max="5893" width="12.44140625" style="159" customWidth="1"/>
    <col min="5894" max="5894" width="14.88671875" style="159" customWidth="1"/>
    <col min="5895" max="6143" width="9.109375" style="159"/>
    <col min="6144" max="6144" width="3.5546875" style="159" customWidth="1"/>
    <col min="6145" max="6145" width="19.6640625" style="159" customWidth="1"/>
    <col min="6146" max="6146" width="14.5546875" style="159" customWidth="1"/>
    <col min="6147" max="6147" width="10.88671875" style="159" customWidth="1"/>
    <col min="6148" max="6148" width="13" style="159" customWidth="1"/>
    <col min="6149" max="6149" width="12.44140625" style="159" customWidth="1"/>
    <col min="6150" max="6150" width="14.88671875" style="159" customWidth="1"/>
    <col min="6151" max="6399" width="9.109375" style="159"/>
    <col min="6400" max="6400" width="3.5546875" style="159" customWidth="1"/>
    <col min="6401" max="6401" width="19.6640625" style="159" customWidth="1"/>
    <col min="6402" max="6402" width="14.5546875" style="159" customWidth="1"/>
    <col min="6403" max="6403" width="10.88671875" style="159" customWidth="1"/>
    <col min="6404" max="6404" width="13" style="159" customWidth="1"/>
    <col min="6405" max="6405" width="12.44140625" style="159" customWidth="1"/>
    <col min="6406" max="6406" width="14.88671875" style="159" customWidth="1"/>
    <col min="6407" max="6655" width="9.109375" style="159"/>
    <col min="6656" max="6656" width="3.5546875" style="159" customWidth="1"/>
    <col min="6657" max="6657" width="19.6640625" style="159" customWidth="1"/>
    <col min="6658" max="6658" width="14.5546875" style="159" customWidth="1"/>
    <col min="6659" max="6659" width="10.88671875" style="159" customWidth="1"/>
    <col min="6660" max="6660" width="13" style="159" customWidth="1"/>
    <col min="6661" max="6661" width="12.44140625" style="159" customWidth="1"/>
    <col min="6662" max="6662" width="14.88671875" style="159" customWidth="1"/>
    <col min="6663" max="6911" width="9.109375" style="159"/>
    <col min="6912" max="6912" width="3.5546875" style="159" customWidth="1"/>
    <col min="6913" max="6913" width="19.6640625" style="159" customWidth="1"/>
    <col min="6914" max="6914" width="14.5546875" style="159" customWidth="1"/>
    <col min="6915" max="6915" width="10.88671875" style="159" customWidth="1"/>
    <col min="6916" max="6916" width="13" style="159" customWidth="1"/>
    <col min="6917" max="6917" width="12.44140625" style="159" customWidth="1"/>
    <col min="6918" max="6918" width="14.88671875" style="159" customWidth="1"/>
    <col min="6919" max="7167" width="9.109375" style="159"/>
    <col min="7168" max="7168" width="3.5546875" style="159" customWidth="1"/>
    <col min="7169" max="7169" width="19.6640625" style="159" customWidth="1"/>
    <col min="7170" max="7170" width="14.5546875" style="159" customWidth="1"/>
    <col min="7171" max="7171" width="10.88671875" style="159" customWidth="1"/>
    <col min="7172" max="7172" width="13" style="159" customWidth="1"/>
    <col min="7173" max="7173" width="12.44140625" style="159" customWidth="1"/>
    <col min="7174" max="7174" width="14.88671875" style="159" customWidth="1"/>
    <col min="7175" max="7423" width="9.109375" style="159"/>
    <col min="7424" max="7424" width="3.5546875" style="159" customWidth="1"/>
    <col min="7425" max="7425" width="19.6640625" style="159" customWidth="1"/>
    <col min="7426" max="7426" width="14.5546875" style="159" customWidth="1"/>
    <col min="7427" max="7427" width="10.88671875" style="159" customWidth="1"/>
    <col min="7428" max="7428" width="13" style="159" customWidth="1"/>
    <col min="7429" max="7429" width="12.44140625" style="159" customWidth="1"/>
    <col min="7430" max="7430" width="14.88671875" style="159" customWidth="1"/>
    <col min="7431" max="7679" width="9.109375" style="159"/>
    <col min="7680" max="7680" width="3.5546875" style="159" customWidth="1"/>
    <col min="7681" max="7681" width="19.6640625" style="159" customWidth="1"/>
    <col min="7682" max="7682" width="14.5546875" style="159" customWidth="1"/>
    <col min="7683" max="7683" width="10.88671875" style="159" customWidth="1"/>
    <col min="7684" max="7684" width="13" style="159" customWidth="1"/>
    <col min="7685" max="7685" width="12.44140625" style="159" customWidth="1"/>
    <col min="7686" max="7686" width="14.88671875" style="159" customWidth="1"/>
    <col min="7687" max="7935" width="9.109375" style="159"/>
    <col min="7936" max="7936" width="3.5546875" style="159" customWidth="1"/>
    <col min="7937" max="7937" width="19.6640625" style="159" customWidth="1"/>
    <col min="7938" max="7938" width="14.5546875" style="159" customWidth="1"/>
    <col min="7939" max="7939" width="10.88671875" style="159" customWidth="1"/>
    <col min="7940" max="7940" width="13" style="159" customWidth="1"/>
    <col min="7941" max="7941" width="12.44140625" style="159" customWidth="1"/>
    <col min="7942" max="7942" width="14.88671875" style="159" customWidth="1"/>
    <col min="7943" max="8191" width="9.109375" style="159"/>
    <col min="8192" max="8192" width="3.5546875" style="159" customWidth="1"/>
    <col min="8193" max="8193" width="19.6640625" style="159" customWidth="1"/>
    <col min="8194" max="8194" width="14.5546875" style="159" customWidth="1"/>
    <col min="8195" max="8195" width="10.88671875" style="159" customWidth="1"/>
    <col min="8196" max="8196" width="13" style="159" customWidth="1"/>
    <col min="8197" max="8197" width="12.44140625" style="159" customWidth="1"/>
    <col min="8198" max="8198" width="14.88671875" style="159" customWidth="1"/>
    <col min="8199" max="8447" width="9.109375" style="159"/>
    <col min="8448" max="8448" width="3.5546875" style="159" customWidth="1"/>
    <col min="8449" max="8449" width="19.6640625" style="159" customWidth="1"/>
    <col min="8450" max="8450" width="14.5546875" style="159" customWidth="1"/>
    <col min="8451" max="8451" width="10.88671875" style="159" customWidth="1"/>
    <col min="8452" max="8452" width="13" style="159" customWidth="1"/>
    <col min="8453" max="8453" width="12.44140625" style="159" customWidth="1"/>
    <col min="8454" max="8454" width="14.88671875" style="159" customWidth="1"/>
    <col min="8455" max="8703" width="9.109375" style="159"/>
    <col min="8704" max="8704" width="3.5546875" style="159" customWidth="1"/>
    <col min="8705" max="8705" width="19.6640625" style="159" customWidth="1"/>
    <col min="8706" max="8706" width="14.5546875" style="159" customWidth="1"/>
    <col min="8707" max="8707" width="10.88671875" style="159" customWidth="1"/>
    <col min="8708" max="8708" width="13" style="159" customWidth="1"/>
    <col min="8709" max="8709" width="12.44140625" style="159" customWidth="1"/>
    <col min="8710" max="8710" width="14.88671875" style="159" customWidth="1"/>
    <col min="8711" max="8959" width="9.109375" style="159"/>
    <col min="8960" max="8960" width="3.5546875" style="159" customWidth="1"/>
    <col min="8961" max="8961" width="19.6640625" style="159" customWidth="1"/>
    <col min="8962" max="8962" width="14.5546875" style="159" customWidth="1"/>
    <col min="8963" max="8963" width="10.88671875" style="159" customWidth="1"/>
    <col min="8964" max="8964" width="13" style="159" customWidth="1"/>
    <col min="8965" max="8965" width="12.44140625" style="159" customWidth="1"/>
    <col min="8966" max="8966" width="14.88671875" style="159" customWidth="1"/>
    <col min="8967" max="9215" width="9.109375" style="159"/>
    <col min="9216" max="9216" width="3.5546875" style="159" customWidth="1"/>
    <col min="9217" max="9217" width="19.6640625" style="159" customWidth="1"/>
    <col min="9218" max="9218" width="14.5546875" style="159" customWidth="1"/>
    <col min="9219" max="9219" width="10.88671875" style="159" customWidth="1"/>
    <col min="9220" max="9220" width="13" style="159" customWidth="1"/>
    <col min="9221" max="9221" width="12.44140625" style="159" customWidth="1"/>
    <col min="9222" max="9222" width="14.88671875" style="159" customWidth="1"/>
    <col min="9223" max="9471" width="9.109375" style="159"/>
    <col min="9472" max="9472" width="3.5546875" style="159" customWidth="1"/>
    <col min="9473" max="9473" width="19.6640625" style="159" customWidth="1"/>
    <col min="9474" max="9474" width="14.5546875" style="159" customWidth="1"/>
    <col min="9475" max="9475" width="10.88671875" style="159" customWidth="1"/>
    <col min="9476" max="9476" width="13" style="159" customWidth="1"/>
    <col min="9477" max="9477" width="12.44140625" style="159" customWidth="1"/>
    <col min="9478" max="9478" width="14.88671875" style="159" customWidth="1"/>
    <col min="9479" max="9727" width="9.109375" style="159"/>
    <col min="9728" max="9728" width="3.5546875" style="159" customWidth="1"/>
    <col min="9729" max="9729" width="19.6640625" style="159" customWidth="1"/>
    <col min="9730" max="9730" width="14.5546875" style="159" customWidth="1"/>
    <col min="9731" max="9731" width="10.88671875" style="159" customWidth="1"/>
    <col min="9732" max="9732" width="13" style="159" customWidth="1"/>
    <col min="9733" max="9733" width="12.44140625" style="159" customWidth="1"/>
    <col min="9734" max="9734" width="14.88671875" style="159" customWidth="1"/>
    <col min="9735" max="9983" width="9.109375" style="159"/>
    <col min="9984" max="9984" width="3.5546875" style="159" customWidth="1"/>
    <col min="9985" max="9985" width="19.6640625" style="159" customWidth="1"/>
    <col min="9986" max="9986" width="14.5546875" style="159" customWidth="1"/>
    <col min="9987" max="9987" width="10.88671875" style="159" customWidth="1"/>
    <col min="9988" max="9988" width="13" style="159" customWidth="1"/>
    <col min="9989" max="9989" width="12.44140625" style="159" customWidth="1"/>
    <col min="9990" max="9990" width="14.88671875" style="159" customWidth="1"/>
    <col min="9991" max="10239" width="9.109375" style="159"/>
    <col min="10240" max="10240" width="3.5546875" style="159" customWidth="1"/>
    <col min="10241" max="10241" width="19.6640625" style="159" customWidth="1"/>
    <col min="10242" max="10242" width="14.5546875" style="159" customWidth="1"/>
    <col min="10243" max="10243" width="10.88671875" style="159" customWidth="1"/>
    <col min="10244" max="10244" width="13" style="159" customWidth="1"/>
    <col min="10245" max="10245" width="12.44140625" style="159" customWidth="1"/>
    <col min="10246" max="10246" width="14.88671875" style="159" customWidth="1"/>
    <col min="10247" max="10495" width="9.109375" style="159"/>
    <col min="10496" max="10496" width="3.5546875" style="159" customWidth="1"/>
    <col min="10497" max="10497" width="19.6640625" style="159" customWidth="1"/>
    <col min="10498" max="10498" width="14.5546875" style="159" customWidth="1"/>
    <col min="10499" max="10499" width="10.88671875" style="159" customWidth="1"/>
    <col min="10500" max="10500" width="13" style="159" customWidth="1"/>
    <col min="10501" max="10501" width="12.44140625" style="159" customWidth="1"/>
    <col min="10502" max="10502" width="14.88671875" style="159" customWidth="1"/>
    <col min="10503" max="10751" width="9.109375" style="159"/>
    <col min="10752" max="10752" width="3.5546875" style="159" customWidth="1"/>
    <col min="10753" max="10753" width="19.6640625" style="159" customWidth="1"/>
    <col min="10754" max="10754" width="14.5546875" style="159" customWidth="1"/>
    <col min="10755" max="10755" width="10.88671875" style="159" customWidth="1"/>
    <col min="10756" max="10756" width="13" style="159" customWidth="1"/>
    <col min="10757" max="10757" width="12.44140625" style="159" customWidth="1"/>
    <col min="10758" max="10758" width="14.88671875" style="159" customWidth="1"/>
    <col min="10759" max="11007" width="9.109375" style="159"/>
    <col min="11008" max="11008" width="3.5546875" style="159" customWidth="1"/>
    <col min="11009" max="11009" width="19.6640625" style="159" customWidth="1"/>
    <col min="11010" max="11010" width="14.5546875" style="159" customWidth="1"/>
    <col min="11011" max="11011" width="10.88671875" style="159" customWidth="1"/>
    <col min="11012" max="11012" width="13" style="159" customWidth="1"/>
    <col min="11013" max="11013" width="12.44140625" style="159" customWidth="1"/>
    <col min="11014" max="11014" width="14.88671875" style="159" customWidth="1"/>
    <col min="11015" max="11263" width="9.109375" style="159"/>
    <col min="11264" max="11264" width="3.5546875" style="159" customWidth="1"/>
    <col min="11265" max="11265" width="19.6640625" style="159" customWidth="1"/>
    <col min="11266" max="11266" width="14.5546875" style="159" customWidth="1"/>
    <col min="11267" max="11267" width="10.88671875" style="159" customWidth="1"/>
    <col min="11268" max="11268" width="13" style="159" customWidth="1"/>
    <col min="11269" max="11269" width="12.44140625" style="159" customWidth="1"/>
    <col min="11270" max="11270" width="14.88671875" style="159" customWidth="1"/>
    <col min="11271" max="11519" width="9.109375" style="159"/>
    <col min="11520" max="11520" width="3.5546875" style="159" customWidth="1"/>
    <col min="11521" max="11521" width="19.6640625" style="159" customWidth="1"/>
    <col min="11522" max="11522" width="14.5546875" style="159" customWidth="1"/>
    <col min="11523" max="11523" width="10.88671875" style="159" customWidth="1"/>
    <col min="11524" max="11524" width="13" style="159" customWidth="1"/>
    <col min="11525" max="11525" width="12.44140625" style="159" customWidth="1"/>
    <col min="11526" max="11526" width="14.88671875" style="159" customWidth="1"/>
    <col min="11527" max="11775" width="9.109375" style="159"/>
    <col min="11776" max="11776" width="3.5546875" style="159" customWidth="1"/>
    <col min="11777" max="11777" width="19.6640625" style="159" customWidth="1"/>
    <col min="11778" max="11778" width="14.5546875" style="159" customWidth="1"/>
    <col min="11779" max="11779" width="10.88671875" style="159" customWidth="1"/>
    <col min="11780" max="11780" width="13" style="159" customWidth="1"/>
    <col min="11781" max="11781" width="12.44140625" style="159" customWidth="1"/>
    <col min="11782" max="11782" width="14.88671875" style="159" customWidth="1"/>
    <col min="11783" max="12031" width="9.109375" style="159"/>
    <col min="12032" max="12032" width="3.5546875" style="159" customWidth="1"/>
    <col min="12033" max="12033" width="19.6640625" style="159" customWidth="1"/>
    <col min="12034" max="12034" width="14.5546875" style="159" customWidth="1"/>
    <col min="12035" max="12035" width="10.88671875" style="159" customWidth="1"/>
    <col min="12036" max="12036" width="13" style="159" customWidth="1"/>
    <col min="12037" max="12037" width="12.44140625" style="159" customWidth="1"/>
    <col min="12038" max="12038" width="14.88671875" style="159" customWidth="1"/>
    <col min="12039" max="12287" width="9.109375" style="159"/>
    <col min="12288" max="12288" width="3.5546875" style="159" customWidth="1"/>
    <col min="12289" max="12289" width="19.6640625" style="159" customWidth="1"/>
    <col min="12290" max="12290" width="14.5546875" style="159" customWidth="1"/>
    <col min="12291" max="12291" width="10.88671875" style="159" customWidth="1"/>
    <col min="12292" max="12292" width="13" style="159" customWidth="1"/>
    <col min="12293" max="12293" width="12.44140625" style="159" customWidth="1"/>
    <col min="12294" max="12294" width="14.88671875" style="159" customWidth="1"/>
    <col min="12295" max="12543" width="9.109375" style="159"/>
    <col min="12544" max="12544" width="3.5546875" style="159" customWidth="1"/>
    <col min="12545" max="12545" width="19.6640625" style="159" customWidth="1"/>
    <col min="12546" max="12546" width="14.5546875" style="159" customWidth="1"/>
    <col min="12547" max="12547" width="10.88671875" style="159" customWidth="1"/>
    <col min="12548" max="12548" width="13" style="159" customWidth="1"/>
    <col min="12549" max="12549" width="12.44140625" style="159" customWidth="1"/>
    <col min="12550" max="12550" width="14.88671875" style="159" customWidth="1"/>
    <col min="12551" max="12799" width="9.109375" style="159"/>
    <col min="12800" max="12800" width="3.5546875" style="159" customWidth="1"/>
    <col min="12801" max="12801" width="19.6640625" style="159" customWidth="1"/>
    <col min="12802" max="12802" width="14.5546875" style="159" customWidth="1"/>
    <col min="12803" max="12803" width="10.88671875" style="159" customWidth="1"/>
    <col min="12804" max="12804" width="13" style="159" customWidth="1"/>
    <col min="12805" max="12805" width="12.44140625" style="159" customWidth="1"/>
    <col min="12806" max="12806" width="14.88671875" style="159" customWidth="1"/>
    <col min="12807" max="13055" width="9.109375" style="159"/>
    <col min="13056" max="13056" width="3.5546875" style="159" customWidth="1"/>
    <col min="13057" max="13057" width="19.6640625" style="159" customWidth="1"/>
    <col min="13058" max="13058" width="14.5546875" style="159" customWidth="1"/>
    <col min="13059" max="13059" width="10.88671875" style="159" customWidth="1"/>
    <col min="13060" max="13060" width="13" style="159" customWidth="1"/>
    <col min="13061" max="13061" width="12.44140625" style="159" customWidth="1"/>
    <col min="13062" max="13062" width="14.88671875" style="159" customWidth="1"/>
    <col min="13063" max="13311" width="9.109375" style="159"/>
    <col min="13312" max="13312" width="3.5546875" style="159" customWidth="1"/>
    <col min="13313" max="13313" width="19.6640625" style="159" customWidth="1"/>
    <col min="13314" max="13314" width="14.5546875" style="159" customWidth="1"/>
    <col min="13315" max="13315" width="10.88671875" style="159" customWidth="1"/>
    <col min="13316" max="13316" width="13" style="159" customWidth="1"/>
    <col min="13317" max="13317" width="12.44140625" style="159" customWidth="1"/>
    <col min="13318" max="13318" width="14.88671875" style="159" customWidth="1"/>
    <col min="13319" max="13567" width="9.109375" style="159"/>
    <col min="13568" max="13568" width="3.5546875" style="159" customWidth="1"/>
    <col min="13569" max="13569" width="19.6640625" style="159" customWidth="1"/>
    <col min="13570" max="13570" width="14.5546875" style="159" customWidth="1"/>
    <col min="13571" max="13571" width="10.88671875" style="159" customWidth="1"/>
    <col min="13572" max="13572" width="13" style="159" customWidth="1"/>
    <col min="13573" max="13573" width="12.44140625" style="159" customWidth="1"/>
    <col min="13574" max="13574" width="14.88671875" style="159" customWidth="1"/>
    <col min="13575" max="13823" width="9.109375" style="159"/>
    <col min="13824" max="13824" width="3.5546875" style="159" customWidth="1"/>
    <col min="13825" max="13825" width="19.6640625" style="159" customWidth="1"/>
    <col min="13826" max="13826" width="14.5546875" style="159" customWidth="1"/>
    <col min="13827" max="13827" width="10.88671875" style="159" customWidth="1"/>
    <col min="13828" max="13828" width="13" style="159" customWidth="1"/>
    <col min="13829" max="13829" width="12.44140625" style="159" customWidth="1"/>
    <col min="13830" max="13830" width="14.88671875" style="159" customWidth="1"/>
    <col min="13831" max="14079" width="9.109375" style="159"/>
    <col min="14080" max="14080" width="3.5546875" style="159" customWidth="1"/>
    <col min="14081" max="14081" width="19.6640625" style="159" customWidth="1"/>
    <col min="14082" max="14082" width="14.5546875" style="159" customWidth="1"/>
    <col min="14083" max="14083" width="10.88671875" style="159" customWidth="1"/>
    <col min="14084" max="14084" width="13" style="159" customWidth="1"/>
    <col min="14085" max="14085" width="12.44140625" style="159" customWidth="1"/>
    <col min="14086" max="14086" width="14.88671875" style="159" customWidth="1"/>
    <col min="14087" max="14335" width="9.109375" style="159"/>
    <col min="14336" max="14336" width="3.5546875" style="159" customWidth="1"/>
    <col min="14337" max="14337" width="19.6640625" style="159" customWidth="1"/>
    <col min="14338" max="14338" width="14.5546875" style="159" customWidth="1"/>
    <col min="14339" max="14339" width="10.88671875" style="159" customWidth="1"/>
    <col min="14340" max="14340" width="13" style="159" customWidth="1"/>
    <col min="14341" max="14341" width="12.44140625" style="159" customWidth="1"/>
    <col min="14342" max="14342" width="14.88671875" style="159" customWidth="1"/>
    <col min="14343" max="14591" width="9.109375" style="159"/>
    <col min="14592" max="14592" width="3.5546875" style="159" customWidth="1"/>
    <col min="14593" max="14593" width="19.6640625" style="159" customWidth="1"/>
    <col min="14594" max="14594" width="14.5546875" style="159" customWidth="1"/>
    <col min="14595" max="14595" width="10.88671875" style="159" customWidth="1"/>
    <col min="14596" max="14596" width="13" style="159" customWidth="1"/>
    <col min="14597" max="14597" width="12.44140625" style="159" customWidth="1"/>
    <col min="14598" max="14598" width="14.88671875" style="159" customWidth="1"/>
    <col min="14599" max="14847" width="9.109375" style="159"/>
    <col min="14848" max="14848" width="3.5546875" style="159" customWidth="1"/>
    <col min="14849" max="14849" width="19.6640625" style="159" customWidth="1"/>
    <col min="14850" max="14850" width="14.5546875" style="159" customWidth="1"/>
    <col min="14851" max="14851" width="10.88671875" style="159" customWidth="1"/>
    <col min="14852" max="14852" width="13" style="159" customWidth="1"/>
    <col min="14853" max="14853" width="12.44140625" style="159" customWidth="1"/>
    <col min="14854" max="14854" width="14.88671875" style="159" customWidth="1"/>
    <col min="14855" max="15103" width="9.109375" style="159"/>
    <col min="15104" max="15104" width="3.5546875" style="159" customWidth="1"/>
    <col min="15105" max="15105" width="19.6640625" style="159" customWidth="1"/>
    <col min="15106" max="15106" width="14.5546875" style="159" customWidth="1"/>
    <col min="15107" max="15107" width="10.88671875" style="159" customWidth="1"/>
    <col min="15108" max="15108" width="13" style="159" customWidth="1"/>
    <col min="15109" max="15109" width="12.44140625" style="159" customWidth="1"/>
    <col min="15110" max="15110" width="14.88671875" style="159" customWidth="1"/>
    <col min="15111" max="15359" width="9.109375" style="159"/>
    <col min="15360" max="15360" width="3.5546875" style="159" customWidth="1"/>
    <col min="15361" max="15361" width="19.6640625" style="159" customWidth="1"/>
    <col min="15362" max="15362" width="14.5546875" style="159" customWidth="1"/>
    <col min="15363" max="15363" width="10.88671875" style="159" customWidth="1"/>
    <col min="15364" max="15364" width="13" style="159" customWidth="1"/>
    <col min="15365" max="15365" width="12.44140625" style="159" customWidth="1"/>
    <col min="15366" max="15366" width="14.88671875" style="159" customWidth="1"/>
    <col min="15367" max="15615" width="9.109375" style="159"/>
    <col min="15616" max="15616" width="3.5546875" style="159" customWidth="1"/>
    <col min="15617" max="15617" width="19.6640625" style="159" customWidth="1"/>
    <col min="15618" max="15618" width="14.5546875" style="159" customWidth="1"/>
    <col min="15619" max="15619" width="10.88671875" style="159" customWidth="1"/>
    <col min="15620" max="15620" width="13" style="159" customWidth="1"/>
    <col min="15621" max="15621" width="12.44140625" style="159" customWidth="1"/>
    <col min="15622" max="15622" width="14.88671875" style="159" customWidth="1"/>
    <col min="15623" max="15871" width="9.109375" style="159"/>
    <col min="15872" max="15872" width="3.5546875" style="159" customWidth="1"/>
    <col min="15873" max="15873" width="19.6640625" style="159" customWidth="1"/>
    <col min="15874" max="15874" width="14.5546875" style="159" customWidth="1"/>
    <col min="15875" max="15875" width="10.88671875" style="159" customWidth="1"/>
    <col min="15876" max="15876" width="13" style="159" customWidth="1"/>
    <col min="15877" max="15877" width="12.44140625" style="159" customWidth="1"/>
    <col min="15878" max="15878" width="14.88671875" style="159" customWidth="1"/>
    <col min="15879" max="16127" width="9.109375" style="159"/>
    <col min="16128" max="16128" width="3.5546875" style="159" customWidth="1"/>
    <col min="16129" max="16129" width="19.6640625" style="159" customWidth="1"/>
    <col min="16130" max="16130" width="14.5546875" style="159" customWidth="1"/>
    <col min="16131" max="16131" width="10.88671875" style="159" customWidth="1"/>
    <col min="16132" max="16132" width="13" style="159" customWidth="1"/>
    <col min="16133" max="16133" width="12.44140625" style="159" customWidth="1"/>
    <col min="16134" max="16134" width="14.88671875" style="159" customWidth="1"/>
    <col min="16135" max="16384" width="9.109375" style="159"/>
  </cols>
  <sheetData>
    <row r="1" spans="1:15">
      <c r="A1" s="246" t="s">
        <v>29</v>
      </c>
      <c r="B1" s="247"/>
      <c r="C1" s="158"/>
      <c r="D1" s="158"/>
      <c r="E1" s="158"/>
      <c r="F1" s="158"/>
      <c r="G1" s="158"/>
      <c r="H1" s="158"/>
      <c r="I1" s="158"/>
    </row>
    <row r="2" spans="1:15">
      <c r="A2" s="246" t="s">
        <v>149</v>
      </c>
      <c r="B2" s="158"/>
      <c r="C2" s="247"/>
      <c r="D2" s="247"/>
      <c r="E2" s="247"/>
      <c r="F2" s="247"/>
      <c r="G2" s="247"/>
      <c r="H2" s="157"/>
      <c r="I2" s="157"/>
    </row>
    <row r="3" spans="1:15">
      <c r="A3" s="246" t="s">
        <v>203</v>
      </c>
      <c r="B3" s="247"/>
      <c r="C3" s="247"/>
      <c r="D3" s="247"/>
      <c r="E3" s="247"/>
      <c r="F3" s="247"/>
      <c r="G3" s="247"/>
      <c r="H3" s="157"/>
      <c r="I3" s="157"/>
      <c r="M3" s="221" t="s">
        <v>185</v>
      </c>
    </row>
    <row r="4" spans="1:15">
      <c r="A4" s="246"/>
      <c r="B4" s="247"/>
      <c r="C4" s="247"/>
      <c r="D4" s="247"/>
      <c r="E4" s="247"/>
      <c r="F4" s="247"/>
      <c r="G4" s="247"/>
      <c r="H4" s="157"/>
      <c r="I4" s="157"/>
      <c r="M4" s="216" t="s">
        <v>310</v>
      </c>
    </row>
    <row r="5" spans="1:15">
      <c r="B5" s="214" t="s">
        <v>148</v>
      </c>
      <c r="C5" s="157"/>
      <c r="D5" s="157"/>
      <c r="E5" s="157"/>
      <c r="F5" s="157"/>
      <c r="G5" s="157"/>
      <c r="H5" s="157"/>
      <c r="I5" s="157"/>
      <c r="M5" s="216" t="s">
        <v>236</v>
      </c>
    </row>
    <row r="6" spans="1:15">
      <c r="B6" s="161" t="s">
        <v>31</v>
      </c>
      <c r="C6" s="162"/>
      <c r="D6" s="392">
        <v>45230</v>
      </c>
      <c r="E6" s="393"/>
      <c r="F6" s="163"/>
      <c r="M6" s="217"/>
    </row>
    <row r="7" spans="1:15">
      <c r="B7" s="160"/>
      <c r="C7" s="160"/>
      <c r="D7" s="160"/>
      <c r="E7" s="252" t="s">
        <v>231</v>
      </c>
      <c r="F7" s="252" t="s">
        <v>232</v>
      </c>
      <c r="G7" s="160" t="s">
        <v>32</v>
      </c>
      <c r="M7" s="217"/>
    </row>
    <row r="8" spans="1:15" s="160" customFormat="1">
      <c r="A8" s="164"/>
      <c r="B8" s="248" t="s">
        <v>33</v>
      </c>
      <c r="C8" s="248"/>
      <c r="D8" s="249" t="s">
        <v>34</v>
      </c>
      <c r="E8" s="248" t="s">
        <v>35</v>
      </c>
      <c r="F8" s="248" t="s">
        <v>36</v>
      </c>
      <c r="G8" s="248" t="s">
        <v>37</v>
      </c>
      <c r="M8" s="217"/>
    </row>
    <row r="9" spans="1:15">
      <c r="B9" s="159" t="s">
        <v>176</v>
      </c>
      <c r="C9" s="165"/>
      <c r="D9" s="306" t="s">
        <v>38</v>
      </c>
      <c r="E9" s="167">
        <v>7817</v>
      </c>
      <c r="F9" s="168">
        <f>C49</f>
        <v>6.2855999999999996</v>
      </c>
      <c r="G9" s="169">
        <f t="shared" ref="G9:G24" si="0">E9*F9</f>
        <v>49134.535199999998</v>
      </c>
      <c r="I9" s="170" t="s">
        <v>133</v>
      </c>
      <c r="J9" s="170" t="s">
        <v>35</v>
      </c>
      <c r="K9" s="170" t="s">
        <v>134</v>
      </c>
      <c r="L9" s="166"/>
      <c r="M9" s="219" t="s">
        <v>309</v>
      </c>
      <c r="N9" s="171"/>
      <c r="O9" s="172"/>
    </row>
    <row r="10" spans="1:15">
      <c r="B10" s="159" t="s">
        <v>39</v>
      </c>
      <c r="D10" s="307">
        <v>1.175</v>
      </c>
      <c r="E10" s="167">
        <v>97299</v>
      </c>
      <c r="F10" s="168">
        <f>(C52)*D10</f>
        <v>2.7444945000000005</v>
      </c>
      <c r="G10" s="169">
        <f t="shared" si="0"/>
        <v>267036.57035550004</v>
      </c>
      <c r="I10" s="175">
        <f>D10*E10</f>
        <v>114326.325</v>
      </c>
      <c r="J10" s="175">
        <f>E10</f>
        <v>97299</v>
      </c>
      <c r="K10" s="176"/>
      <c r="L10" s="173"/>
      <c r="M10" s="153"/>
      <c r="N10" s="154"/>
      <c r="O10" s="172"/>
    </row>
    <row r="11" spans="1:15">
      <c r="B11" s="159" t="s">
        <v>235</v>
      </c>
      <c r="D11" s="307">
        <v>1.175</v>
      </c>
      <c r="E11" s="167">
        <v>1946</v>
      </c>
      <c r="F11" s="168">
        <f>((C52)*D11)+C62</f>
        <v>3.9944945000000005</v>
      </c>
      <c r="G11" s="169">
        <f t="shared" si="0"/>
        <v>7773.2862970000006</v>
      </c>
      <c r="I11" s="174"/>
      <c r="J11" s="176"/>
      <c r="K11" s="176"/>
      <c r="L11" s="173"/>
      <c r="M11" s="217"/>
      <c r="N11" s="171"/>
      <c r="O11" s="172"/>
    </row>
    <row r="12" spans="1:15">
      <c r="B12" s="159" t="s">
        <v>40</v>
      </c>
      <c r="D12" s="307">
        <v>1</v>
      </c>
      <c r="E12" s="167">
        <v>77</v>
      </c>
      <c r="F12" s="168">
        <f>(C50)*D12</f>
        <v>3.4011800000000001</v>
      </c>
      <c r="G12" s="169">
        <f>E12*F12</f>
        <v>261.89086000000003</v>
      </c>
      <c r="I12" s="174"/>
      <c r="J12" s="176"/>
      <c r="K12" s="176"/>
      <c r="L12" s="173"/>
      <c r="M12" s="217"/>
      <c r="N12" s="171"/>
      <c r="O12" s="172"/>
    </row>
    <row r="13" spans="1:15" s="160" customFormat="1">
      <c r="A13" s="160" t="s">
        <v>41</v>
      </c>
      <c r="B13" s="159" t="s">
        <v>42</v>
      </c>
      <c r="C13" s="159"/>
      <c r="D13" s="307">
        <v>1.1339999999999999</v>
      </c>
      <c r="E13" s="167">
        <v>8611</v>
      </c>
      <c r="F13" s="168">
        <f>C53*D13</f>
        <v>4.8194999999999997</v>
      </c>
      <c r="G13" s="169">
        <f t="shared" si="0"/>
        <v>41500.714499999995</v>
      </c>
      <c r="I13" s="177"/>
      <c r="J13" s="176"/>
      <c r="K13" s="176"/>
      <c r="L13" s="173"/>
      <c r="M13" s="217"/>
      <c r="N13" s="171"/>
      <c r="O13" s="172"/>
    </row>
    <row r="14" spans="1:15">
      <c r="A14" s="160" t="s">
        <v>43</v>
      </c>
      <c r="B14" s="159" t="s">
        <v>44</v>
      </c>
      <c r="D14" s="307">
        <v>1.0622</v>
      </c>
      <c r="E14" s="167">
        <v>6975</v>
      </c>
      <c r="F14" s="168">
        <f>((C54)*D14)+C62</f>
        <v>5.4988000000000001</v>
      </c>
      <c r="G14" s="169">
        <f t="shared" si="0"/>
        <v>38354.129999999997</v>
      </c>
      <c r="I14" s="174"/>
      <c r="J14" s="176"/>
      <c r="K14" s="176"/>
      <c r="L14" s="173"/>
      <c r="M14" s="217"/>
      <c r="N14" s="171"/>
      <c r="O14" s="172"/>
    </row>
    <row r="15" spans="1:15">
      <c r="B15" s="159" t="s">
        <v>254</v>
      </c>
      <c r="D15" s="308">
        <v>1.1183700000000001</v>
      </c>
      <c r="E15" s="167">
        <v>170</v>
      </c>
      <c r="F15" s="168">
        <f>((C51)*D15)+C62</f>
        <v>10.462013690000001</v>
      </c>
      <c r="G15" s="169">
        <f>E15*F15</f>
        <v>1778.5423273000001</v>
      </c>
      <c r="I15" s="174"/>
      <c r="J15" s="176"/>
      <c r="K15" s="176"/>
      <c r="L15" s="178"/>
      <c r="M15" s="217"/>
      <c r="N15" s="171"/>
      <c r="O15" s="172"/>
    </row>
    <row r="16" spans="1:15">
      <c r="B16" s="159" t="s">
        <v>45</v>
      </c>
      <c r="D16" s="306" t="s">
        <v>38</v>
      </c>
      <c r="E16" s="167">
        <v>2113</v>
      </c>
      <c r="F16" s="168">
        <f>C55</f>
        <v>10.5</v>
      </c>
      <c r="G16" s="169">
        <f t="shared" si="0"/>
        <v>22186.5</v>
      </c>
      <c r="I16" s="174"/>
      <c r="J16" s="176"/>
      <c r="K16" s="176"/>
      <c r="L16" s="166"/>
      <c r="M16" s="217"/>
      <c r="N16" s="171"/>
      <c r="O16" s="172"/>
    </row>
    <row r="17" spans="1:15">
      <c r="B17" s="159" t="s">
        <v>46</v>
      </c>
      <c r="D17" s="307">
        <v>1.2</v>
      </c>
      <c r="E17" s="167">
        <v>641</v>
      </c>
      <c r="F17" s="168">
        <f>C56*D17</f>
        <v>2.2644000000000002</v>
      </c>
      <c r="G17" s="169">
        <f t="shared" si="0"/>
        <v>1451.4804000000001</v>
      </c>
      <c r="I17" s="174"/>
      <c r="J17" s="176"/>
      <c r="K17" s="176"/>
      <c r="L17" s="173"/>
      <c r="M17" s="217"/>
      <c r="N17" s="171"/>
      <c r="O17" s="172"/>
    </row>
    <row r="18" spans="1:15">
      <c r="B18" s="159" t="s">
        <v>234</v>
      </c>
      <c r="D18" s="307">
        <v>1.2</v>
      </c>
      <c r="E18" s="167">
        <v>9832</v>
      </c>
      <c r="F18" s="168">
        <f>(C57*D18)+1.25</f>
        <v>3.0615200000000002</v>
      </c>
      <c r="G18" s="169">
        <f t="shared" si="0"/>
        <v>30100.864640000003</v>
      </c>
      <c r="I18" s="174"/>
      <c r="J18" s="176"/>
      <c r="K18" s="176"/>
      <c r="L18" s="173"/>
      <c r="M18" s="217"/>
      <c r="N18" s="171"/>
      <c r="O18" s="172"/>
    </row>
    <row r="19" spans="1:15">
      <c r="B19" s="159" t="s">
        <v>47</v>
      </c>
      <c r="D19" s="307">
        <v>1.1999</v>
      </c>
      <c r="E19" s="167">
        <v>33062</v>
      </c>
      <c r="F19" s="168">
        <f>C60*D19</f>
        <v>2.3842013000000004</v>
      </c>
      <c r="G19" s="169">
        <f t="shared" si="0"/>
        <v>78826.46338060002</v>
      </c>
      <c r="I19" s="175">
        <f>D19*E19</f>
        <v>39671.093800000002</v>
      </c>
      <c r="J19" s="175">
        <f>E19</f>
        <v>33062</v>
      </c>
      <c r="K19" s="176"/>
      <c r="L19" s="173"/>
      <c r="M19" s="153"/>
      <c r="N19" s="171"/>
      <c r="O19" s="172"/>
    </row>
    <row r="20" spans="1:15">
      <c r="A20" s="160" t="s">
        <v>43</v>
      </c>
      <c r="B20" s="159" t="s">
        <v>48</v>
      </c>
      <c r="D20" s="307">
        <v>1.0762</v>
      </c>
      <c r="E20" s="167">
        <v>4622</v>
      </c>
      <c r="F20" s="168">
        <f>C58*D20</f>
        <v>4.3048000000000002</v>
      </c>
      <c r="G20" s="169">
        <f t="shared" si="0"/>
        <v>19896.785599999999</v>
      </c>
      <c r="I20" s="175"/>
      <c r="J20" s="176"/>
      <c r="K20" s="176"/>
      <c r="L20" s="173"/>
      <c r="M20" s="217"/>
      <c r="N20" s="171"/>
      <c r="O20" s="172"/>
    </row>
    <row r="21" spans="1:15" ht="15.9" customHeight="1">
      <c r="B21" s="159" t="s">
        <v>180</v>
      </c>
      <c r="D21" s="307">
        <v>1.2632000000000001</v>
      </c>
      <c r="E21" s="167">
        <v>52916</v>
      </c>
      <c r="F21" s="168">
        <f>C59*D21</f>
        <v>3.8363384000000003</v>
      </c>
      <c r="G21" s="169">
        <f t="shared" si="0"/>
        <v>203003.68277440002</v>
      </c>
      <c r="I21" s="175">
        <f t="shared" ref="I21:I22" si="1">D21*E21</f>
        <v>66843.491200000004</v>
      </c>
      <c r="J21" s="175">
        <f t="shared" ref="J21:J22" si="2">E21</f>
        <v>52916</v>
      </c>
      <c r="K21" s="176"/>
      <c r="L21" s="173"/>
      <c r="M21" s="153"/>
      <c r="N21" s="171"/>
      <c r="O21" s="172"/>
    </row>
    <row r="22" spans="1:15" ht="15.9" customHeight="1">
      <c r="B22" s="159" t="s">
        <v>177</v>
      </c>
      <c r="D22" s="307">
        <v>1.2632000000000001</v>
      </c>
      <c r="E22" s="167">
        <v>37188</v>
      </c>
      <c r="F22" s="168">
        <f>(C59*D22)+1.25</f>
        <v>5.0863384000000007</v>
      </c>
      <c r="G22" s="169">
        <f>E22*F22</f>
        <v>189150.75241920003</v>
      </c>
      <c r="I22" s="179">
        <f t="shared" si="1"/>
        <v>46975.881600000001</v>
      </c>
      <c r="J22" s="179">
        <f t="shared" si="2"/>
        <v>37188</v>
      </c>
      <c r="K22" s="176"/>
      <c r="L22" s="173"/>
      <c r="M22" s="153"/>
      <c r="N22" s="261" t="s">
        <v>239</v>
      </c>
      <c r="O22" s="172"/>
    </row>
    <row r="23" spans="1:15" ht="15.9" customHeight="1">
      <c r="A23" s="160" t="s">
        <v>43</v>
      </c>
      <c r="B23" s="159" t="s">
        <v>49</v>
      </c>
      <c r="D23" s="307">
        <v>1.1618999999999999</v>
      </c>
      <c r="E23" s="167">
        <v>5218</v>
      </c>
      <c r="F23" s="168">
        <f>C54*D23</f>
        <v>4.6475999999999997</v>
      </c>
      <c r="G23" s="169">
        <f>E23*F23</f>
        <v>24251.176799999997</v>
      </c>
      <c r="I23" s="175">
        <f>SUM(I10:I22)+I28</f>
        <v>384566.79100999999</v>
      </c>
      <c r="J23" s="175">
        <f>SUM(J10:J22)+J28</f>
        <v>324858</v>
      </c>
      <c r="K23" s="260">
        <f>I23/J23</f>
        <v>1.1837996632682588</v>
      </c>
      <c r="L23" s="259" t="s">
        <v>237</v>
      </c>
      <c r="M23" s="217"/>
      <c r="N23" s="171"/>
      <c r="O23" s="172"/>
    </row>
    <row r="24" spans="1:15">
      <c r="A24" s="160" t="s">
        <v>43</v>
      </c>
      <c r="B24" s="159" t="s">
        <v>135</v>
      </c>
      <c r="D24" s="306" t="s">
        <v>38</v>
      </c>
      <c r="E24" s="167">
        <v>1844</v>
      </c>
      <c r="F24" s="168">
        <v>3.5</v>
      </c>
      <c r="G24" s="169">
        <f t="shared" si="0"/>
        <v>6454</v>
      </c>
      <c r="J24" s="262">
        <f>J23/E31</f>
        <v>0.86692605757837771</v>
      </c>
      <c r="K24" s="215" t="s">
        <v>265</v>
      </c>
      <c r="L24" s="173"/>
      <c r="M24" s="218"/>
      <c r="N24" s="171"/>
      <c r="O24" s="172"/>
    </row>
    <row r="25" spans="1:15">
      <c r="B25" s="180" t="s">
        <v>136</v>
      </c>
      <c r="C25" s="263">
        <f>E25/E31</f>
        <v>0.72141362709620949</v>
      </c>
      <c r="D25" s="307"/>
      <c r="E25" s="167">
        <f>SUM(E9:E24)</f>
        <v>270331</v>
      </c>
      <c r="F25" s="168"/>
      <c r="G25" s="169">
        <f>SUM(G9:G24)</f>
        <v>981161.37555400003</v>
      </c>
      <c r="H25" s="263">
        <f>G25/G31</f>
        <v>0.49823659362619466</v>
      </c>
      <c r="L25" s="173"/>
      <c r="M25" s="218"/>
      <c r="N25" s="171"/>
      <c r="O25" s="172"/>
    </row>
    <row r="26" spans="1:15">
      <c r="C26" s="264"/>
      <c r="D26" s="307"/>
      <c r="E26" s="167"/>
      <c r="F26" s="168"/>
      <c r="G26" s="172"/>
      <c r="H26" s="264"/>
      <c r="L26" s="173"/>
      <c r="M26" s="218"/>
      <c r="N26" s="171"/>
      <c r="O26" s="172"/>
    </row>
    <row r="27" spans="1:15">
      <c r="B27" s="181" t="s">
        <v>137</v>
      </c>
      <c r="C27" s="264"/>
      <c r="D27" s="307"/>
      <c r="E27" s="167"/>
      <c r="F27" s="168"/>
      <c r="G27" s="172"/>
      <c r="H27" s="264"/>
      <c r="L27" s="173"/>
      <c r="M27" s="218"/>
      <c r="N27" s="171"/>
      <c r="O27" s="172"/>
    </row>
    <row r="28" spans="1:15">
      <c r="B28" s="159" t="s">
        <v>138</v>
      </c>
      <c r="C28" s="263">
        <f>E28/E31</f>
        <v>0.27858637290379051</v>
      </c>
      <c r="D28" s="308">
        <v>1.1183700000000001</v>
      </c>
      <c r="E28" s="167">
        <v>104393</v>
      </c>
      <c r="F28" s="168">
        <f>(C51)*D28</f>
        <v>9.2120136900000009</v>
      </c>
      <c r="G28" s="169">
        <f>E28*F28</f>
        <v>961669.7451401701</v>
      </c>
      <c r="H28" s="263">
        <f>(G28+G29)/G31</f>
        <v>0.50176340637380523</v>
      </c>
      <c r="I28" s="175">
        <f>D28*E28</f>
        <v>116749.99941</v>
      </c>
      <c r="J28" s="175">
        <f>E28</f>
        <v>104393</v>
      </c>
      <c r="K28" s="176"/>
      <c r="L28" s="178"/>
      <c r="M28" s="153"/>
      <c r="N28" s="215" t="s">
        <v>328</v>
      </c>
      <c r="O28" s="172"/>
    </row>
    <row r="29" spans="1:15">
      <c r="B29" s="165" t="s">
        <v>327</v>
      </c>
      <c r="D29" s="307"/>
      <c r="E29" s="167"/>
      <c r="F29" s="168">
        <f>G29/(E28*D28)</f>
        <v>0.22644</v>
      </c>
      <c r="G29" s="169">
        <f>(E28*D28*0.12)*C46</f>
        <v>26436.8698664004</v>
      </c>
      <c r="L29" s="173"/>
      <c r="M29" s="218"/>
      <c r="N29" s="171"/>
      <c r="O29" s="172"/>
    </row>
    <row r="30" spans="1:15">
      <c r="B30" s="165"/>
      <c r="D30" s="173"/>
      <c r="E30" s="167"/>
      <c r="F30" s="168"/>
      <c r="G30" s="172"/>
      <c r="L30" s="173"/>
      <c r="M30" s="218"/>
      <c r="N30" s="171"/>
      <c r="O30" s="172"/>
    </row>
    <row r="31" spans="1:15" ht="16.2" thickBot="1">
      <c r="B31" s="182" t="s">
        <v>23</v>
      </c>
      <c r="C31" s="182"/>
      <c r="D31" s="182"/>
      <c r="E31" s="183">
        <f>SUM(E25:E28)</f>
        <v>374724</v>
      </c>
      <c r="F31" s="184">
        <f>G31/E31</f>
        <v>5.2552491715517844</v>
      </c>
      <c r="G31" s="185">
        <f>SUM(G25:G29)</f>
        <v>1969267.9905605707</v>
      </c>
      <c r="M31" s="218"/>
      <c r="N31" s="187"/>
      <c r="O31" s="172"/>
    </row>
    <row r="32" spans="1:15" ht="16.2" thickBot="1">
      <c r="A32" s="188"/>
      <c r="B32" s="189"/>
      <c r="C32" s="189"/>
      <c r="D32" s="189"/>
      <c r="E32" s="190"/>
      <c r="F32" s="189"/>
      <c r="G32" s="190"/>
      <c r="M32" s="219" t="s">
        <v>240</v>
      </c>
    </row>
    <row r="33" spans="1:18">
      <c r="B33" s="165" t="s">
        <v>50</v>
      </c>
      <c r="C33" s="191">
        <f>D6</f>
        <v>45230</v>
      </c>
      <c r="D33" s="159" t="s">
        <v>150</v>
      </c>
      <c r="E33" s="192"/>
      <c r="F33" s="193">
        <f>E31</f>
        <v>374724</v>
      </c>
      <c r="G33" s="159" t="s">
        <v>103</v>
      </c>
      <c r="M33" s="219" t="s">
        <v>56</v>
      </c>
    </row>
    <row r="34" spans="1:18">
      <c r="A34" s="390" t="s">
        <v>51</v>
      </c>
      <c r="B34" s="391"/>
      <c r="C34" s="254">
        <v>351882</v>
      </c>
      <c r="D34" s="161" t="s">
        <v>103</v>
      </c>
      <c r="E34" s="194">
        <f>(F33-C34)/F33</f>
        <v>6.0956864252089536E-2</v>
      </c>
      <c r="F34" s="160" t="s">
        <v>6</v>
      </c>
      <c r="M34" s="219" t="s">
        <v>57</v>
      </c>
    </row>
    <row r="35" spans="1:18">
      <c r="B35" s="160"/>
      <c r="C35" s="160"/>
      <c r="D35" s="160"/>
      <c r="E35" s="160"/>
      <c r="F35" s="195"/>
      <c r="G35" s="195" t="s">
        <v>52</v>
      </c>
      <c r="M35" s="219"/>
    </row>
    <row r="36" spans="1:18">
      <c r="B36" s="159" t="s">
        <v>326</v>
      </c>
      <c r="D36" s="186"/>
      <c r="F36" s="160"/>
      <c r="G36" s="253">
        <f>G31</f>
        <v>1969267.9905605707</v>
      </c>
      <c r="M36" s="219"/>
    </row>
    <row r="37" spans="1:18" ht="12.75" customHeight="1">
      <c r="A37" s="200" t="s">
        <v>54</v>
      </c>
      <c r="B37" s="201" t="s">
        <v>312</v>
      </c>
      <c r="C37" s="201"/>
      <c r="D37" s="201"/>
      <c r="E37" s="201"/>
      <c r="F37" s="164" t="s">
        <v>35</v>
      </c>
      <c r="G37" s="303">
        <f>C34</f>
        <v>351882</v>
      </c>
      <c r="M37" s="217"/>
    </row>
    <row r="38" spans="1:18">
      <c r="A38" s="202"/>
      <c r="L38" s="216" t="s">
        <v>238</v>
      </c>
      <c r="M38" s="217"/>
      <c r="N38" s="217"/>
      <c r="O38" s="217"/>
    </row>
    <row r="39" spans="1:18" ht="16.2" thickBot="1">
      <c r="A39" s="202"/>
      <c r="B39" s="159" t="s">
        <v>313</v>
      </c>
      <c r="D39" s="255" t="s">
        <v>141</v>
      </c>
      <c r="F39" s="160" t="s">
        <v>55</v>
      </c>
      <c r="G39" s="244">
        <f>G36/C34</f>
        <v>5.5963873985045289</v>
      </c>
      <c r="J39" s="212" t="s">
        <v>166</v>
      </c>
      <c r="K39" s="265" t="s">
        <v>139</v>
      </c>
      <c r="L39" s="170" t="s">
        <v>165</v>
      </c>
      <c r="M39" s="196" t="s">
        <v>164</v>
      </c>
      <c r="N39" s="170" t="s">
        <v>140</v>
      </c>
      <c r="O39" s="170" t="s">
        <v>53</v>
      </c>
    </row>
    <row r="40" spans="1:18" ht="16.2" thickBot="1">
      <c r="A40" s="204"/>
      <c r="B40" s="189"/>
      <c r="C40" s="189"/>
      <c r="D40" s="189"/>
      <c r="E40" s="189"/>
      <c r="F40" s="188"/>
      <c r="G40" s="205"/>
      <c r="J40" s="211">
        <v>45323</v>
      </c>
      <c r="K40" s="197">
        <v>2.4169999999999998</v>
      </c>
      <c r="L40" s="175">
        <v>61000</v>
      </c>
      <c r="M40" s="198">
        <f>K23</f>
        <v>1.1837996632682588</v>
      </c>
      <c r="N40" s="175">
        <f>L40*M40</f>
        <v>72211.779459363781</v>
      </c>
      <c r="O40" s="199">
        <f>K40*N40</f>
        <v>174535.87095328225</v>
      </c>
      <c r="Q40" s="290" t="s">
        <v>329</v>
      </c>
    </row>
    <row r="41" spans="1:18">
      <c r="C41" s="206"/>
      <c r="J41" s="211">
        <v>45352</v>
      </c>
      <c r="K41" s="197">
        <v>2.3039999999999998</v>
      </c>
      <c r="L41" s="175">
        <v>48000</v>
      </c>
      <c r="M41" s="198">
        <f>K23</f>
        <v>1.1837996632682588</v>
      </c>
      <c r="N41" s="175">
        <f t="shared" ref="N41:N42" si="3">L41*M41</f>
        <v>56822.383836876419</v>
      </c>
      <c r="O41" s="199">
        <f t="shared" ref="O41:O42" si="4">K41*N41</f>
        <v>130918.77236016326</v>
      </c>
    </row>
    <row r="42" spans="1:18">
      <c r="A42" s="161"/>
      <c r="B42" s="213" t="s">
        <v>151</v>
      </c>
      <c r="C42" s="210" t="s">
        <v>159</v>
      </c>
      <c r="J42" s="211">
        <v>45383</v>
      </c>
      <c r="K42" s="197">
        <v>2.3109999999999999</v>
      </c>
      <c r="L42" s="175">
        <v>25000</v>
      </c>
      <c r="M42" s="198">
        <f>K23</f>
        <v>1.1837996632682588</v>
      </c>
      <c r="N42" s="175">
        <f t="shared" si="3"/>
        <v>29594.991581706468</v>
      </c>
      <c r="O42" s="199">
        <f t="shared" si="4"/>
        <v>68394.025545323646</v>
      </c>
    </row>
    <row r="43" spans="1:18">
      <c r="A43" s="161"/>
      <c r="B43" s="213"/>
      <c r="C43" s="210"/>
      <c r="J43" s="176"/>
      <c r="K43" s="170"/>
      <c r="L43" s="175"/>
      <c r="M43" s="176"/>
      <c r="N43" s="175">
        <f>SUM(N40:N42)</f>
        <v>158629.15487794668</v>
      </c>
      <c r="O43" s="199">
        <f>SUM(O40:O42)</f>
        <v>373848.66885876912</v>
      </c>
      <c r="Q43" s="167">
        <f>SUM(L40:L42)</f>
        <v>134000</v>
      </c>
      <c r="R43" s="159">
        <f>Q43*3.57</f>
        <v>478380</v>
      </c>
    </row>
    <row r="44" spans="1:18">
      <c r="B44" s="159" t="s">
        <v>143</v>
      </c>
      <c r="C44" s="305">
        <f>ROUND(K44,3)</f>
        <v>2.3570000000000002</v>
      </c>
      <c r="E44" s="186" t="s">
        <v>167</v>
      </c>
      <c r="J44" s="176" t="s">
        <v>163</v>
      </c>
      <c r="K44" s="266">
        <f>O43/N43</f>
        <v>2.3567462686567158</v>
      </c>
      <c r="L44" s="203" t="s">
        <v>142</v>
      </c>
      <c r="M44" s="176"/>
      <c r="N44" s="176"/>
      <c r="O44" s="176"/>
    </row>
    <row r="45" spans="1:18">
      <c r="B45" s="159" t="s">
        <v>168</v>
      </c>
      <c r="C45" s="274">
        <v>-0.47</v>
      </c>
      <c r="D45" s="186"/>
      <c r="E45" s="186" t="s">
        <v>258</v>
      </c>
      <c r="I45" s="207" t="s">
        <v>147</v>
      </c>
      <c r="J45" s="186" t="s">
        <v>259</v>
      </c>
      <c r="M45" s="216" t="s">
        <v>182</v>
      </c>
    </row>
    <row r="46" spans="1:18">
      <c r="B46" s="159" t="s">
        <v>169</v>
      </c>
      <c r="C46" s="273">
        <f>+C44+C45</f>
        <v>1.8870000000000002</v>
      </c>
      <c r="D46" s="186"/>
      <c r="E46" s="186" t="s">
        <v>170</v>
      </c>
      <c r="I46" s="186"/>
      <c r="M46" s="216" t="s">
        <v>181</v>
      </c>
    </row>
    <row r="47" spans="1:18">
      <c r="C47" s="273"/>
      <c r="D47" s="186"/>
      <c r="I47" s="186"/>
      <c r="M47" s="216" t="s">
        <v>183</v>
      </c>
    </row>
    <row r="48" spans="1:18">
      <c r="C48" s="273"/>
      <c r="M48" s="216"/>
    </row>
    <row r="49" spans="1:13">
      <c r="B49" s="159" t="s">
        <v>60</v>
      </c>
      <c r="C49" s="274">
        <v>6.2855999999999996</v>
      </c>
      <c r="E49" s="186" t="s">
        <v>153</v>
      </c>
      <c r="M49" s="216" t="s">
        <v>58</v>
      </c>
    </row>
    <row r="50" spans="1:13">
      <c r="B50" s="159" t="s">
        <v>61</v>
      </c>
      <c r="C50" s="274">
        <f>(C46*1.14)+1.05+0.2</f>
        <v>3.4011800000000001</v>
      </c>
      <c r="E50" s="186" t="s">
        <v>171</v>
      </c>
      <c r="I50" s="186" t="s">
        <v>161</v>
      </c>
    </row>
    <row r="51" spans="1:13">
      <c r="B51" s="159" t="s">
        <v>173</v>
      </c>
      <c r="C51" s="274">
        <f>(C46+5.75+0.6)</f>
        <v>8.2370000000000001</v>
      </c>
      <c r="E51" s="186" t="s">
        <v>325</v>
      </c>
      <c r="I51" s="186"/>
    </row>
    <row r="52" spans="1:13">
      <c r="B52" s="159" t="s">
        <v>178</v>
      </c>
      <c r="C52" s="274">
        <f>(C46*1.02)+0.342+0.019+0.05</f>
        <v>2.3357400000000004</v>
      </c>
      <c r="E52" s="186" t="s">
        <v>172</v>
      </c>
      <c r="I52" s="209" t="s">
        <v>184</v>
      </c>
    </row>
    <row r="53" spans="1:13">
      <c r="A53" s="160" t="s">
        <v>41</v>
      </c>
      <c r="B53" s="159" t="s">
        <v>144</v>
      </c>
      <c r="C53" s="274">
        <f>IF((C46*0.8)&gt;4.25,C46*0.8,4.25)</f>
        <v>4.25</v>
      </c>
      <c r="E53" s="186" t="s">
        <v>156</v>
      </c>
      <c r="H53" s="160" t="s">
        <v>41</v>
      </c>
      <c r="I53" s="186" t="s">
        <v>145</v>
      </c>
      <c r="J53" s="208"/>
    </row>
    <row r="54" spans="1:13">
      <c r="A54" s="160" t="s">
        <v>43</v>
      </c>
      <c r="B54" s="159" t="s">
        <v>155</v>
      </c>
      <c r="C54" s="274">
        <f>IF((C46*0.8)&gt;4,C46*0.8,4)</f>
        <v>4</v>
      </c>
      <c r="E54" s="186" t="s">
        <v>154</v>
      </c>
      <c r="H54" s="160" t="s">
        <v>43</v>
      </c>
      <c r="I54" s="186" t="s">
        <v>146</v>
      </c>
      <c r="J54" s="208"/>
    </row>
    <row r="55" spans="1:13">
      <c r="A55" s="159"/>
      <c r="B55" s="159" t="s">
        <v>179</v>
      </c>
      <c r="C55" s="274">
        <v>10.5</v>
      </c>
      <c r="E55" s="186" t="s">
        <v>162</v>
      </c>
      <c r="I55" s="160"/>
      <c r="M55" s="216"/>
    </row>
    <row r="56" spans="1:13">
      <c r="A56" s="159"/>
      <c r="B56" s="159" t="s">
        <v>46</v>
      </c>
      <c r="C56" s="274">
        <f>C46</f>
        <v>1.8870000000000002</v>
      </c>
      <c r="E56" s="186" t="s">
        <v>28</v>
      </c>
      <c r="I56" s="160"/>
      <c r="M56" s="216"/>
    </row>
    <row r="57" spans="1:13">
      <c r="A57" s="159"/>
      <c r="B57" s="159" t="s">
        <v>175</v>
      </c>
      <c r="C57" s="274">
        <f>C46*0.8</f>
        <v>1.5096000000000003</v>
      </c>
      <c r="D57" s="208"/>
      <c r="E57" s="186" t="s">
        <v>157</v>
      </c>
      <c r="I57" s="160"/>
      <c r="M57" s="216" t="s">
        <v>59</v>
      </c>
    </row>
    <row r="58" spans="1:13">
      <c r="A58" s="160" t="s">
        <v>43</v>
      </c>
      <c r="B58" s="159" t="s">
        <v>174</v>
      </c>
      <c r="C58" s="274">
        <f>IF((C50*0.8)&gt;4,C50*0.8,4)</f>
        <v>4</v>
      </c>
      <c r="E58" s="186" t="s">
        <v>154</v>
      </c>
      <c r="H58" s="160" t="s">
        <v>43</v>
      </c>
      <c r="I58" s="186" t="s">
        <v>146</v>
      </c>
    </row>
    <row r="59" spans="1:13">
      <c r="B59" s="159" t="s">
        <v>62</v>
      </c>
      <c r="C59" s="274">
        <f>C46+1.15</f>
        <v>3.0369999999999999</v>
      </c>
      <c r="E59" s="186" t="s">
        <v>160</v>
      </c>
      <c r="I59" s="160"/>
    </row>
    <row r="60" spans="1:13">
      <c r="B60" s="159" t="s">
        <v>47</v>
      </c>
      <c r="C60" s="274">
        <f>C46+0.1</f>
        <v>1.9870000000000003</v>
      </c>
      <c r="E60" s="186" t="s">
        <v>158</v>
      </c>
      <c r="I60" s="160"/>
    </row>
    <row r="61" spans="1:13">
      <c r="A61" s="160" t="s">
        <v>43</v>
      </c>
      <c r="B61" s="159" t="s">
        <v>255</v>
      </c>
      <c r="C61" s="274">
        <v>3.5</v>
      </c>
      <c r="E61" s="186"/>
      <c r="I61" s="160"/>
    </row>
    <row r="62" spans="1:13">
      <c r="B62" s="159" t="s">
        <v>152</v>
      </c>
      <c r="C62" s="274">
        <v>1.25</v>
      </c>
      <c r="E62" s="186" t="s">
        <v>314</v>
      </c>
      <c r="I62" s="160"/>
    </row>
    <row r="63" spans="1:13">
      <c r="A63" s="159"/>
      <c r="I63" s="160"/>
    </row>
    <row r="64" spans="1:13">
      <c r="A64" s="159"/>
      <c r="I64" s="160"/>
    </row>
  </sheetData>
  <sheetProtection selectLockedCells="1"/>
  <mergeCells count="2">
    <mergeCell ref="A34:B34"/>
    <mergeCell ref="D6:E6"/>
  </mergeCells>
  <printOptions horizontalCentered="1"/>
  <pageMargins left="0.2" right="0.2" top="0.25" bottom="0.25" header="0.5" footer="0.5"/>
  <pageSetup scale="97" orientation="portrait" r:id="rId1"/>
  <headerFooter alignWithMargins="0">
    <oddHeader>&amp;RAPPENDIX B
Page 3</oddHeader>
  </headerFooter>
  <rowBreaks count="1" manualBreakCount="1">
    <brk id="4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A87EB-C3F6-4A2A-A3DD-50F61E30FDAB}">
  <dimension ref="A1:AC192"/>
  <sheetViews>
    <sheetView zoomScaleNormal="100" workbookViewId="0">
      <pane xSplit="2" ySplit="2" topLeftCell="C176" activePane="bottomRight" state="frozen"/>
      <selection pane="topRight" activeCell="C1" sqref="C1"/>
      <selection pane="bottomLeft" activeCell="A3" sqref="A3"/>
      <selection pane="bottomRight" activeCell="N142" sqref="N142"/>
    </sheetView>
  </sheetViews>
  <sheetFormatPr defaultColWidth="8.88671875" defaultRowHeight="13.8"/>
  <cols>
    <col min="1" max="1" width="9.6640625" style="23" bestFit="1" customWidth="1"/>
    <col min="2" max="2" width="8.33203125" style="24" bestFit="1" customWidth="1"/>
    <col min="3" max="3" width="8.88671875" style="25"/>
    <col min="4" max="4" width="11.77734375" style="26" customWidth="1"/>
    <col min="5" max="5" width="9.33203125" style="27" bestFit="1" customWidth="1"/>
    <col min="6" max="6" width="1.109375" style="26" customWidth="1"/>
    <col min="7" max="7" width="8.88671875" style="25"/>
    <col min="8" max="8" width="7.33203125" style="24" bestFit="1" customWidth="1"/>
    <col min="9" max="9" width="11.77734375" style="26" customWidth="1"/>
    <col min="10" max="10" width="11.5546875" style="26" customWidth="1"/>
    <col min="11" max="11" width="11.5546875" style="29" customWidth="1"/>
    <col min="12" max="12" width="1.109375" style="26" customWidth="1"/>
    <col min="13" max="16" width="9.33203125" style="51" customWidth="1"/>
    <col min="17" max="17" width="8.88671875" style="24"/>
    <col min="18" max="18" width="10.109375" style="24" customWidth="1"/>
    <col min="19" max="19" width="8.88671875" style="24"/>
    <col min="20" max="20" width="11.6640625" style="24" bestFit="1" customWidth="1"/>
    <col min="21" max="21" width="9.5546875" style="24" bestFit="1" customWidth="1"/>
    <col min="22" max="24" width="8.88671875" style="24"/>
    <col min="25" max="25" width="12" style="24" bestFit="1" customWidth="1"/>
    <col min="26" max="27" width="11" style="24" bestFit="1" customWidth="1"/>
    <col min="28" max="16384" width="8.88671875" style="24"/>
  </cols>
  <sheetData>
    <row r="1" spans="1:22" s="2" customFormat="1" ht="13.8" customHeight="1">
      <c r="A1" s="245" t="s">
        <v>202</v>
      </c>
      <c r="B1" s="245"/>
      <c r="C1" s="245"/>
      <c r="D1" s="245" t="s">
        <v>208</v>
      </c>
      <c r="E1" s="245"/>
      <c r="F1" s="245"/>
      <c r="G1" s="245"/>
      <c r="H1" s="245" t="s">
        <v>201</v>
      </c>
      <c r="I1" s="245"/>
      <c r="J1" s="245"/>
      <c r="K1" s="245"/>
      <c r="L1" s="245"/>
      <c r="M1" s="245"/>
      <c r="N1" s="245"/>
      <c r="O1" s="245"/>
      <c r="P1" s="245"/>
      <c r="Q1" s="1"/>
      <c r="R1" s="1"/>
    </row>
    <row r="2" spans="1:22" s="11" customFormat="1" ht="42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/>
      <c r="G2" s="5" t="s">
        <v>5</v>
      </c>
      <c r="H2" s="9" t="s">
        <v>6</v>
      </c>
      <c r="I2" s="6" t="s">
        <v>7</v>
      </c>
      <c r="J2" s="6" t="s">
        <v>8</v>
      </c>
      <c r="K2" s="6" t="s">
        <v>251</v>
      </c>
      <c r="L2" s="8"/>
      <c r="M2" s="10" t="s">
        <v>9</v>
      </c>
      <c r="N2" s="10" t="s">
        <v>10</v>
      </c>
      <c r="O2" s="10" t="s">
        <v>11</v>
      </c>
      <c r="P2" s="10" t="s">
        <v>12</v>
      </c>
      <c r="R2" s="221" t="s">
        <v>185</v>
      </c>
      <c r="V2" s="10" t="s">
        <v>271</v>
      </c>
    </row>
    <row r="3" spans="1:22">
      <c r="A3" s="61"/>
      <c r="B3" s="62"/>
      <c r="C3" s="56"/>
      <c r="D3" s="57"/>
      <c r="E3" s="58"/>
      <c r="F3" s="17"/>
      <c r="G3" s="55" t="s">
        <v>272</v>
      </c>
      <c r="H3" s="59"/>
      <c r="I3" s="57"/>
      <c r="J3" s="57"/>
      <c r="K3" s="293">
        <v>0</v>
      </c>
      <c r="L3" s="17"/>
      <c r="M3" s="60"/>
      <c r="N3" s="60"/>
      <c r="O3" s="60"/>
      <c r="P3" s="60"/>
      <c r="Q3" s="60"/>
      <c r="R3" s="64"/>
      <c r="S3" s="65"/>
    </row>
    <row r="4" spans="1:22" s="41" customFormat="1" ht="6" customHeight="1">
      <c r="A4" s="32"/>
      <c r="B4" s="33"/>
      <c r="C4" s="34"/>
      <c r="D4" s="35"/>
      <c r="E4" s="36"/>
      <c r="F4" s="37"/>
      <c r="G4" s="34"/>
      <c r="H4" s="33"/>
      <c r="I4" s="35"/>
      <c r="J4" s="35"/>
      <c r="K4" s="38"/>
      <c r="L4" s="37"/>
      <c r="M4" s="66"/>
      <c r="N4" s="67"/>
      <c r="O4" s="67"/>
      <c r="P4" s="68"/>
    </row>
    <row r="5" spans="1:22">
      <c r="A5" s="23">
        <v>44136</v>
      </c>
      <c r="B5" s="24" t="s">
        <v>13</v>
      </c>
      <c r="C5" s="25">
        <v>29545</v>
      </c>
      <c r="D5" s="26">
        <v>105289</v>
      </c>
      <c r="E5" s="27">
        <f>D5/C5</f>
        <v>3.5636825181925875</v>
      </c>
      <c r="F5" s="17"/>
      <c r="G5" s="25">
        <v>20509</v>
      </c>
      <c r="H5" s="28">
        <f>(C5-G5)/C5</f>
        <v>0.30583855136232863</v>
      </c>
      <c r="I5" s="26">
        <f>G5*P5</f>
        <v>102481.4221</v>
      </c>
      <c r="J5" s="26">
        <f>I5-D5</f>
        <v>-2807.5779000000039</v>
      </c>
      <c r="L5" s="17"/>
      <c r="M5" s="27">
        <v>5.4423000000000004</v>
      </c>
      <c r="N5" s="27">
        <v>-0.44540000000000002</v>
      </c>
      <c r="O5" s="27"/>
      <c r="P5" s="27">
        <f>M5+N5+O5</f>
        <v>4.9969000000000001</v>
      </c>
    </row>
    <row r="6" spans="1:22" ht="13.95" customHeight="1">
      <c r="B6" s="24" t="s">
        <v>15</v>
      </c>
      <c r="C6" s="25">
        <v>9674</v>
      </c>
      <c r="D6" s="26">
        <v>86553</v>
      </c>
      <c r="E6" s="27">
        <f>D6/C6</f>
        <v>8.9469712631796572</v>
      </c>
      <c r="F6" s="17"/>
      <c r="G6" s="25">
        <v>8590</v>
      </c>
      <c r="H6" s="28">
        <f>(C6-G6)/C6</f>
        <v>0.112052925366963</v>
      </c>
      <c r="I6" s="26">
        <f>G6*P5</f>
        <v>42923.370999999999</v>
      </c>
      <c r="J6" s="26">
        <f>I6-D6</f>
        <v>-43629.629000000001</v>
      </c>
      <c r="L6" s="17"/>
      <c r="M6" s="27"/>
      <c r="N6" s="27"/>
      <c r="O6" s="27"/>
      <c r="P6" s="27"/>
    </row>
    <row r="7" spans="1:22">
      <c r="B7" s="24" t="s">
        <v>17</v>
      </c>
      <c r="C7" s="25">
        <f>SUM(C5:C6)</f>
        <v>39219</v>
      </c>
      <c r="D7" s="26">
        <f>SUM(D5:D6)</f>
        <v>191842</v>
      </c>
      <c r="E7" s="27">
        <f>D7/C7</f>
        <v>4.8915576633774442</v>
      </c>
      <c r="F7" s="17"/>
      <c r="G7" s="25">
        <f>SUM(G5:G6)</f>
        <v>29099</v>
      </c>
      <c r="H7" s="28">
        <f>(C7-G7)/C7</f>
        <v>0.25803819577245724</v>
      </c>
      <c r="J7" s="26">
        <f>J5+J6</f>
        <v>-46437.206900000005</v>
      </c>
      <c r="K7" s="29">
        <f>K3+J7</f>
        <v>-46437.206900000005</v>
      </c>
      <c r="L7" s="17"/>
      <c r="M7" s="27"/>
      <c r="N7" s="27"/>
      <c r="O7" s="27"/>
      <c r="P7" s="27"/>
    </row>
    <row r="8" spans="1:22" ht="3" customHeight="1">
      <c r="A8" s="42"/>
      <c r="B8" s="43"/>
      <c r="C8" s="44"/>
      <c r="D8" s="45"/>
      <c r="E8" s="46"/>
      <c r="F8" s="17"/>
      <c r="G8" s="44"/>
      <c r="H8" s="43"/>
      <c r="I8" s="45"/>
      <c r="J8" s="45"/>
      <c r="K8" s="47"/>
      <c r="L8" s="17"/>
      <c r="M8" s="48"/>
      <c r="N8" s="46"/>
      <c r="O8" s="46"/>
      <c r="P8" s="49"/>
    </row>
    <row r="9" spans="1:22">
      <c r="A9" s="23">
        <v>44166</v>
      </c>
      <c r="B9" s="24" t="s">
        <v>13</v>
      </c>
      <c r="C9" s="25">
        <v>48493</v>
      </c>
      <c r="D9" s="26">
        <v>169717</v>
      </c>
      <c r="E9" s="27">
        <f>D9/C9</f>
        <v>3.4998247169694596</v>
      </c>
      <c r="F9" s="17"/>
      <c r="G9" s="25">
        <v>44603</v>
      </c>
      <c r="H9" s="28">
        <f>(C9-G9)/C9</f>
        <v>8.0217763388530303E-2</v>
      </c>
      <c r="I9" s="26">
        <f>G9*P5</f>
        <v>222876.73070000001</v>
      </c>
      <c r="J9" s="26">
        <f>I9-D9</f>
        <v>53159.730700000015</v>
      </c>
      <c r="L9" s="17"/>
      <c r="M9" s="27"/>
      <c r="N9" s="27"/>
      <c r="O9" s="27"/>
      <c r="P9" s="27"/>
      <c r="R9" s="69"/>
    </row>
    <row r="10" spans="1:22" ht="13.95" customHeight="1">
      <c r="B10" s="24" t="s">
        <v>15</v>
      </c>
      <c r="C10" s="25">
        <v>22609</v>
      </c>
      <c r="D10" s="26">
        <v>197225</v>
      </c>
      <c r="E10" s="27">
        <f>D10/C10</f>
        <v>8.7232960325534084</v>
      </c>
      <c r="F10" s="17"/>
      <c r="G10" s="25">
        <v>22622</v>
      </c>
      <c r="H10" s="28">
        <f>(C10-G10)/C10</f>
        <v>-5.7499225971958067E-4</v>
      </c>
      <c r="I10" s="26">
        <f>G10*P5</f>
        <v>113039.87180000001</v>
      </c>
      <c r="J10" s="26">
        <f>I10-D10</f>
        <v>-84185.128199999992</v>
      </c>
      <c r="L10" s="17"/>
      <c r="M10" s="27"/>
      <c r="N10" s="27"/>
      <c r="O10" s="27"/>
      <c r="P10" s="27"/>
      <c r="R10" s="69"/>
    </row>
    <row r="11" spans="1:22">
      <c r="B11" s="24" t="s">
        <v>17</v>
      </c>
      <c r="C11" s="25">
        <f>SUM(C9:C10)</f>
        <v>71102</v>
      </c>
      <c r="D11" s="26">
        <f>SUM(D9:D10)</f>
        <v>366942</v>
      </c>
      <c r="E11" s="27">
        <f>D11/C11</f>
        <v>5.1607831003347302</v>
      </c>
      <c r="F11" s="17"/>
      <c r="G11" s="25">
        <f>SUM(G9:G10)</f>
        <v>67225</v>
      </c>
      <c r="H11" s="28">
        <f>(C11-G11)/C11</f>
        <v>5.4527298810160052E-2</v>
      </c>
      <c r="J11" s="26">
        <f>J9+J10</f>
        <v>-31025.397499999977</v>
      </c>
      <c r="K11" s="29">
        <f>K7+J11</f>
        <v>-77462.604399999982</v>
      </c>
      <c r="L11" s="17"/>
      <c r="M11" s="27"/>
      <c r="N11" s="27"/>
      <c r="O11" s="27"/>
      <c r="P11" s="27"/>
      <c r="R11" s="69"/>
      <c r="S11" s="25"/>
    </row>
    <row r="12" spans="1:22" ht="3" customHeight="1">
      <c r="A12" s="42"/>
      <c r="B12" s="43"/>
      <c r="C12" s="44"/>
      <c r="D12" s="45"/>
      <c r="E12" s="46"/>
      <c r="F12" s="17"/>
      <c r="G12" s="44"/>
      <c r="H12" s="43"/>
      <c r="I12" s="45"/>
      <c r="J12" s="45"/>
      <c r="K12" s="47"/>
      <c r="L12" s="17"/>
      <c r="M12" s="48"/>
      <c r="N12" s="46"/>
      <c r="O12" s="46"/>
      <c r="P12" s="49"/>
    </row>
    <row r="13" spans="1:22">
      <c r="A13" s="12">
        <v>44217</v>
      </c>
      <c r="B13" s="13" t="s">
        <v>13</v>
      </c>
      <c r="C13" s="14">
        <v>52693.5</v>
      </c>
      <c r="D13" s="15">
        <v>179379</v>
      </c>
      <c r="E13" s="16">
        <f>D13/C13</f>
        <v>3.4041959634490024</v>
      </c>
      <c r="F13" s="17"/>
      <c r="G13" s="14">
        <v>49939</v>
      </c>
      <c r="H13" s="18">
        <f>(C13-G13)/C13</f>
        <v>5.2273999639424217E-2</v>
      </c>
      <c r="I13" s="15">
        <f>G13*P5</f>
        <v>249540.18910000002</v>
      </c>
      <c r="J13" s="15">
        <f>I13-D13</f>
        <v>70161.189100000018</v>
      </c>
      <c r="K13" s="19"/>
      <c r="L13" s="17"/>
      <c r="M13" s="16"/>
      <c r="N13" s="16"/>
      <c r="O13" s="16"/>
      <c r="P13" s="16"/>
    </row>
    <row r="14" spans="1:22" ht="13.95" customHeight="1">
      <c r="B14" s="24" t="s">
        <v>15</v>
      </c>
      <c r="C14" s="25">
        <v>22378</v>
      </c>
      <c r="D14" s="26">
        <v>194959</v>
      </c>
      <c r="E14" s="27">
        <f>D14/C14</f>
        <v>8.712083296094379</v>
      </c>
      <c r="F14" s="17"/>
      <c r="G14" s="25">
        <v>22055</v>
      </c>
      <c r="H14" s="28">
        <f>(C14-G14)/C14</f>
        <v>1.4433818929305568E-2</v>
      </c>
      <c r="I14" s="26">
        <f>G14*P5</f>
        <v>110206.6295</v>
      </c>
      <c r="J14" s="26">
        <f>I14-D14</f>
        <v>-84752.370500000005</v>
      </c>
      <c r="L14" s="17"/>
      <c r="M14" s="27"/>
      <c r="N14" s="27"/>
      <c r="O14" s="27"/>
      <c r="P14" s="27"/>
    </row>
    <row r="15" spans="1:22">
      <c r="B15" s="24" t="s">
        <v>17</v>
      </c>
      <c r="C15" s="25">
        <f>SUM(C13:C14)</f>
        <v>75071.5</v>
      </c>
      <c r="D15" s="26">
        <f>SUM(D13:D14)</f>
        <v>374338</v>
      </c>
      <c r="E15" s="27">
        <f>D15/C15</f>
        <v>4.9864196133019858</v>
      </c>
      <c r="F15" s="17"/>
      <c r="G15" s="25">
        <f>SUM(G13:G14)</f>
        <v>71994</v>
      </c>
      <c r="H15" s="28">
        <f>(C15-G15)/C15</f>
        <v>4.0994252146287206E-2</v>
      </c>
      <c r="J15" s="26">
        <f>J13+J14</f>
        <v>-14591.181399999987</v>
      </c>
      <c r="K15" s="29">
        <f>K11+J15</f>
        <v>-92053.785799999969</v>
      </c>
      <c r="L15" s="17"/>
      <c r="M15" s="27"/>
      <c r="N15" s="27"/>
      <c r="O15" s="27"/>
      <c r="P15" s="27"/>
    </row>
    <row r="16" spans="1:22" s="41" customFormat="1" ht="3" customHeight="1">
      <c r="A16" s="32"/>
      <c r="B16" s="33"/>
      <c r="C16" s="34"/>
      <c r="D16" s="35"/>
      <c r="E16" s="36"/>
      <c r="F16" s="37"/>
      <c r="G16" s="34"/>
      <c r="H16" s="33"/>
      <c r="I16" s="35"/>
      <c r="J16" s="35"/>
      <c r="K16" s="38"/>
      <c r="L16" s="37"/>
      <c r="M16" s="39"/>
      <c r="N16" s="36"/>
      <c r="O16" s="36"/>
      <c r="P16" s="40"/>
    </row>
    <row r="17" spans="1:19">
      <c r="A17" s="23">
        <v>44228</v>
      </c>
      <c r="B17" s="24" t="s">
        <v>13</v>
      </c>
      <c r="C17" s="25">
        <v>51355.9</v>
      </c>
      <c r="D17" s="26">
        <v>211230</v>
      </c>
      <c r="E17" s="27">
        <f>D17/C17</f>
        <v>4.1130619850883736</v>
      </c>
      <c r="F17" s="17"/>
      <c r="G17" s="25">
        <v>51733</v>
      </c>
      <c r="H17" s="28">
        <f>(C17-G17)/C17</f>
        <v>-7.3428758915723129E-3</v>
      </c>
      <c r="I17" s="26">
        <f>G17*P17</f>
        <v>254153.88240000003</v>
      </c>
      <c r="J17" s="26">
        <f>I17-D17</f>
        <v>42923.882400000031</v>
      </c>
      <c r="L17" s="17"/>
      <c r="M17" s="27">
        <v>5.3089000000000004</v>
      </c>
      <c r="N17" s="27">
        <v>-0.39610000000000001</v>
      </c>
      <c r="O17" s="27"/>
      <c r="P17" s="27">
        <f>M17+N17+O17</f>
        <v>4.9128000000000007</v>
      </c>
    </row>
    <row r="18" spans="1:19" ht="13.95" customHeight="1">
      <c r="B18" s="24" t="s">
        <v>15</v>
      </c>
      <c r="C18" s="25">
        <v>27523</v>
      </c>
      <c r="D18" s="26">
        <v>252711</v>
      </c>
      <c r="E18" s="27">
        <f>D18/C18</f>
        <v>9.1818115757729899</v>
      </c>
      <c r="F18" s="17"/>
      <c r="G18" s="25">
        <v>25666.400000000001</v>
      </c>
      <c r="H18" s="28">
        <f>(C18-G18)/C18</f>
        <v>6.7456309268611653E-2</v>
      </c>
      <c r="I18" s="26">
        <f>G18*P17</f>
        <v>126093.88992000003</v>
      </c>
      <c r="J18" s="26">
        <f>I18-D18</f>
        <v>-126617.11007999997</v>
      </c>
      <c r="L18" s="17"/>
      <c r="M18" s="27"/>
      <c r="N18" s="27"/>
      <c r="O18" s="27"/>
      <c r="P18" s="27"/>
    </row>
    <row r="19" spans="1:19">
      <c r="B19" s="24" t="s">
        <v>17</v>
      </c>
      <c r="C19" s="25">
        <f>SUM(C17:C18)</f>
        <v>78878.899999999994</v>
      </c>
      <c r="D19" s="26">
        <f>SUM(D17:D18)</f>
        <v>463941</v>
      </c>
      <c r="E19" s="27">
        <f>D19/C19</f>
        <v>5.8816869910711231</v>
      </c>
      <c r="F19" s="17"/>
      <c r="G19" s="25">
        <f>SUM(G17:G18)</f>
        <v>77399.399999999994</v>
      </c>
      <c r="H19" s="28">
        <f>(C19-G19)/C19</f>
        <v>1.8756600307560073E-2</v>
      </c>
      <c r="J19" s="26">
        <f>J17+J18</f>
        <v>-83693.227679999938</v>
      </c>
      <c r="K19" s="29">
        <f>K15+J19</f>
        <v>-175747.01347999991</v>
      </c>
      <c r="L19" s="17"/>
      <c r="M19" s="27"/>
      <c r="N19" s="27"/>
      <c r="O19" s="27"/>
      <c r="P19" s="27"/>
    </row>
    <row r="20" spans="1:19" ht="3" customHeight="1">
      <c r="A20" s="42"/>
      <c r="B20" s="43"/>
      <c r="C20" s="44"/>
      <c r="D20" s="45"/>
      <c r="E20" s="46"/>
      <c r="F20" s="17"/>
      <c r="G20" s="44"/>
      <c r="H20" s="43"/>
      <c r="I20" s="45"/>
      <c r="J20" s="45"/>
      <c r="K20" s="47"/>
      <c r="L20" s="17"/>
      <c r="M20" s="48"/>
      <c r="N20" s="46"/>
      <c r="O20" s="46"/>
      <c r="P20" s="49"/>
    </row>
    <row r="21" spans="1:19">
      <c r="A21" s="23">
        <v>44256</v>
      </c>
      <c r="B21" s="24" t="s">
        <v>13</v>
      </c>
      <c r="C21" s="25">
        <v>31995.1</v>
      </c>
      <c r="D21" s="26">
        <v>120767</v>
      </c>
      <c r="E21" s="27">
        <f>D21/C21</f>
        <v>3.7745467274676439</v>
      </c>
      <c r="F21" s="17"/>
      <c r="G21" s="25">
        <v>31563</v>
      </c>
      <c r="H21" s="28">
        <f>(C21-G21)/C21</f>
        <v>1.3505192982675428E-2</v>
      </c>
      <c r="I21" s="26">
        <f>G21*P17</f>
        <v>155062.70640000002</v>
      </c>
      <c r="J21" s="26">
        <f>I21-D21</f>
        <v>34295.706400000025</v>
      </c>
      <c r="L21" s="17"/>
      <c r="M21" s="27"/>
      <c r="N21" s="27"/>
      <c r="O21" s="27"/>
      <c r="P21" s="27"/>
    </row>
    <row r="22" spans="1:19" ht="13.95" customHeight="1">
      <c r="B22" s="24" t="s">
        <v>15</v>
      </c>
      <c r="C22" s="25">
        <v>13893</v>
      </c>
      <c r="D22" s="26">
        <v>128340</v>
      </c>
      <c r="E22" s="27">
        <f>D22/C22</f>
        <v>9.2377456272943217</v>
      </c>
      <c r="F22" s="17"/>
      <c r="G22" s="25">
        <v>13571.6</v>
      </c>
      <c r="H22" s="28">
        <f>(C22-G22)/C22</f>
        <v>2.3133952350104344E-2</v>
      </c>
      <c r="I22" s="26">
        <f>G22*P17</f>
        <v>66674.556480000014</v>
      </c>
      <c r="J22" s="26">
        <f>I22-D22</f>
        <v>-61665.443519999986</v>
      </c>
      <c r="L22" s="17"/>
      <c r="M22" s="27"/>
      <c r="N22" s="27"/>
      <c r="O22" s="27"/>
      <c r="P22" s="27"/>
    </row>
    <row r="23" spans="1:19">
      <c r="B23" s="24" t="s">
        <v>17</v>
      </c>
      <c r="C23" s="25">
        <f>SUM(C21:C22)</f>
        <v>45888.1</v>
      </c>
      <c r="D23" s="26">
        <f>SUM(D21:D22)</f>
        <v>249107</v>
      </c>
      <c r="E23" s="27">
        <f>D23/C23</f>
        <v>5.4285751643672322</v>
      </c>
      <c r="F23" s="17"/>
      <c r="G23" s="25">
        <f>SUM(G21:G22)</f>
        <v>45134.6</v>
      </c>
      <c r="H23" s="28">
        <f>(C23-G23)/C23</f>
        <v>1.6420379139689811E-2</v>
      </c>
      <c r="J23" s="26">
        <f>J21+J22</f>
        <v>-27369.737119999962</v>
      </c>
      <c r="K23" s="29">
        <f>K19+J23</f>
        <v>-203116.75059999985</v>
      </c>
      <c r="L23" s="17"/>
      <c r="M23" s="27"/>
      <c r="N23" s="27"/>
      <c r="O23" s="27"/>
      <c r="P23" s="27"/>
    </row>
    <row r="24" spans="1:19" ht="3" customHeight="1">
      <c r="A24" s="42"/>
      <c r="B24" s="43"/>
      <c r="C24" s="44"/>
      <c r="D24" s="45"/>
      <c r="E24" s="46"/>
      <c r="F24" s="17"/>
      <c r="G24" s="44"/>
      <c r="H24" s="43"/>
      <c r="I24" s="45"/>
      <c r="J24" s="45"/>
      <c r="K24" s="47"/>
      <c r="L24" s="17"/>
      <c r="M24" s="48"/>
      <c r="N24" s="46"/>
      <c r="O24" s="46"/>
      <c r="P24" s="49"/>
    </row>
    <row r="25" spans="1:19">
      <c r="A25" s="23">
        <v>44287</v>
      </c>
      <c r="B25" s="24" t="s">
        <v>13</v>
      </c>
      <c r="C25" s="25">
        <v>23097</v>
      </c>
      <c r="D25" s="26">
        <v>72299</v>
      </c>
      <c r="E25" s="27">
        <f>D25/C25</f>
        <v>3.1302333636402997</v>
      </c>
      <c r="F25" s="17"/>
      <c r="G25" s="25">
        <v>22735</v>
      </c>
      <c r="H25" s="28">
        <f>(C25-G25)/C25</f>
        <v>1.5673031129583927E-2</v>
      </c>
      <c r="I25" s="26">
        <f>G25*P17</f>
        <v>111692.50800000002</v>
      </c>
      <c r="J25" s="26">
        <f>I25-D25</f>
        <v>39393.508000000016</v>
      </c>
      <c r="L25" s="17"/>
      <c r="M25" s="27"/>
      <c r="N25" s="27"/>
      <c r="O25" s="27"/>
      <c r="P25" s="27"/>
      <c r="R25" s="69"/>
    </row>
    <row r="26" spans="1:19">
      <c r="B26" s="24" t="s">
        <v>15</v>
      </c>
      <c r="C26" s="25">
        <v>9247</v>
      </c>
      <c r="D26" s="26">
        <v>95076</v>
      </c>
      <c r="E26" s="27">
        <f>D26/C26</f>
        <v>10.281821131177679</v>
      </c>
      <c r="F26" s="17"/>
      <c r="G26" s="25">
        <v>8986</v>
      </c>
      <c r="H26" s="28">
        <f>(C26-G26)/C26</f>
        <v>2.8225370390396885E-2</v>
      </c>
      <c r="I26" s="26">
        <f>G26*P17</f>
        <v>44146.420800000007</v>
      </c>
      <c r="J26" s="26">
        <f>I26-D26</f>
        <v>-50929.579199999993</v>
      </c>
      <c r="L26" s="17"/>
      <c r="M26" s="27"/>
      <c r="N26" s="27"/>
      <c r="O26" s="27"/>
      <c r="P26" s="27"/>
      <c r="R26" s="69"/>
    </row>
    <row r="27" spans="1:19">
      <c r="B27" s="24" t="s">
        <v>17</v>
      </c>
      <c r="C27" s="25">
        <f>SUM(C25:C26)</f>
        <v>32344</v>
      </c>
      <c r="D27" s="26">
        <f>SUM(D25:D26)</f>
        <v>167375</v>
      </c>
      <c r="E27" s="27">
        <f>D27/C27</f>
        <v>5.17483922829582</v>
      </c>
      <c r="F27" s="17"/>
      <c r="G27" s="25">
        <f>SUM(G25:G26)</f>
        <v>31721</v>
      </c>
      <c r="H27" s="28">
        <f>(C27-G27)/C27</f>
        <v>1.9261686866188475E-2</v>
      </c>
      <c r="J27" s="26">
        <f>J25+J26</f>
        <v>-11536.071199999977</v>
      </c>
      <c r="K27" s="29">
        <f>K23+J27</f>
        <v>-214652.82179999983</v>
      </c>
      <c r="L27" s="17"/>
      <c r="M27" s="27"/>
      <c r="N27" s="27"/>
      <c r="O27" s="27"/>
      <c r="P27" s="27"/>
      <c r="R27" s="69"/>
      <c r="S27" s="25"/>
    </row>
    <row r="28" spans="1:19" s="41" customFormat="1" ht="3" customHeight="1">
      <c r="A28" s="32"/>
      <c r="B28" s="33"/>
      <c r="C28" s="34"/>
      <c r="D28" s="35"/>
      <c r="E28" s="36"/>
      <c r="F28" s="37"/>
      <c r="G28" s="34"/>
      <c r="H28" s="33"/>
      <c r="I28" s="35"/>
      <c r="J28" s="35"/>
      <c r="K28" s="38"/>
      <c r="L28" s="37"/>
      <c r="M28" s="39"/>
      <c r="N28" s="36"/>
      <c r="O28" s="36"/>
      <c r="P28" s="40"/>
    </row>
    <row r="29" spans="1:19">
      <c r="A29" s="23">
        <v>44317</v>
      </c>
      <c r="B29" s="24" t="s">
        <v>13</v>
      </c>
      <c r="C29" s="25">
        <v>14410</v>
      </c>
      <c r="D29" s="26">
        <v>63361</v>
      </c>
      <c r="E29" s="27">
        <f>D29/C29</f>
        <v>4.3970159611380986</v>
      </c>
      <c r="F29" s="17"/>
      <c r="G29" s="25">
        <v>10473.299999999999</v>
      </c>
      <c r="H29" s="28">
        <f>(C29-G29)/C29</f>
        <v>0.27319222761970857</v>
      </c>
      <c r="I29" s="26">
        <f>G29*P29</f>
        <v>56657.411009999996</v>
      </c>
      <c r="J29" s="26">
        <f>I29-D29</f>
        <v>-6703.5889900000038</v>
      </c>
      <c r="L29" s="17"/>
      <c r="M29" s="27">
        <v>5.6539000000000001</v>
      </c>
      <c r="N29" s="27">
        <v>-0.2442</v>
      </c>
      <c r="O29" s="27"/>
      <c r="P29" s="27">
        <f>M29+N29+O29</f>
        <v>5.4097</v>
      </c>
    </row>
    <row r="30" spans="1:19">
      <c r="B30" s="24" t="s">
        <v>15</v>
      </c>
      <c r="C30" s="25">
        <v>3360</v>
      </c>
      <c r="D30" s="26">
        <v>34193</v>
      </c>
      <c r="E30" s="27">
        <f>D30/C30</f>
        <v>10.176488095238096</v>
      </c>
      <c r="F30" s="17"/>
      <c r="G30" s="25">
        <v>3263</v>
      </c>
      <c r="H30" s="28">
        <f>(C30-G30)/C30</f>
        <v>2.8869047619047621E-2</v>
      </c>
      <c r="I30" s="26">
        <f>G30*P29</f>
        <v>17651.8511</v>
      </c>
      <c r="J30" s="26">
        <f>I30-D30</f>
        <v>-16541.1489</v>
      </c>
      <c r="L30" s="17"/>
      <c r="M30" s="27"/>
      <c r="N30" s="27"/>
      <c r="O30" s="27"/>
      <c r="P30" s="27"/>
    </row>
    <row r="31" spans="1:19">
      <c r="B31" s="24" t="s">
        <v>17</v>
      </c>
      <c r="C31" s="25">
        <f>SUM(C29:C30)</f>
        <v>17770</v>
      </c>
      <c r="D31" s="26">
        <f>SUM(D29:D30)</f>
        <v>97554</v>
      </c>
      <c r="E31" s="27">
        <f>D31/C31</f>
        <v>5.4898142937535175</v>
      </c>
      <c r="F31" s="17"/>
      <c r="G31" s="25">
        <f>SUM(G29:G30)</f>
        <v>13736.3</v>
      </c>
      <c r="H31" s="28">
        <f>(C31-G31)/C31</f>
        <v>0.22699493528418688</v>
      </c>
      <c r="J31" s="26">
        <f>J29+J30</f>
        <v>-23244.737890000004</v>
      </c>
      <c r="K31" s="29">
        <f>K27+J31</f>
        <v>-237897.55968999985</v>
      </c>
      <c r="L31" s="17"/>
      <c r="M31" s="27"/>
      <c r="N31" s="27"/>
      <c r="O31" s="27"/>
      <c r="P31" s="27"/>
    </row>
    <row r="32" spans="1:19" ht="3" customHeight="1">
      <c r="A32" s="42"/>
      <c r="B32" s="43"/>
      <c r="C32" s="44"/>
      <c r="D32" s="45"/>
      <c r="E32" s="46"/>
      <c r="F32" s="81"/>
      <c r="G32" s="44"/>
      <c r="H32" s="43"/>
      <c r="I32" s="45"/>
      <c r="J32" s="45"/>
      <c r="K32" s="47"/>
      <c r="L32" s="81"/>
      <c r="M32" s="46"/>
      <c r="N32" s="46"/>
      <c r="O32" s="46"/>
      <c r="P32" s="49"/>
    </row>
    <row r="33" spans="1:21">
      <c r="A33" s="23">
        <v>44348</v>
      </c>
      <c r="B33" s="24" t="s">
        <v>13</v>
      </c>
      <c r="C33" s="25">
        <v>8491.1</v>
      </c>
      <c r="D33" s="26">
        <v>39510</v>
      </c>
      <c r="E33" s="27">
        <f>D33/C33</f>
        <v>4.6531073712475415</v>
      </c>
      <c r="F33" s="17"/>
      <c r="G33" s="25">
        <v>7576.5</v>
      </c>
      <c r="H33" s="28">
        <f>(C33-G33)/C33</f>
        <v>0.10771278161840048</v>
      </c>
      <c r="I33" s="26">
        <f>G33*P29</f>
        <v>40986.592049999999</v>
      </c>
      <c r="J33" s="26">
        <f>I33-D33</f>
        <v>1476.5920499999993</v>
      </c>
      <c r="L33" s="17"/>
      <c r="M33" s="27"/>
      <c r="N33" s="27"/>
      <c r="O33" s="27"/>
      <c r="P33" s="27"/>
      <c r="R33" s="69"/>
    </row>
    <row r="34" spans="1:21">
      <c r="B34" s="24" t="s">
        <v>15</v>
      </c>
      <c r="C34" s="25">
        <v>2400</v>
      </c>
      <c r="D34" s="26">
        <v>24661</v>
      </c>
      <c r="E34" s="27">
        <f>D34/C34</f>
        <v>10.275416666666667</v>
      </c>
      <c r="F34" s="17"/>
      <c r="G34" s="25">
        <v>1926.8</v>
      </c>
      <c r="H34" s="28">
        <f>(C34-G34)/C34</f>
        <v>0.19716666666666668</v>
      </c>
      <c r="I34" s="26">
        <f>G34*P29</f>
        <v>10423.409959999999</v>
      </c>
      <c r="J34" s="26">
        <f>I34-D34</f>
        <v>-14237.590040000001</v>
      </c>
      <c r="L34" s="17"/>
      <c r="M34" s="27"/>
      <c r="N34" s="27"/>
      <c r="O34" s="27"/>
      <c r="P34" s="27"/>
      <c r="R34" s="69"/>
    </row>
    <row r="35" spans="1:21">
      <c r="B35" s="24" t="s">
        <v>17</v>
      </c>
      <c r="C35" s="25">
        <f>SUM(C33:C34)</f>
        <v>10891.1</v>
      </c>
      <c r="D35" s="26">
        <f>SUM(D33:D34)</f>
        <v>64171</v>
      </c>
      <c r="E35" s="27">
        <f>D35/C35</f>
        <v>5.8920586533958916</v>
      </c>
      <c r="F35" s="17"/>
      <c r="G35" s="25">
        <f>SUM(G33:G34)</f>
        <v>9503.2999999999993</v>
      </c>
      <c r="H35" s="28">
        <f>(C35-G35)/C35</f>
        <v>0.12742514530212753</v>
      </c>
      <c r="J35" s="26">
        <f>J33+J34</f>
        <v>-12760.997990000002</v>
      </c>
      <c r="K35" s="29">
        <f>K31+J35</f>
        <v>-250658.55767999985</v>
      </c>
      <c r="L35" s="17"/>
      <c r="M35" s="27"/>
      <c r="N35" s="27"/>
      <c r="O35" s="27"/>
      <c r="P35" s="27"/>
      <c r="R35" s="69"/>
      <c r="S35" s="25"/>
    </row>
    <row r="36" spans="1:21" ht="3" customHeight="1">
      <c r="A36" s="42"/>
      <c r="B36" s="43"/>
      <c r="C36" s="44"/>
      <c r="D36" s="45"/>
      <c r="E36" s="46"/>
      <c r="F36" s="17"/>
      <c r="G36" s="44"/>
      <c r="H36" s="43"/>
      <c r="I36" s="45"/>
      <c r="J36" s="45"/>
      <c r="K36" s="47"/>
      <c r="L36" s="17"/>
      <c r="M36" s="48"/>
      <c r="N36" s="46"/>
      <c r="O36" s="46"/>
      <c r="P36" s="49"/>
    </row>
    <row r="37" spans="1:21">
      <c r="A37" s="23">
        <v>44378</v>
      </c>
      <c r="B37" s="24" t="s">
        <v>13</v>
      </c>
      <c r="C37" s="25">
        <v>6628.9</v>
      </c>
      <c r="D37" s="26">
        <v>43249</v>
      </c>
      <c r="E37" s="27">
        <f>D37/C37</f>
        <v>6.5243102173814664</v>
      </c>
      <c r="F37" s="17"/>
      <c r="G37" s="25">
        <v>5432.5</v>
      </c>
      <c r="H37" s="28">
        <f>(C37-G37)/C37</f>
        <v>0.1804824329828478</v>
      </c>
      <c r="I37" s="26">
        <f>G37*P29</f>
        <v>29388.195250000001</v>
      </c>
      <c r="J37" s="26">
        <f>I37-D37</f>
        <v>-13860.804749999999</v>
      </c>
      <c r="L37" s="17"/>
      <c r="M37" s="27"/>
      <c r="N37" s="27"/>
      <c r="O37" s="27"/>
      <c r="P37" s="27"/>
    </row>
    <row r="38" spans="1:21">
      <c r="B38" s="24" t="s">
        <v>15</v>
      </c>
      <c r="C38" s="25">
        <v>2126</v>
      </c>
      <c r="D38" s="26">
        <v>23127</v>
      </c>
      <c r="E38" s="27">
        <f>D38/C38</f>
        <v>10.878174976481656</v>
      </c>
      <c r="F38" s="17"/>
      <c r="G38" s="25">
        <v>1404</v>
      </c>
      <c r="H38" s="28">
        <f>(C38-G38)/C38</f>
        <v>0.33960489181561621</v>
      </c>
      <c r="I38" s="26">
        <f>G38*P29</f>
        <v>7595.2187999999996</v>
      </c>
      <c r="J38" s="26">
        <f>I38-D38</f>
        <v>-15531.781200000001</v>
      </c>
      <c r="L38" s="17"/>
      <c r="M38" s="27"/>
      <c r="N38" s="27"/>
      <c r="O38" s="27"/>
      <c r="P38" s="27"/>
    </row>
    <row r="39" spans="1:21">
      <c r="B39" s="24" t="s">
        <v>17</v>
      </c>
      <c r="C39" s="25">
        <f>SUM(C37:C38)</f>
        <v>8754.9</v>
      </c>
      <c r="D39" s="26">
        <f>SUM(D37:D38)</f>
        <v>66376</v>
      </c>
      <c r="E39" s="27">
        <f>D39/C39</f>
        <v>7.5815828850129643</v>
      </c>
      <c r="F39" s="17"/>
      <c r="G39" s="25">
        <f>SUM(G37:G38)</f>
        <v>6836.5</v>
      </c>
      <c r="H39" s="28">
        <f>(C39-G39)/C39</f>
        <v>0.21912300540268875</v>
      </c>
      <c r="J39" s="26">
        <f>J37+J38</f>
        <v>-29392.585950000001</v>
      </c>
      <c r="K39" s="29">
        <f>K35+J39</f>
        <v>-280051.14362999983</v>
      </c>
      <c r="L39" s="17"/>
      <c r="M39" s="27"/>
      <c r="N39" s="27"/>
      <c r="O39" s="27"/>
      <c r="P39" s="27"/>
    </row>
    <row r="40" spans="1:21" s="41" customFormat="1" ht="3" customHeight="1">
      <c r="A40" s="32"/>
      <c r="B40" s="33"/>
      <c r="C40" s="34"/>
      <c r="D40" s="35"/>
      <c r="E40" s="36"/>
      <c r="F40" s="37"/>
      <c r="G40" s="34"/>
      <c r="H40" s="33"/>
      <c r="I40" s="35"/>
      <c r="J40" s="35"/>
      <c r="K40" s="38"/>
      <c r="L40" s="37"/>
      <c r="M40" s="39"/>
      <c r="N40" s="36"/>
      <c r="O40" s="36"/>
      <c r="P40" s="40"/>
    </row>
    <row r="41" spans="1:21">
      <c r="A41" s="23">
        <v>44409</v>
      </c>
      <c r="B41" s="24" t="s">
        <v>13</v>
      </c>
      <c r="C41" s="25">
        <v>6095.5</v>
      </c>
      <c r="D41" s="26">
        <v>46911</v>
      </c>
      <c r="E41" s="27">
        <f>D41/C41</f>
        <v>7.6960052497744238</v>
      </c>
      <c r="F41" s="17"/>
      <c r="G41" s="25">
        <v>5445.3</v>
      </c>
      <c r="H41" s="28">
        <f>(C41-G41)/C41</f>
        <v>0.10666885407267654</v>
      </c>
      <c r="I41" s="26">
        <f>G41*P41</f>
        <v>37500.147510000003</v>
      </c>
      <c r="J41" s="26">
        <f>I41-D41</f>
        <v>-9410.8524899999975</v>
      </c>
      <c r="L41" s="17"/>
      <c r="M41" s="27">
        <v>6.6717000000000004</v>
      </c>
      <c r="N41" s="27">
        <v>0.215</v>
      </c>
      <c r="O41" s="27"/>
      <c r="P41" s="27">
        <f>M41+N41+O41</f>
        <v>6.8867000000000003</v>
      </c>
    </row>
    <row r="42" spans="1:21">
      <c r="B42" s="24" t="s">
        <v>15</v>
      </c>
      <c r="C42" s="25">
        <v>1761</v>
      </c>
      <c r="D42" s="26">
        <v>19591</v>
      </c>
      <c r="E42" s="27">
        <f>D42/C42</f>
        <v>11.124929017603634</v>
      </c>
      <c r="F42" s="17"/>
      <c r="G42" s="25">
        <v>1300.3</v>
      </c>
      <c r="H42" s="28">
        <f>(C42-G42)/C42</f>
        <v>0.26161272004542874</v>
      </c>
      <c r="I42" s="26">
        <f>G42*P41</f>
        <v>8954.7760099999996</v>
      </c>
      <c r="J42" s="26">
        <f>I42-D42</f>
        <v>-10636.22399</v>
      </c>
      <c r="L42" s="17"/>
      <c r="M42" s="27"/>
      <c r="N42" s="27"/>
      <c r="O42" s="27"/>
      <c r="P42" s="27"/>
    </row>
    <row r="43" spans="1:21">
      <c r="B43" s="24" t="s">
        <v>17</v>
      </c>
      <c r="C43" s="25">
        <f>SUM(C41:C42)</f>
        <v>7856.5</v>
      </c>
      <c r="D43" s="26">
        <f>SUM(D41:D42)</f>
        <v>66502</v>
      </c>
      <c r="E43" s="27">
        <f>D43/C43</f>
        <v>8.4645834659199384</v>
      </c>
      <c r="F43" s="17"/>
      <c r="G43" s="25">
        <f>SUM(G41:G42)</f>
        <v>6745.6</v>
      </c>
      <c r="H43" s="28">
        <f>(C43-G43)/C43</f>
        <v>0.14139884172341369</v>
      </c>
      <c r="J43" s="26">
        <f>J41+J42</f>
        <v>-20047.076479999996</v>
      </c>
      <c r="K43" s="29">
        <f>K39+J43</f>
        <v>-300098.22010999982</v>
      </c>
      <c r="L43" s="17"/>
      <c r="M43" s="27"/>
      <c r="N43" s="27"/>
      <c r="O43" s="27"/>
      <c r="P43" s="27"/>
    </row>
    <row r="44" spans="1:21" ht="3" customHeight="1">
      <c r="A44" s="42"/>
      <c r="B44" s="43"/>
      <c r="C44" s="44"/>
      <c r="D44" s="45"/>
      <c r="E44" s="46"/>
      <c r="F44" s="17"/>
      <c r="G44" s="44"/>
      <c r="H44" s="43"/>
      <c r="I44" s="45"/>
      <c r="J44" s="45"/>
      <c r="K44" s="47"/>
      <c r="L44" s="17"/>
      <c r="M44" s="48"/>
      <c r="N44" s="46"/>
      <c r="O44" s="46"/>
      <c r="P44" s="49"/>
    </row>
    <row r="45" spans="1:21">
      <c r="A45" s="23">
        <v>44440</v>
      </c>
      <c r="B45" s="24" t="s">
        <v>13</v>
      </c>
      <c r="C45" s="25">
        <v>7793.7</v>
      </c>
      <c r="D45" s="26">
        <v>36623</v>
      </c>
      <c r="E45" s="27">
        <f>D45/C45</f>
        <v>4.6990517982473028</v>
      </c>
      <c r="F45" s="17"/>
      <c r="G45" s="25">
        <v>6279</v>
      </c>
      <c r="H45" s="28">
        <f>(C45-G45)/C45</f>
        <v>0.19434928211247543</v>
      </c>
      <c r="I45" s="26">
        <f>G45*P41</f>
        <v>43241.5893</v>
      </c>
      <c r="J45" s="26">
        <f>I45-D45</f>
        <v>6618.5892999999996</v>
      </c>
      <c r="L45" s="17"/>
      <c r="M45" s="27"/>
      <c r="N45" s="27"/>
      <c r="O45" s="27"/>
      <c r="P45" s="27"/>
      <c r="T45" s="82"/>
      <c r="U45" s="83"/>
    </row>
    <row r="46" spans="1:21">
      <c r="B46" s="24" t="s">
        <v>15</v>
      </c>
      <c r="C46" s="25">
        <v>2065</v>
      </c>
      <c r="D46" s="26">
        <v>24112</v>
      </c>
      <c r="E46" s="27">
        <f>D46/C46</f>
        <v>11.676513317191283</v>
      </c>
      <c r="F46" s="17"/>
      <c r="G46" s="25">
        <v>1565</v>
      </c>
      <c r="H46" s="28">
        <f>(C46-G46)/C46</f>
        <v>0.24213075060532688</v>
      </c>
      <c r="I46" s="26">
        <f>G46*P41</f>
        <v>10777.6855</v>
      </c>
      <c r="J46" s="26">
        <f>I46-D46</f>
        <v>-13334.3145</v>
      </c>
      <c r="L46" s="17"/>
      <c r="M46" s="27"/>
      <c r="N46" s="27"/>
      <c r="O46" s="27"/>
      <c r="P46" s="27"/>
    </row>
    <row r="47" spans="1:21">
      <c r="B47" s="24" t="s">
        <v>17</v>
      </c>
      <c r="C47" s="25">
        <f>SUM(C45:C46)</f>
        <v>9858.7000000000007</v>
      </c>
      <c r="D47" s="26">
        <f>SUM(D45:D46)</f>
        <v>60735</v>
      </c>
      <c r="E47" s="27">
        <f>D47/C47</f>
        <v>6.1605485510259967</v>
      </c>
      <c r="F47" s="17"/>
      <c r="G47" s="25">
        <f>SUM(G45:G46)</f>
        <v>7844</v>
      </c>
      <c r="H47" s="28">
        <f>(C47-G47)/C47</f>
        <v>0.20435757249941683</v>
      </c>
      <c r="J47" s="26">
        <f>J45+J46</f>
        <v>-6715.7252000000008</v>
      </c>
      <c r="K47" s="29">
        <f>K43+J47</f>
        <v>-306813.94530999981</v>
      </c>
      <c r="L47" s="17"/>
      <c r="M47" s="27"/>
      <c r="N47" s="27"/>
      <c r="O47" s="27"/>
      <c r="P47" s="27"/>
    </row>
    <row r="48" spans="1:21" ht="3" customHeight="1">
      <c r="A48" s="42"/>
      <c r="B48" s="43"/>
      <c r="C48" s="44"/>
      <c r="D48" s="45"/>
      <c r="E48" s="46"/>
      <c r="F48" s="17"/>
      <c r="G48" s="44"/>
      <c r="H48" s="43"/>
      <c r="I48" s="45"/>
      <c r="J48" s="45"/>
      <c r="K48" s="47"/>
      <c r="L48" s="17"/>
      <c r="M48" s="48"/>
      <c r="N48" s="46"/>
      <c r="O48" s="46"/>
      <c r="P48" s="49"/>
    </row>
    <row r="49" spans="1:23" ht="14.4">
      <c r="A49" s="23">
        <v>44470</v>
      </c>
      <c r="B49" s="24" t="s">
        <v>13</v>
      </c>
      <c r="C49" s="25">
        <v>12478.4</v>
      </c>
      <c r="D49" s="251">
        <f>98195+5463</f>
        <v>103658</v>
      </c>
      <c r="E49" s="27">
        <f t="shared" ref="E49:E55" si="0">D49/C49</f>
        <v>8.3069944864726253</v>
      </c>
      <c r="F49" s="17"/>
      <c r="G49" s="25">
        <v>8492.2000000000007</v>
      </c>
      <c r="H49" s="28">
        <f>(C49-G49)/C49</f>
        <v>0.31944800615463514</v>
      </c>
      <c r="I49" s="26">
        <f>G49*P41</f>
        <v>58483.233740000011</v>
      </c>
      <c r="J49" s="26">
        <f>I49-D49</f>
        <v>-45174.766259999989</v>
      </c>
      <c r="L49" s="17"/>
      <c r="M49" s="27"/>
      <c r="N49" s="27"/>
      <c r="O49" s="27"/>
      <c r="P49" s="27"/>
      <c r="R49" s="31" t="s">
        <v>218</v>
      </c>
      <c r="T49" s="84"/>
      <c r="U49" s="85"/>
    </row>
    <row r="50" spans="1:23">
      <c r="B50" s="24" t="s">
        <v>15</v>
      </c>
      <c r="C50" s="25">
        <v>3127</v>
      </c>
      <c r="D50" s="26">
        <v>41142</v>
      </c>
      <c r="E50" s="27">
        <f t="shared" si="0"/>
        <v>13.157019507515191</v>
      </c>
      <c r="F50" s="17"/>
      <c r="G50" s="25">
        <v>2409</v>
      </c>
      <c r="H50" s="28">
        <f>(C50-G50)/C50</f>
        <v>0.22961304764950433</v>
      </c>
      <c r="I50" s="26">
        <f>G50*P41</f>
        <v>16590.060300000001</v>
      </c>
      <c r="J50" s="26">
        <f>I50-D50</f>
        <v>-24551.939699999999</v>
      </c>
      <c r="L50" s="17"/>
      <c r="M50" s="27"/>
      <c r="N50" s="27"/>
      <c r="O50" s="27"/>
      <c r="P50" s="27"/>
    </row>
    <row r="51" spans="1:23">
      <c r="B51" s="24" t="s">
        <v>17</v>
      </c>
      <c r="C51" s="25">
        <f>SUM(C49:C50)</f>
        <v>15605.4</v>
      </c>
      <c r="D51" s="26">
        <f>SUM(D49:D50)</f>
        <v>144800</v>
      </c>
      <c r="E51" s="27">
        <f t="shared" si="0"/>
        <v>9.278839376113396</v>
      </c>
      <c r="F51" s="17"/>
      <c r="G51" s="25">
        <f>SUM(G49:G50)</f>
        <v>10901.2</v>
      </c>
      <c r="H51" s="28">
        <f>(C51-G51)/C51</f>
        <v>0.30144693503530823</v>
      </c>
      <c r="J51" s="26">
        <f>J49+J50</f>
        <v>-69726.705959999992</v>
      </c>
      <c r="K51" s="29">
        <f>K47+J51</f>
        <v>-376540.6512699998</v>
      </c>
      <c r="L51" s="17"/>
      <c r="M51" s="53" t="s">
        <v>107</v>
      </c>
      <c r="N51" s="53" t="s">
        <v>22</v>
      </c>
      <c r="O51" s="27"/>
      <c r="P51" s="27"/>
      <c r="W51" s="26"/>
    </row>
    <row r="52" spans="1:23" ht="6" customHeight="1">
      <c r="F52" s="17"/>
      <c r="H52" s="28"/>
      <c r="L52" s="17"/>
      <c r="M52" s="27"/>
      <c r="N52" s="27"/>
      <c r="O52" s="27"/>
      <c r="P52" s="27"/>
      <c r="W52" s="26"/>
    </row>
    <row r="53" spans="1:23">
      <c r="A53" s="55" t="s">
        <v>106</v>
      </c>
      <c r="B53" s="56"/>
      <c r="C53" s="56">
        <f t="shared" ref="C53:D55" si="1">SUM(C5,C9,C13,C17,C21,C25,C29,C33,C37,C41,C45,C49)</f>
        <v>293077.10000000003</v>
      </c>
      <c r="D53" s="57">
        <f t="shared" si="1"/>
        <v>1191993</v>
      </c>
      <c r="E53" s="58">
        <f t="shared" si="0"/>
        <v>4.0671652612913114</v>
      </c>
      <c r="F53" s="17"/>
      <c r="G53" s="56">
        <f>SUM(G5,G9,G13,G17,G21,G25,G29,G33,G37,G41,G45,G49)</f>
        <v>264780.79999999999</v>
      </c>
      <c r="H53" s="59">
        <f>(C53-G53)/C53</f>
        <v>9.6548996833939069E-2</v>
      </c>
      <c r="I53" s="57">
        <f>SUM(I5,I9,I13,I17,I21,I25,I29,I33,I37,I41,I45,I49)</f>
        <v>1362064.6075600004</v>
      </c>
      <c r="J53" s="57">
        <f>E53*(N53+N54)</f>
        <v>18059.060170201567</v>
      </c>
      <c r="K53" s="54" t="s">
        <v>22</v>
      </c>
      <c r="L53" s="17"/>
      <c r="M53" s="60">
        <f>G53/(1-$R$175)</f>
        <v>286249.51351351349</v>
      </c>
      <c r="N53" s="60">
        <f>C53-M53</f>
        <v>6827.5864864865434</v>
      </c>
    </row>
    <row r="54" spans="1:23">
      <c r="A54" s="61"/>
      <c r="B54" s="62" t="s">
        <v>15</v>
      </c>
      <c r="C54" s="56">
        <f t="shared" si="1"/>
        <v>120163</v>
      </c>
      <c r="D54" s="57">
        <f t="shared" si="1"/>
        <v>1121690</v>
      </c>
      <c r="E54" s="58">
        <f t="shared" si="0"/>
        <v>9.3347369822657562</v>
      </c>
      <c r="F54" s="17"/>
      <c r="G54" s="56">
        <f>SUM(G6,G10,G14,G18,G22,G26,G30,G34,G38,G42,G46,G50)</f>
        <v>113359.1</v>
      </c>
      <c r="H54" s="59">
        <f t="shared" ref="H54:H55" si="2">(C54-G54)/C54</f>
        <v>5.6622254770603217E-2</v>
      </c>
      <c r="I54" s="57">
        <f>SUM(I6,I10,I14,I18,I22,I26,I30,I34,I38,I42,I46,I50)</f>
        <v>575077.74117000017</v>
      </c>
      <c r="J54" s="57"/>
      <c r="L54" s="17"/>
      <c r="M54" s="60">
        <f>G54/(1-$R$175)</f>
        <v>122550.37837837837</v>
      </c>
      <c r="N54" s="60">
        <f>C54-M54</f>
        <v>-2387.3783783783729</v>
      </c>
      <c r="R54" s="69"/>
      <c r="S54" s="25"/>
    </row>
    <row r="55" spans="1:23">
      <c r="A55" s="61"/>
      <c r="B55" s="62" t="s">
        <v>17</v>
      </c>
      <c r="C55" s="56">
        <f t="shared" si="1"/>
        <v>413240.10000000003</v>
      </c>
      <c r="D55" s="57">
        <f t="shared" si="1"/>
        <v>2313683</v>
      </c>
      <c r="E55" s="58">
        <f t="shared" si="0"/>
        <v>5.5988830706410146</v>
      </c>
      <c r="F55" s="17"/>
      <c r="G55" s="56">
        <f>SUM(G7,G11,G15,G19,G23,G27,G31,G35,G39,G43,G47,G51)</f>
        <v>378139.89999999997</v>
      </c>
      <c r="H55" s="59">
        <f t="shared" si="2"/>
        <v>8.4938997933646967E-2</v>
      </c>
      <c r="I55" s="57">
        <f>SUM(I5,I9,I13,I17,I21,I25,I29,I34,I39,I43,I47,I51)</f>
        <v>1162888.2596700001</v>
      </c>
      <c r="J55" s="57">
        <f>SUM(J53:J54)</f>
        <v>18059.060170201567</v>
      </c>
      <c r="K55" s="70">
        <f>K51+J55</f>
        <v>-358481.59109979821</v>
      </c>
      <c r="L55" s="17"/>
      <c r="M55" s="60">
        <f>G55/(1-$R$175)</f>
        <v>408799.89189189184</v>
      </c>
      <c r="N55" s="60">
        <f>C55-M55</f>
        <v>4440.2081081081997</v>
      </c>
      <c r="R55" s="64">
        <f>N55*E55</f>
        <v>24860.206006609966</v>
      </c>
      <c r="S55" s="65" t="s">
        <v>25</v>
      </c>
    </row>
    <row r="56" spans="1:23" s="41" customFormat="1" ht="6" customHeight="1">
      <c r="A56" s="32"/>
      <c r="B56" s="33"/>
      <c r="C56" s="34"/>
      <c r="D56" s="35"/>
      <c r="E56" s="36"/>
      <c r="F56" s="37"/>
      <c r="G56" s="34"/>
      <c r="H56" s="33"/>
      <c r="I56" s="35"/>
      <c r="J56" s="35"/>
      <c r="K56" s="38"/>
      <c r="L56" s="37"/>
      <c r="M56" s="66"/>
      <c r="N56" s="67"/>
      <c r="O56" s="67"/>
      <c r="P56" s="68"/>
    </row>
    <row r="57" spans="1:23" ht="14.4">
      <c r="A57" s="23">
        <v>44501</v>
      </c>
      <c r="B57" s="24" t="s">
        <v>13</v>
      </c>
      <c r="C57" s="25">
        <v>36247.800000000003</v>
      </c>
      <c r="D57" s="26">
        <v>277808.59999999998</v>
      </c>
      <c r="E57" s="27">
        <f>D57/C57</f>
        <v>7.6641506519016316</v>
      </c>
      <c r="F57" s="17"/>
      <c r="G57" s="25">
        <v>28082</v>
      </c>
      <c r="H57" s="28">
        <f>(C57-G57)/C57</f>
        <v>0.22527712026660934</v>
      </c>
      <c r="I57" s="26">
        <f>G57*P57</f>
        <v>240393.15279999998</v>
      </c>
      <c r="J57" s="26">
        <f>I57-D57</f>
        <v>-37415.447199999995</v>
      </c>
      <c r="L57" s="17"/>
      <c r="M57" s="27">
        <v>8.3378999999999994</v>
      </c>
      <c r="N57" s="27">
        <v>0.2225</v>
      </c>
      <c r="O57" s="27"/>
      <c r="P57" s="27">
        <f>SUM(M57:O57)</f>
        <v>8.5603999999999996</v>
      </c>
      <c r="T57" s="84"/>
      <c r="U57" s="85"/>
    </row>
    <row r="58" spans="1:23">
      <c r="B58" s="24" t="s">
        <v>15</v>
      </c>
      <c r="C58" s="25">
        <v>14788</v>
      </c>
      <c r="D58" s="26">
        <v>208825</v>
      </c>
      <c r="E58" s="27">
        <f>D58/C58</f>
        <v>14.121246956992156</v>
      </c>
      <c r="F58" s="17"/>
      <c r="G58" s="25">
        <v>11273</v>
      </c>
      <c r="H58" s="28">
        <f>(C58-G58)/C58</f>
        <v>0.23769272383013254</v>
      </c>
      <c r="I58" s="26">
        <f>G58*P57</f>
        <v>96501.389199999991</v>
      </c>
      <c r="J58" s="26">
        <f>I58-D58</f>
        <v>-112323.61080000001</v>
      </c>
      <c r="L58" s="17"/>
      <c r="M58" s="27"/>
      <c r="N58" s="27"/>
      <c r="O58" s="27"/>
      <c r="P58" s="27"/>
    </row>
    <row r="59" spans="1:23">
      <c r="B59" s="24" t="s">
        <v>17</v>
      </c>
      <c r="C59" s="25">
        <f>SUM(C57:C58)</f>
        <v>51035.8</v>
      </c>
      <c r="D59" s="26">
        <f>SUM(D57:D58)</f>
        <v>486633.6</v>
      </c>
      <c r="E59" s="27">
        <f>D59/C59</f>
        <v>9.535141998361933</v>
      </c>
      <c r="F59" s="17"/>
      <c r="G59" s="25">
        <f>SUM(G57:G58)</f>
        <v>39355</v>
      </c>
      <c r="H59" s="28">
        <f>(C59-G59)/C59</f>
        <v>0.22887463310068623</v>
      </c>
      <c r="J59" s="26">
        <f>J57+J58</f>
        <v>-149739.05800000002</v>
      </c>
      <c r="K59" s="29">
        <f>K55+J59</f>
        <v>-508220.64909979823</v>
      </c>
      <c r="L59" s="17"/>
      <c r="M59" s="27"/>
      <c r="N59" s="27"/>
      <c r="O59" s="27"/>
      <c r="P59" s="27"/>
    </row>
    <row r="60" spans="1:23" ht="3" customHeight="1">
      <c r="A60" s="42"/>
      <c r="B60" s="43"/>
      <c r="C60" s="44"/>
      <c r="D60" s="45"/>
      <c r="E60" s="46"/>
      <c r="F60" s="17"/>
      <c r="G60" s="44"/>
      <c r="H60" s="43"/>
      <c r="I60" s="45"/>
      <c r="J60" s="45"/>
      <c r="K60" s="47"/>
      <c r="L60" s="17"/>
      <c r="M60" s="48"/>
      <c r="N60" s="46"/>
      <c r="O60" s="46"/>
      <c r="P60" s="49"/>
    </row>
    <row r="61" spans="1:23" ht="14.4">
      <c r="A61" s="23">
        <v>44531</v>
      </c>
      <c r="B61" s="24" t="s">
        <v>13</v>
      </c>
      <c r="C61" s="25">
        <v>36232.699999999997</v>
      </c>
      <c r="D61" s="26">
        <v>267226.93</v>
      </c>
      <c r="E61" s="27">
        <f>D61/C61</f>
        <v>7.3752971763075896</v>
      </c>
      <c r="F61" s="17"/>
      <c r="G61" s="25">
        <v>36613</v>
      </c>
      <c r="H61" s="28">
        <f>(C61-G61)/C61</f>
        <v>-1.0496043629097554E-2</v>
      </c>
      <c r="I61" s="26">
        <f>G61*P57</f>
        <v>313421.9252</v>
      </c>
      <c r="J61" s="26">
        <f>I61-D61</f>
        <v>46194.995200000005</v>
      </c>
      <c r="L61" s="17"/>
      <c r="M61" s="27"/>
      <c r="N61" s="27"/>
      <c r="O61" s="27"/>
      <c r="P61" s="27"/>
      <c r="R61" s="69"/>
      <c r="T61" s="84"/>
      <c r="U61" s="85"/>
    </row>
    <row r="62" spans="1:23">
      <c r="B62" s="24" t="s">
        <v>15</v>
      </c>
      <c r="C62" s="25">
        <v>14143</v>
      </c>
      <c r="D62" s="26">
        <v>188557</v>
      </c>
      <c r="E62" s="27">
        <f>D62/C62</f>
        <v>13.33217846284381</v>
      </c>
      <c r="F62" s="17"/>
      <c r="G62" s="25">
        <v>16395</v>
      </c>
      <c r="H62" s="28">
        <f>(C62-G62)/C62</f>
        <v>-0.15923071484126422</v>
      </c>
      <c r="I62" s="26">
        <f>G62*P57</f>
        <v>140347.758</v>
      </c>
      <c r="J62" s="26">
        <f>I62-D62</f>
        <v>-48209.241999999998</v>
      </c>
      <c r="L62" s="17"/>
      <c r="M62" s="27"/>
      <c r="N62" s="27"/>
      <c r="O62" s="27"/>
      <c r="P62" s="27"/>
      <c r="R62" s="69"/>
    </row>
    <row r="63" spans="1:23">
      <c r="B63" s="24" t="s">
        <v>17</v>
      </c>
      <c r="C63" s="25">
        <f>SUM(C61:C62)</f>
        <v>50375.7</v>
      </c>
      <c r="D63" s="26">
        <f>SUM(D61:D62)</f>
        <v>455783.93</v>
      </c>
      <c r="E63" s="27">
        <f>D63/C63</f>
        <v>9.0476942255889252</v>
      </c>
      <c r="F63" s="17"/>
      <c r="G63" s="25">
        <f>SUM(G61:G62)</f>
        <v>53008</v>
      </c>
      <c r="H63" s="28">
        <f>(C63-G63)/C63</f>
        <v>-5.2253368191409806E-2</v>
      </c>
      <c r="J63" s="26">
        <f>J61+J62</f>
        <v>-2014.2467999999935</v>
      </c>
      <c r="K63" s="29">
        <f>K59+J63</f>
        <v>-510234.89589979826</v>
      </c>
      <c r="L63" s="17"/>
      <c r="M63" s="27"/>
      <c r="N63" s="27"/>
      <c r="O63" s="27"/>
      <c r="P63" s="27"/>
      <c r="R63" s="69"/>
      <c r="S63" s="25"/>
      <c r="T63" s="82"/>
      <c r="U63" s="83"/>
    </row>
    <row r="64" spans="1:23" ht="3" customHeight="1">
      <c r="A64" s="42"/>
      <c r="B64" s="43"/>
      <c r="C64" s="44"/>
      <c r="D64" s="45"/>
      <c r="E64" s="46"/>
      <c r="F64" s="17"/>
      <c r="G64" s="44"/>
      <c r="H64" s="43"/>
      <c r="I64" s="45"/>
      <c r="J64" s="45"/>
      <c r="K64" s="47"/>
      <c r="L64" s="17"/>
      <c r="M64" s="48"/>
      <c r="N64" s="46"/>
      <c r="O64" s="46"/>
      <c r="P64" s="49"/>
    </row>
    <row r="65" spans="1:27" ht="14.4">
      <c r="A65" s="12">
        <v>44562</v>
      </c>
      <c r="B65" s="13" t="s">
        <v>13</v>
      </c>
      <c r="C65" s="14">
        <v>59511.8</v>
      </c>
      <c r="D65" s="15">
        <v>301603.62</v>
      </c>
      <c r="E65" s="16">
        <f>D65/C65</f>
        <v>5.0679633282811141</v>
      </c>
      <c r="F65" s="17"/>
      <c r="G65" s="14">
        <v>48801</v>
      </c>
      <c r="H65" s="18">
        <f>(C65-G65)/C65</f>
        <v>0.17997775231130636</v>
      </c>
      <c r="I65" s="15">
        <f>G65*P57</f>
        <v>417756.08039999998</v>
      </c>
      <c r="J65" s="15">
        <f>I65-D65</f>
        <v>116152.46039999998</v>
      </c>
      <c r="K65" s="19"/>
      <c r="L65" s="17"/>
      <c r="M65" s="16"/>
      <c r="N65" s="16"/>
      <c r="O65" s="16"/>
      <c r="P65" s="16"/>
      <c r="R65" s="86"/>
      <c r="S65" s="86"/>
      <c r="T65" s="84"/>
      <c r="U65" s="85"/>
    </row>
    <row r="66" spans="1:27" ht="14.4">
      <c r="B66" s="24" t="s">
        <v>15</v>
      </c>
      <c r="C66" s="25">
        <v>22438</v>
      </c>
      <c r="D66" s="26">
        <v>255305</v>
      </c>
      <c r="E66" s="27">
        <f>D66/C66</f>
        <v>11.378242267581781</v>
      </c>
      <c r="F66" s="17"/>
      <c r="G66" s="25">
        <v>22579</v>
      </c>
      <c r="H66" s="28">
        <f>(C66-G66)/C66</f>
        <v>-6.2839825296372226E-3</v>
      </c>
      <c r="I66" s="26">
        <f>G66*P57</f>
        <v>193285.27159999998</v>
      </c>
      <c r="J66" s="26">
        <f>I66-D66</f>
        <v>-62019.728400000022</v>
      </c>
      <c r="L66" s="17"/>
      <c r="M66" s="27"/>
      <c r="N66" s="27"/>
      <c r="O66" s="27"/>
      <c r="P66" s="27"/>
      <c r="R66" s="86"/>
      <c r="S66" s="86"/>
    </row>
    <row r="67" spans="1:27">
      <c r="B67" s="24" t="s">
        <v>17</v>
      </c>
      <c r="C67" s="25">
        <f>SUM(C65:C66)</f>
        <v>81949.8</v>
      </c>
      <c r="D67" s="26">
        <f>SUM(D65:D66)</f>
        <v>556908.62</v>
      </c>
      <c r="E67" s="27">
        <f>D67/C67</f>
        <v>6.7957288486366041</v>
      </c>
      <c r="F67" s="17"/>
      <c r="G67" s="25">
        <f>SUM(G65:G66)</f>
        <v>71380</v>
      </c>
      <c r="H67" s="28">
        <f>(C67-G67)/C67</f>
        <v>0.1289789602903241</v>
      </c>
      <c r="J67" s="26">
        <f>J65+J66</f>
        <v>54132.73199999996</v>
      </c>
      <c r="K67" s="29">
        <f>K63+J67</f>
        <v>-456102.1638997983</v>
      </c>
      <c r="L67" s="17"/>
      <c r="M67" s="27"/>
      <c r="N67" s="27"/>
      <c r="O67" s="27"/>
      <c r="P67" s="27"/>
    </row>
    <row r="68" spans="1:27" s="41" customFormat="1" ht="3" customHeight="1">
      <c r="A68" s="32"/>
      <c r="B68" s="33"/>
      <c r="C68" s="34"/>
      <c r="D68" s="35"/>
      <c r="E68" s="36"/>
      <c r="F68" s="37"/>
      <c r="G68" s="34"/>
      <c r="H68" s="33"/>
      <c r="I68" s="35"/>
      <c r="J68" s="35"/>
      <c r="K68" s="38"/>
      <c r="L68" s="37"/>
      <c r="M68" s="39"/>
      <c r="N68" s="36"/>
      <c r="O68" s="36"/>
      <c r="P68" s="40"/>
    </row>
    <row r="69" spans="1:27" ht="14.4">
      <c r="A69" s="23">
        <v>44593</v>
      </c>
      <c r="B69" s="24" t="s">
        <v>13</v>
      </c>
      <c r="C69" s="25">
        <v>50129.4</v>
      </c>
      <c r="D69" s="26">
        <v>403245.57</v>
      </c>
      <c r="E69" s="27">
        <f>D69/C69</f>
        <v>8.0440932865743449</v>
      </c>
      <c r="F69" s="17"/>
      <c r="G69" s="25">
        <v>47902</v>
      </c>
      <c r="H69" s="28">
        <f>(C69-G69)/C69</f>
        <v>4.4433007376908591E-2</v>
      </c>
      <c r="I69" s="26">
        <f>G69*P69</f>
        <v>336003.78879999998</v>
      </c>
      <c r="J69" s="26">
        <f>I69-D69</f>
        <v>-67241.781200000027</v>
      </c>
      <c r="L69" s="17"/>
      <c r="M69" s="27">
        <v>6.7129000000000003</v>
      </c>
      <c r="N69" s="27">
        <v>0.30149999999999999</v>
      </c>
      <c r="O69" s="27"/>
      <c r="P69" s="27">
        <f>SUM(M69:O69)</f>
        <v>7.0144000000000002</v>
      </c>
      <c r="R69" s="86"/>
      <c r="T69" s="84"/>
      <c r="U69" s="85"/>
      <c r="V69" s="85">
        <v>5.8</v>
      </c>
    </row>
    <row r="70" spans="1:27" ht="14.4">
      <c r="B70" s="24" t="s">
        <v>15</v>
      </c>
      <c r="C70" s="25">
        <v>16910</v>
      </c>
      <c r="D70" s="26">
        <v>241973</v>
      </c>
      <c r="E70" s="27">
        <f>D70/C70</f>
        <v>14.309461856889415</v>
      </c>
      <c r="F70" s="17"/>
      <c r="G70" s="25">
        <v>21543</v>
      </c>
      <c r="H70" s="28">
        <f>(C70-G70)/C70</f>
        <v>-0.27397989355411001</v>
      </c>
      <c r="I70" s="26">
        <f>G70*P69</f>
        <v>151111.21919999999</v>
      </c>
      <c r="J70" s="26">
        <f>I70-D70</f>
        <v>-90861.780800000008</v>
      </c>
      <c r="L70" s="17"/>
      <c r="M70" s="27"/>
      <c r="N70" s="27"/>
      <c r="O70" s="27"/>
      <c r="P70" s="27"/>
      <c r="R70" s="86"/>
    </row>
    <row r="71" spans="1:27" ht="14.4">
      <c r="B71" s="24" t="s">
        <v>17</v>
      </c>
      <c r="C71" s="25">
        <f>SUM(C69:C70)</f>
        <v>67039.399999999994</v>
      </c>
      <c r="D71" s="26">
        <f>SUM(D69:D70)</f>
        <v>645218.57000000007</v>
      </c>
      <c r="E71" s="27">
        <f>D71/C71</f>
        <v>9.6244681485812844</v>
      </c>
      <c r="F71" s="17"/>
      <c r="G71" s="25">
        <f>SUM(G69:G70)</f>
        <v>69445</v>
      </c>
      <c r="H71" s="28">
        <f>(C71-G71)/C71</f>
        <v>-3.5883376044535092E-2</v>
      </c>
      <c r="J71" s="26">
        <f>J69+J70</f>
        <v>-158103.56200000003</v>
      </c>
      <c r="K71" s="29">
        <f>K67+J71</f>
        <v>-614205.72589979833</v>
      </c>
      <c r="L71" s="17"/>
      <c r="M71" s="27"/>
      <c r="N71" s="27"/>
      <c r="O71" s="27"/>
      <c r="P71" s="27"/>
      <c r="R71" s="86"/>
    </row>
    <row r="72" spans="1:27" ht="3" customHeight="1">
      <c r="A72" s="42"/>
      <c r="B72" s="43"/>
      <c r="C72" s="44"/>
      <c r="D72" s="45"/>
      <c r="E72" s="46"/>
      <c r="F72" s="17"/>
      <c r="G72" s="44"/>
      <c r="H72" s="43"/>
      <c r="I72" s="45"/>
      <c r="J72" s="45"/>
      <c r="K72" s="47"/>
      <c r="L72" s="17"/>
      <c r="M72" s="48"/>
      <c r="N72" s="46"/>
      <c r="O72" s="46"/>
      <c r="P72" s="49"/>
      <c r="R72" s="86"/>
    </row>
    <row r="73" spans="1:27" ht="14.4">
      <c r="A73" s="23">
        <v>44621</v>
      </c>
      <c r="B73" s="24" t="s">
        <v>13</v>
      </c>
      <c r="C73" s="25">
        <v>35837.800000000003</v>
      </c>
      <c r="D73" s="26">
        <v>182375.55</v>
      </c>
      <c r="E73" s="27">
        <f>D73/C73</f>
        <v>5.0889158932746978</v>
      </c>
      <c r="F73" s="17"/>
      <c r="G73" s="25">
        <v>32920</v>
      </c>
      <c r="H73" s="28">
        <f>(C73-G73)/C73</f>
        <v>8.1416828041899966E-2</v>
      </c>
      <c r="I73" s="26">
        <f>G73*P69</f>
        <v>230914.04800000001</v>
      </c>
      <c r="J73" s="26">
        <f>I73-D73</f>
        <v>48538.498000000021</v>
      </c>
      <c r="L73" s="17"/>
      <c r="M73" s="27"/>
      <c r="N73" s="27"/>
      <c r="O73" s="27"/>
      <c r="P73" s="27"/>
      <c r="R73" s="86"/>
      <c r="T73" s="84"/>
      <c r="U73" s="85"/>
      <c r="V73" s="85">
        <v>3.92</v>
      </c>
    </row>
    <row r="74" spans="1:27" ht="14.4">
      <c r="B74" s="24" t="s">
        <v>15</v>
      </c>
      <c r="C74" s="25">
        <v>12923</v>
      </c>
      <c r="D74" s="26">
        <v>161126</v>
      </c>
      <c r="E74" s="27">
        <f>D74/C74</f>
        <v>12.468157548556837</v>
      </c>
      <c r="F74" s="17"/>
      <c r="G74" s="25">
        <v>15106</v>
      </c>
      <c r="H74" s="28">
        <f>(C74-G74)/C74</f>
        <v>-0.1689236245453842</v>
      </c>
      <c r="I74" s="26">
        <f>G74*P69</f>
        <v>105959.5264</v>
      </c>
      <c r="J74" s="26">
        <f>I74-D74</f>
        <v>-55166.473599999998</v>
      </c>
      <c r="L74" s="17"/>
      <c r="M74" s="27"/>
      <c r="N74" s="27"/>
      <c r="O74" s="27"/>
      <c r="P74" s="27"/>
      <c r="R74" s="86"/>
    </row>
    <row r="75" spans="1:27" ht="14.4">
      <c r="B75" s="24" t="s">
        <v>17</v>
      </c>
      <c r="C75" s="25">
        <f>SUM(C73:C74)</f>
        <v>48760.800000000003</v>
      </c>
      <c r="D75" s="26">
        <f>SUM(D73:D74)</f>
        <v>343501.55</v>
      </c>
      <c r="E75" s="27">
        <f>D75/C75</f>
        <v>7.0446249856442051</v>
      </c>
      <c r="F75" s="17"/>
      <c r="G75" s="25">
        <f>SUM(G73:G74)</f>
        <v>48026</v>
      </c>
      <c r="H75" s="28">
        <f>(C75-G75)/C75</f>
        <v>1.5069482042952595E-2</v>
      </c>
      <c r="J75" s="26">
        <f>J73+J74</f>
        <v>-6627.9755999999761</v>
      </c>
      <c r="K75" s="29">
        <f>K71+J75</f>
        <v>-620833.70149979834</v>
      </c>
      <c r="L75" s="17"/>
      <c r="M75" s="27"/>
      <c r="N75" s="27"/>
      <c r="O75" s="27"/>
      <c r="P75" s="27"/>
      <c r="R75" s="86"/>
    </row>
    <row r="76" spans="1:27" ht="3" customHeight="1">
      <c r="A76" s="42"/>
      <c r="B76" s="43"/>
      <c r="C76" s="44"/>
      <c r="D76" s="45"/>
      <c r="E76" s="46"/>
      <c r="F76" s="17"/>
      <c r="G76" s="44"/>
      <c r="H76" s="43"/>
      <c r="I76" s="45"/>
      <c r="J76" s="45"/>
      <c r="K76" s="47"/>
      <c r="L76" s="17"/>
      <c r="M76" s="48"/>
      <c r="N76" s="46"/>
      <c r="O76" s="46"/>
      <c r="P76" s="49"/>
      <c r="R76" s="86"/>
    </row>
    <row r="77" spans="1:27" ht="14.4">
      <c r="A77" s="23">
        <v>44652</v>
      </c>
      <c r="B77" s="24" t="s">
        <v>13</v>
      </c>
      <c r="C77" s="25">
        <v>24398.799999999999</v>
      </c>
      <c r="D77" s="26">
        <v>119075.08</v>
      </c>
      <c r="E77" s="27">
        <f>D77/C77</f>
        <v>4.88036624752037</v>
      </c>
      <c r="F77" s="17"/>
      <c r="G77" s="25">
        <v>21173</v>
      </c>
      <c r="H77" s="28">
        <f>(C77-G77)/C77</f>
        <v>0.13221142023378196</v>
      </c>
      <c r="I77" s="26">
        <f>G77*P69</f>
        <v>148515.89120000001</v>
      </c>
      <c r="J77" s="26">
        <f>I77-D77</f>
        <v>29440.811200000011</v>
      </c>
      <c r="L77" s="17"/>
      <c r="M77" s="27"/>
      <c r="N77" s="27"/>
      <c r="O77" s="27"/>
      <c r="P77" s="27"/>
      <c r="R77" s="86"/>
      <c r="T77" s="84"/>
      <c r="U77" s="85"/>
      <c r="V77" s="85">
        <v>4.63</v>
      </c>
      <c r="Y77" s="87"/>
      <c r="Z77" s="87"/>
      <c r="AA77" s="88"/>
    </row>
    <row r="78" spans="1:27" ht="14.4">
      <c r="B78" s="24" t="s">
        <v>15</v>
      </c>
      <c r="C78" s="25">
        <v>8382</v>
      </c>
      <c r="D78" s="26">
        <v>102511</v>
      </c>
      <c r="E78" s="27">
        <f>D78/C78</f>
        <v>12.229897399188738</v>
      </c>
      <c r="F78" s="17"/>
      <c r="G78" s="25">
        <v>8472</v>
      </c>
      <c r="H78" s="28">
        <f>(C78-G78)/C78</f>
        <v>-1.0737294201861132E-2</v>
      </c>
      <c r="I78" s="26">
        <f>G78*P69</f>
        <v>59425.996800000001</v>
      </c>
      <c r="J78" s="26">
        <f>I78-D78</f>
        <v>-43085.003199999999</v>
      </c>
      <c r="L78" s="17"/>
      <c r="M78" s="27"/>
      <c r="N78" s="27"/>
      <c r="O78" s="27"/>
      <c r="P78" s="27"/>
      <c r="R78" s="86"/>
      <c r="Y78" s="87"/>
      <c r="Z78" s="87"/>
      <c r="AA78" s="88"/>
    </row>
    <row r="79" spans="1:27" ht="14.4">
      <c r="B79" s="24" t="s">
        <v>17</v>
      </c>
      <c r="C79" s="25">
        <f>SUM(C77:C78)</f>
        <v>32780.800000000003</v>
      </c>
      <c r="D79" s="26">
        <f>SUM(D77:D78)</f>
        <v>221586.08000000002</v>
      </c>
      <c r="E79" s="27">
        <f>D79/C79</f>
        <v>6.7596300273330732</v>
      </c>
      <c r="F79" s="17"/>
      <c r="G79" s="25">
        <f>SUM(G77:G78)</f>
        <v>29645</v>
      </c>
      <c r="H79" s="28">
        <f>(C79-G79)/C79</f>
        <v>9.565965443186264E-2</v>
      </c>
      <c r="J79" s="26">
        <f>J77+J78</f>
        <v>-13644.191999999988</v>
      </c>
      <c r="K79" s="29">
        <f>K75+J79</f>
        <v>-634477.89349979837</v>
      </c>
      <c r="L79" s="17"/>
      <c r="M79" s="27"/>
      <c r="N79" s="27"/>
      <c r="O79" s="27"/>
      <c r="P79" s="27"/>
      <c r="R79" s="86"/>
      <c r="S79" s="25"/>
      <c r="Y79" s="87"/>
      <c r="Z79" s="87"/>
      <c r="AA79" s="88"/>
    </row>
    <row r="80" spans="1:27" s="41" customFormat="1" ht="3" customHeight="1">
      <c r="A80" s="32"/>
      <c r="B80" s="33"/>
      <c r="C80" s="34"/>
      <c r="D80" s="35"/>
      <c r="E80" s="36"/>
      <c r="F80" s="37"/>
      <c r="G80" s="34"/>
      <c r="H80" s="33"/>
      <c r="I80" s="35"/>
      <c r="J80" s="35"/>
      <c r="K80" s="38"/>
      <c r="L80" s="37"/>
      <c r="M80" s="39"/>
      <c r="N80" s="36"/>
      <c r="O80" s="36"/>
      <c r="P80" s="40"/>
    </row>
    <row r="81" spans="1:28" ht="14.4">
      <c r="A81" s="23">
        <v>44682</v>
      </c>
      <c r="B81" s="24" t="s">
        <v>13</v>
      </c>
      <c r="C81" s="25">
        <v>10852.2</v>
      </c>
      <c r="D81" s="26">
        <v>95046.53</v>
      </c>
      <c r="E81" s="27">
        <f>D81/C81</f>
        <v>8.7582729769079073</v>
      </c>
      <c r="F81" s="17"/>
      <c r="G81" s="25">
        <v>9515</v>
      </c>
      <c r="H81" s="28">
        <f>(C81-G81)/C81</f>
        <v>0.12321925508191893</v>
      </c>
      <c r="I81" s="26">
        <f>G81*P81</f>
        <v>79314.185499999992</v>
      </c>
      <c r="J81" s="26">
        <f>I81-D81</f>
        <v>-15732.344500000007</v>
      </c>
      <c r="L81" s="17"/>
      <c r="M81" s="27">
        <v>8.0748999999999995</v>
      </c>
      <c r="N81" s="27">
        <v>0.26079999999999998</v>
      </c>
      <c r="O81" s="27"/>
      <c r="P81" s="27">
        <f>SUM(M81:O81)</f>
        <v>8.3356999999999992</v>
      </c>
      <c r="R81" s="86"/>
      <c r="T81" s="84"/>
      <c r="U81" s="85"/>
      <c r="V81" s="85">
        <v>6.58</v>
      </c>
    </row>
    <row r="82" spans="1:28" ht="14.4">
      <c r="B82" s="24" t="s">
        <v>15</v>
      </c>
      <c r="C82" s="25">
        <v>2573</v>
      </c>
      <c r="D82" s="26">
        <v>37756</v>
      </c>
      <c r="E82" s="27">
        <f>D82/C82</f>
        <v>14.673921492421298</v>
      </c>
      <c r="F82" s="17"/>
      <c r="G82" s="25">
        <v>2427</v>
      </c>
      <c r="H82" s="28">
        <f>(C82-G82)/C82</f>
        <v>5.6743101438010105E-2</v>
      </c>
      <c r="I82" s="26">
        <f>G82*P81</f>
        <v>20230.743899999998</v>
      </c>
      <c r="J82" s="26">
        <f>I82-D82</f>
        <v>-17525.256100000002</v>
      </c>
      <c r="L82" s="17"/>
      <c r="M82" s="27"/>
      <c r="N82" s="27"/>
      <c r="O82" s="27"/>
      <c r="P82" s="27"/>
      <c r="R82" s="86"/>
    </row>
    <row r="83" spans="1:28" ht="14.4">
      <c r="B83" s="24" t="s">
        <v>17</v>
      </c>
      <c r="C83" s="25">
        <f>SUM(C81:C82)</f>
        <v>13425.2</v>
      </c>
      <c r="D83" s="26">
        <f>SUM(D81:D82)</f>
        <v>132802.53</v>
      </c>
      <c r="E83" s="27">
        <f>D83/C83</f>
        <v>9.8920336382325775</v>
      </c>
      <c r="F83" s="17"/>
      <c r="G83" s="25">
        <f>SUM(G81:G82)</f>
        <v>11942</v>
      </c>
      <c r="H83" s="28">
        <f>(C83-G83)/C83</f>
        <v>0.11047880106069188</v>
      </c>
      <c r="J83" s="26">
        <f>J81+J82</f>
        <v>-33257.600600000005</v>
      </c>
      <c r="K83" s="29">
        <f>K79+J83</f>
        <v>-667735.49409979838</v>
      </c>
      <c r="L83" s="17"/>
      <c r="M83" s="27"/>
      <c r="N83" s="27"/>
      <c r="O83" s="27"/>
      <c r="P83" s="27"/>
      <c r="R83" s="86"/>
    </row>
    <row r="84" spans="1:28" ht="3" customHeight="1">
      <c r="A84" s="42"/>
      <c r="B84" s="43"/>
      <c r="C84" s="44"/>
      <c r="D84" s="45"/>
      <c r="E84" s="46"/>
      <c r="F84" s="17"/>
      <c r="G84" s="44"/>
      <c r="H84" s="43"/>
      <c r="I84" s="45"/>
      <c r="J84" s="45"/>
      <c r="K84" s="47"/>
      <c r="L84" s="17"/>
      <c r="M84" s="48"/>
      <c r="N84" s="46"/>
      <c r="O84" s="46"/>
      <c r="P84" s="49"/>
      <c r="R84" s="86"/>
    </row>
    <row r="85" spans="1:28" ht="14.4">
      <c r="A85" s="23">
        <v>44713</v>
      </c>
      <c r="B85" s="24" t="s">
        <v>13</v>
      </c>
      <c r="C85" s="25">
        <v>7311.4</v>
      </c>
      <c r="D85" s="26">
        <v>63735.91</v>
      </c>
      <c r="E85" s="27">
        <f>D85/C85</f>
        <v>8.7173332056788038</v>
      </c>
      <c r="F85" s="17"/>
      <c r="G85" s="25">
        <v>6459</v>
      </c>
      <c r="H85" s="28">
        <f>(C85-G85)/C85</f>
        <v>0.11658505894903845</v>
      </c>
      <c r="I85" s="26">
        <f>G85*P81</f>
        <v>53840.286299999992</v>
      </c>
      <c r="J85" s="26">
        <f>I85-D85</f>
        <v>-9895.623700000011</v>
      </c>
      <c r="L85" s="17"/>
      <c r="M85" s="27"/>
      <c r="N85" s="27"/>
      <c r="O85" s="27"/>
      <c r="P85" s="27"/>
      <c r="R85" s="86"/>
      <c r="T85" s="84"/>
      <c r="U85" s="85"/>
      <c r="V85" s="85">
        <v>8.14</v>
      </c>
    </row>
    <row r="86" spans="1:28" ht="14.4">
      <c r="B86" s="24" t="s">
        <v>15</v>
      </c>
      <c r="C86" s="25">
        <v>2117</v>
      </c>
      <c r="D86" s="26">
        <v>35203</v>
      </c>
      <c r="E86" s="27">
        <f>D86/C86</f>
        <v>16.628719886632027</v>
      </c>
      <c r="F86" s="17"/>
      <c r="G86" s="25">
        <v>1673</v>
      </c>
      <c r="H86" s="28">
        <f>(C86-G86)/C86</f>
        <v>0.20973075106282474</v>
      </c>
      <c r="I86" s="26">
        <f>G86*P81</f>
        <v>13945.626099999999</v>
      </c>
      <c r="J86" s="26">
        <f>I86-D86</f>
        <v>-21257.373899999999</v>
      </c>
      <c r="L86" s="17"/>
      <c r="M86" s="27"/>
      <c r="N86" s="27"/>
      <c r="O86" s="27"/>
      <c r="P86" s="27"/>
      <c r="R86" s="86"/>
    </row>
    <row r="87" spans="1:28" ht="14.4">
      <c r="B87" s="24" t="s">
        <v>17</v>
      </c>
      <c r="C87" s="25">
        <f>SUM(C85:C86)</f>
        <v>9428.4</v>
      </c>
      <c r="D87" s="26">
        <f>SUM(D85:D86)</f>
        <v>98938.91</v>
      </c>
      <c r="E87" s="27">
        <f>D87/C87</f>
        <v>10.493711552331256</v>
      </c>
      <c r="F87" s="17"/>
      <c r="G87" s="25">
        <f>SUM(G85:G86)</f>
        <v>8132</v>
      </c>
      <c r="H87" s="28">
        <f>(C87-G87)/C87</f>
        <v>0.13749946968732762</v>
      </c>
      <c r="J87" s="26">
        <f>J85+J86</f>
        <v>-31152.99760000001</v>
      </c>
      <c r="K87" s="29">
        <f>K83+J87</f>
        <v>-698888.49169979838</v>
      </c>
      <c r="L87" s="17"/>
      <c r="M87" s="27"/>
      <c r="N87" s="27"/>
      <c r="O87" s="27"/>
      <c r="P87" s="27"/>
      <c r="R87" s="86"/>
    </row>
    <row r="88" spans="1:28" ht="3" customHeight="1">
      <c r="A88" s="42"/>
      <c r="B88" s="43"/>
      <c r="C88" s="44"/>
      <c r="D88" s="45"/>
      <c r="E88" s="46"/>
      <c r="F88" s="17"/>
      <c r="G88" s="44"/>
      <c r="H88" s="43"/>
      <c r="I88" s="45"/>
      <c r="J88" s="45"/>
      <c r="K88" s="47"/>
      <c r="L88" s="17"/>
      <c r="M88" s="48"/>
      <c r="N88" s="46"/>
      <c r="O88" s="46"/>
      <c r="P88" s="49"/>
      <c r="R88" s="86"/>
    </row>
    <row r="89" spans="1:28" ht="14.4">
      <c r="A89" s="23">
        <v>44743</v>
      </c>
      <c r="B89" s="24" t="s">
        <v>13</v>
      </c>
      <c r="C89" s="25">
        <v>6836</v>
      </c>
      <c r="D89" s="26">
        <v>49483.82</v>
      </c>
      <c r="E89" s="27">
        <f>D89/C89</f>
        <v>7.2387097717963718</v>
      </c>
      <c r="F89" s="17"/>
      <c r="G89" s="25">
        <v>4801</v>
      </c>
      <c r="H89" s="28">
        <f>(C89-G89)/C89</f>
        <v>0.29768870684610882</v>
      </c>
      <c r="I89" s="26">
        <f>G89*P81</f>
        <v>40019.695699999997</v>
      </c>
      <c r="J89" s="26">
        <f>I89-D89</f>
        <v>-9464.1243000000031</v>
      </c>
      <c r="L89" s="17"/>
      <c r="M89" s="27"/>
      <c r="N89" s="27"/>
      <c r="O89" s="27"/>
      <c r="P89" s="27"/>
      <c r="R89" s="86"/>
      <c r="T89" s="84"/>
      <c r="U89" s="85"/>
      <c r="V89" s="85">
        <v>5.72</v>
      </c>
    </row>
    <row r="90" spans="1:28" ht="14.4">
      <c r="B90" s="24" t="s">
        <v>15</v>
      </c>
      <c r="C90" s="25">
        <v>1549</v>
      </c>
      <c r="D90" s="26">
        <v>21055</v>
      </c>
      <c r="E90" s="27">
        <f>D90/C90</f>
        <v>13.592640413169788</v>
      </c>
      <c r="F90" s="17"/>
      <c r="G90" s="25">
        <v>1376</v>
      </c>
      <c r="H90" s="28">
        <f>(C90-G90)/C90</f>
        <v>0.11168495803744351</v>
      </c>
      <c r="I90" s="26">
        <f>G90*P81</f>
        <v>11469.923199999999</v>
      </c>
      <c r="J90" s="26">
        <f>I90-D90</f>
        <v>-9585.0768000000007</v>
      </c>
      <c r="L90" s="17"/>
      <c r="M90" s="27"/>
      <c r="N90" s="27"/>
      <c r="O90" s="27"/>
      <c r="P90" s="27"/>
      <c r="R90" s="86"/>
    </row>
    <row r="91" spans="1:28">
      <c r="B91" s="24" t="s">
        <v>17</v>
      </c>
      <c r="C91" s="25">
        <f>SUM(C89:C90)</f>
        <v>8385</v>
      </c>
      <c r="D91" s="26">
        <f>SUM(D89:D90)</f>
        <v>70538.820000000007</v>
      </c>
      <c r="E91" s="27">
        <f>D91/C91</f>
        <v>8.412500894454384</v>
      </c>
      <c r="F91" s="17"/>
      <c r="G91" s="25">
        <f>SUM(G89:G90)</f>
        <v>6177</v>
      </c>
      <c r="H91" s="28">
        <f>(C91-G91)/C91</f>
        <v>0.26332737030411452</v>
      </c>
      <c r="J91" s="26">
        <f>J89+J90</f>
        <v>-19049.201100000006</v>
      </c>
      <c r="K91" s="29">
        <f>K87+J91</f>
        <v>-717937.69279979845</v>
      </c>
      <c r="L91" s="17"/>
      <c r="M91" s="27"/>
      <c r="N91" s="27"/>
      <c r="O91" s="27"/>
      <c r="P91" s="27"/>
      <c r="R91" s="69"/>
      <c r="S91" s="25"/>
      <c r="Y91" s="89"/>
      <c r="Z91" s="89"/>
      <c r="AA91" s="89"/>
    </row>
    <row r="92" spans="1:28" s="41" customFormat="1" ht="3" customHeight="1">
      <c r="A92" s="32"/>
      <c r="B92" s="33"/>
      <c r="C92" s="34"/>
      <c r="D92" s="35"/>
      <c r="E92" s="36"/>
      <c r="F92" s="37"/>
      <c r="G92" s="34"/>
      <c r="H92" s="33"/>
      <c r="I92" s="35"/>
      <c r="J92" s="35"/>
      <c r="K92" s="38"/>
      <c r="L92" s="37"/>
      <c r="M92" s="39"/>
      <c r="N92" s="36"/>
      <c r="O92" s="36"/>
      <c r="P92" s="40"/>
    </row>
    <row r="93" spans="1:28" ht="14.4">
      <c r="A93" s="23">
        <v>44774</v>
      </c>
      <c r="B93" s="24" t="s">
        <v>13</v>
      </c>
      <c r="C93" s="25">
        <v>7136.35</v>
      </c>
      <c r="D93" s="26">
        <v>66416.69</v>
      </c>
      <c r="E93" s="27">
        <f>D93/C93</f>
        <v>9.3068151085639013</v>
      </c>
      <c r="F93" s="17"/>
      <c r="G93" s="25">
        <v>5528</v>
      </c>
      <c r="H93" s="28">
        <f>(C93-G93)/C93</f>
        <v>0.22537431600187774</v>
      </c>
      <c r="I93" s="26">
        <f>G93*P93</f>
        <v>56051.156000000003</v>
      </c>
      <c r="J93" s="26">
        <f>I93-D93</f>
        <v>-10365.534</v>
      </c>
      <c r="L93" s="17"/>
      <c r="M93" s="27">
        <v>9.5959000000000003</v>
      </c>
      <c r="N93" s="27">
        <v>0.54359999999999997</v>
      </c>
      <c r="O93" s="27"/>
      <c r="P93" s="27">
        <f>SUM(M93:O93)</f>
        <v>10.1395</v>
      </c>
      <c r="R93" s="86"/>
      <c r="T93" s="84"/>
      <c r="U93" s="85"/>
      <c r="V93" s="85">
        <v>7.87</v>
      </c>
      <c r="X93" s="50"/>
      <c r="Y93" s="90"/>
      <c r="Z93" s="90"/>
      <c r="AA93" s="91"/>
    </row>
    <row r="94" spans="1:28" ht="14.4">
      <c r="B94" s="24" t="s">
        <v>15</v>
      </c>
      <c r="C94" s="25">
        <v>1415</v>
      </c>
      <c r="D94" s="26">
        <v>23042</v>
      </c>
      <c r="E94" s="27">
        <f>D94/C94</f>
        <v>16.284098939929329</v>
      </c>
      <c r="F94" s="17"/>
      <c r="G94" s="25">
        <v>1344</v>
      </c>
      <c r="H94" s="28">
        <f>(C94-G94)/C94</f>
        <v>5.0176678445229682E-2</v>
      </c>
      <c r="I94" s="26">
        <f>G94*P93</f>
        <v>13627.487999999999</v>
      </c>
      <c r="J94" s="26">
        <f>I94-D94</f>
        <v>-9414.5120000000006</v>
      </c>
      <c r="L94" s="17"/>
      <c r="M94" s="27"/>
      <c r="N94" s="27"/>
      <c r="O94" s="27"/>
      <c r="P94" s="27"/>
      <c r="R94" s="86"/>
      <c r="X94" s="50"/>
      <c r="Y94" s="90"/>
      <c r="Z94" s="90"/>
      <c r="AA94" s="91"/>
      <c r="AB94" s="92"/>
    </row>
    <row r="95" spans="1:28">
      <c r="B95" s="24" t="s">
        <v>17</v>
      </c>
      <c r="C95" s="25">
        <f>SUM(C93:C94)</f>
        <v>8551.35</v>
      </c>
      <c r="D95" s="26">
        <f>SUM(D93:D94)</f>
        <v>89458.69</v>
      </c>
      <c r="E95" s="27">
        <f>D95/C95</f>
        <v>10.461352885801658</v>
      </c>
      <c r="F95" s="17"/>
      <c r="G95" s="25">
        <f>SUM(G93:G94)</f>
        <v>6872</v>
      </c>
      <c r="H95" s="28">
        <f>(C95-G95)/C95</f>
        <v>0.19638419664731302</v>
      </c>
      <c r="J95" s="26">
        <f>J93+J94</f>
        <v>-19780.046000000002</v>
      </c>
      <c r="K95" s="29">
        <f>K91+J95</f>
        <v>-737717.73879979842</v>
      </c>
      <c r="L95" s="17"/>
      <c r="M95" s="27"/>
      <c r="N95" s="27"/>
      <c r="O95" s="27"/>
      <c r="P95" s="27"/>
      <c r="R95" s="63"/>
      <c r="S95" s="25"/>
      <c r="X95" s="50"/>
      <c r="Y95" s="90"/>
      <c r="Z95" s="90"/>
      <c r="AA95" s="93"/>
    </row>
    <row r="96" spans="1:28" ht="3" customHeight="1">
      <c r="A96" s="42"/>
      <c r="B96" s="43"/>
      <c r="C96" s="44"/>
      <c r="D96" s="45"/>
      <c r="E96" s="46"/>
      <c r="F96" s="17"/>
      <c r="G96" s="44"/>
      <c r="H96" s="43"/>
      <c r="I96" s="45"/>
      <c r="J96" s="45"/>
      <c r="K96" s="47"/>
      <c r="L96" s="17"/>
      <c r="M96" s="48"/>
      <c r="N96" s="46"/>
      <c r="O96" s="46"/>
      <c r="P96" s="49"/>
    </row>
    <row r="97" spans="1:22" ht="14.4">
      <c r="A97" s="23">
        <v>44805</v>
      </c>
      <c r="B97" s="24" t="s">
        <v>13</v>
      </c>
      <c r="C97" s="25">
        <v>7885</v>
      </c>
      <c r="D97" s="26">
        <v>95522.18</v>
      </c>
      <c r="E97" s="27">
        <f>D97/C97</f>
        <v>12.114417247939125</v>
      </c>
      <c r="F97" s="17"/>
      <c r="G97" s="25">
        <v>6132</v>
      </c>
      <c r="H97" s="28">
        <f>(C97-G97)/C97</f>
        <v>0.22232086239695625</v>
      </c>
      <c r="I97" s="26">
        <f>G97*P93</f>
        <v>62175.413999999997</v>
      </c>
      <c r="J97" s="26">
        <f>I97-D97</f>
        <v>-33346.765999999996</v>
      </c>
      <c r="L97" s="17"/>
      <c r="M97" s="27"/>
      <c r="N97" s="27"/>
      <c r="O97" s="27"/>
      <c r="P97" s="27"/>
      <c r="R97" s="86"/>
      <c r="T97" s="84"/>
      <c r="U97" s="85"/>
      <c r="V97" s="85">
        <v>8.0299999999999994</v>
      </c>
    </row>
    <row r="98" spans="1:22" ht="14.4">
      <c r="B98" s="24" t="s">
        <v>15</v>
      </c>
      <c r="C98" s="25">
        <v>1833</v>
      </c>
      <c r="D98" s="26">
        <v>30224</v>
      </c>
      <c r="E98" s="27">
        <f>D98/C98</f>
        <v>16.488816148390615</v>
      </c>
      <c r="F98" s="17"/>
      <c r="G98" s="25">
        <v>1520</v>
      </c>
      <c r="H98" s="28">
        <f>(C98-G98)/C98</f>
        <v>0.1707583196944899</v>
      </c>
      <c r="I98" s="26">
        <f>G98*P93</f>
        <v>15412.039999999999</v>
      </c>
      <c r="J98" s="26">
        <f>I98-D98</f>
        <v>-14811.960000000001</v>
      </c>
      <c r="L98" s="17"/>
      <c r="M98" s="27"/>
      <c r="N98" s="27"/>
      <c r="O98" s="27"/>
      <c r="P98" s="27"/>
      <c r="R98" s="86"/>
    </row>
    <row r="99" spans="1:22">
      <c r="B99" s="24" t="s">
        <v>17</v>
      </c>
      <c r="C99" s="25">
        <f>SUM(C97:C98)</f>
        <v>9718</v>
      </c>
      <c r="D99" s="26">
        <f>SUM(D97:D98)</f>
        <v>125746.18</v>
      </c>
      <c r="E99" s="27">
        <f>D99/C99</f>
        <v>12.939512245317966</v>
      </c>
      <c r="F99" s="17"/>
      <c r="G99" s="25">
        <f>SUM(G97:G98)</f>
        <v>7652</v>
      </c>
      <c r="H99" s="28">
        <f>(C99-G99)/C99</f>
        <v>0.21259518419427867</v>
      </c>
      <c r="J99" s="26">
        <f>J97+J98</f>
        <v>-48158.725999999995</v>
      </c>
      <c r="K99" s="29">
        <f>K95+J99</f>
        <v>-785876.46479979844</v>
      </c>
      <c r="L99" s="17"/>
      <c r="M99" s="27"/>
      <c r="N99" s="27"/>
      <c r="O99" s="27"/>
      <c r="P99" s="27"/>
    </row>
    <row r="100" spans="1:22" ht="3" customHeight="1">
      <c r="A100" s="42"/>
      <c r="B100" s="43"/>
      <c r="C100" s="44"/>
      <c r="D100" s="45"/>
      <c r="E100" s="46"/>
      <c r="F100" s="17"/>
      <c r="G100" s="44"/>
      <c r="H100" s="43"/>
      <c r="I100" s="45"/>
      <c r="J100" s="45"/>
      <c r="K100" s="47"/>
      <c r="L100" s="17"/>
      <c r="M100" s="48"/>
      <c r="N100" s="46"/>
      <c r="O100" s="46"/>
      <c r="P100" s="49"/>
    </row>
    <row r="101" spans="1:22" ht="14.4">
      <c r="A101" s="23">
        <v>44835</v>
      </c>
      <c r="B101" s="24" t="s">
        <v>13</v>
      </c>
      <c r="C101" s="25">
        <v>19438</v>
      </c>
      <c r="D101" s="251">
        <f>118056.06+4727</f>
        <v>122783.06</v>
      </c>
      <c r="E101" s="27">
        <f>D101/C101</f>
        <v>6.3166508900092602</v>
      </c>
      <c r="F101" s="17"/>
      <c r="G101" s="25">
        <v>16518</v>
      </c>
      <c r="H101" s="28">
        <f>(C101-G101)/C101</f>
        <v>0.15022121617450354</v>
      </c>
      <c r="I101" s="26">
        <f>G101*P93</f>
        <v>167484.261</v>
      </c>
      <c r="J101" s="26">
        <f>I101-D101</f>
        <v>44701.201000000001</v>
      </c>
      <c r="L101" s="17"/>
      <c r="M101" s="27"/>
      <c r="N101" s="27"/>
      <c r="O101" s="27"/>
      <c r="P101" s="27"/>
      <c r="R101" s="31" t="s">
        <v>218</v>
      </c>
      <c r="T101" s="84"/>
      <c r="U101" s="85"/>
      <c r="V101" s="85">
        <v>4.8899999999999997</v>
      </c>
    </row>
    <row r="102" spans="1:22" ht="14.4">
      <c r="B102" s="24" t="s">
        <v>15</v>
      </c>
      <c r="C102" s="25">
        <v>6809</v>
      </c>
      <c r="D102" s="26">
        <v>85493</v>
      </c>
      <c r="E102" s="27">
        <f>D102/C102</f>
        <v>12.555881920986929</v>
      </c>
      <c r="F102" s="17"/>
      <c r="G102" s="25">
        <v>6003</v>
      </c>
      <c r="H102" s="28">
        <f>(C102-G102)/C102</f>
        <v>0.11837274195917169</v>
      </c>
      <c r="I102" s="26">
        <f>G102*P93</f>
        <v>60867.4185</v>
      </c>
      <c r="J102" s="26">
        <f>I102-D102</f>
        <v>-24625.5815</v>
      </c>
      <c r="L102" s="17"/>
      <c r="M102" s="27"/>
      <c r="N102" s="27"/>
      <c r="O102" s="27"/>
      <c r="P102" s="27"/>
      <c r="R102" s="86"/>
    </row>
    <row r="103" spans="1:22">
      <c r="B103" s="24" t="s">
        <v>17</v>
      </c>
      <c r="C103" s="25">
        <f>SUM(C101:C102)</f>
        <v>26247</v>
      </c>
      <c r="D103" s="26">
        <f>SUM(D101:D102)</f>
        <v>208276.06</v>
      </c>
      <c r="E103" s="27">
        <f>D103/C103</f>
        <v>7.9352329790071243</v>
      </c>
      <c r="F103" s="17"/>
      <c r="G103" s="25">
        <f>SUM(G101:G102)</f>
        <v>22521</v>
      </c>
      <c r="H103" s="28">
        <f>(C103-G103)/C103</f>
        <v>0.14195908103783289</v>
      </c>
      <c r="J103" s="26">
        <f>J101+J102</f>
        <v>20075.619500000001</v>
      </c>
      <c r="K103" s="29">
        <f>K99+J103</f>
        <v>-765800.84529979841</v>
      </c>
      <c r="L103" s="17"/>
      <c r="M103" s="53" t="s">
        <v>107</v>
      </c>
      <c r="N103" s="53" t="s">
        <v>22</v>
      </c>
      <c r="R103" s="69"/>
      <c r="S103" s="25"/>
    </row>
    <row r="104" spans="1:22" ht="6" customHeight="1">
      <c r="F104" s="17"/>
      <c r="H104" s="28"/>
      <c r="J104" s="24"/>
      <c r="L104" s="17"/>
    </row>
    <row r="105" spans="1:22">
      <c r="A105" s="55" t="s">
        <v>106</v>
      </c>
      <c r="B105" s="56"/>
      <c r="C105" s="56">
        <f t="shared" ref="C105:D107" si="3">SUM(C57,C61,C65,C69,C73,C77,C81,C85,C89,C93,C97,C101)</f>
        <v>301817.25</v>
      </c>
      <c r="D105" s="57">
        <f t="shared" si="3"/>
        <v>2044323.54</v>
      </c>
      <c r="E105" s="58">
        <f>D105/C105</f>
        <v>6.7733820383029801</v>
      </c>
      <c r="F105" s="17"/>
      <c r="G105" s="56">
        <f>SUM(G57,G61,G65,G69,G73,G77,G81,G85,G89,G93,G97,G101)</f>
        <v>264444</v>
      </c>
      <c r="H105" s="59">
        <f>(C105-G105)/C105</f>
        <v>0.12382741543102656</v>
      </c>
      <c r="I105" s="57">
        <f>SUM(I57,I61,I65,I69,I73,I77,I81,I85,I89,I93,I97,I101)</f>
        <v>2145889.8848999999</v>
      </c>
      <c r="J105" s="57">
        <f>E105*(N105+N106)</f>
        <v>21711.115035788469</v>
      </c>
      <c r="K105" s="54" t="s">
        <v>22</v>
      </c>
      <c r="L105" s="17"/>
      <c r="M105" s="60">
        <f>G105/(1-$R$175)</f>
        <v>285885.40540540538</v>
      </c>
      <c r="N105" s="60">
        <f>C105-M105</f>
        <v>15931.844594594615</v>
      </c>
      <c r="P105" s="156"/>
      <c r="R105" s="31" t="s">
        <v>27</v>
      </c>
    </row>
    <row r="106" spans="1:22">
      <c r="A106" s="61"/>
      <c r="B106" s="62" t="s">
        <v>15</v>
      </c>
      <c r="C106" s="56">
        <f t="shared" si="3"/>
        <v>105880</v>
      </c>
      <c r="D106" s="57">
        <f t="shared" si="3"/>
        <v>1391070</v>
      </c>
      <c r="E106" s="58">
        <f>D106/C106</f>
        <v>13.138175292784284</v>
      </c>
      <c r="F106" s="17"/>
      <c r="G106" s="56">
        <f>SUM(G58,G62,G66,G70,G74,G78,G82,G86,G90,G94,G98,G102)</f>
        <v>109711</v>
      </c>
      <c r="H106" s="59">
        <f t="shared" ref="H106:H107" si="4">(C106-G106)/C106</f>
        <v>-3.6182470721571589E-2</v>
      </c>
      <c r="I106" s="57">
        <f>SUM(I58,I62,I66,I70,I74,I78,I82,I86,I90,I94,I98,I102)</f>
        <v>882184.40090000001</v>
      </c>
      <c r="J106" s="57"/>
      <c r="L106" s="17"/>
      <c r="M106" s="60">
        <f>G106/(1-$R$175)</f>
        <v>118606.48648648648</v>
      </c>
      <c r="N106" s="60">
        <f>C106-M106</f>
        <v>-12726.486486486479</v>
      </c>
      <c r="P106" s="156"/>
      <c r="R106" s="69"/>
      <c r="S106" s="25"/>
    </row>
    <row r="107" spans="1:22">
      <c r="A107" s="61"/>
      <c r="B107" s="62" t="s">
        <v>17</v>
      </c>
      <c r="C107" s="56">
        <f t="shared" si="3"/>
        <v>407697.25</v>
      </c>
      <c r="D107" s="57">
        <f>SUM(D105:D106)</f>
        <v>3435393.54</v>
      </c>
      <c r="E107" s="58">
        <f>D107/C107</f>
        <v>8.4263348354692109</v>
      </c>
      <c r="F107" s="17"/>
      <c r="G107" s="56">
        <f>SUM(G59,G63,G67,G71,G75,G79,G83,G87,G91,G95,G99,G103)</f>
        <v>374155</v>
      </c>
      <c r="H107" s="59">
        <f t="shared" si="4"/>
        <v>8.2272446036857003E-2</v>
      </c>
      <c r="I107" s="57">
        <f>SUM(I105:I106)</f>
        <v>3028074.2857999997</v>
      </c>
      <c r="J107" s="57">
        <f>SUM(J105:J106)</f>
        <v>21711.115035788469</v>
      </c>
      <c r="K107" s="70">
        <f>K103+J107</f>
        <v>-744089.73026400991</v>
      </c>
      <c r="L107" s="17"/>
      <c r="M107" s="60">
        <f>G107/(1-$R$175)</f>
        <v>404491.89189189189</v>
      </c>
      <c r="N107" s="60">
        <f>C107-M107</f>
        <v>3205.3581081081065</v>
      </c>
      <c r="P107" s="156"/>
      <c r="R107" s="64">
        <f>N107*E107</f>
        <v>27009.420686505022</v>
      </c>
      <c r="S107" s="65" t="s">
        <v>25</v>
      </c>
    </row>
    <row r="108" spans="1:22" s="41" customFormat="1" ht="6" customHeight="1">
      <c r="A108" s="32"/>
      <c r="B108" s="33"/>
      <c r="C108" s="34"/>
      <c r="D108" s="35"/>
      <c r="E108" s="36"/>
      <c r="F108" s="37"/>
      <c r="G108" s="34"/>
      <c r="H108" s="33"/>
      <c r="I108" s="35"/>
      <c r="J108" s="35"/>
      <c r="K108" s="38"/>
      <c r="L108" s="37"/>
      <c r="M108" s="66"/>
      <c r="N108" s="67"/>
      <c r="O108" s="67"/>
      <c r="P108" s="68"/>
    </row>
    <row r="109" spans="1:22" ht="14.4">
      <c r="A109" s="23">
        <v>44866</v>
      </c>
      <c r="B109" s="24" t="s">
        <v>13</v>
      </c>
      <c r="C109" s="25">
        <v>31812</v>
      </c>
      <c r="D109" s="26">
        <v>184230.6</v>
      </c>
      <c r="E109" s="27">
        <f>D109/C109</f>
        <v>5.7912297246322142</v>
      </c>
      <c r="F109" s="17"/>
      <c r="G109" s="25">
        <v>30534.5</v>
      </c>
      <c r="H109" s="28">
        <f>(C109-G109)/C109</f>
        <v>4.0157802087262669E-2</v>
      </c>
      <c r="I109" s="26">
        <f>G109*P109</f>
        <v>350841.40500000009</v>
      </c>
      <c r="J109" s="26">
        <f>I109-D109</f>
        <v>166610.80500000008</v>
      </c>
      <c r="L109" s="17"/>
      <c r="P109" s="272">
        <f>15.71-4.22</f>
        <v>11.490000000000002</v>
      </c>
      <c r="R109" s="31" t="s">
        <v>256</v>
      </c>
      <c r="T109" s="84"/>
      <c r="U109" s="85"/>
      <c r="V109" s="85">
        <v>4.0199999999999996</v>
      </c>
    </row>
    <row r="110" spans="1:22">
      <c r="B110" s="24" t="s">
        <v>15</v>
      </c>
      <c r="C110" s="25">
        <v>14117</v>
      </c>
      <c r="D110" s="26">
        <v>161866.66</v>
      </c>
      <c r="E110" s="27">
        <f>D110/C110</f>
        <v>11.466080612028051</v>
      </c>
      <c r="F110" s="17"/>
      <c r="G110" s="25">
        <v>12948.4</v>
      </c>
      <c r="H110" s="28">
        <f>(C110-G110)/C110</f>
        <v>8.2779627399589176E-2</v>
      </c>
      <c r="I110" s="26">
        <f>G110*P109</f>
        <v>148777.11600000001</v>
      </c>
      <c r="J110" s="26">
        <f>I110-D110</f>
        <v>-13089.543999999994</v>
      </c>
      <c r="L110" s="17"/>
      <c r="M110" s="27"/>
      <c r="N110" s="27"/>
      <c r="O110" s="27"/>
      <c r="P110" s="27"/>
      <c r="R110" s="31" t="s">
        <v>257</v>
      </c>
    </row>
    <row r="111" spans="1:22">
      <c r="B111" s="24" t="s">
        <v>17</v>
      </c>
      <c r="C111" s="25">
        <f>SUM(C109:C110)</f>
        <v>45929</v>
      </c>
      <c r="D111" s="26">
        <f>SUM(D109:D110)</f>
        <v>346097.26</v>
      </c>
      <c r="E111" s="27">
        <f>D111/C111</f>
        <v>7.5354843345163189</v>
      </c>
      <c r="F111" s="17"/>
      <c r="G111" s="25">
        <f>SUM(G109:G110)</f>
        <v>43482.9</v>
      </c>
      <c r="H111" s="28">
        <f>(C111-G111)/C111</f>
        <v>5.3258289969300411E-2</v>
      </c>
      <c r="J111" s="26">
        <f>J109+J110</f>
        <v>153521.26100000009</v>
      </c>
      <c r="K111" s="29">
        <f>K107+J111</f>
        <v>-590568.46926400985</v>
      </c>
      <c r="L111" s="17"/>
      <c r="M111" s="27"/>
      <c r="N111" s="27"/>
      <c r="O111" s="27"/>
      <c r="P111" s="27"/>
    </row>
    <row r="112" spans="1:22" ht="3" customHeight="1">
      <c r="A112" s="42"/>
      <c r="B112" s="43"/>
      <c r="C112" s="44"/>
      <c r="D112" s="45"/>
      <c r="E112" s="46"/>
      <c r="F112" s="17"/>
      <c r="G112" s="44"/>
      <c r="H112" s="43"/>
      <c r="I112" s="45"/>
      <c r="J112" s="45"/>
      <c r="K112" s="47"/>
      <c r="L112" s="17"/>
      <c r="M112" s="48"/>
      <c r="N112" s="46"/>
      <c r="O112" s="46"/>
      <c r="P112" s="49"/>
    </row>
    <row r="113" spans="1:22" ht="14.4">
      <c r="A113" s="23">
        <v>44896</v>
      </c>
      <c r="B113" s="24" t="s">
        <v>13</v>
      </c>
      <c r="C113" s="25">
        <v>45376</v>
      </c>
      <c r="D113" s="26">
        <v>345573.19</v>
      </c>
      <c r="E113" s="27">
        <f>D113/C113</f>
        <v>7.6157702309590976</v>
      </c>
      <c r="F113" s="17"/>
      <c r="G113" s="25">
        <v>45474.2</v>
      </c>
      <c r="H113" s="28">
        <f>(C113-G113)/C113</f>
        <v>-2.1641396332862544E-3</v>
      </c>
      <c r="I113" s="26">
        <f>G113*P113</f>
        <v>553320.97075999994</v>
      </c>
      <c r="J113" s="26">
        <f>I113-D113</f>
        <v>207747.78075999994</v>
      </c>
      <c r="L113" s="17"/>
      <c r="M113" s="27">
        <v>11.504300000000001</v>
      </c>
      <c r="N113" s="27">
        <f t="shared" ref="N113" si="5">0.6643-0.0008</f>
        <v>0.66349999999999998</v>
      </c>
      <c r="O113" s="27"/>
      <c r="P113" s="27">
        <f>SUM(M113:O113)</f>
        <v>12.1678</v>
      </c>
      <c r="R113" s="69"/>
      <c r="T113" s="84"/>
      <c r="U113" s="85"/>
      <c r="V113" s="85">
        <v>5.89</v>
      </c>
    </row>
    <row r="114" spans="1:22">
      <c r="B114" s="24" t="s">
        <v>15</v>
      </c>
      <c r="C114" s="25">
        <v>20145</v>
      </c>
      <c r="D114" s="26">
        <v>295862.32</v>
      </c>
      <c r="E114" s="27">
        <f>D114/C114</f>
        <v>14.686637875403326</v>
      </c>
      <c r="F114" s="17"/>
      <c r="G114" s="25">
        <v>20015.5</v>
      </c>
      <c r="H114" s="28">
        <f>(C114-G114)/C114</f>
        <v>6.4283941424671132E-3</v>
      </c>
      <c r="I114" s="26">
        <f>G114*P113</f>
        <v>243544.60089999999</v>
      </c>
      <c r="J114" s="26">
        <f>I114-D114</f>
        <v>-52317.719100000017</v>
      </c>
      <c r="L114" s="17"/>
      <c r="M114" s="27"/>
      <c r="N114" s="27"/>
      <c r="O114" s="27"/>
      <c r="P114" s="27"/>
      <c r="R114" s="69"/>
    </row>
    <row r="115" spans="1:22">
      <c r="B115" s="24" t="s">
        <v>17</v>
      </c>
      <c r="C115" s="25">
        <f>SUM(C113:C114)</f>
        <v>65521</v>
      </c>
      <c r="D115" s="26">
        <f>SUM(D113:D114)</f>
        <v>641435.51</v>
      </c>
      <c r="E115" s="27">
        <f>D115/C115</f>
        <v>9.7897698447825885</v>
      </c>
      <c r="F115" s="17"/>
      <c r="G115" s="25">
        <f>SUM(G113:G114)</f>
        <v>65489.7</v>
      </c>
      <c r="H115" s="28">
        <f>(C115-G115)/C115</f>
        <v>4.7770943666920393E-4</v>
      </c>
      <c r="J115" s="26">
        <f>J113+J114</f>
        <v>155430.06165999992</v>
      </c>
      <c r="K115" s="29">
        <f>K111+J115</f>
        <v>-435138.40760400996</v>
      </c>
      <c r="L115" s="17"/>
      <c r="M115" s="27"/>
      <c r="N115" s="27"/>
      <c r="O115" s="27"/>
      <c r="P115" s="27"/>
      <c r="R115" s="69"/>
      <c r="S115" s="25"/>
      <c r="T115" s="82"/>
      <c r="U115" s="83"/>
      <c r="V115" s="83"/>
    </row>
    <row r="116" spans="1:22" ht="3" customHeight="1">
      <c r="A116" s="42"/>
      <c r="B116" s="43"/>
      <c r="C116" s="44"/>
      <c r="D116" s="45"/>
      <c r="E116" s="46"/>
      <c r="F116" s="17"/>
      <c r="G116" s="44"/>
      <c r="H116" s="43"/>
      <c r="I116" s="45"/>
      <c r="J116" s="45"/>
      <c r="K116" s="47"/>
      <c r="L116" s="17"/>
      <c r="M116" s="48"/>
      <c r="N116" s="46"/>
      <c r="O116" s="46"/>
      <c r="P116" s="49"/>
    </row>
    <row r="117" spans="1:22" ht="14.4">
      <c r="A117" s="12">
        <v>44927</v>
      </c>
      <c r="B117" s="13" t="s">
        <v>13</v>
      </c>
      <c r="C117" s="14">
        <v>45649.7</v>
      </c>
      <c r="D117" s="15">
        <v>284853.09999999998</v>
      </c>
      <c r="E117" s="16">
        <f>V117+1.8</f>
        <v>5.76</v>
      </c>
      <c r="F117" s="17"/>
      <c r="G117" s="14">
        <v>39064</v>
      </c>
      <c r="H117" s="18">
        <f>(C117-G117)/C117</f>
        <v>0.14426600831987937</v>
      </c>
      <c r="I117" s="15">
        <f>G117*P113</f>
        <v>475322.93919999996</v>
      </c>
      <c r="J117" s="15">
        <f>I117-D117</f>
        <v>190469.83919999999</v>
      </c>
      <c r="K117" s="19"/>
      <c r="L117" s="17"/>
      <c r="M117" s="16"/>
      <c r="N117" s="16"/>
      <c r="O117" s="16"/>
      <c r="P117" s="16"/>
      <c r="R117" s="86"/>
      <c r="S117" s="86"/>
      <c r="T117" s="84"/>
      <c r="U117" s="85"/>
      <c r="V117" s="85">
        <v>3.96</v>
      </c>
    </row>
    <row r="118" spans="1:22" ht="14.4">
      <c r="B118" s="24" t="s">
        <v>15</v>
      </c>
      <c r="C118" s="25">
        <v>16655</v>
      </c>
      <c r="D118" s="26">
        <v>189291.84</v>
      </c>
      <c r="E118" s="27">
        <f>V117+8.25</f>
        <v>12.21</v>
      </c>
      <c r="F118" s="17"/>
      <c r="G118" s="25">
        <v>16494.599999999999</v>
      </c>
      <c r="H118" s="28">
        <f>(C118-G118)/C118</f>
        <v>9.6307415190634311E-3</v>
      </c>
      <c r="I118" s="26">
        <f>G118*P113</f>
        <v>200702.99387999997</v>
      </c>
      <c r="J118" s="26">
        <f>I118-D118</f>
        <v>11411.153879999969</v>
      </c>
      <c r="L118" s="17"/>
      <c r="M118" s="27"/>
      <c r="N118" s="27"/>
      <c r="O118" s="27"/>
      <c r="P118" s="27"/>
      <c r="R118" s="86"/>
      <c r="S118" s="86"/>
    </row>
    <row r="119" spans="1:22">
      <c r="B119" s="24" t="s">
        <v>17</v>
      </c>
      <c r="C119" s="25">
        <f>SUM(C117:C118)</f>
        <v>62304.7</v>
      </c>
      <c r="D119" s="26">
        <f>SUM(D117:D118)</f>
        <v>474144.93999999994</v>
      </c>
      <c r="E119" s="27">
        <f>D119/C119</f>
        <v>7.6100990775976767</v>
      </c>
      <c r="F119" s="17"/>
      <c r="G119" s="25">
        <f>SUM(G117:G118)</f>
        <v>55558.6</v>
      </c>
      <c r="H119" s="28">
        <f>(C119-G119)/C119</f>
        <v>0.10827594065937239</v>
      </c>
      <c r="J119" s="26">
        <f>J117+J118</f>
        <v>201880.99307999996</v>
      </c>
      <c r="K119" s="29">
        <f>K115+J119</f>
        <v>-233257.41452401</v>
      </c>
      <c r="L119" s="17"/>
      <c r="M119" s="27"/>
      <c r="N119" s="27"/>
      <c r="O119" s="27"/>
      <c r="P119" s="27"/>
    </row>
    <row r="120" spans="1:22" s="41" customFormat="1" ht="3" customHeight="1">
      <c r="A120" s="32"/>
      <c r="B120" s="33"/>
      <c r="C120" s="34"/>
      <c r="D120" s="35"/>
      <c r="E120" s="36"/>
      <c r="F120" s="37"/>
      <c r="G120" s="34"/>
      <c r="H120" s="33"/>
      <c r="I120" s="35"/>
      <c r="J120" s="35"/>
      <c r="K120" s="38"/>
      <c r="L120" s="37"/>
      <c r="M120" s="39"/>
      <c r="N120" s="36"/>
      <c r="O120" s="36"/>
      <c r="P120" s="40"/>
    </row>
    <row r="121" spans="1:22" ht="14.4">
      <c r="A121" s="23">
        <v>44958</v>
      </c>
      <c r="B121" s="24" t="s">
        <v>13</v>
      </c>
      <c r="C121" s="25">
        <v>35399</v>
      </c>
      <c r="D121" s="26">
        <v>168539.92</v>
      </c>
      <c r="E121" s="27">
        <f>D121/C121</f>
        <v>4.7611491850052268</v>
      </c>
      <c r="F121" s="17"/>
      <c r="G121" s="25">
        <v>36289</v>
      </c>
      <c r="H121" s="28">
        <f>(C121-G121)/C121</f>
        <v>-2.5141953162518715E-2</v>
      </c>
      <c r="I121" s="26">
        <f>G121*P121</f>
        <v>441557.2942</v>
      </c>
      <c r="J121" s="26">
        <f>I121-D121</f>
        <v>273017.37419999996</v>
      </c>
      <c r="L121" s="17"/>
      <c r="M121" s="281">
        <v>11.504300000000001</v>
      </c>
      <c r="N121" s="281">
        <f t="shared" ref="N121" si="6">0.6643-0.0008</f>
        <v>0.66349999999999998</v>
      </c>
      <c r="O121" s="27"/>
      <c r="P121" s="27">
        <f>SUM(M121:O121)</f>
        <v>12.1678</v>
      </c>
      <c r="R121" s="86"/>
      <c r="U121" s="84"/>
      <c r="V121" s="85">
        <v>2.48</v>
      </c>
    </row>
    <row r="122" spans="1:22" ht="14.4">
      <c r="B122" s="24" t="s">
        <v>15</v>
      </c>
      <c r="C122" s="25">
        <v>17270</v>
      </c>
      <c r="D122" s="26">
        <v>164702.85999999999</v>
      </c>
      <c r="E122" s="27">
        <f>D122/C122</f>
        <v>9.5369345686160969</v>
      </c>
      <c r="F122" s="17"/>
      <c r="G122" s="25">
        <v>16600.099999999999</v>
      </c>
      <c r="H122" s="28">
        <f>(C122-G122)/C122</f>
        <v>3.8789808917197535E-2</v>
      </c>
      <c r="I122" s="26">
        <f>G122*P121</f>
        <v>201986.69677999997</v>
      </c>
      <c r="J122" s="26">
        <f>I122-D122</f>
        <v>37283.836779999983</v>
      </c>
      <c r="L122" s="17"/>
      <c r="M122" s="27"/>
      <c r="N122" s="27"/>
      <c r="O122" s="27"/>
      <c r="P122" s="27"/>
      <c r="R122" s="86"/>
    </row>
    <row r="123" spans="1:22" ht="14.4">
      <c r="B123" s="24" t="s">
        <v>17</v>
      </c>
      <c r="C123" s="25">
        <f>SUM(C121:C122)</f>
        <v>52669</v>
      </c>
      <c r="D123" s="26">
        <f>SUM(D121:D122)</f>
        <v>333242.78000000003</v>
      </c>
      <c r="E123" s="27">
        <f>D123/C123</f>
        <v>6.3271142417740993</v>
      </c>
      <c r="F123" s="17"/>
      <c r="G123" s="25">
        <f>SUM(G121:G122)</f>
        <v>52889.1</v>
      </c>
      <c r="H123" s="28">
        <f>(C123-G123)/C123</f>
        <v>-4.178928781636229E-3</v>
      </c>
      <c r="J123" s="26">
        <f>J121+J122</f>
        <v>310301.21097999997</v>
      </c>
      <c r="K123" s="29">
        <f>K119+J123</f>
        <v>77043.79645598997</v>
      </c>
      <c r="L123" s="17"/>
      <c r="M123" s="27"/>
      <c r="N123" s="27"/>
      <c r="O123" s="27"/>
      <c r="P123" s="27"/>
      <c r="R123" s="86"/>
    </row>
    <row r="124" spans="1:22" ht="3" customHeight="1">
      <c r="A124" s="42"/>
      <c r="B124" s="43"/>
      <c r="C124" s="44"/>
      <c r="D124" s="45"/>
      <c r="E124" s="46"/>
      <c r="F124" s="17"/>
      <c r="G124" s="44"/>
      <c r="H124" s="43"/>
      <c r="I124" s="45"/>
      <c r="J124" s="45"/>
      <c r="K124" s="47"/>
      <c r="L124" s="17"/>
      <c r="M124" s="48"/>
      <c r="N124" s="46"/>
      <c r="O124" s="46"/>
      <c r="P124" s="49"/>
      <c r="R124" s="86"/>
    </row>
    <row r="125" spans="1:22" ht="14.4">
      <c r="A125" s="23">
        <v>44986</v>
      </c>
      <c r="B125" s="24" t="s">
        <v>13</v>
      </c>
      <c r="C125" s="25">
        <v>33734</v>
      </c>
      <c r="D125" s="26">
        <v>134469.34</v>
      </c>
      <c r="E125" s="27">
        <f>D125/C125</f>
        <v>3.9861664789233413</v>
      </c>
      <c r="F125" s="17"/>
      <c r="G125" s="25">
        <v>31899.599999999999</v>
      </c>
      <c r="H125" s="28">
        <f>(C125-G125)/C125</f>
        <v>5.4378371968933463E-2</v>
      </c>
      <c r="I125" s="26">
        <f>G125*P121</f>
        <v>388147.95288</v>
      </c>
      <c r="J125" s="26">
        <f>I125-D125</f>
        <v>253678.61288</v>
      </c>
      <c r="L125" s="17"/>
      <c r="M125" s="27"/>
      <c r="N125" s="27"/>
      <c r="O125" s="27"/>
      <c r="P125" s="27"/>
      <c r="R125" s="86"/>
      <c r="U125" s="84"/>
      <c r="V125" s="85">
        <v>2.08</v>
      </c>
    </row>
    <row r="126" spans="1:22" ht="14.4">
      <c r="B126" s="24" t="s">
        <v>15</v>
      </c>
      <c r="C126" s="25">
        <v>13312</v>
      </c>
      <c r="D126" s="26">
        <v>120290</v>
      </c>
      <c r="E126" s="27">
        <f>D126/C126</f>
        <v>9.0362079326923084</v>
      </c>
      <c r="F126" s="17"/>
      <c r="G126" s="25">
        <v>12850.82</v>
      </c>
      <c r="H126" s="28">
        <f>(C126-G126)/C126</f>
        <v>3.4643930288461564E-2</v>
      </c>
      <c r="I126" s="26">
        <f>G126*P121</f>
        <v>156366.20759599999</v>
      </c>
      <c r="J126" s="26">
        <f>I126-D126</f>
        <v>36076.207595999993</v>
      </c>
      <c r="L126" s="17"/>
      <c r="M126" s="27"/>
      <c r="N126" s="27"/>
      <c r="O126" s="27"/>
      <c r="P126" s="27"/>
      <c r="R126" s="86"/>
    </row>
    <row r="127" spans="1:22" ht="14.4">
      <c r="B127" s="24" t="s">
        <v>17</v>
      </c>
      <c r="C127" s="25">
        <f>SUM(C125:C126)</f>
        <v>47046</v>
      </c>
      <c r="D127" s="26">
        <f>SUM(D125:D126)</f>
        <v>254759.34</v>
      </c>
      <c r="E127" s="27">
        <f>D127/C127</f>
        <v>5.4151115929090681</v>
      </c>
      <c r="F127" s="17"/>
      <c r="G127" s="25">
        <f>SUM(G125:G126)</f>
        <v>44750.42</v>
      </c>
      <c r="H127" s="28">
        <f>(C127-G127)/C127</f>
        <v>4.8794371466224583E-2</v>
      </c>
      <c r="J127" s="26">
        <f>J125+J126</f>
        <v>289754.82047599996</v>
      </c>
      <c r="K127" s="29">
        <f>K123+J127</f>
        <v>366798.61693198991</v>
      </c>
      <c r="L127" s="17"/>
      <c r="M127" s="27"/>
      <c r="N127" s="27"/>
      <c r="O127" s="27"/>
      <c r="P127" s="27"/>
      <c r="R127" s="86"/>
    </row>
    <row r="128" spans="1:22" ht="3" customHeight="1">
      <c r="A128" s="42"/>
      <c r="B128" s="43"/>
      <c r="C128" s="44"/>
      <c r="D128" s="45"/>
      <c r="E128" s="46"/>
      <c r="F128" s="17"/>
      <c r="G128" s="44"/>
      <c r="H128" s="43"/>
      <c r="I128" s="45"/>
      <c r="J128" s="45"/>
      <c r="K128" s="47"/>
      <c r="L128" s="17"/>
      <c r="M128" s="48"/>
      <c r="N128" s="46"/>
      <c r="O128" s="46"/>
      <c r="P128" s="49"/>
      <c r="R128" s="86"/>
    </row>
    <row r="129" spans="1:28" ht="14.4">
      <c r="A129" s="23">
        <v>45017</v>
      </c>
      <c r="B129" s="24" t="s">
        <v>13</v>
      </c>
      <c r="C129" s="25">
        <v>18452.27</v>
      </c>
      <c r="D129" s="26">
        <v>66180.509999999995</v>
      </c>
      <c r="E129" s="27">
        <f>D129/C129</f>
        <v>3.5865782367155905</v>
      </c>
      <c r="F129" s="17"/>
      <c r="G129" s="25">
        <v>17384</v>
      </c>
      <c r="H129" s="28">
        <f>(C129-G129)/C129</f>
        <v>5.7893690044639519E-2</v>
      </c>
      <c r="I129" s="26">
        <f>G129*P121</f>
        <v>211525.03519999998</v>
      </c>
      <c r="J129" s="26">
        <f>I129-D129</f>
        <v>145344.52519999997</v>
      </c>
      <c r="L129" s="17"/>
      <c r="M129" s="27"/>
      <c r="N129" s="27"/>
      <c r="O129" s="27"/>
      <c r="P129" s="27"/>
      <c r="Q129" s="31"/>
      <c r="R129" s="86"/>
      <c r="U129" s="84"/>
      <c r="V129" s="85">
        <v>1.72</v>
      </c>
      <c r="Z129" s="87"/>
      <c r="AA129" s="87"/>
      <c r="AB129" s="88"/>
    </row>
    <row r="130" spans="1:28" ht="14.4">
      <c r="B130" s="24" t="s">
        <v>15</v>
      </c>
      <c r="C130" s="25">
        <v>7372</v>
      </c>
      <c r="D130" s="26">
        <v>63291.3</v>
      </c>
      <c r="E130" s="27">
        <f>D130/C130</f>
        <v>8.585363537710256</v>
      </c>
      <c r="F130" s="17"/>
      <c r="G130" s="25">
        <v>6381</v>
      </c>
      <c r="H130" s="28">
        <f>(C130-G130)/C130</f>
        <v>0.13442756375474768</v>
      </c>
      <c r="I130" s="26">
        <f>G130*P121</f>
        <v>77642.731799999994</v>
      </c>
      <c r="J130" s="26">
        <f>I130-D130</f>
        <v>14351.431799999991</v>
      </c>
      <c r="L130" s="17"/>
      <c r="M130" s="27"/>
      <c r="N130" s="27"/>
      <c r="O130" s="27"/>
      <c r="P130" s="27"/>
      <c r="R130" s="86"/>
      <c r="Z130" s="87"/>
      <c r="AA130" s="87"/>
      <c r="AB130" s="88"/>
    </row>
    <row r="131" spans="1:28" ht="14.4">
      <c r="B131" s="24" t="s">
        <v>17</v>
      </c>
      <c r="C131" s="25">
        <f>SUM(C129:C130)</f>
        <v>25824.27</v>
      </c>
      <c r="D131" s="26">
        <f>SUM(D129:D130)</f>
        <v>129471.81</v>
      </c>
      <c r="E131" s="27">
        <f>D131/C131</f>
        <v>5.0135709547646456</v>
      </c>
      <c r="F131" s="17"/>
      <c r="G131" s="25">
        <f>SUM(G129:G130)</f>
        <v>23765</v>
      </c>
      <c r="H131" s="28">
        <f>(C131-G131)/C131</f>
        <v>7.974165387830906E-2</v>
      </c>
      <c r="J131" s="26">
        <f>J129+J130</f>
        <v>159695.95699999997</v>
      </c>
      <c r="K131" s="29">
        <f>K127+J131</f>
        <v>526494.57393198984</v>
      </c>
      <c r="L131" s="17"/>
      <c r="M131" s="27"/>
      <c r="N131" s="27"/>
      <c r="O131" s="27"/>
      <c r="P131" s="27"/>
      <c r="R131" s="86"/>
      <c r="S131" s="25"/>
      <c r="T131" s="25"/>
      <c r="Z131" s="87"/>
      <c r="AA131" s="87"/>
      <c r="AB131" s="88"/>
    </row>
    <row r="132" spans="1:28" s="41" customFormat="1" ht="3" customHeight="1">
      <c r="A132" s="32"/>
      <c r="B132" s="33"/>
      <c r="C132" s="34"/>
      <c r="D132" s="35"/>
      <c r="E132" s="36"/>
      <c r="F132" s="37"/>
      <c r="G132" s="34"/>
      <c r="H132" s="33"/>
      <c r="I132" s="35"/>
      <c r="J132" s="35"/>
      <c r="K132" s="38"/>
      <c r="L132" s="37"/>
      <c r="M132" s="39"/>
      <c r="N132" s="36"/>
      <c r="O132" s="36"/>
      <c r="P132" s="40"/>
    </row>
    <row r="133" spans="1:28" ht="14.4">
      <c r="A133" s="23">
        <v>45047</v>
      </c>
      <c r="B133" s="24" t="s">
        <v>13</v>
      </c>
      <c r="C133" s="25">
        <v>15731</v>
      </c>
      <c r="D133" s="26">
        <v>49090.14</v>
      </c>
      <c r="E133" s="27">
        <f>D133/C133</f>
        <v>3.1205988176212576</v>
      </c>
      <c r="F133" s="17"/>
      <c r="G133" s="25">
        <v>11914</v>
      </c>
      <c r="H133" s="28">
        <f>(C133-G133)/C133</f>
        <v>0.24264191723348802</v>
      </c>
      <c r="I133" s="26">
        <f>G133*P133</f>
        <v>65416.199799999995</v>
      </c>
      <c r="J133" s="26">
        <f>I133-D133</f>
        <v>16326.059799999995</v>
      </c>
      <c r="L133" s="17"/>
      <c r="M133" s="27">
        <v>5.9318999999999997</v>
      </c>
      <c r="N133" s="27">
        <v>-0.44119999999999998</v>
      </c>
      <c r="O133" s="27"/>
      <c r="P133" s="27">
        <f>SUM(M133:O133)</f>
        <v>5.4906999999999995</v>
      </c>
      <c r="Q133" s="31"/>
      <c r="R133" s="86"/>
      <c r="U133" s="84"/>
      <c r="V133" s="85">
        <v>1.77</v>
      </c>
      <c r="Z133" s="87"/>
      <c r="AA133" s="87"/>
      <c r="AB133" s="88"/>
    </row>
    <row r="134" spans="1:28" ht="14.4">
      <c r="B134" s="24" t="s">
        <v>15</v>
      </c>
      <c r="C134" s="25">
        <v>2879</v>
      </c>
      <c r="D134" s="26">
        <v>24897.62</v>
      </c>
      <c r="E134" s="27">
        <f>D134/C134</f>
        <v>8.6480097255991666</v>
      </c>
      <c r="F134" s="17"/>
      <c r="G134" s="25">
        <v>3296</v>
      </c>
      <c r="H134" s="28">
        <f>(C134-G134)/C134</f>
        <v>-0.14484195901354638</v>
      </c>
      <c r="I134" s="26">
        <f>G134*P133</f>
        <v>18097.347199999997</v>
      </c>
      <c r="J134" s="26">
        <f>I134-D134</f>
        <v>-6800.2728000000025</v>
      </c>
      <c r="L134" s="17"/>
      <c r="M134" s="27"/>
      <c r="N134" s="27"/>
      <c r="O134" s="27"/>
      <c r="P134" s="27"/>
      <c r="R134" s="86"/>
      <c r="Z134" s="87"/>
      <c r="AA134" s="87"/>
      <c r="AB134" s="88"/>
    </row>
    <row r="135" spans="1:28" ht="14.4">
      <c r="B135" s="24" t="s">
        <v>17</v>
      </c>
      <c r="C135" s="25">
        <f>SUM(C133:C134)</f>
        <v>18610</v>
      </c>
      <c r="D135" s="26">
        <f>SUM(D133:D134)</f>
        <v>73987.759999999995</v>
      </c>
      <c r="E135" s="27">
        <f>D135/C135</f>
        <v>3.9756990865126274</v>
      </c>
      <c r="F135" s="17"/>
      <c r="G135" s="25">
        <f>SUM(G133:G134)</f>
        <v>15210</v>
      </c>
      <c r="H135" s="28">
        <f>(C135-G135)/C135</f>
        <v>0.18269747447608811</v>
      </c>
      <c r="J135" s="26">
        <f>J133+J134</f>
        <v>9525.786999999993</v>
      </c>
      <c r="K135" s="29">
        <f>K131+J135</f>
        <v>536020.36093198985</v>
      </c>
      <c r="L135" s="17"/>
      <c r="M135" s="27"/>
      <c r="N135" s="27"/>
      <c r="O135" s="27"/>
      <c r="P135" s="27"/>
      <c r="R135" s="86"/>
      <c r="S135" s="25"/>
      <c r="T135" s="25"/>
      <c r="Z135" s="87"/>
      <c r="AA135" s="87"/>
      <c r="AB135" s="88"/>
    </row>
    <row r="136" spans="1:28" ht="3" customHeight="1">
      <c r="A136" s="42"/>
      <c r="B136" s="43"/>
      <c r="C136" s="44"/>
      <c r="D136" s="45"/>
      <c r="E136" s="46"/>
      <c r="F136" s="17"/>
      <c r="G136" s="44"/>
      <c r="H136" s="43"/>
      <c r="I136" s="45"/>
      <c r="J136" s="45"/>
      <c r="K136" s="47"/>
      <c r="L136" s="17"/>
      <c r="M136" s="48"/>
      <c r="N136" s="46"/>
      <c r="O136" s="46"/>
      <c r="P136" s="49"/>
      <c r="R136" s="86"/>
    </row>
    <row r="137" spans="1:28" ht="14.4">
      <c r="A137" s="23">
        <v>45078</v>
      </c>
      <c r="B137" s="24" t="s">
        <v>13</v>
      </c>
      <c r="C137" s="25">
        <v>8235</v>
      </c>
      <c r="D137" s="26">
        <v>24721.8</v>
      </c>
      <c r="E137" s="27">
        <f>D137/C137</f>
        <v>3.0020400728597449</v>
      </c>
      <c r="F137" s="17"/>
      <c r="G137" s="25">
        <v>7770</v>
      </c>
      <c r="H137" s="28">
        <f>(C137-G137)/C137</f>
        <v>5.6466302367941715E-2</v>
      </c>
      <c r="I137" s="26">
        <f>G137*P133</f>
        <v>42662.738999999994</v>
      </c>
      <c r="J137" s="26">
        <f>I137-D137</f>
        <v>17940.938999999995</v>
      </c>
      <c r="L137" s="17"/>
      <c r="M137" s="27"/>
      <c r="N137" s="27"/>
      <c r="O137" s="27"/>
      <c r="P137" s="27"/>
      <c r="Q137" s="31"/>
      <c r="R137" s="86"/>
      <c r="U137" s="84"/>
      <c r="V137" s="85">
        <v>1.53</v>
      </c>
      <c r="Z137" s="87"/>
      <c r="AA137" s="87"/>
      <c r="AB137" s="88"/>
    </row>
    <row r="138" spans="1:28" ht="14.4">
      <c r="B138" s="24" t="s">
        <v>15</v>
      </c>
      <c r="C138" s="25">
        <v>2296</v>
      </c>
      <c r="D138" s="26">
        <v>19166.28</v>
      </c>
      <c r="E138" s="27">
        <f>D138/C138</f>
        <v>8.3476829268292683</v>
      </c>
      <c r="F138" s="17"/>
      <c r="G138" s="25">
        <v>1954</v>
      </c>
      <c r="H138" s="28">
        <f>(C138-G138)/C138</f>
        <v>0.14895470383275261</v>
      </c>
      <c r="I138" s="26">
        <f>G138*P133</f>
        <v>10728.827799999999</v>
      </c>
      <c r="J138" s="26">
        <f>I138-D138</f>
        <v>-8437.4521999999997</v>
      </c>
      <c r="L138" s="17"/>
      <c r="M138" s="27"/>
      <c r="N138" s="27"/>
      <c r="O138" s="27"/>
      <c r="P138" s="27"/>
      <c r="R138" s="86"/>
      <c r="Z138" s="87"/>
      <c r="AA138" s="87"/>
      <c r="AB138" s="88"/>
    </row>
    <row r="139" spans="1:28" ht="14.4">
      <c r="B139" s="24" t="s">
        <v>17</v>
      </c>
      <c r="C139" s="25">
        <f>SUM(C137:C138)</f>
        <v>10531</v>
      </c>
      <c r="D139" s="26">
        <f>SUM(D137:D138)</f>
        <v>43888.08</v>
      </c>
      <c r="E139" s="27">
        <f>D139/C139</f>
        <v>4.1675130566897733</v>
      </c>
      <c r="F139" s="17"/>
      <c r="G139" s="25">
        <f>SUM(G137:G138)</f>
        <v>9724</v>
      </c>
      <c r="H139" s="28">
        <f>(C139-G139)/C139</f>
        <v>7.6630899249833823E-2</v>
      </c>
      <c r="J139" s="26">
        <f>J137+J138</f>
        <v>9503.4867999999951</v>
      </c>
      <c r="K139" s="29">
        <f>K135+J139</f>
        <v>545523.84773198981</v>
      </c>
      <c r="L139" s="17"/>
      <c r="M139" s="27"/>
      <c r="N139" s="27"/>
      <c r="O139" s="27"/>
      <c r="P139" s="27"/>
      <c r="R139" s="86"/>
      <c r="S139" s="25"/>
      <c r="T139" s="25"/>
      <c r="Z139" s="87"/>
      <c r="AA139" s="87"/>
      <c r="AB139" s="88"/>
    </row>
    <row r="140" spans="1:28" ht="3" customHeight="1">
      <c r="A140" s="42"/>
      <c r="B140" s="43"/>
      <c r="C140" s="44"/>
      <c r="D140" s="45"/>
      <c r="E140" s="46"/>
      <c r="F140" s="17"/>
      <c r="G140" s="44"/>
      <c r="H140" s="43"/>
      <c r="I140" s="45"/>
      <c r="J140" s="45"/>
      <c r="K140" s="47"/>
      <c r="L140" s="17"/>
      <c r="M140" s="48"/>
      <c r="N140" s="46"/>
      <c r="O140" s="46"/>
      <c r="P140" s="49"/>
      <c r="R140" s="86"/>
    </row>
    <row r="141" spans="1:28" ht="14.4">
      <c r="A141" s="23">
        <v>45108</v>
      </c>
      <c r="B141" s="24" t="s">
        <v>13</v>
      </c>
      <c r="C141" s="25">
        <v>6775</v>
      </c>
      <c r="D141" s="26">
        <v>22793.15</v>
      </c>
      <c r="E141" s="27">
        <f>D141/C141</f>
        <v>3.3643025830258306</v>
      </c>
      <c r="F141" s="17"/>
      <c r="G141" s="25">
        <v>5957.9</v>
      </c>
      <c r="H141" s="28">
        <f>(C141-G141)/C141</f>
        <v>0.12060516605166056</v>
      </c>
      <c r="I141" s="26">
        <f>G141*P133</f>
        <v>32713.041529999995</v>
      </c>
      <c r="J141" s="26">
        <f>I141-D141</f>
        <v>9919.8915299999935</v>
      </c>
      <c r="L141" s="17"/>
      <c r="M141" s="27"/>
      <c r="N141" s="27"/>
      <c r="O141" s="27"/>
      <c r="P141" s="27"/>
      <c r="R141" s="86"/>
      <c r="U141" s="84"/>
      <c r="V141" s="85">
        <v>1.59</v>
      </c>
    </row>
    <row r="142" spans="1:28" ht="14.4">
      <c r="B142" s="24" t="s">
        <v>15</v>
      </c>
      <c r="C142" s="25">
        <v>1838</v>
      </c>
      <c r="D142" s="26">
        <v>15483.77</v>
      </c>
      <c r="E142" s="27">
        <f>D142/C142</f>
        <v>8.4242491838955385</v>
      </c>
      <c r="F142" s="17"/>
      <c r="G142" s="25">
        <v>1458.7</v>
      </c>
      <c r="H142" s="28">
        <f>(C142-G142)/C142</f>
        <v>0.2063656147986942</v>
      </c>
      <c r="I142" s="26">
        <f>G142*P133</f>
        <v>8009.2840899999992</v>
      </c>
      <c r="J142" s="26">
        <f>I142-D142</f>
        <v>-7474.4859100000012</v>
      </c>
      <c r="L142" s="17"/>
      <c r="M142" s="27"/>
      <c r="N142" s="27"/>
      <c r="O142" s="27"/>
      <c r="P142" s="27"/>
      <c r="R142" s="86"/>
    </row>
    <row r="143" spans="1:28">
      <c r="B143" s="24" t="s">
        <v>17</v>
      </c>
      <c r="C143" s="25">
        <f>SUM(C141:C142)</f>
        <v>8613</v>
      </c>
      <c r="D143" s="26">
        <f>SUM(D141:D142)</f>
        <v>38276.92</v>
      </c>
      <c r="E143" s="27">
        <f>D143/C143</f>
        <v>4.4440868454661553</v>
      </c>
      <c r="F143" s="17"/>
      <c r="G143" s="25">
        <f>SUM(G141:G142)</f>
        <v>7416.5999999999995</v>
      </c>
      <c r="H143" s="28">
        <f>(C143-G143)/C143</f>
        <v>0.13890630442354587</v>
      </c>
      <c r="J143" s="26">
        <f>J141+J142</f>
        <v>2445.4056199999923</v>
      </c>
      <c r="K143" s="29">
        <f>K139+J143</f>
        <v>547969.25335198978</v>
      </c>
      <c r="L143" s="17"/>
      <c r="M143" s="27"/>
      <c r="N143" s="27"/>
      <c r="O143" s="27"/>
      <c r="P143" s="27"/>
      <c r="R143" s="69"/>
      <c r="S143" s="25"/>
      <c r="T143" s="25"/>
      <c r="Z143" s="89"/>
      <c r="AA143" s="89"/>
      <c r="AB143" s="89"/>
    </row>
    <row r="144" spans="1:28" s="41" customFormat="1" ht="3" customHeight="1">
      <c r="A144" s="32"/>
      <c r="B144" s="33"/>
      <c r="C144" s="34"/>
      <c r="D144" s="35"/>
      <c r="E144" s="36"/>
      <c r="F144" s="37"/>
      <c r="G144" s="34"/>
      <c r="H144" s="33"/>
      <c r="I144" s="35"/>
      <c r="J144" s="35"/>
      <c r="K144" s="38"/>
      <c r="L144" s="37"/>
      <c r="M144" s="39"/>
      <c r="N144" s="36"/>
      <c r="O144" s="36"/>
      <c r="P144" s="40"/>
    </row>
    <row r="145" spans="1:28" ht="14.4">
      <c r="A145" s="23">
        <v>45139</v>
      </c>
      <c r="B145" s="24" t="s">
        <v>13</v>
      </c>
      <c r="C145" s="25">
        <v>7140</v>
      </c>
      <c r="D145" s="26">
        <v>21668.34</v>
      </c>
      <c r="E145" s="27">
        <f>D145/C145</f>
        <v>3.0347815126050421</v>
      </c>
      <c r="F145" s="17"/>
      <c r="G145" s="25">
        <v>6557.9</v>
      </c>
      <c r="H145" s="28">
        <f>(C145-G145)/C145</f>
        <v>8.1526610644257758E-2</v>
      </c>
      <c r="I145" s="26">
        <f>G145*P145</f>
        <v>23708.120079999997</v>
      </c>
      <c r="J145" s="26">
        <f>I145-D145</f>
        <v>2039.7800799999968</v>
      </c>
      <c r="L145" s="17"/>
      <c r="M145" s="27">
        <v>6.5308999999999999</v>
      </c>
      <c r="N145" s="27">
        <v>-2.9157000000000002</v>
      </c>
      <c r="O145" s="27"/>
      <c r="P145" s="27">
        <f>SUM(M145:O145)</f>
        <v>3.6151999999999997</v>
      </c>
      <c r="R145" s="86"/>
      <c r="T145" s="84"/>
      <c r="U145" s="85"/>
      <c r="V145" s="85">
        <v>1.35</v>
      </c>
      <c r="X145" s="50"/>
      <c r="Y145" s="90"/>
      <c r="Z145" s="90"/>
      <c r="AA145" s="91"/>
    </row>
    <row r="146" spans="1:28" ht="14.4">
      <c r="B146" s="24" t="s">
        <v>15</v>
      </c>
      <c r="C146" s="25">
        <v>1803</v>
      </c>
      <c r="D146" s="26">
        <v>14313.6</v>
      </c>
      <c r="E146" s="27">
        <f>D146/C146</f>
        <v>7.9387687188019971</v>
      </c>
      <c r="F146" s="17"/>
      <c r="G146" s="25">
        <v>1950.5</v>
      </c>
      <c r="H146" s="28">
        <f>(C146-G146)/C146</f>
        <v>-8.1808097615085965E-2</v>
      </c>
      <c r="I146" s="26">
        <f>G146*P145</f>
        <v>7051.4475999999995</v>
      </c>
      <c r="J146" s="26">
        <f>I146-D146</f>
        <v>-7262.1524000000009</v>
      </c>
      <c r="L146" s="17"/>
      <c r="M146" s="27"/>
      <c r="N146" s="27"/>
      <c r="O146" s="27"/>
      <c r="P146" s="27"/>
      <c r="R146" s="86"/>
      <c r="X146" s="50"/>
      <c r="Y146" s="90"/>
      <c r="Z146" s="90"/>
      <c r="AA146" s="91"/>
      <c r="AB146" s="92"/>
    </row>
    <row r="147" spans="1:28">
      <c r="B147" s="24" t="s">
        <v>17</v>
      </c>
      <c r="C147" s="25">
        <f>SUM(C145:C146)</f>
        <v>8943</v>
      </c>
      <c r="D147" s="26">
        <f>SUM(D145:D146)</f>
        <v>35981.94</v>
      </c>
      <c r="E147" s="27">
        <f>D147/C147</f>
        <v>4.023475343844348</v>
      </c>
      <c r="F147" s="17"/>
      <c r="G147" s="25">
        <f>SUM(G145:G146)</f>
        <v>8508.4</v>
      </c>
      <c r="H147" s="28">
        <f>(C147-G147)/C147</f>
        <v>4.8596667784859708E-2</v>
      </c>
      <c r="J147" s="26">
        <f>J145+J146</f>
        <v>-5222.372320000004</v>
      </c>
      <c r="K147" s="29">
        <f>K143+J147</f>
        <v>542746.88103198982</v>
      </c>
      <c r="L147" s="17"/>
      <c r="M147" s="27"/>
      <c r="N147" s="27"/>
      <c r="O147" s="27"/>
      <c r="P147" s="27"/>
      <c r="R147" s="63"/>
      <c r="S147" s="25"/>
      <c r="X147" s="50"/>
      <c r="Y147" s="90"/>
      <c r="Z147" s="90"/>
      <c r="AA147" s="93"/>
    </row>
    <row r="148" spans="1:28" ht="3" customHeight="1">
      <c r="A148" s="42"/>
      <c r="B148" s="43"/>
      <c r="C148" s="44"/>
      <c r="D148" s="45"/>
      <c r="E148" s="46"/>
      <c r="F148" s="17"/>
      <c r="G148" s="44"/>
      <c r="H148" s="43"/>
      <c r="I148" s="45"/>
      <c r="J148" s="45"/>
      <c r="K148" s="47"/>
      <c r="L148" s="17"/>
      <c r="M148" s="48"/>
      <c r="N148" s="46"/>
      <c r="O148" s="46"/>
      <c r="P148" s="49"/>
    </row>
    <row r="149" spans="1:28" ht="14.4">
      <c r="A149" s="23">
        <v>45170</v>
      </c>
      <c r="B149" s="24" t="s">
        <v>13</v>
      </c>
      <c r="C149" s="25">
        <v>7798</v>
      </c>
      <c r="D149" s="26">
        <v>19487.02</v>
      </c>
      <c r="E149" s="27">
        <f>D149/C149</f>
        <v>2.4989766606822261</v>
      </c>
      <c r="F149" s="17"/>
      <c r="G149" s="25">
        <v>7091.9</v>
      </c>
      <c r="H149" s="28">
        <f>(C149-G149)/C149</f>
        <v>9.0548858681713307E-2</v>
      </c>
      <c r="I149" s="26">
        <f>G149*P145</f>
        <v>25638.636879999998</v>
      </c>
      <c r="J149" s="26">
        <f>I149-D149</f>
        <v>6151.6168799999978</v>
      </c>
      <c r="L149" s="17"/>
      <c r="M149" s="27"/>
      <c r="N149" s="27"/>
      <c r="O149" s="27"/>
      <c r="P149" s="27"/>
      <c r="R149" s="86"/>
      <c r="T149" s="84"/>
      <c r="U149" s="85"/>
      <c r="V149" s="85">
        <v>1.08</v>
      </c>
    </row>
    <row r="150" spans="1:28" ht="14.4">
      <c r="B150" s="24" t="s">
        <v>15</v>
      </c>
      <c r="C150" s="25">
        <v>1922</v>
      </c>
      <c r="D150" s="26">
        <v>14963.4</v>
      </c>
      <c r="E150" s="27">
        <f>D150/C150</f>
        <v>7.7853277835587926</v>
      </c>
      <c r="F150" s="17"/>
      <c r="G150" s="25">
        <v>1514</v>
      </c>
      <c r="H150" s="28">
        <f>(C150-G150)/C150</f>
        <v>0.21227887617065558</v>
      </c>
      <c r="I150" s="26">
        <f>G150*P145</f>
        <v>5473.4128000000001</v>
      </c>
      <c r="J150" s="26">
        <f>I150-D150</f>
        <v>-9489.9871999999996</v>
      </c>
      <c r="L150" s="17"/>
      <c r="M150" s="27"/>
      <c r="N150" s="27"/>
      <c r="O150" s="27"/>
      <c r="P150" s="27"/>
      <c r="R150" s="86"/>
    </row>
    <row r="151" spans="1:28">
      <c r="B151" s="24" t="s">
        <v>17</v>
      </c>
      <c r="C151" s="25">
        <f>SUM(C149:C150)</f>
        <v>9720</v>
      </c>
      <c r="D151" s="26">
        <f>SUM(D149:D150)</f>
        <v>34450.42</v>
      </c>
      <c r="E151" s="27">
        <f>D151/C151</f>
        <v>3.5442818930041149</v>
      </c>
      <c r="F151" s="17"/>
      <c r="G151" s="25">
        <f>SUM(G149:G150)</f>
        <v>8605.9</v>
      </c>
      <c r="H151" s="28">
        <f>(C151-G151)/C151</f>
        <v>0.11461934156378605</v>
      </c>
      <c r="J151" s="26">
        <f>J149+J150</f>
        <v>-3338.3703200000018</v>
      </c>
      <c r="K151" s="29">
        <f>K147+J151</f>
        <v>539408.51071198983</v>
      </c>
      <c r="L151" s="17"/>
      <c r="M151" s="27"/>
      <c r="N151" s="27"/>
      <c r="O151" s="27"/>
      <c r="P151" s="27"/>
    </row>
    <row r="152" spans="1:28" ht="3" customHeight="1">
      <c r="A152" s="42"/>
      <c r="B152" s="43"/>
      <c r="C152" s="44"/>
      <c r="D152" s="45"/>
      <c r="E152" s="46"/>
      <c r="F152" s="17"/>
      <c r="G152" s="44"/>
      <c r="H152" s="43"/>
      <c r="I152" s="45"/>
      <c r="J152" s="45"/>
      <c r="K152" s="47"/>
      <c r="L152" s="17"/>
      <c r="M152" s="48"/>
      <c r="N152" s="46"/>
      <c r="O152" s="46"/>
      <c r="P152" s="49"/>
    </row>
    <row r="153" spans="1:28" ht="14.4">
      <c r="A153" s="23">
        <v>45200</v>
      </c>
      <c r="B153" s="24" t="s">
        <v>13</v>
      </c>
      <c r="C153" s="25">
        <v>14044</v>
      </c>
      <c r="D153" s="251">
        <f>39599.16+13298</f>
        <v>52897.16</v>
      </c>
      <c r="E153" s="27">
        <f>D153/C153</f>
        <v>3.7665309028766734</v>
      </c>
      <c r="F153" s="17"/>
      <c r="G153" s="25">
        <v>12599.7</v>
      </c>
      <c r="H153" s="28">
        <f>(C153-G153)/C153</f>
        <v>0.10284107091996576</v>
      </c>
      <c r="I153" s="26">
        <f>G153*P145</f>
        <v>45550.435440000001</v>
      </c>
      <c r="J153" s="26">
        <f>I153-D153</f>
        <v>-7346.7245600000024</v>
      </c>
      <c r="L153" s="17"/>
      <c r="M153" s="27"/>
      <c r="N153" s="27"/>
      <c r="O153" s="27"/>
      <c r="P153" s="27"/>
      <c r="R153" s="31" t="s">
        <v>218</v>
      </c>
      <c r="T153" s="84"/>
      <c r="U153" s="85"/>
      <c r="V153" s="85">
        <v>1.38</v>
      </c>
    </row>
    <row r="154" spans="1:28" ht="14.4">
      <c r="B154" s="24" t="s">
        <v>15</v>
      </c>
      <c r="C154" s="25">
        <v>4784</v>
      </c>
      <c r="D154" s="26">
        <v>39031.46</v>
      </c>
      <c r="E154" s="27">
        <f>D154/C154</f>
        <v>8.1587499999999995</v>
      </c>
      <c r="F154" s="17"/>
      <c r="G154" s="25">
        <v>3885.7</v>
      </c>
      <c r="H154" s="28">
        <f>(C154-G154)/C154</f>
        <v>0.18777173913043482</v>
      </c>
      <c r="I154" s="26">
        <f>G154*P145</f>
        <v>14047.582639999999</v>
      </c>
      <c r="J154" s="26">
        <f>I154-D154</f>
        <v>-24983.877359999999</v>
      </c>
      <c r="L154" s="17"/>
      <c r="M154" s="27"/>
      <c r="N154" s="27"/>
      <c r="O154" s="27"/>
      <c r="P154" s="27"/>
      <c r="R154" s="86"/>
    </row>
    <row r="155" spans="1:28">
      <c r="B155" s="24" t="s">
        <v>17</v>
      </c>
      <c r="C155" s="25">
        <f>SUM(C153:C154)</f>
        <v>18828</v>
      </c>
      <c r="D155" s="26">
        <f>SUM(D153:D154)</f>
        <v>91928.62</v>
      </c>
      <c r="E155" s="27">
        <f>D155/C155</f>
        <v>4.8825483322710852</v>
      </c>
      <c r="F155" s="17"/>
      <c r="G155" s="25">
        <f>SUM(G153:G154)</f>
        <v>16485.400000000001</v>
      </c>
      <c r="H155" s="28">
        <f>(C155-G155)/C155</f>
        <v>0.12442107499468869</v>
      </c>
      <c r="J155" s="26">
        <f>J153+J154</f>
        <v>-32330.601920000001</v>
      </c>
      <c r="K155" s="29">
        <f>K151+J155</f>
        <v>507077.90879198984</v>
      </c>
      <c r="L155" s="17"/>
      <c r="M155" s="53" t="s">
        <v>107</v>
      </c>
      <c r="N155" s="53" t="s">
        <v>22</v>
      </c>
      <c r="R155" s="69"/>
      <c r="S155" s="25"/>
    </row>
    <row r="156" spans="1:28" ht="6" customHeight="1">
      <c r="F156" s="17"/>
      <c r="H156" s="28"/>
      <c r="J156" s="24"/>
      <c r="L156" s="17"/>
    </row>
    <row r="157" spans="1:28">
      <c r="A157" s="55" t="s">
        <v>106</v>
      </c>
      <c r="B157" s="56"/>
      <c r="C157" s="56">
        <f t="shared" ref="C157:D157" si="7">SUM(C109,C113,C117,C121,C125,C129,C133,C137,C141,C145,C149,C153)</f>
        <v>270145.96999999997</v>
      </c>
      <c r="D157" s="57">
        <f t="shared" si="7"/>
        <v>1374504.27</v>
      </c>
      <c r="E157" s="58">
        <f>D157/C157</f>
        <v>5.0880058288487522</v>
      </c>
      <c r="F157" s="17"/>
      <c r="G157" s="56">
        <f>SUM(G109,G113,G117,G121,G125,G129,G133,G137,G141,G145,G149,G153)</f>
        <v>252536.7</v>
      </c>
      <c r="H157" s="59">
        <f>(C157-G157)/C157</f>
        <v>6.51842779664637E-2</v>
      </c>
      <c r="I157" s="57">
        <f>SUM(I109,I113,I117,I121,I125,I129,I133,I137,I141,I145,I149,I153)</f>
        <v>2656404.7699700003</v>
      </c>
      <c r="J157" s="57">
        <f>E157*(N157+N158)</f>
        <v>-29909.07356346634</v>
      </c>
      <c r="K157" s="54" t="s">
        <v>22</v>
      </c>
      <c r="L157" s="17"/>
      <c r="M157" s="60">
        <f>G157/(1-$R$175)</f>
        <v>273012.64864864864</v>
      </c>
      <c r="N157" s="60">
        <f>C157-M157</f>
        <v>-2866.6786486486671</v>
      </c>
      <c r="P157" s="156"/>
      <c r="R157" s="31" t="s">
        <v>27</v>
      </c>
    </row>
    <row r="158" spans="1:28">
      <c r="A158" s="61"/>
      <c r="B158" s="62" t="s">
        <v>15</v>
      </c>
      <c r="C158" s="56">
        <f t="shared" ref="C158:D158" si="8">SUM(C110,C114,C118,C122,C126,C130,C134,C138,C142,C146,C150,C154)</f>
        <v>104393</v>
      </c>
      <c r="D158" s="57">
        <f t="shared" si="8"/>
        <v>1123161.1099999999</v>
      </c>
      <c r="E158" s="58">
        <f>D158/C158</f>
        <v>10.758969566924984</v>
      </c>
      <c r="F158" s="17"/>
      <c r="G158" s="56">
        <f>SUM(G110,G114,G118,G122,G126,G130,G134,G138,G142,G146,G150,G154)</f>
        <v>99349.32</v>
      </c>
      <c r="H158" s="59">
        <f t="shared" ref="H158:H159" si="9">(C158-G158)/C158</f>
        <v>4.8314350579061749E-2</v>
      </c>
      <c r="I158" s="57">
        <f>SUM(I110,I114,I118,I122,I126,I130,I134,I138,I142,I146,I150,I154)</f>
        <v>1092428.249086</v>
      </c>
      <c r="J158" s="57"/>
      <c r="L158" s="17"/>
      <c r="M158" s="60">
        <f>G158/(1-$R$175)</f>
        <v>107404.67027027028</v>
      </c>
      <c r="N158" s="60">
        <f>C158-M158</f>
        <v>-3011.6702702702751</v>
      </c>
      <c r="P158" s="156"/>
      <c r="R158" s="69"/>
      <c r="S158" s="25"/>
    </row>
    <row r="159" spans="1:28">
      <c r="A159" s="61"/>
      <c r="B159" s="62" t="s">
        <v>17</v>
      </c>
      <c r="C159" s="56">
        <f t="shared" ref="C159" si="10">SUM(C111,C115,C119,C123,C127,C131,C135,C139,C143,C147,C151,C155)</f>
        <v>374538.97000000003</v>
      </c>
      <c r="D159" s="57">
        <f>SUM(D157:D158)</f>
        <v>2497665.38</v>
      </c>
      <c r="E159" s="58">
        <f>D159/C159</f>
        <v>6.6686395276838608</v>
      </c>
      <c r="F159" s="17"/>
      <c r="G159" s="56">
        <f>SUM(G111,G115,G119,G123,G127,G131,G135,G139,G143,G147,G151,G155)</f>
        <v>351886.02000000008</v>
      </c>
      <c r="H159" s="59">
        <f t="shared" si="9"/>
        <v>6.0482224319674802E-2</v>
      </c>
      <c r="I159" s="57">
        <f>SUM(I157:I158)</f>
        <v>3748833.0190560003</v>
      </c>
      <c r="J159" s="57">
        <f>SUM(J157:J158)</f>
        <v>-29909.07356346634</v>
      </c>
      <c r="K159" s="70">
        <f>K155+J159</f>
        <v>477168.83522852353</v>
      </c>
      <c r="L159" s="17"/>
      <c r="M159" s="60">
        <f>G159/(1-$R$175)</f>
        <v>380417.31891891896</v>
      </c>
      <c r="N159" s="60">
        <f>C159-M159</f>
        <v>-5878.3489189189277</v>
      </c>
      <c r="P159" s="156"/>
      <c r="R159" s="64">
        <f>N159*E159</f>
        <v>-39200.589958220451</v>
      </c>
      <c r="S159" s="65" t="s">
        <v>25</v>
      </c>
    </row>
    <row r="160" spans="1:28" s="41" customFormat="1" ht="6" customHeight="1">
      <c r="A160" s="32"/>
      <c r="B160" s="33"/>
      <c r="C160" s="34"/>
      <c r="D160" s="35"/>
      <c r="E160" s="36"/>
      <c r="F160" s="37"/>
      <c r="G160" s="34"/>
      <c r="H160" s="33"/>
      <c r="I160" s="35"/>
      <c r="J160" s="35"/>
      <c r="K160" s="38"/>
      <c r="L160" s="37"/>
      <c r="M160" s="66"/>
      <c r="N160" s="67"/>
      <c r="O160" s="67"/>
      <c r="P160" s="68"/>
    </row>
    <row r="161" spans="1:29" ht="14.4">
      <c r="A161" s="23">
        <v>45231</v>
      </c>
      <c r="B161" s="24" t="s">
        <v>13</v>
      </c>
      <c r="C161" s="282">
        <v>31000</v>
      </c>
      <c r="D161" s="283">
        <f>C161*(V161+1.8)</f>
        <v>116250</v>
      </c>
      <c r="E161" s="27">
        <f>D161/C161</f>
        <v>3.75</v>
      </c>
      <c r="F161" s="17"/>
      <c r="G161" s="25">
        <v>28421.5</v>
      </c>
      <c r="H161" s="28">
        <f>(C161-G161)/C161</f>
        <v>8.3177419354838716E-2</v>
      </c>
      <c r="I161" s="26">
        <f>G161*P161</f>
        <v>85710.717550000001</v>
      </c>
      <c r="J161" s="26">
        <f>I161-D161</f>
        <v>-30539.282449999999</v>
      </c>
      <c r="L161" s="17"/>
      <c r="M161" s="27">
        <v>6.2594000000000003</v>
      </c>
      <c r="N161" s="27">
        <v>-3.2437</v>
      </c>
      <c r="O161" s="27"/>
      <c r="P161" s="27">
        <f>SUM(M161:O161)</f>
        <v>3.0157000000000003</v>
      </c>
      <c r="R161" s="86"/>
      <c r="U161" s="84"/>
      <c r="V161" s="85">
        <v>1.95</v>
      </c>
      <c r="Y161" s="50"/>
      <c r="Z161" s="90"/>
      <c r="AA161" s="90"/>
      <c r="AB161" s="91"/>
    </row>
    <row r="162" spans="1:29" ht="14.4">
      <c r="B162" s="24" t="s">
        <v>15</v>
      </c>
      <c r="C162" s="25">
        <v>12627</v>
      </c>
      <c r="D162" s="26">
        <v>112044.65</v>
      </c>
      <c r="E162" s="27">
        <f>D162/C162</f>
        <v>8.8734180723845721</v>
      </c>
      <c r="F162" s="17"/>
      <c r="G162" s="25">
        <v>13082.3</v>
      </c>
      <c r="H162" s="28">
        <f>(C162-G162)/C162</f>
        <v>-3.6057654232992738E-2</v>
      </c>
      <c r="I162" s="26">
        <f>G162*P161</f>
        <v>39452.292110000002</v>
      </c>
      <c r="J162" s="26">
        <f>I162-D162</f>
        <v>-72592.357889999985</v>
      </c>
      <c r="L162" s="17"/>
      <c r="M162" s="27"/>
      <c r="N162" s="27"/>
      <c r="O162" s="27"/>
      <c r="P162" s="27"/>
      <c r="R162" s="86"/>
      <c r="Y162" s="50"/>
      <c r="Z162" s="90"/>
      <c r="AA162" s="90"/>
      <c r="AB162" s="91"/>
      <c r="AC162" s="92"/>
    </row>
    <row r="163" spans="1:29">
      <c r="B163" s="24" t="s">
        <v>17</v>
      </c>
      <c r="C163" s="25">
        <f>SUM(C161:C162)</f>
        <v>43627</v>
      </c>
      <c r="D163" s="26">
        <f>SUM(D161:D162)</f>
        <v>228294.65</v>
      </c>
      <c r="E163" s="27">
        <f>D163/C163</f>
        <v>5.2328752836546171</v>
      </c>
      <c r="F163" s="17"/>
      <c r="G163" s="25">
        <f>SUM(G161:G162)</f>
        <v>41503.800000000003</v>
      </c>
      <c r="H163" s="28">
        <f>(C163-G163)/C163</f>
        <v>4.8667109817314896E-2</v>
      </c>
      <c r="J163" s="26">
        <f>J161+J162</f>
        <v>-103131.64033999998</v>
      </c>
      <c r="K163" s="29">
        <f>K159+J163</f>
        <v>374037.19488852355</v>
      </c>
      <c r="L163" s="17"/>
      <c r="M163" s="27"/>
      <c r="N163" s="27"/>
      <c r="O163" s="27"/>
      <c r="P163" s="27"/>
      <c r="R163" s="63"/>
      <c r="S163" s="25"/>
      <c r="T163" s="25"/>
      <c r="Y163" s="50"/>
      <c r="Z163" s="90"/>
      <c r="AA163" s="90"/>
      <c r="AB163" s="93"/>
    </row>
    <row r="164" spans="1:29" ht="3" customHeight="1">
      <c r="A164" s="42"/>
      <c r="B164" s="43"/>
      <c r="C164" s="44"/>
      <c r="D164" s="45"/>
      <c r="E164" s="46"/>
      <c r="F164" s="17"/>
      <c r="G164" s="44"/>
      <c r="H164" s="43"/>
      <c r="I164" s="45"/>
      <c r="J164" s="45"/>
      <c r="K164" s="47"/>
      <c r="L164" s="17"/>
      <c r="M164" s="48"/>
      <c r="N164" s="46"/>
      <c r="O164" s="46"/>
      <c r="P164" s="49"/>
    </row>
    <row r="165" spans="1:29" ht="14.4">
      <c r="A165" s="23">
        <v>45261</v>
      </c>
      <c r="B165" s="24" t="s">
        <v>13</v>
      </c>
      <c r="C165" s="284">
        <v>46000</v>
      </c>
      <c r="D165" s="285">
        <f>C165*(V165+1.8)</f>
        <v>175720</v>
      </c>
      <c r="E165" s="27">
        <f>D165/C165</f>
        <v>3.82</v>
      </c>
      <c r="F165" s="17"/>
      <c r="G165" s="284">
        <v>42000</v>
      </c>
      <c r="H165" s="28">
        <f>(C165-G165)/C165</f>
        <v>8.6956521739130432E-2</v>
      </c>
      <c r="I165" s="26">
        <f>G165*P161</f>
        <v>126659.40000000001</v>
      </c>
      <c r="J165" s="26">
        <f>I165-D165</f>
        <v>-49060.599999999991</v>
      </c>
      <c r="L165" s="17"/>
      <c r="M165" s="27"/>
      <c r="N165" s="27"/>
      <c r="O165" s="27"/>
      <c r="P165" s="27"/>
      <c r="R165" s="86"/>
      <c r="U165" s="84"/>
      <c r="V165" s="85">
        <v>2.02</v>
      </c>
    </row>
    <row r="166" spans="1:29" ht="14.4">
      <c r="B166" s="24" t="s">
        <v>15</v>
      </c>
      <c r="C166" s="284">
        <v>21000</v>
      </c>
      <c r="D166" s="285">
        <f>C166*(V165+8.25)</f>
        <v>215670</v>
      </c>
      <c r="E166" s="27">
        <f>D166/C166</f>
        <v>10.27</v>
      </c>
      <c r="F166" s="17"/>
      <c r="G166" s="284">
        <v>20000</v>
      </c>
      <c r="H166" s="28">
        <f>(C166-G166)/C166</f>
        <v>4.7619047619047616E-2</v>
      </c>
      <c r="I166" s="26">
        <f>G166*P161</f>
        <v>60314.000000000007</v>
      </c>
      <c r="J166" s="26">
        <f>I166-D166</f>
        <v>-155356</v>
      </c>
      <c r="L166" s="17"/>
      <c r="M166" s="27"/>
      <c r="N166" s="27"/>
      <c r="O166" s="27"/>
      <c r="P166" s="27"/>
      <c r="R166" s="86"/>
    </row>
    <row r="167" spans="1:29">
      <c r="B167" s="24" t="s">
        <v>17</v>
      </c>
      <c r="C167" s="25">
        <f>SUM(C165:C166)</f>
        <v>67000</v>
      </c>
      <c r="D167" s="26">
        <f>SUM(D165:D166)</f>
        <v>391390</v>
      </c>
      <c r="E167" s="27">
        <f>D167/C167</f>
        <v>5.8416417910447764</v>
      </c>
      <c r="F167" s="17"/>
      <c r="G167" s="25">
        <f>SUM(G165:G166)</f>
        <v>62000</v>
      </c>
      <c r="H167" s="28">
        <f>(C167-G167)/C167</f>
        <v>7.4626865671641784E-2</v>
      </c>
      <c r="J167" s="26">
        <f>J165+J166</f>
        <v>-204416.59999999998</v>
      </c>
      <c r="K167" s="29">
        <f>K163+J167</f>
        <v>169620.59488852357</v>
      </c>
      <c r="L167" s="17"/>
      <c r="M167" s="27"/>
      <c r="N167" s="27"/>
      <c r="O167" s="27"/>
      <c r="P167" s="27"/>
      <c r="V167" s="83"/>
    </row>
    <row r="168" spans="1:29" ht="3" customHeight="1">
      <c r="A168" s="42"/>
      <c r="B168" s="43"/>
      <c r="C168" s="44"/>
      <c r="D168" s="45"/>
      <c r="E168" s="46"/>
      <c r="F168" s="17"/>
      <c r="G168" s="44"/>
      <c r="H168" s="43"/>
      <c r="I168" s="45"/>
      <c r="J168" s="45"/>
      <c r="K168" s="47"/>
      <c r="L168" s="17"/>
      <c r="M168" s="48"/>
      <c r="N168" s="46"/>
      <c r="O168" s="46"/>
      <c r="P168" s="49"/>
    </row>
    <row r="169" spans="1:29" ht="14.4">
      <c r="A169" s="12">
        <v>45292</v>
      </c>
      <c r="B169" s="13" t="s">
        <v>13</v>
      </c>
      <c r="C169" s="14">
        <v>50000</v>
      </c>
      <c r="D169" s="15">
        <f>C169*(V169+1.8)</f>
        <v>200000</v>
      </c>
      <c r="E169" s="16">
        <f>D169/C169</f>
        <v>4</v>
      </c>
      <c r="F169" s="17"/>
      <c r="G169" s="14">
        <v>46000</v>
      </c>
      <c r="H169" s="18">
        <f>(C169-G169)/C169</f>
        <v>0.08</v>
      </c>
      <c r="I169" s="15">
        <f>G169*P161</f>
        <v>138722.20000000001</v>
      </c>
      <c r="J169" s="15">
        <f>I169-D169</f>
        <v>-61277.799999999988</v>
      </c>
      <c r="K169" s="19"/>
      <c r="L169" s="17"/>
      <c r="M169" s="16"/>
      <c r="N169" s="16"/>
      <c r="O169" s="16"/>
      <c r="P169" s="16"/>
      <c r="R169" s="86" t="s">
        <v>218</v>
      </c>
      <c r="S169" s="86"/>
      <c r="T169" s="84"/>
      <c r="U169" s="85"/>
      <c r="V169" s="85">
        <v>2.2000000000000002</v>
      </c>
    </row>
    <row r="170" spans="1:29" ht="14.4">
      <c r="B170" s="24" t="s">
        <v>15</v>
      </c>
      <c r="C170" s="284">
        <v>21000</v>
      </c>
      <c r="D170" s="285">
        <f>C170*(V169+8.25)</f>
        <v>219449.99999999997</v>
      </c>
      <c r="E170" s="27">
        <f>D170/C170</f>
        <v>10.45</v>
      </c>
      <c r="F170" s="17"/>
      <c r="G170" s="284">
        <v>20000</v>
      </c>
      <c r="H170" s="28">
        <f>(C170-G170)/C170</f>
        <v>4.7619047619047616E-2</v>
      </c>
      <c r="I170" s="26">
        <f>G170*P161</f>
        <v>60314.000000000007</v>
      </c>
      <c r="J170" s="26">
        <f>I170-D170</f>
        <v>-159135.99999999997</v>
      </c>
      <c r="L170" s="17"/>
      <c r="M170" s="27"/>
      <c r="N170" s="27"/>
      <c r="O170" s="27"/>
      <c r="P170" s="27"/>
      <c r="R170" s="86"/>
    </row>
    <row r="171" spans="1:29">
      <c r="B171" s="24" t="s">
        <v>17</v>
      </c>
      <c r="C171" s="25">
        <f>SUM(C169:C170)</f>
        <v>71000</v>
      </c>
      <c r="D171" s="26">
        <f>SUM(D169:D170)</f>
        <v>419450</v>
      </c>
      <c r="E171" s="27">
        <f>D171/C171</f>
        <v>5.9077464788732392</v>
      </c>
      <c r="F171" s="17"/>
      <c r="G171" s="25">
        <f>SUM(G169:G170)</f>
        <v>66000</v>
      </c>
      <c r="H171" s="28">
        <f>(C171-G171)/C171</f>
        <v>7.0422535211267609E-2</v>
      </c>
      <c r="J171" s="26">
        <f>J169+J170</f>
        <v>-220413.79999999996</v>
      </c>
      <c r="K171" s="286">
        <f>K167+J171</f>
        <v>-50793.205111476389</v>
      </c>
      <c r="L171" s="17"/>
      <c r="R171" s="69"/>
      <c r="S171" s="25"/>
      <c r="T171" s="25"/>
    </row>
    <row r="172" spans="1:29" s="41" customFormat="1" ht="3" customHeight="1">
      <c r="A172" s="32"/>
      <c r="B172" s="33"/>
      <c r="C172" s="34"/>
      <c r="D172" s="35"/>
      <c r="E172" s="36"/>
      <c r="F172" s="37"/>
      <c r="G172" s="34"/>
      <c r="H172" s="33"/>
      <c r="I172" s="35"/>
      <c r="J172" s="35"/>
      <c r="K172" s="38"/>
      <c r="L172" s="37"/>
      <c r="M172" s="39"/>
      <c r="N172" s="36"/>
      <c r="O172" s="36"/>
      <c r="P172" s="40"/>
    </row>
    <row r="173" spans="1:29" ht="14.4">
      <c r="L173" s="17"/>
      <c r="T173" s="84"/>
      <c r="U173" s="85"/>
    </row>
    <row r="174" spans="1:29" ht="14.4">
      <c r="K174" s="256" t="s">
        <v>233</v>
      </c>
      <c r="L174" s="17"/>
      <c r="R174" s="258" t="s">
        <v>228</v>
      </c>
      <c r="T174" s="84"/>
      <c r="U174" s="85"/>
    </row>
    <row r="175" spans="1:29">
      <c r="L175" s="17"/>
      <c r="R175" s="257">
        <v>7.4999999999999997E-2</v>
      </c>
      <c r="S175" s="31" t="s">
        <v>229</v>
      </c>
      <c r="U175" s="85"/>
    </row>
    <row r="176" spans="1:29">
      <c r="D176" s="25"/>
      <c r="I176" s="25"/>
      <c r="L176" s="17"/>
      <c r="S176" s="23"/>
      <c r="T176" s="29"/>
      <c r="U176" s="29"/>
      <c r="V176" s="26"/>
    </row>
    <row r="177" spans="12:22">
      <c r="L177" s="17"/>
      <c r="T177" s="29"/>
      <c r="U177" s="143"/>
      <c r="V177" s="26"/>
    </row>
    <row r="178" spans="12:22">
      <c r="L178" s="17"/>
      <c r="T178" s="29"/>
      <c r="U178" s="85"/>
    </row>
    <row r="179" spans="12:22">
      <c r="L179" s="17"/>
      <c r="T179" s="29"/>
      <c r="U179" s="85"/>
    </row>
    <row r="180" spans="12:22">
      <c r="L180" s="17"/>
      <c r="U180" s="85"/>
    </row>
    <row r="181" spans="12:22" ht="14.4">
      <c r="L181" s="17"/>
      <c r="T181" s="84"/>
      <c r="U181" s="85"/>
    </row>
    <row r="182" spans="12:22" ht="14.4">
      <c r="L182" s="17"/>
      <c r="T182" s="84"/>
      <c r="U182" s="85"/>
    </row>
    <row r="183" spans="12:22" ht="14.4">
      <c r="L183" s="17"/>
      <c r="T183" s="84"/>
      <c r="U183" s="85"/>
    </row>
    <row r="184" spans="12:22" ht="14.4">
      <c r="L184" s="17"/>
      <c r="T184" s="84"/>
      <c r="U184" s="85"/>
    </row>
    <row r="185" spans="12:22" ht="14.4">
      <c r="L185" s="17"/>
      <c r="T185" s="84"/>
      <c r="U185" s="85"/>
    </row>
    <row r="186" spans="12:22" ht="14.4">
      <c r="L186" s="17"/>
      <c r="T186" s="84"/>
      <c r="U186" s="85"/>
    </row>
    <row r="187" spans="12:22" ht="14.4">
      <c r="L187" s="17"/>
      <c r="T187" s="84"/>
      <c r="U187" s="85"/>
    </row>
    <row r="188" spans="12:22" ht="14.4">
      <c r="L188" s="17"/>
      <c r="T188" s="84"/>
      <c r="U188" s="85"/>
    </row>
    <row r="189" spans="12:22">
      <c r="L189" s="17"/>
    </row>
    <row r="190" spans="12:22">
      <c r="L190" s="17"/>
    </row>
    <row r="191" spans="12:22">
      <c r="L191" s="17"/>
    </row>
    <row r="192" spans="12:22">
      <c r="L192" s="17"/>
    </row>
  </sheetData>
  <printOptions horizontalCentered="1"/>
  <pageMargins left="0.2" right="0.2" top="0.25" bottom="0.25" header="0.2" footer="0.2"/>
  <pageSetup scale="85" fitToHeight="0" orientation="landscape" r:id="rId1"/>
  <rowBreaks count="3" manualBreakCount="3">
    <brk id="56" max="16383" man="1"/>
    <brk id="108" max="16383" man="1"/>
    <brk id="160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EE756-EEC3-4345-B1F5-8DA83C332AAC}">
  <sheetPr>
    <pageSetUpPr fitToPage="1"/>
  </sheetPr>
  <dimension ref="A1:T30"/>
  <sheetViews>
    <sheetView zoomScale="90" zoomScaleNormal="90" workbookViewId="0">
      <pane xSplit="1" ySplit="2" topLeftCell="B3" activePane="bottomRight" state="frozenSplit"/>
      <selection activeCell="N18" sqref="N18"/>
      <selection pane="topRight" activeCell="N18" sqref="N18"/>
      <selection pane="bottomLeft" activeCell="N18" sqref="N18"/>
      <selection pane="bottomRight" activeCell="O23" sqref="O23"/>
    </sheetView>
  </sheetViews>
  <sheetFormatPr defaultColWidth="8.6640625" defaultRowHeight="15" customHeight="1"/>
  <cols>
    <col min="1" max="1" width="26.5546875" style="313" customWidth="1"/>
    <col min="2" max="13" width="11.6640625" style="313" customWidth="1"/>
    <col min="14" max="14" width="5.77734375" style="313" customWidth="1"/>
    <col min="15" max="15" width="15.33203125" style="313" customWidth="1"/>
    <col min="16" max="16" width="9.5546875" style="313" bestFit="1" customWidth="1"/>
    <col min="17" max="17" width="13.109375" style="313" bestFit="1" customWidth="1"/>
    <col min="18" max="18" width="8.5546875" style="313" customWidth="1"/>
    <col min="19" max="19" width="10.109375" style="313" bestFit="1" customWidth="1"/>
    <col min="20" max="20" width="9.33203125" style="313" bestFit="1" customWidth="1"/>
    <col min="21" max="21" width="8.6640625" style="313"/>
    <col min="22" max="23" width="9" style="313" bestFit="1" customWidth="1"/>
    <col min="24" max="16384" width="8.6640625" style="313"/>
  </cols>
  <sheetData>
    <row r="1" spans="1:20" s="309" customFormat="1" ht="15" customHeight="1">
      <c r="B1" s="310">
        <v>44927</v>
      </c>
      <c r="C1" s="310">
        <v>44958</v>
      </c>
      <c r="D1" s="310">
        <v>44986</v>
      </c>
      <c r="E1" s="310">
        <v>45017</v>
      </c>
      <c r="F1" s="310">
        <v>45047</v>
      </c>
      <c r="G1" s="310">
        <v>45078</v>
      </c>
      <c r="H1" s="310">
        <v>45108</v>
      </c>
      <c r="I1" s="310">
        <v>45139</v>
      </c>
      <c r="J1" s="310">
        <v>45170</v>
      </c>
      <c r="K1" s="310">
        <v>45200</v>
      </c>
      <c r="L1" s="310">
        <v>45231</v>
      </c>
      <c r="M1" s="310">
        <v>45261</v>
      </c>
      <c r="O1" s="311"/>
      <c r="P1" s="312"/>
      <c r="Q1" s="311"/>
      <c r="R1" s="312"/>
      <c r="S1" s="311"/>
    </row>
    <row r="3" spans="1:20" ht="15" customHeight="1"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O3" s="314"/>
      <c r="P3" s="315"/>
      <c r="R3" s="315"/>
    </row>
    <row r="4" spans="1:20" ht="15" customHeight="1">
      <c r="A4" s="295" t="s">
        <v>297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20" ht="15" customHeight="1"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</row>
    <row r="6" spans="1:20" ht="15" customHeight="1">
      <c r="A6" s="317" t="s">
        <v>285</v>
      </c>
      <c r="B6" s="318" t="s">
        <v>286</v>
      </c>
      <c r="O6" s="294" t="s">
        <v>296</v>
      </c>
      <c r="P6" s="295" t="s">
        <v>304</v>
      </c>
      <c r="Q6" s="294"/>
      <c r="R6" s="319"/>
      <c r="S6" s="294"/>
      <c r="T6" s="320"/>
    </row>
    <row r="7" spans="1:20" ht="15" customHeight="1"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O7" s="318" t="s">
        <v>286</v>
      </c>
    </row>
    <row r="8" spans="1:20" ht="15" customHeight="1">
      <c r="A8" s="294" t="s">
        <v>274</v>
      </c>
      <c r="B8" s="316">
        <v>831570</v>
      </c>
      <c r="C8" s="316">
        <v>723800</v>
      </c>
      <c r="D8" s="321">
        <v>669260</v>
      </c>
      <c r="E8" s="321">
        <v>375570</v>
      </c>
      <c r="F8" s="316">
        <v>172520</v>
      </c>
      <c r="G8" s="316">
        <v>86600</v>
      </c>
      <c r="H8" s="321">
        <v>96260</v>
      </c>
      <c r="I8" s="316">
        <v>82360</v>
      </c>
      <c r="J8" s="316">
        <v>88830</v>
      </c>
      <c r="K8" s="316">
        <v>176780</v>
      </c>
      <c r="L8" s="316">
        <v>434950</v>
      </c>
      <c r="M8" s="321">
        <v>704480</v>
      </c>
      <c r="O8" s="322">
        <f t="shared" ref="O8:O20" si="0">SUM(B8:M8)</f>
        <v>4442980</v>
      </c>
      <c r="P8" s="323">
        <f>O8/O$30</f>
        <v>1.0970320987654321</v>
      </c>
      <c r="Q8" s="318" t="s">
        <v>287</v>
      </c>
    </row>
    <row r="9" spans="1:20" ht="15" customHeight="1">
      <c r="A9" s="294" t="s">
        <v>275</v>
      </c>
      <c r="B9" s="316">
        <v>983140</v>
      </c>
      <c r="C9" s="316">
        <v>788960</v>
      </c>
      <c r="D9" s="316">
        <v>561950</v>
      </c>
      <c r="E9" s="316">
        <v>361980</v>
      </c>
      <c r="F9" s="316">
        <v>149090</v>
      </c>
      <c r="G9" s="316">
        <v>97740</v>
      </c>
      <c r="H9" s="316">
        <v>79800</v>
      </c>
      <c r="I9" s="316">
        <v>77920</v>
      </c>
      <c r="J9" s="324">
        <v>69910</v>
      </c>
      <c r="K9" s="316">
        <v>207570</v>
      </c>
      <c r="L9" s="316">
        <v>479100</v>
      </c>
      <c r="M9" s="316">
        <v>598970</v>
      </c>
      <c r="O9" s="322">
        <f t="shared" si="0"/>
        <v>4456130</v>
      </c>
      <c r="P9" s="323">
        <f>O9/O$30</f>
        <v>1.1002790123456789</v>
      </c>
    </row>
    <row r="10" spans="1:20" ht="15" customHeight="1">
      <c r="A10" s="294" t="s">
        <v>276</v>
      </c>
      <c r="B10" s="316">
        <v>826790</v>
      </c>
      <c r="C10" s="321">
        <v>909850</v>
      </c>
      <c r="D10" s="316">
        <v>593896</v>
      </c>
      <c r="E10" s="316">
        <v>314984</v>
      </c>
      <c r="F10" s="316">
        <v>151215</v>
      </c>
      <c r="G10" s="316">
        <v>87405</v>
      </c>
      <c r="H10" s="316">
        <v>75861</v>
      </c>
      <c r="I10" s="316">
        <v>68000</v>
      </c>
      <c r="J10" s="316">
        <v>88550</v>
      </c>
      <c r="K10" s="316">
        <v>145015.5000000002</v>
      </c>
      <c r="L10" s="316">
        <v>306197.5</v>
      </c>
      <c r="M10" s="324">
        <v>432348.48999999987</v>
      </c>
      <c r="O10" s="322">
        <f t="shared" si="0"/>
        <v>4000112.4899999998</v>
      </c>
      <c r="P10" s="323">
        <f>O10/O$30</f>
        <v>0.98768209629629622</v>
      </c>
      <c r="Q10" s="318" t="s">
        <v>302</v>
      </c>
    </row>
    <row r="11" spans="1:20" ht="15" customHeight="1">
      <c r="A11" s="325" t="s">
        <v>277</v>
      </c>
      <c r="B11" s="316">
        <v>710260.50999999989</v>
      </c>
      <c r="C11" s="316">
        <v>762646.76000000024</v>
      </c>
      <c r="D11" s="324">
        <v>388041.58</v>
      </c>
      <c r="E11" s="316">
        <v>258189.52000000002</v>
      </c>
      <c r="F11" s="316">
        <v>153847.28999999992</v>
      </c>
      <c r="G11" s="316">
        <v>83609.11</v>
      </c>
      <c r="H11" s="316">
        <v>67638.650000000038</v>
      </c>
      <c r="I11" s="316">
        <v>71530.220000000016</v>
      </c>
      <c r="J11" s="316">
        <v>71634.200000000026</v>
      </c>
      <c r="K11" s="324">
        <v>132439.91</v>
      </c>
      <c r="L11" s="316">
        <v>332380.72999999992</v>
      </c>
      <c r="M11" s="316">
        <v>585217.07999999961</v>
      </c>
      <c r="O11" s="322">
        <f t="shared" si="0"/>
        <v>3617435.56</v>
      </c>
      <c r="P11" s="323">
        <f>O11/O$30</f>
        <v>0.89319396543209872</v>
      </c>
      <c r="Q11" s="318" t="s">
        <v>298</v>
      </c>
    </row>
    <row r="12" spans="1:20" ht="15" customHeight="1">
      <c r="A12" s="294" t="s">
        <v>278</v>
      </c>
      <c r="B12" s="316">
        <v>573204</v>
      </c>
      <c r="C12" s="324">
        <v>483412.63000000012</v>
      </c>
      <c r="D12" s="316">
        <v>436327.23000000004</v>
      </c>
      <c r="E12" s="316">
        <v>232211.86999999988</v>
      </c>
      <c r="F12" s="324">
        <v>113644.92000000006</v>
      </c>
      <c r="G12" s="316">
        <v>79466.899999999965</v>
      </c>
      <c r="H12" s="316">
        <v>62108.41</v>
      </c>
      <c r="I12" s="316">
        <v>73551.210000000006</v>
      </c>
      <c r="J12" s="316">
        <v>78360.09</v>
      </c>
      <c r="K12" s="316">
        <v>144983.87</v>
      </c>
      <c r="L12" s="316">
        <v>401689.71000000008</v>
      </c>
      <c r="M12" s="316">
        <v>649627.02</v>
      </c>
      <c r="O12" s="326">
        <f t="shared" si="0"/>
        <v>3328587.86</v>
      </c>
      <c r="P12" s="323">
        <f>O12/O$30</f>
        <v>0.82187354567901227</v>
      </c>
    </row>
    <row r="13" spans="1:20" ht="15" customHeight="1">
      <c r="A13" s="294" t="s">
        <v>279</v>
      </c>
      <c r="B13" s="321">
        <v>905340.18999999971</v>
      </c>
      <c r="C13" s="316">
        <v>523769.77999999956</v>
      </c>
      <c r="D13" s="316">
        <v>522548.61719999986</v>
      </c>
      <c r="E13" s="316">
        <v>229995.78000000006</v>
      </c>
      <c r="F13" s="321">
        <v>199737.25999999989</v>
      </c>
      <c r="G13" s="324">
        <v>77281.66</v>
      </c>
      <c r="H13" s="316">
        <v>70333.66</v>
      </c>
      <c r="I13" s="321">
        <v>87078.74</v>
      </c>
      <c r="J13" s="321">
        <v>91846.65</v>
      </c>
      <c r="K13" s="316">
        <v>184452.37999999995</v>
      </c>
      <c r="L13" s="321">
        <v>494094.52</v>
      </c>
      <c r="M13" s="316">
        <v>621921.00999999978</v>
      </c>
      <c r="O13" s="327">
        <f t="shared" si="0"/>
        <v>4008400.2471999992</v>
      </c>
      <c r="P13" s="328">
        <f>O13/O$23</f>
        <v>1.1078743669881981</v>
      </c>
      <c r="Q13" s="318" t="s">
        <v>288</v>
      </c>
    </row>
    <row r="14" spans="1:20" ht="15" customHeight="1">
      <c r="A14" s="294" t="s">
        <v>280</v>
      </c>
      <c r="B14" s="316">
        <v>662641.93000000005</v>
      </c>
      <c r="C14" s="316">
        <v>601149.00999999978</v>
      </c>
      <c r="D14" s="316">
        <v>541506.83000000031</v>
      </c>
      <c r="E14" s="316">
        <v>310575.83999999991</v>
      </c>
      <c r="F14" s="316">
        <v>111825.51999999995</v>
      </c>
      <c r="G14" s="316">
        <v>81517.849999999977</v>
      </c>
      <c r="H14" s="316">
        <v>71587.990000000005</v>
      </c>
      <c r="I14" s="316">
        <v>76291.03</v>
      </c>
      <c r="J14" s="316">
        <v>72876.09</v>
      </c>
      <c r="K14" s="316">
        <v>148363.29999999996</v>
      </c>
      <c r="L14" s="316">
        <v>422991.2200000002</v>
      </c>
      <c r="M14" s="316">
        <v>634157.09</v>
      </c>
      <c r="O14" s="322">
        <f t="shared" si="0"/>
        <v>3735483.7</v>
      </c>
      <c r="P14" s="328">
        <f>O14/O$23</f>
        <v>1.032443464801968</v>
      </c>
    </row>
    <row r="15" spans="1:20" ht="15" customHeight="1">
      <c r="A15" s="294" t="s">
        <v>281</v>
      </c>
      <c r="B15" s="316">
        <v>620793.22</v>
      </c>
      <c r="C15" s="316">
        <v>569339.60999999964</v>
      </c>
      <c r="D15" s="316">
        <v>422688.74999999988</v>
      </c>
      <c r="E15" s="324">
        <v>228855.58999999994</v>
      </c>
      <c r="F15" s="316">
        <v>197720.93000000002</v>
      </c>
      <c r="G15" s="316">
        <v>88116.74</v>
      </c>
      <c r="H15" s="316">
        <v>70315.58</v>
      </c>
      <c r="I15" s="324">
        <v>65747.350000000006</v>
      </c>
      <c r="J15" s="316">
        <v>79459.679999999993</v>
      </c>
      <c r="K15" s="316">
        <v>152930.72999999986</v>
      </c>
      <c r="L15" s="324">
        <v>291000.02999999991</v>
      </c>
      <c r="M15" s="316">
        <v>672539.19</v>
      </c>
      <c r="O15" s="322">
        <f t="shared" si="0"/>
        <v>3459507.3999999994</v>
      </c>
      <c r="P15" s="328">
        <f>O15/O$23</f>
        <v>0.95616688317072485</v>
      </c>
    </row>
    <row r="16" spans="1:20" ht="15" customHeight="1">
      <c r="A16" s="294" t="s">
        <v>282</v>
      </c>
      <c r="B16" s="316">
        <v>720116</v>
      </c>
      <c r="C16" s="316">
        <v>774212</v>
      </c>
      <c r="D16" s="316">
        <v>451437</v>
      </c>
      <c r="E16" s="316">
        <v>266917</v>
      </c>
      <c r="F16" s="316">
        <v>137408</v>
      </c>
      <c r="G16" s="316">
        <v>95057</v>
      </c>
      <c r="H16" s="316">
        <v>68350</v>
      </c>
      <c r="I16" s="316">
        <v>67469</v>
      </c>
      <c r="J16" s="316">
        <v>78457</v>
      </c>
      <c r="K16" s="316">
        <v>109034</v>
      </c>
      <c r="L16" s="316">
        <v>392432</v>
      </c>
      <c r="M16" s="316">
        <v>530156</v>
      </c>
      <c r="O16" s="322">
        <f t="shared" si="0"/>
        <v>3691045</v>
      </c>
      <c r="P16" s="328">
        <f>O16/O$23</f>
        <v>1.0201611342970067</v>
      </c>
    </row>
    <row r="17" spans="1:18" ht="15" customHeight="1">
      <c r="A17" s="294" t="s">
        <v>283</v>
      </c>
      <c r="B17" s="316">
        <v>713896.05</v>
      </c>
      <c r="C17" s="316">
        <v>694644.82</v>
      </c>
      <c r="D17" s="316">
        <v>480272.8800000003</v>
      </c>
      <c r="E17" s="316">
        <v>248457.85</v>
      </c>
      <c r="F17" s="316">
        <v>119433.9899999999</v>
      </c>
      <c r="G17" s="316">
        <v>81327.67</v>
      </c>
      <c r="H17" s="324">
        <v>61773.99</v>
      </c>
      <c r="I17" s="316">
        <v>68726.27</v>
      </c>
      <c r="J17" s="316">
        <v>76542.12</v>
      </c>
      <c r="K17" s="321">
        <v>225226.32999999984</v>
      </c>
      <c r="L17" s="316">
        <v>434757.23999999976</v>
      </c>
      <c r="M17" s="316">
        <v>654850.44999999995</v>
      </c>
      <c r="O17" s="322">
        <f t="shared" si="0"/>
        <v>3859909.66</v>
      </c>
      <c r="P17" s="328">
        <f t="shared" ref="P17:P18" si="1">O17/O$23</f>
        <v>1.0668333268842762</v>
      </c>
    </row>
    <row r="18" spans="1:18" ht="15" customHeight="1">
      <c r="A18" s="294" t="s">
        <v>284</v>
      </c>
      <c r="B18" s="324">
        <v>552457.46999999986</v>
      </c>
      <c r="C18" s="316">
        <v>525492.00000000012</v>
      </c>
      <c r="D18" s="316">
        <v>444867.57999999984</v>
      </c>
      <c r="E18" s="316">
        <v>236043.59099999984</v>
      </c>
      <c r="F18" s="316">
        <v>152219.10999999993</v>
      </c>
      <c r="G18" s="321">
        <v>99039.33</v>
      </c>
      <c r="H18" s="316">
        <v>74165.649999999994</v>
      </c>
      <c r="I18" s="316">
        <v>85083.74</v>
      </c>
      <c r="J18" s="316">
        <v>86058.55</v>
      </c>
      <c r="K18" s="316">
        <v>164854.16399999987</v>
      </c>
      <c r="L18" s="316">
        <v>415038.59</v>
      </c>
      <c r="M18" s="329">
        <v>623000</v>
      </c>
      <c r="N18" s="318" t="s">
        <v>307</v>
      </c>
      <c r="O18" s="330">
        <f t="shared" si="0"/>
        <v>3458319.774999999</v>
      </c>
      <c r="P18" s="328">
        <f t="shared" si="1"/>
        <v>0.95583863768276134</v>
      </c>
      <c r="Q18" s="331">
        <f>AVERAGE(O13:O17)</f>
        <v>3750869.20144</v>
      </c>
      <c r="R18" s="318" t="s">
        <v>305</v>
      </c>
    </row>
    <row r="20" spans="1:18" ht="15" customHeight="1">
      <c r="A20" s="332" t="s">
        <v>295</v>
      </c>
      <c r="B20" s="316">
        <f>AVERAGE(B13:B18)</f>
        <v>695874.1433333332</v>
      </c>
      <c r="C20" s="316">
        <f t="shared" ref="C20:L20" si="2">AVERAGE(C13:C18)</f>
        <v>614767.86999999976</v>
      </c>
      <c r="D20" s="316">
        <f t="shared" si="2"/>
        <v>477220.27620000002</v>
      </c>
      <c r="E20" s="316">
        <f t="shared" si="2"/>
        <v>253474.27516666663</v>
      </c>
      <c r="F20" s="316">
        <f t="shared" si="2"/>
        <v>153057.46833333327</v>
      </c>
      <c r="G20" s="316">
        <f t="shared" si="2"/>
        <v>87056.708333333328</v>
      </c>
      <c r="H20" s="316">
        <f t="shared" si="2"/>
        <v>69421.145000000004</v>
      </c>
      <c r="I20" s="316">
        <f t="shared" si="2"/>
        <v>75066.021666666667</v>
      </c>
      <c r="J20" s="316">
        <f t="shared" si="2"/>
        <v>80873.348333333328</v>
      </c>
      <c r="K20" s="316">
        <f t="shared" si="2"/>
        <v>164143.48399999991</v>
      </c>
      <c r="L20" s="316">
        <f t="shared" si="2"/>
        <v>408385.59999999992</v>
      </c>
      <c r="M20" s="316">
        <f>AVERAGE(M12:M16)</f>
        <v>621680.06199999992</v>
      </c>
      <c r="O20" s="322">
        <f t="shared" si="0"/>
        <v>3701020.4023666657</v>
      </c>
    </row>
    <row r="21" spans="1:18" ht="15" customHeight="1">
      <c r="A21" s="333" t="s">
        <v>299</v>
      </c>
      <c r="B21" s="334">
        <f>B20/$O20</f>
        <v>0.18802223918796757</v>
      </c>
      <c r="C21" s="334">
        <f t="shared" ref="C21:M21" si="3">C20/$O20</f>
        <v>0.16610766847080294</v>
      </c>
      <c r="D21" s="334">
        <f t="shared" si="3"/>
        <v>0.12894289258574076</v>
      </c>
      <c r="E21" s="334">
        <f t="shared" si="3"/>
        <v>6.8487673022439757E-2</v>
      </c>
      <c r="F21" s="334">
        <f t="shared" si="3"/>
        <v>4.1355478136640013E-2</v>
      </c>
      <c r="G21" s="334">
        <f t="shared" si="3"/>
        <v>2.3522352991532762E-2</v>
      </c>
      <c r="H21" s="334">
        <f t="shared" si="3"/>
        <v>1.8757298650828227E-2</v>
      </c>
      <c r="I21" s="334">
        <f t="shared" si="3"/>
        <v>2.0282520360780699E-2</v>
      </c>
      <c r="J21" s="334">
        <f t="shared" si="3"/>
        <v>2.1851635371050053E-2</v>
      </c>
      <c r="K21" s="334">
        <f t="shared" si="3"/>
        <v>4.4350872503981932E-2</v>
      </c>
      <c r="L21" s="334">
        <f t="shared" si="3"/>
        <v>0.1103440553148133</v>
      </c>
      <c r="M21" s="334">
        <f t="shared" si="3"/>
        <v>0.16797531340342206</v>
      </c>
    </row>
    <row r="23" spans="1:18" s="337" customFormat="1" ht="15" customHeight="1">
      <c r="A23" s="335" t="s">
        <v>289</v>
      </c>
      <c r="B23" s="336">
        <v>712600</v>
      </c>
      <c r="C23" s="336">
        <v>692900</v>
      </c>
      <c r="D23" s="336">
        <v>464400</v>
      </c>
      <c r="E23" s="336">
        <v>270400</v>
      </c>
      <c r="F23" s="336">
        <v>136700</v>
      </c>
      <c r="G23" s="336">
        <v>88800</v>
      </c>
      <c r="H23" s="336">
        <v>69400</v>
      </c>
      <c r="I23" s="336">
        <v>72000</v>
      </c>
      <c r="J23" s="336">
        <v>78500</v>
      </c>
      <c r="K23" s="336">
        <v>160400</v>
      </c>
      <c r="L23" s="336">
        <v>342900</v>
      </c>
      <c r="M23" s="336">
        <v>529100</v>
      </c>
      <c r="O23" s="338">
        <f>SUM(B23:M23)</f>
        <v>3618100</v>
      </c>
      <c r="Q23" s="318" t="s">
        <v>300</v>
      </c>
    </row>
    <row r="24" spans="1:18" ht="15" customHeight="1"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P24" s="339"/>
      <c r="Q24" s="318" t="s">
        <v>301</v>
      </c>
      <c r="R24" s="294"/>
    </row>
    <row r="25" spans="1:18" ht="15" customHeight="1">
      <c r="A25" s="340" t="s">
        <v>290</v>
      </c>
      <c r="B25" s="316"/>
      <c r="C25" s="339"/>
      <c r="D25" s="339">
        <f>SUM($B18:D18)/SUM($B23:D23)</f>
        <v>0.81438421840740138</v>
      </c>
      <c r="E25" s="339"/>
      <c r="F25" s="339"/>
      <c r="G25" s="339">
        <f>SUM($B18:G18)/SUM($B23:G23)</f>
        <v>0.84965723264857529</v>
      </c>
      <c r="H25" s="339"/>
      <c r="I25" s="339"/>
      <c r="J25" s="339">
        <f>SUM($B18:J18)/SUM($B23:J23)</f>
        <v>0.87226941292493299</v>
      </c>
      <c r="K25" s="339"/>
      <c r="L25" s="339"/>
      <c r="M25" s="323">
        <f>SUM($B18:M18)/SUM($B23:M23)</f>
        <v>0.95583863768276134</v>
      </c>
    </row>
    <row r="27" spans="1:18" s="337" customFormat="1" ht="15" customHeight="1">
      <c r="A27" s="335" t="s">
        <v>291</v>
      </c>
    </row>
    <row r="28" spans="1:18" s="337" customFormat="1" ht="15" customHeight="1">
      <c r="A28" s="341" t="s">
        <v>292</v>
      </c>
      <c r="B28" s="336">
        <v>536800</v>
      </c>
      <c r="C28" s="336">
        <v>484300</v>
      </c>
      <c r="D28" s="336">
        <v>366300</v>
      </c>
      <c r="E28" s="336">
        <v>210700</v>
      </c>
      <c r="F28" s="336">
        <v>119700</v>
      </c>
      <c r="G28" s="336">
        <v>68500</v>
      </c>
      <c r="H28" s="336">
        <v>53200</v>
      </c>
      <c r="I28" s="336">
        <v>59200</v>
      </c>
      <c r="J28" s="336">
        <v>63800</v>
      </c>
      <c r="K28" s="336">
        <v>127700</v>
      </c>
      <c r="L28" s="336">
        <v>321300</v>
      </c>
      <c r="M28" s="336">
        <v>438500</v>
      </c>
      <c r="O28" s="338">
        <v>2850000</v>
      </c>
      <c r="Q28" s="318" t="s">
        <v>303</v>
      </c>
    </row>
    <row r="29" spans="1:18" s="337" customFormat="1" ht="15" customHeight="1">
      <c r="A29" s="341" t="s">
        <v>293</v>
      </c>
      <c r="B29" s="336">
        <v>234100</v>
      </c>
      <c r="C29" s="336">
        <v>207000</v>
      </c>
      <c r="D29" s="336">
        <v>151500</v>
      </c>
      <c r="E29" s="336">
        <v>79800</v>
      </c>
      <c r="F29" s="336">
        <v>44600</v>
      </c>
      <c r="G29" s="336">
        <v>29500</v>
      </c>
      <c r="H29" s="336">
        <v>25600</v>
      </c>
      <c r="I29" s="336">
        <v>24400</v>
      </c>
      <c r="J29" s="336">
        <v>29300</v>
      </c>
      <c r="K29" s="336">
        <v>63400</v>
      </c>
      <c r="L29" s="336">
        <v>129600</v>
      </c>
      <c r="M29" s="336">
        <v>181200</v>
      </c>
      <c r="O29" s="338">
        <v>1200000</v>
      </c>
      <c r="Q29" s="318" t="s">
        <v>306</v>
      </c>
    </row>
    <row r="30" spans="1:18" s="337" customFormat="1" ht="15" customHeight="1">
      <c r="A30" s="342" t="s">
        <v>294</v>
      </c>
      <c r="B30" s="343">
        <f t="shared" ref="B30:M30" si="4">SUM(B28:B29)</f>
        <v>770900</v>
      </c>
      <c r="C30" s="343">
        <f t="shared" si="4"/>
        <v>691300</v>
      </c>
      <c r="D30" s="343">
        <f t="shared" si="4"/>
        <v>517800</v>
      </c>
      <c r="E30" s="343">
        <f t="shared" si="4"/>
        <v>290500</v>
      </c>
      <c r="F30" s="343">
        <f t="shared" si="4"/>
        <v>164300</v>
      </c>
      <c r="G30" s="343">
        <f t="shared" si="4"/>
        <v>98000</v>
      </c>
      <c r="H30" s="343">
        <f t="shared" si="4"/>
        <v>78800</v>
      </c>
      <c r="I30" s="343">
        <f t="shared" si="4"/>
        <v>83600</v>
      </c>
      <c r="J30" s="343">
        <f t="shared" si="4"/>
        <v>93100</v>
      </c>
      <c r="K30" s="343">
        <f t="shared" si="4"/>
        <v>191100</v>
      </c>
      <c r="L30" s="343">
        <f t="shared" si="4"/>
        <v>450900</v>
      </c>
      <c r="M30" s="343">
        <f t="shared" si="4"/>
        <v>619700</v>
      </c>
      <c r="O30" s="338">
        <f>SUM(B30:M30)</f>
        <v>4050000</v>
      </c>
    </row>
  </sheetData>
  <pageMargins left="0.25" right="0.25" top="0.75" bottom="0.75" header="0.3" footer="0.3"/>
  <pageSetup scale="7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D6D6-8EF9-470E-B846-312E07B27093}">
  <dimension ref="A1:N29"/>
  <sheetViews>
    <sheetView topLeftCell="A8" workbookViewId="0">
      <selection activeCell="J11" sqref="J11"/>
    </sheetView>
  </sheetViews>
  <sheetFormatPr defaultRowHeight="14.4"/>
  <cols>
    <col min="1" max="1" width="4.6640625" customWidth="1"/>
    <col min="2" max="2" width="24.6640625" customWidth="1"/>
    <col min="3" max="3" width="3.88671875" style="356" customWidth="1"/>
    <col min="4" max="4" width="15.6640625" customWidth="1"/>
    <col min="5" max="5" width="3.6640625" customWidth="1"/>
    <col min="6" max="6" width="15.6640625" customWidth="1"/>
    <col min="7" max="7" width="3.6640625" customWidth="1"/>
    <col min="8" max="8" width="15.6640625" customWidth="1"/>
    <col min="9" max="9" width="3.6640625" customWidth="1"/>
    <col min="10" max="10" width="15.6640625" customWidth="1"/>
    <col min="11" max="11" width="3.6640625" customWidth="1"/>
    <col min="12" max="12" width="15.6640625" customWidth="1"/>
  </cols>
  <sheetData>
    <row r="1" spans="1:14" s="356" customFormat="1" ht="25.2">
      <c r="A1" s="355" t="s">
        <v>335</v>
      </c>
    </row>
    <row r="2" spans="1:14" ht="17.399999999999999">
      <c r="B2" s="354" t="s">
        <v>351</v>
      </c>
    </row>
    <row r="4" spans="1:14" s="353" customFormat="1" ht="18">
      <c r="C4" s="365"/>
      <c r="D4" s="358" t="s">
        <v>336</v>
      </c>
      <c r="F4" s="366" t="s">
        <v>337</v>
      </c>
      <c r="H4" s="367" t="s">
        <v>338</v>
      </c>
      <c r="J4" s="368" t="s">
        <v>339</v>
      </c>
      <c r="L4" s="369" t="s">
        <v>340</v>
      </c>
    </row>
    <row r="5" spans="1:14" ht="18">
      <c r="B5" s="353"/>
    </row>
    <row r="6" spans="1:14" ht="18">
      <c r="B6" s="353" t="s">
        <v>341</v>
      </c>
      <c r="D6" s="360">
        <v>4600</v>
      </c>
      <c r="E6" s="346"/>
      <c r="F6" s="360">
        <v>535</v>
      </c>
      <c r="G6" s="360"/>
      <c r="H6" s="360">
        <v>44600</v>
      </c>
      <c r="I6" s="360"/>
      <c r="J6" s="360">
        <v>185000</v>
      </c>
      <c r="K6" s="360"/>
      <c r="L6" s="360">
        <v>330000</v>
      </c>
    </row>
    <row r="7" spans="1:14" ht="18">
      <c r="B7" s="353"/>
      <c r="D7" s="361"/>
      <c r="E7" s="346"/>
      <c r="F7" s="361"/>
      <c r="G7" s="361"/>
      <c r="H7" s="361"/>
      <c r="I7" s="361"/>
      <c r="J7" s="361"/>
      <c r="K7" s="361"/>
      <c r="L7" s="361"/>
    </row>
    <row r="8" spans="1:14" ht="18">
      <c r="B8" s="353" t="s">
        <v>342</v>
      </c>
      <c r="D8" s="360">
        <v>350</v>
      </c>
      <c r="E8" s="346"/>
      <c r="F8" s="360">
        <v>18</v>
      </c>
      <c r="G8" s="360"/>
      <c r="H8" s="360">
        <v>1921.1</v>
      </c>
      <c r="I8" s="360"/>
      <c r="J8" s="360">
        <v>4185</v>
      </c>
      <c r="K8" s="360"/>
      <c r="L8" s="360">
        <v>4800</v>
      </c>
    </row>
    <row r="9" spans="1:14" ht="18">
      <c r="B9" s="353"/>
      <c r="D9" s="361"/>
      <c r="E9" s="346"/>
      <c r="F9" s="361"/>
      <c r="G9" s="361"/>
      <c r="H9" s="361"/>
      <c r="I9" s="361"/>
      <c r="J9" s="361"/>
      <c r="K9" s="361"/>
      <c r="L9" s="361"/>
    </row>
    <row r="10" spans="1:14" ht="18">
      <c r="B10" s="353" t="s">
        <v>353</v>
      </c>
      <c r="D10" s="360">
        <v>360000</v>
      </c>
      <c r="E10" s="346"/>
      <c r="F10" s="360">
        <v>41000</v>
      </c>
      <c r="G10" s="360"/>
      <c r="H10" s="360">
        <v>3600000</v>
      </c>
      <c r="I10" s="360"/>
      <c r="J10" s="373">
        <v>180000000</v>
      </c>
      <c r="K10" s="360"/>
      <c r="L10" s="360">
        <v>45000000</v>
      </c>
    </row>
    <row r="11" spans="1:14" ht="18">
      <c r="B11" s="370" t="s">
        <v>354</v>
      </c>
      <c r="D11" s="361"/>
      <c r="E11" s="346"/>
      <c r="F11" s="361"/>
      <c r="G11" s="361"/>
      <c r="H11" s="361"/>
      <c r="I11" s="361"/>
      <c r="J11" s="375" t="s">
        <v>357</v>
      </c>
      <c r="K11" s="361"/>
      <c r="L11" s="361"/>
    </row>
    <row r="12" spans="1:14" ht="18">
      <c r="B12" s="353" t="s">
        <v>343</v>
      </c>
      <c r="D12" s="360">
        <v>57</v>
      </c>
      <c r="E12" s="346"/>
      <c r="F12" s="360">
        <v>5</v>
      </c>
      <c r="G12" s="360"/>
      <c r="H12" s="360">
        <v>206</v>
      </c>
      <c r="I12" s="360"/>
      <c r="J12" s="360">
        <v>707</v>
      </c>
      <c r="K12" s="360"/>
      <c r="L12" s="360">
        <v>2412</v>
      </c>
    </row>
    <row r="13" spans="1:14" ht="18">
      <c r="B13" s="353"/>
      <c r="D13" s="361"/>
      <c r="F13" s="361"/>
      <c r="H13" s="361"/>
      <c r="J13" s="361"/>
      <c r="L13" s="361"/>
    </row>
    <row r="14" spans="1:14" ht="18">
      <c r="B14" s="353"/>
      <c r="D14" s="361"/>
      <c r="F14" s="361"/>
      <c r="H14" s="361"/>
      <c r="J14" s="361"/>
      <c r="L14" s="361"/>
    </row>
    <row r="15" spans="1:14" ht="18">
      <c r="B15" s="357" t="s">
        <v>344</v>
      </c>
      <c r="D15" s="361"/>
      <c r="F15" s="361"/>
      <c r="H15" s="361"/>
      <c r="J15" s="361"/>
      <c r="L15" s="361"/>
      <c r="N15" t="s">
        <v>355</v>
      </c>
    </row>
    <row r="16" spans="1:14" ht="18">
      <c r="B16" s="353" t="s">
        <v>345</v>
      </c>
      <c r="D16" s="364">
        <f>D6/D8</f>
        <v>13.142857142857142</v>
      </c>
      <c r="F16" s="364">
        <f>F6/F8</f>
        <v>29.722222222222221</v>
      </c>
      <c r="H16" s="364">
        <f>H6/H8</f>
        <v>23.215865910155642</v>
      </c>
      <c r="J16" s="364">
        <f>J6/J8</f>
        <v>44.205495818399044</v>
      </c>
      <c r="L16" s="364">
        <f>L6/L8</f>
        <v>68.75</v>
      </c>
      <c r="N16" s="359">
        <f>L16/D16</f>
        <v>5.2309782608695654</v>
      </c>
    </row>
    <row r="17" spans="2:14" ht="18">
      <c r="B17" s="353" t="s">
        <v>346</v>
      </c>
      <c r="D17" s="363">
        <f>D10/D8</f>
        <v>1028.5714285714287</v>
      </c>
      <c r="F17" s="363">
        <f>F10/F8</f>
        <v>2277.7777777777778</v>
      </c>
      <c r="H17" s="363">
        <f>H10/H8</f>
        <v>1873.9263963354329</v>
      </c>
      <c r="J17" s="374">
        <f>J10/J8</f>
        <v>43010.752688172041</v>
      </c>
      <c r="L17" s="363">
        <f>L10/L8</f>
        <v>9375</v>
      </c>
      <c r="N17" s="359">
        <f t="shared" ref="N17:N18" si="0">L17/D17</f>
        <v>9.1145833333333321</v>
      </c>
    </row>
    <row r="18" spans="2:14" ht="18">
      <c r="B18" s="353" t="s">
        <v>347</v>
      </c>
      <c r="D18" s="362">
        <f>D8/D12</f>
        <v>6.1403508771929829</v>
      </c>
      <c r="F18" s="362">
        <f>F8/F12</f>
        <v>3.6</v>
      </c>
      <c r="H18" s="362">
        <f>H8/H12</f>
        <v>9.3257281553398048</v>
      </c>
      <c r="J18" s="362">
        <f>J8/J12</f>
        <v>5.9193776520509198</v>
      </c>
      <c r="L18" s="362">
        <f>L8/L12</f>
        <v>1.9900497512437811</v>
      </c>
      <c r="N18" s="359">
        <f t="shared" si="0"/>
        <v>0.32409381663113007</v>
      </c>
    </row>
    <row r="24" spans="2:14" ht="15.6">
      <c r="F24" s="352" t="s">
        <v>348</v>
      </c>
    </row>
    <row r="25" spans="2:14" ht="15.6">
      <c r="F25" s="352" t="s">
        <v>349</v>
      </c>
    </row>
    <row r="26" spans="2:14" ht="15.6">
      <c r="F26" s="352" t="s">
        <v>352</v>
      </c>
    </row>
    <row r="29" spans="2:14" ht="15.6">
      <c r="F29" s="352" t="s">
        <v>350</v>
      </c>
    </row>
  </sheetData>
  <printOptions horizontalCentered="1"/>
  <pageMargins left="0.3" right="0.3" top="0.5" bottom="0.5" header="0.3" footer="0.3"/>
  <pageSetup orientation="landscape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7A71E-BD47-499C-8C5F-B9FC8CD8E99C}">
  <dimension ref="A1:AC343"/>
  <sheetViews>
    <sheetView zoomScaleNormal="100" workbookViewId="0">
      <pane xSplit="2" ySplit="2" topLeftCell="C297" activePane="bottomRight" state="frozen"/>
      <selection pane="topRight" activeCell="C1" sqref="C1"/>
      <selection pane="bottomLeft" activeCell="A3" sqref="A3"/>
      <selection pane="bottomRight" activeCell="R327" sqref="R327"/>
    </sheetView>
  </sheetViews>
  <sheetFormatPr defaultColWidth="8.88671875" defaultRowHeight="13.8"/>
  <cols>
    <col min="1" max="1" width="9.6640625" style="23" bestFit="1" customWidth="1"/>
    <col min="2" max="2" width="8.33203125" style="24" bestFit="1" customWidth="1"/>
    <col min="3" max="3" width="8.88671875" style="25"/>
    <col min="4" max="4" width="11.77734375" style="26" customWidth="1"/>
    <col min="5" max="5" width="9.33203125" style="27" bestFit="1" customWidth="1"/>
    <col min="6" max="6" width="1.109375" style="26" customWidth="1"/>
    <col min="7" max="7" width="8.88671875" style="25"/>
    <col min="8" max="8" width="7.33203125" style="24" bestFit="1" customWidth="1"/>
    <col min="9" max="9" width="11.77734375" style="26" customWidth="1"/>
    <col min="10" max="10" width="11.5546875" style="26" customWidth="1"/>
    <col min="11" max="11" width="11.5546875" style="29" customWidth="1"/>
    <col min="12" max="12" width="1.109375" style="26" customWidth="1"/>
    <col min="13" max="16" width="9.33203125" style="51" customWidth="1"/>
    <col min="17" max="17" width="8.88671875" style="24"/>
    <col min="18" max="18" width="10.109375" style="24" customWidth="1"/>
    <col min="19" max="19" width="8.88671875" style="24"/>
    <col min="20" max="20" width="11.6640625" style="24" bestFit="1" customWidth="1"/>
    <col min="21" max="21" width="9.5546875" style="24" bestFit="1" customWidth="1"/>
    <col min="22" max="24" width="8.88671875" style="24"/>
    <col min="25" max="25" width="12" style="24" bestFit="1" customWidth="1"/>
    <col min="26" max="27" width="11" style="24" bestFit="1" customWidth="1"/>
    <col min="28" max="16384" width="8.88671875" style="24"/>
  </cols>
  <sheetData>
    <row r="1" spans="1:23" s="2" customFormat="1" ht="13.8" customHeight="1">
      <c r="A1" s="245" t="s">
        <v>202</v>
      </c>
      <c r="B1" s="245"/>
      <c r="C1" s="245"/>
      <c r="D1" s="245" t="s">
        <v>208</v>
      </c>
      <c r="E1" s="245"/>
      <c r="F1" s="245"/>
      <c r="G1" s="245"/>
      <c r="H1" s="245" t="s">
        <v>201</v>
      </c>
      <c r="I1" s="245"/>
      <c r="J1" s="245"/>
      <c r="K1" s="245"/>
      <c r="L1" s="245"/>
      <c r="M1" s="245"/>
      <c r="N1" s="245"/>
      <c r="O1" s="245"/>
      <c r="P1" s="245"/>
      <c r="Q1" s="1"/>
      <c r="R1" s="1"/>
    </row>
    <row r="2" spans="1:23" s="11" customFormat="1" ht="42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/>
      <c r="G2" s="5" t="s">
        <v>5</v>
      </c>
      <c r="H2" s="9" t="s">
        <v>6</v>
      </c>
      <c r="I2" s="6" t="s">
        <v>7</v>
      </c>
      <c r="J2" s="6" t="s">
        <v>8</v>
      </c>
      <c r="K2" s="6" t="s">
        <v>251</v>
      </c>
      <c r="L2" s="8"/>
      <c r="M2" s="10" t="s">
        <v>9</v>
      </c>
      <c r="N2" s="10" t="s">
        <v>10</v>
      </c>
      <c r="O2" s="10" t="s">
        <v>11</v>
      </c>
      <c r="P2" s="10" t="s">
        <v>12</v>
      </c>
      <c r="R2" s="221" t="s">
        <v>185</v>
      </c>
    </row>
    <row r="3" spans="1:23" s="52" customFormat="1">
      <c r="A3" s="23"/>
      <c r="B3" s="296" t="s">
        <v>311</v>
      </c>
      <c r="C3" s="297"/>
      <c r="D3" s="298"/>
      <c r="E3" s="281"/>
      <c r="F3" s="17"/>
      <c r="G3" s="25"/>
      <c r="H3" s="28"/>
      <c r="I3" s="26"/>
      <c r="J3" s="26"/>
      <c r="K3" s="29"/>
      <c r="L3" s="17"/>
      <c r="M3" s="24"/>
      <c r="N3" s="24"/>
      <c r="O3" s="51"/>
      <c r="P3" s="51"/>
      <c r="Q3" s="24"/>
      <c r="R3" s="24"/>
      <c r="S3" s="25"/>
    </row>
    <row r="4" spans="1:23" s="52" customFormat="1">
      <c r="A4" s="23"/>
      <c r="B4" s="24"/>
      <c r="C4" s="25"/>
      <c r="D4" s="26"/>
      <c r="E4" s="27"/>
      <c r="F4" s="17"/>
      <c r="G4" s="25"/>
      <c r="H4" s="28"/>
      <c r="I4" s="26"/>
      <c r="K4" s="29"/>
      <c r="L4" s="17"/>
      <c r="O4" s="51"/>
      <c r="P4" s="51"/>
      <c r="Q4" s="24"/>
      <c r="R4" s="31" t="s">
        <v>21</v>
      </c>
      <c r="S4" s="25"/>
      <c r="U4" s="53" t="s">
        <v>107</v>
      </c>
      <c r="V4" s="53" t="s">
        <v>22</v>
      </c>
      <c r="W4" s="54" t="s">
        <v>22</v>
      </c>
    </row>
    <row r="5" spans="1:23" s="21" customFormat="1">
      <c r="A5" s="12">
        <v>43101</v>
      </c>
      <c r="B5" s="13" t="s">
        <v>13</v>
      </c>
      <c r="C5" s="14">
        <v>65406</v>
      </c>
      <c r="D5" s="15">
        <v>291131</v>
      </c>
      <c r="E5" s="16">
        <f>D5/C5</f>
        <v>4.4511359814084335</v>
      </c>
      <c r="F5" s="17"/>
      <c r="G5" s="14">
        <v>62719</v>
      </c>
      <c r="H5" s="18">
        <f>(C5-G5)/C5</f>
        <v>4.1081857933522918E-2</v>
      </c>
      <c r="I5" s="15">
        <f>G5*P5</f>
        <v>342671.52839999995</v>
      </c>
      <c r="J5" s="15">
        <f>I5-D5</f>
        <v>51540.528399999952</v>
      </c>
      <c r="K5" s="19"/>
      <c r="L5" s="17"/>
      <c r="M5" s="20">
        <v>5.4635999999999996</v>
      </c>
      <c r="N5" s="16">
        <v>0</v>
      </c>
      <c r="O5" s="16">
        <v>0</v>
      </c>
      <c r="P5" s="16">
        <f>M5+N5+O5</f>
        <v>5.4635999999999996</v>
      </c>
      <c r="R5" s="22" t="s">
        <v>14</v>
      </c>
    </row>
    <row r="6" spans="1:23" s="21" customFormat="1">
      <c r="A6" s="23"/>
      <c r="B6" s="24" t="s">
        <v>15</v>
      </c>
      <c r="C6" s="25">
        <v>29404</v>
      </c>
      <c r="D6" s="26">
        <v>196402</v>
      </c>
      <c r="E6" s="27">
        <f>D6/C6</f>
        <v>6.679431369881649</v>
      </c>
      <c r="F6" s="17"/>
      <c r="G6" s="25">
        <v>27814</v>
      </c>
      <c r="H6" s="28">
        <f>(C6-G6)/C6</f>
        <v>5.4074275608760713E-2</v>
      </c>
      <c r="I6" s="26">
        <f>G6*P5</f>
        <v>151964.5704</v>
      </c>
      <c r="J6" s="26">
        <f>I6-D6</f>
        <v>-44437.429600000003</v>
      </c>
      <c r="K6" s="29"/>
      <c r="L6" s="17"/>
      <c r="M6" s="30"/>
      <c r="N6" s="27"/>
      <c r="O6" s="27"/>
      <c r="P6" s="27"/>
      <c r="R6" s="22" t="s">
        <v>16</v>
      </c>
    </row>
    <row r="7" spans="1:23">
      <c r="B7" s="24" t="s">
        <v>17</v>
      </c>
      <c r="C7" s="25">
        <f>SUM(C5:C6)</f>
        <v>94810</v>
      </c>
      <c r="D7" s="26">
        <f>SUM(D5:D6)</f>
        <v>487533</v>
      </c>
      <c r="E7" s="27">
        <f>D7/C7</f>
        <v>5.1422107372640014</v>
      </c>
      <c r="F7" s="17"/>
      <c r="G7" s="25">
        <f>SUM(G5:G6)</f>
        <v>90533</v>
      </c>
      <c r="H7" s="28">
        <f>(C7-G7)/C7</f>
        <v>4.5111275181942835E-2</v>
      </c>
      <c r="J7" s="26">
        <f>J5+J6</f>
        <v>7103.0987999999488</v>
      </c>
      <c r="K7" s="29">
        <f>K1+J7</f>
        <v>7103.0987999999488</v>
      </c>
      <c r="L7" s="17"/>
      <c r="M7" s="27"/>
      <c r="N7" s="27"/>
      <c r="O7" s="27"/>
      <c r="P7" s="27"/>
      <c r="R7" s="31" t="s">
        <v>18</v>
      </c>
    </row>
    <row r="8" spans="1:23" s="41" customFormat="1" ht="3" customHeight="1">
      <c r="A8" s="32"/>
      <c r="B8" s="33"/>
      <c r="C8" s="34"/>
      <c r="D8" s="35"/>
      <c r="E8" s="36"/>
      <c r="F8" s="37"/>
      <c r="G8" s="34"/>
      <c r="H8" s="33"/>
      <c r="I8" s="35"/>
      <c r="J8" s="35">
        <f>J6+J7</f>
        <v>-37334.330800000054</v>
      </c>
      <c r="K8" s="38" t="e">
        <f>K2+J8</f>
        <v>#VALUE!</v>
      </c>
      <c r="L8" s="37"/>
      <c r="M8" s="39"/>
      <c r="N8" s="36"/>
      <c r="O8" s="36"/>
      <c r="P8" s="40"/>
    </row>
    <row r="9" spans="1:23">
      <c r="A9" s="23">
        <v>43132</v>
      </c>
      <c r="B9" s="24" t="s">
        <v>13</v>
      </c>
      <c r="C9" s="25">
        <v>35323</v>
      </c>
      <c r="D9" s="26">
        <v>179044</v>
      </c>
      <c r="E9" s="27">
        <f>D9/C9</f>
        <v>5.0687653936528605</v>
      </c>
      <c r="F9" s="17"/>
      <c r="G9" s="25">
        <v>38306</v>
      </c>
      <c r="H9" s="28">
        <f>(C9-G9)/C9</f>
        <v>-8.4449225716954956E-2</v>
      </c>
      <c r="I9" s="26">
        <f>G9*P9</f>
        <v>206205.02859999999</v>
      </c>
      <c r="J9" s="26">
        <f>I9-D9</f>
        <v>27161.028599999991</v>
      </c>
      <c r="L9" s="17"/>
      <c r="M9" s="27">
        <v>5.3830999999999998</v>
      </c>
      <c r="N9" s="27">
        <v>0</v>
      </c>
      <c r="O9" s="27">
        <v>0</v>
      </c>
      <c r="P9" s="27">
        <f>M9+N9+O9</f>
        <v>5.3830999999999998</v>
      </c>
    </row>
    <row r="10" spans="1:23">
      <c r="B10" s="24" t="s">
        <v>15</v>
      </c>
      <c r="C10" s="25">
        <v>15049</v>
      </c>
      <c r="D10" s="26">
        <v>107182</v>
      </c>
      <c r="E10" s="27">
        <f>D10/C10</f>
        <v>7.1222008106850954</v>
      </c>
      <c r="F10" s="17"/>
      <c r="G10" s="25">
        <v>13430</v>
      </c>
      <c r="H10" s="28">
        <f>(C10-G10)/C10</f>
        <v>0.10758189912951027</v>
      </c>
      <c r="I10" s="26">
        <f>G10*P9</f>
        <v>72295.032999999996</v>
      </c>
      <c r="J10" s="26">
        <f>I10-D10</f>
        <v>-34886.967000000004</v>
      </c>
      <c r="L10" s="17"/>
      <c r="M10" s="27"/>
      <c r="N10" s="27"/>
      <c r="O10" s="27"/>
      <c r="P10" s="27"/>
    </row>
    <row r="11" spans="1:23">
      <c r="B11" s="24" t="s">
        <v>17</v>
      </c>
      <c r="C11" s="25">
        <f>SUM(C9:C10)</f>
        <v>50372</v>
      </c>
      <c r="D11" s="26">
        <f>SUM(D9:D10)</f>
        <v>286226</v>
      </c>
      <c r="E11" s="27">
        <f>D11/C11</f>
        <v>5.6822441038672276</v>
      </c>
      <c r="F11" s="17"/>
      <c r="G11" s="25">
        <f>SUM(G9:G10)</f>
        <v>51736</v>
      </c>
      <c r="H11" s="28">
        <f>(C11-G11)/C11</f>
        <v>-2.7078535694433414E-2</v>
      </c>
      <c r="J11" s="26">
        <f>J9+J10</f>
        <v>-7725.9384000000136</v>
      </c>
      <c r="K11" s="29">
        <f>K7+J11</f>
        <v>-622.83960000006482</v>
      </c>
      <c r="L11" s="17"/>
      <c r="M11" s="27"/>
      <c r="N11" s="27"/>
      <c r="O11" s="27"/>
      <c r="P11" s="27"/>
    </row>
    <row r="12" spans="1:23" ht="3" customHeight="1">
      <c r="A12" s="42"/>
      <c r="B12" s="43"/>
      <c r="C12" s="44"/>
      <c r="D12" s="45"/>
      <c r="E12" s="46"/>
      <c r="F12" s="17"/>
      <c r="G12" s="44"/>
      <c r="H12" s="43"/>
      <c r="I12" s="45"/>
      <c r="J12" s="45"/>
      <c r="K12" s="47"/>
      <c r="L12" s="17"/>
      <c r="M12" s="48"/>
      <c r="N12" s="46"/>
      <c r="O12" s="46"/>
      <c r="P12" s="49"/>
    </row>
    <row r="13" spans="1:23">
      <c r="A13" s="23">
        <v>43160</v>
      </c>
      <c r="B13" s="24" t="s">
        <v>13</v>
      </c>
      <c r="C13" s="25">
        <v>41090</v>
      </c>
      <c r="D13" s="26">
        <v>167635</v>
      </c>
      <c r="E13" s="27">
        <f>D13/C13</f>
        <v>4.079703090776345</v>
      </c>
      <c r="F13" s="17"/>
      <c r="G13" s="25">
        <v>35545</v>
      </c>
      <c r="H13" s="28">
        <f>(C13-G13)/C13</f>
        <v>0.13494767583353615</v>
      </c>
      <c r="I13" s="26">
        <f>G13*P9</f>
        <v>191342.28949999998</v>
      </c>
      <c r="J13" s="26">
        <f>I13-D13</f>
        <v>23707.289499999984</v>
      </c>
      <c r="L13" s="17"/>
      <c r="M13" s="27"/>
      <c r="N13" s="27"/>
      <c r="O13" s="27"/>
      <c r="P13" s="27"/>
    </row>
    <row r="14" spans="1:23">
      <c r="B14" s="24" t="s">
        <v>15</v>
      </c>
      <c r="C14" s="25">
        <v>16557</v>
      </c>
      <c r="D14" s="26">
        <v>104730</v>
      </c>
      <c r="E14" s="27">
        <f>D14/C14</f>
        <v>6.3254212719695593</v>
      </c>
      <c r="F14" s="17"/>
      <c r="G14" s="25">
        <v>15864</v>
      </c>
      <c r="H14" s="28">
        <f>(C14-G14)/C14</f>
        <v>4.1855408588512409E-2</v>
      </c>
      <c r="I14" s="26">
        <f>G14*P9</f>
        <v>85397.498399999997</v>
      </c>
      <c r="J14" s="26">
        <f>I14-D14</f>
        <v>-19332.501600000003</v>
      </c>
      <c r="L14" s="17"/>
      <c r="M14" s="27"/>
      <c r="N14" s="27"/>
      <c r="O14" s="27"/>
      <c r="P14" s="27"/>
    </row>
    <row r="15" spans="1:23">
      <c r="B15" s="24" t="s">
        <v>17</v>
      </c>
      <c r="C15" s="25">
        <f>SUM(C13:C14)</f>
        <v>57647</v>
      </c>
      <c r="D15" s="26">
        <f>SUM(D13:D14)</f>
        <v>272365</v>
      </c>
      <c r="E15" s="27">
        <f>D15/C15</f>
        <v>4.7247038007181636</v>
      </c>
      <c r="F15" s="17"/>
      <c r="G15" s="25">
        <f>SUM(G13:G14)</f>
        <v>51409</v>
      </c>
      <c r="H15" s="28">
        <f>(C15-G15)/C15</f>
        <v>0.10821031450032093</v>
      </c>
      <c r="J15" s="26">
        <f>J13+J14</f>
        <v>4374.7878999999812</v>
      </c>
      <c r="K15" s="29">
        <f>K11+J15</f>
        <v>3751.9482999999163</v>
      </c>
      <c r="L15" s="17"/>
      <c r="M15" s="27"/>
      <c r="N15" s="27"/>
      <c r="O15" s="27"/>
      <c r="P15" s="27"/>
    </row>
    <row r="16" spans="1:23" ht="3" customHeight="1">
      <c r="A16" s="42"/>
      <c r="B16" s="43"/>
      <c r="C16" s="44"/>
      <c r="D16" s="45"/>
      <c r="E16" s="46"/>
      <c r="F16" s="17"/>
      <c r="G16" s="44"/>
      <c r="H16" s="43"/>
      <c r="I16" s="45"/>
      <c r="J16" s="45"/>
      <c r="K16" s="47"/>
      <c r="L16" s="17"/>
      <c r="M16" s="48"/>
      <c r="N16" s="46"/>
      <c r="O16" s="46"/>
      <c r="P16" s="49"/>
    </row>
    <row r="17" spans="1:16">
      <c r="A17" s="23">
        <v>43191</v>
      </c>
      <c r="B17" s="24" t="s">
        <v>13</v>
      </c>
      <c r="C17" s="25">
        <v>25637</v>
      </c>
      <c r="D17" s="26">
        <v>97922</v>
      </c>
      <c r="E17" s="27">
        <f>D17/C17</f>
        <v>3.8195576705542771</v>
      </c>
      <c r="F17" s="17"/>
      <c r="G17" s="25">
        <v>20974</v>
      </c>
      <c r="H17" s="28">
        <f>(C17-G17)/C17</f>
        <v>0.18188555603229706</v>
      </c>
      <c r="I17" s="26">
        <f>G17*P9</f>
        <v>112905.1394</v>
      </c>
      <c r="J17" s="26">
        <f>I17-D17</f>
        <v>14983.1394</v>
      </c>
      <c r="L17" s="17"/>
      <c r="M17" s="27"/>
      <c r="N17" s="27"/>
      <c r="O17" s="27"/>
      <c r="P17" s="27"/>
    </row>
    <row r="18" spans="1:16">
      <c r="B18" s="24" t="s">
        <v>15</v>
      </c>
      <c r="C18" s="25">
        <v>7345</v>
      </c>
      <c r="D18" s="26">
        <v>47233</v>
      </c>
      <c r="E18" s="27">
        <f>D18/C18</f>
        <v>6.4306330837304291</v>
      </c>
      <c r="F18" s="17"/>
      <c r="G18" s="25">
        <v>2025</v>
      </c>
      <c r="H18" s="28">
        <f>(C18-G18)/C18</f>
        <v>0.72430224642614027</v>
      </c>
      <c r="I18" s="26">
        <f>G18*P9</f>
        <v>10900.7775</v>
      </c>
      <c r="J18" s="26">
        <f>I18-D18</f>
        <v>-36332.222500000003</v>
      </c>
      <c r="L18" s="17"/>
      <c r="M18" s="27"/>
      <c r="N18" s="27"/>
      <c r="O18" s="27"/>
      <c r="P18" s="27"/>
    </row>
    <row r="19" spans="1:16">
      <c r="B19" s="24" t="s">
        <v>17</v>
      </c>
      <c r="C19" s="25">
        <f>SUM(C17:C18)</f>
        <v>32982</v>
      </c>
      <c r="D19" s="26">
        <f>SUM(D17:D18)</f>
        <v>145155</v>
      </c>
      <c r="E19" s="27">
        <f>D19/C19</f>
        <v>4.4010369292341274</v>
      </c>
      <c r="F19" s="17"/>
      <c r="G19" s="25">
        <f>SUM(G17:G18)</f>
        <v>22999</v>
      </c>
      <c r="H19" s="28">
        <f>(C19-G19)/C19</f>
        <v>0.30268024983324238</v>
      </c>
      <c r="J19" s="26">
        <f>J17+J18</f>
        <v>-21349.083100000003</v>
      </c>
      <c r="K19" s="29">
        <f>K15+J19</f>
        <v>-17597.134800000087</v>
      </c>
      <c r="L19" s="17"/>
      <c r="M19" s="27"/>
      <c r="N19" s="27"/>
      <c r="O19" s="27"/>
      <c r="P19" s="27"/>
    </row>
    <row r="20" spans="1:16" s="41" customFormat="1" ht="3" customHeight="1">
      <c r="A20" s="32"/>
      <c r="B20" s="33"/>
      <c r="C20" s="34"/>
      <c r="D20" s="35"/>
      <c r="E20" s="36"/>
      <c r="F20" s="37"/>
      <c r="G20" s="34"/>
      <c r="H20" s="33"/>
      <c r="I20" s="35"/>
      <c r="J20" s="35"/>
      <c r="K20" s="38"/>
      <c r="L20" s="37"/>
      <c r="M20" s="39"/>
      <c r="N20" s="36"/>
      <c r="O20" s="36"/>
      <c r="P20" s="40"/>
    </row>
    <row r="21" spans="1:16">
      <c r="A21" s="23">
        <v>43221</v>
      </c>
      <c r="B21" s="24" t="s">
        <v>13</v>
      </c>
      <c r="C21" s="25">
        <v>10288</v>
      </c>
      <c r="D21" s="26">
        <v>41743</v>
      </c>
      <c r="E21" s="27">
        <f>D21/C21</f>
        <v>4.0574455676516328</v>
      </c>
      <c r="F21" s="17"/>
      <c r="G21" s="25">
        <v>12480</v>
      </c>
      <c r="H21" s="28">
        <f>(C21-G21)/C21</f>
        <v>-0.2130637636080871</v>
      </c>
      <c r="I21" s="26">
        <f>G21*P21</f>
        <v>67536.767999999996</v>
      </c>
      <c r="J21" s="26">
        <f>I21-D21</f>
        <v>25793.767999999996</v>
      </c>
      <c r="L21" s="17"/>
      <c r="M21" s="27">
        <v>5.3830999999999998</v>
      </c>
      <c r="N21" s="27">
        <v>0</v>
      </c>
      <c r="O21" s="27">
        <v>2.8500000000000001E-2</v>
      </c>
      <c r="P21" s="27">
        <f>M21+N21+O21</f>
        <v>5.4116</v>
      </c>
    </row>
    <row r="22" spans="1:16">
      <c r="B22" s="24" t="s">
        <v>15</v>
      </c>
      <c r="C22" s="25">
        <v>3940</v>
      </c>
      <c r="D22" s="26">
        <v>25821</v>
      </c>
      <c r="E22" s="27">
        <f>D22/C22</f>
        <v>6.5535532994923855</v>
      </c>
      <c r="F22" s="17"/>
      <c r="G22" s="25">
        <v>7620</v>
      </c>
      <c r="H22" s="28">
        <f>(C22-G22)/C22</f>
        <v>-0.93401015228426398</v>
      </c>
      <c r="I22" s="26">
        <f>G22*P22</f>
        <v>39240.714</v>
      </c>
      <c r="J22" s="26">
        <f>I22-D22</f>
        <v>13419.714</v>
      </c>
      <c r="L22" s="17"/>
      <c r="M22" s="27">
        <v>5.3830999999999998</v>
      </c>
      <c r="N22" s="27">
        <v>0</v>
      </c>
      <c r="O22" s="27">
        <v>-0.2334</v>
      </c>
      <c r="P22" s="27">
        <f>M22+N22+O22</f>
        <v>5.1497000000000002</v>
      </c>
    </row>
    <row r="23" spans="1:16">
      <c r="B23" s="24" t="s">
        <v>17</v>
      </c>
      <c r="C23" s="25">
        <f>SUM(C21:C22)</f>
        <v>14228</v>
      </c>
      <c r="D23" s="26">
        <f>SUM(D21:D22)</f>
        <v>67564</v>
      </c>
      <c r="E23" s="27">
        <f>D23/C23</f>
        <v>4.7486646050042172</v>
      </c>
      <c r="F23" s="17"/>
      <c r="G23" s="25">
        <f>SUM(G21:G22)</f>
        <v>20100</v>
      </c>
      <c r="H23" s="28">
        <f>(C23-G23)/C23</f>
        <v>-0.41270733764408207</v>
      </c>
      <c r="J23" s="26">
        <f>J21+J22</f>
        <v>39213.481999999996</v>
      </c>
      <c r="K23" s="29">
        <f>K19+J23</f>
        <v>21616.347199999909</v>
      </c>
      <c r="L23" s="17"/>
      <c r="M23" s="27"/>
      <c r="N23" s="27"/>
      <c r="O23" s="27"/>
      <c r="P23" s="27"/>
    </row>
    <row r="24" spans="1:16" ht="3" customHeight="1">
      <c r="A24" s="42"/>
      <c r="B24" s="43"/>
      <c r="C24" s="44"/>
      <c r="D24" s="45"/>
      <c r="E24" s="46"/>
      <c r="F24" s="17"/>
      <c r="G24" s="44"/>
      <c r="H24" s="43"/>
      <c r="I24" s="45"/>
      <c r="J24" s="45"/>
      <c r="K24" s="47"/>
      <c r="L24" s="17"/>
      <c r="M24" s="48"/>
      <c r="N24" s="46"/>
      <c r="O24" s="46"/>
      <c r="P24" s="49"/>
    </row>
    <row r="25" spans="1:16">
      <c r="A25" s="23">
        <v>43252</v>
      </c>
      <c r="B25" s="24" t="s">
        <v>13</v>
      </c>
      <c r="C25" s="25">
        <v>8163</v>
      </c>
      <c r="D25" s="26">
        <v>27226</v>
      </c>
      <c r="E25" s="27">
        <f>D25/C25</f>
        <v>3.3352933970354037</v>
      </c>
      <c r="F25" s="17"/>
      <c r="G25" s="25">
        <v>6373</v>
      </c>
      <c r="H25" s="28">
        <f>(C25-G25)/C25</f>
        <v>0.21928212666911676</v>
      </c>
      <c r="I25" s="26">
        <f>G25*P25</f>
        <v>34488.126799999998</v>
      </c>
      <c r="J25" s="26">
        <f>I25-D25</f>
        <v>7262.1267999999982</v>
      </c>
      <c r="L25" s="17"/>
      <c r="M25" s="27">
        <v>5.3830999999999998</v>
      </c>
      <c r="N25" s="27">
        <v>0</v>
      </c>
      <c r="O25" s="27">
        <v>2.8500000000000001E-2</v>
      </c>
      <c r="P25" s="27">
        <f>M25+N25+O25</f>
        <v>5.4116</v>
      </c>
    </row>
    <row r="26" spans="1:16">
      <c r="B26" s="24" t="s">
        <v>15</v>
      </c>
      <c r="C26" s="25">
        <v>1827</v>
      </c>
      <c r="D26" s="26">
        <v>12055</v>
      </c>
      <c r="E26" s="27">
        <f>D26/C26</f>
        <v>6.5982484948002194</v>
      </c>
      <c r="F26" s="17"/>
      <c r="G26" s="25">
        <v>1664</v>
      </c>
      <c r="H26" s="28">
        <f>(C26-G26)/C26</f>
        <v>8.9217296113847835E-2</v>
      </c>
      <c r="I26" s="26">
        <f>G26*P26</f>
        <v>8569.1008000000002</v>
      </c>
      <c r="J26" s="26">
        <f>I26-D26</f>
        <v>-3485.8991999999998</v>
      </c>
      <c r="L26" s="17"/>
      <c r="M26" s="27">
        <v>5.3830999999999998</v>
      </c>
      <c r="N26" s="27">
        <v>0</v>
      </c>
      <c r="O26" s="27">
        <v>-0.2334</v>
      </c>
      <c r="P26" s="27">
        <f>M26+N26+O26</f>
        <v>5.1497000000000002</v>
      </c>
    </row>
    <row r="27" spans="1:16">
      <c r="B27" s="24" t="s">
        <v>17</v>
      </c>
      <c r="C27" s="25">
        <f>SUM(C25:C26)</f>
        <v>9990</v>
      </c>
      <c r="D27" s="26">
        <f>SUM(D25:D26)</f>
        <v>39281</v>
      </c>
      <c r="E27" s="27">
        <f>D27/C27</f>
        <v>3.9320320320320321</v>
      </c>
      <c r="F27" s="17"/>
      <c r="G27" s="25">
        <f>SUM(G25:G26)</f>
        <v>8037</v>
      </c>
      <c r="H27" s="28">
        <f>(C27-G27)/C27</f>
        <v>0.1954954954954955</v>
      </c>
      <c r="J27" s="26">
        <f>J25+J26</f>
        <v>3776.2275999999983</v>
      </c>
      <c r="K27" s="29">
        <f>K23+J27</f>
        <v>25392.574799999908</v>
      </c>
      <c r="L27" s="17"/>
      <c r="M27" s="27"/>
      <c r="N27" s="27"/>
      <c r="O27" s="27"/>
      <c r="P27" s="27"/>
    </row>
    <row r="28" spans="1:16" ht="3" customHeight="1">
      <c r="A28" s="42"/>
      <c r="B28" s="43"/>
      <c r="C28" s="44"/>
      <c r="D28" s="45"/>
      <c r="E28" s="46"/>
      <c r="F28" s="17"/>
      <c r="G28" s="44"/>
      <c r="H28" s="43"/>
      <c r="I28" s="45"/>
      <c r="J28" s="45"/>
      <c r="K28" s="47"/>
      <c r="L28" s="17"/>
      <c r="M28" s="48"/>
      <c r="N28" s="46"/>
      <c r="O28" s="46"/>
      <c r="P28" s="49"/>
    </row>
    <row r="29" spans="1:16">
      <c r="A29" s="23">
        <v>43282</v>
      </c>
      <c r="B29" s="24" t="s">
        <v>13</v>
      </c>
      <c r="C29" s="25">
        <v>8324</v>
      </c>
      <c r="D29" s="26">
        <v>30123</v>
      </c>
      <c r="E29" s="27">
        <f>D29/C29</f>
        <v>3.6188130706391157</v>
      </c>
      <c r="F29" s="17"/>
      <c r="G29" s="25">
        <v>5553</v>
      </c>
      <c r="H29" s="28">
        <f>(C29-G29)/C29</f>
        <v>0.33289283998077845</v>
      </c>
      <c r="I29" s="26">
        <f>G29*P29</f>
        <v>30050.614799999999</v>
      </c>
      <c r="J29" s="26">
        <f>I29-D29</f>
        <v>-72.385200000000623</v>
      </c>
      <c r="L29" s="17"/>
      <c r="M29" s="27">
        <v>5.3830999999999998</v>
      </c>
      <c r="N29" s="27">
        <v>0</v>
      </c>
      <c r="O29" s="27">
        <v>2.8500000000000001E-2</v>
      </c>
      <c r="P29" s="27">
        <f>M29+N29+O29</f>
        <v>5.4116</v>
      </c>
    </row>
    <row r="30" spans="1:16">
      <c r="B30" s="24" t="s">
        <v>15</v>
      </c>
      <c r="C30" s="25">
        <v>1610</v>
      </c>
      <c r="D30" s="26">
        <v>10911</v>
      </c>
      <c r="E30" s="27">
        <f>D30/C30</f>
        <v>6.777018633540373</v>
      </c>
      <c r="F30" s="17"/>
      <c r="G30" s="25">
        <v>1481</v>
      </c>
      <c r="H30" s="28">
        <f>(C30-G30)/C30</f>
        <v>8.0124223602484473E-2</v>
      </c>
      <c r="I30" s="26">
        <f>G30*P30</f>
        <v>7626.7057000000004</v>
      </c>
      <c r="J30" s="26">
        <f>I30-D30</f>
        <v>-3284.2942999999996</v>
      </c>
      <c r="L30" s="17"/>
      <c r="M30" s="27">
        <v>5.3830999999999998</v>
      </c>
      <c r="N30" s="27">
        <v>0</v>
      </c>
      <c r="O30" s="27">
        <v>-0.2334</v>
      </c>
      <c r="P30" s="27">
        <f>M30+N30+O30</f>
        <v>5.1497000000000002</v>
      </c>
    </row>
    <row r="31" spans="1:16">
      <c r="B31" s="24" t="s">
        <v>17</v>
      </c>
      <c r="C31" s="25">
        <f>SUM(C29:C30)</f>
        <v>9934</v>
      </c>
      <c r="D31" s="26">
        <f>SUM(D29:D30)</f>
        <v>41034</v>
      </c>
      <c r="E31" s="27">
        <f>D31/C31</f>
        <v>4.1306623716529094</v>
      </c>
      <c r="F31" s="17"/>
      <c r="G31" s="25">
        <f>SUM(G29:G30)</f>
        <v>7034</v>
      </c>
      <c r="H31" s="28">
        <f>(C31-G31)/C31</f>
        <v>0.29192671632776324</v>
      </c>
      <c r="J31" s="26">
        <f>J29+J30</f>
        <v>-3356.6795000000002</v>
      </c>
      <c r="K31" s="29">
        <f>K27+J31</f>
        <v>22035.895299999909</v>
      </c>
      <c r="L31" s="17"/>
      <c r="M31" s="27"/>
      <c r="N31" s="27"/>
      <c r="O31" s="27"/>
      <c r="P31" s="27"/>
    </row>
    <row r="32" spans="1:16" s="41" customFormat="1" ht="3" customHeight="1">
      <c r="A32" s="32"/>
      <c r="B32" s="33"/>
      <c r="C32" s="34"/>
      <c r="D32" s="35"/>
      <c r="E32" s="36"/>
      <c r="F32" s="37"/>
      <c r="G32" s="34"/>
      <c r="H32" s="33"/>
      <c r="I32" s="35"/>
      <c r="J32" s="35"/>
      <c r="K32" s="38"/>
      <c r="L32" s="37"/>
      <c r="M32" s="39"/>
      <c r="N32" s="36"/>
      <c r="O32" s="36"/>
      <c r="P32" s="40"/>
    </row>
    <row r="33" spans="1:23">
      <c r="A33" s="23">
        <v>43313</v>
      </c>
      <c r="B33" s="24" t="s">
        <v>13</v>
      </c>
      <c r="C33" s="25">
        <v>9466</v>
      </c>
      <c r="D33" s="26">
        <v>29433</v>
      </c>
      <c r="E33" s="27">
        <f>D33/C33</f>
        <v>3.1093386858229453</v>
      </c>
      <c r="F33" s="17"/>
      <c r="G33" s="25">
        <v>7314</v>
      </c>
      <c r="H33" s="28">
        <f>(C33-G33)/C33</f>
        <v>0.22733995351785338</v>
      </c>
      <c r="I33" s="26">
        <f>G33*P33</f>
        <v>42160.090200000006</v>
      </c>
      <c r="J33" s="26">
        <f>I33-D33</f>
        <v>12727.090200000006</v>
      </c>
      <c r="L33" s="17"/>
      <c r="M33" s="27">
        <v>5.6550000000000002</v>
      </c>
      <c r="N33" s="27">
        <v>8.0799999999999997E-2</v>
      </c>
      <c r="O33" s="27">
        <v>2.8500000000000001E-2</v>
      </c>
      <c r="P33" s="27">
        <f>M33+N33+O33</f>
        <v>5.7643000000000004</v>
      </c>
      <c r="R33" s="31" t="s">
        <v>19</v>
      </c>
    </row>
    <row r="34" spans="1:23">
      <c r="B34" s="24" t="s">
        <v>15</v>
      </c>
      <c r="C34" s="25">
        <v>1595</v>
      </c>
      <c r="D34" s="26">
        <v>10463</v>
      </c>
      <c r="E34" s="27">
        <f>D34/C34</f>
        <v>6.5598746081504702</v>
      </c>
      <c r="F34" s="17"/>
      <c r="G34" s="25">
        <v>1404</v>
      </c>
      <c r="H34" s="28">
        <f>(C34-G34)/C34</f>
        <v>0.11974921630094044</v>
      </c>
      <c r="I34" s="26">
        <f>G34*P34</f>
        <v>7725.3696000000009</v>
      </c>
      <c r="J34" s="26">
        <f>I34-D34</f>
        <v>-2737.6303999999991</v>
      </c>
      <c r="L34" s="17"/>
      <c r="M34" s="27">
        <v>5.6550000000000002</v>
      </c>
      <c r="N34" s="27">
        <v>8.0799999999999997E-2</v>
      </c>
      <c r="O34" s="27">
        <v>-0.2334</v>
      </c>
      <c r="P34" s="27">
        <f>M34+N34+O34</f>
        <v>5.5024000000000006</v>
      </c>
      <c r="R34" s="31" t="s">
        <v>20</v>
      </c>
    </row>
    <row r="35" spans="1:23">
      <c r="B35" s="24" t="s">
        <v>17</v>
      </c>
      <c r="C35" s="25">
        <f>SUM(C33:C34)</f>
        <v>11061</v>
      </c>
      <c r="D35" s="26">
        <f>SUM(D33:D34)</f>
        <v>39896</v>
      </c>
      <c r="E35" s="27">
        <f>D35/C35</f>
        <v>3.6069071512521473</v>
      </c>
      <c r="F35" s="17"/>
      <c r="G35" s="25">
        <f>SUM(G33:G34)</f>
        <v>8718</v>
      </c>
      <c r="H35" s="28">
        <f>(C35-G35)/C35</f>
        <v>0.21182533224844047</v>
      </c>
      <c r="J35" s="26">
        <f>J33+J34</f>
        <v>9989.4598000000078</v>
      </c>
      <c r="K35" s="29">
        <f>K31+J35</f>
        <v>32025.355099999917</v>
      </c>
      <c r="L35" s="17"/>
      <c r="M35" s="27"/>
      <c r="N35" s="27"/>
      <c r="O35" s="27"/>
      <c r="P35" s="27"/>
    </row>
    <row r="36" spans="1:23" ht="3" customHeight="1">
      <c r="A36" s="42"/>
      <c r="B36" s="43"/>
      <c r="C36" s="44"/>
      <c r="D36" s="45"/>
      <c r="E36" s="46"/>
      <c r="F36" s="17"/>
      <c r="G36" s="44"/>
      <c r="H36" s="43"/>
      <c r="I36" s="45"/>
      <c r="J36" s="45"/>
      <c r="K36" s="47"/>
      <c r="L36" s="17"/>
      <c r="M36" s="48"/>
      <c r="N36" s="46"/>
      <c r="O36" s="46"/>
      <c r="P36" s="49"/>
    </row>
    <row r="37" spans="1:23">
      <c r="A37" s="23">
        <v>43344</v>
      </c>
      <c r="B37" s="24" t="s">
        <v>13</v>
      </c>
      <c r="C37" s="25">
        <v>9582</v>
      </c>
      <c r="D37" s="26">
        <v>36682</v>
      </c>
      <c r="E37" s="27">
        <f>D37/C37</f>
        <v>3.8282195783761219</v>
      </c>
      <c r="F37" s="17"/>
      <c r="G37" s="25">
        <v>7643</v>
      </c>
      <c r="H37" s="28">
        <f>(C37-G37)/C37</f>
        <v>0.2023585890210812</v>
      </c>
      <c r="I37" s="26">
        <f>G37*P37</f>
        <v>43049.197500000002</v>
      </c>
      <c r="J37" s="26">
        <f>I37-D37</f>
        <v>6367.197500000002</v>
      </c>
      <c r="L37" s="17"/>
      <c r="M37" s="27">
        <v>5.5232000000000001</v>
      </c>
      <c r="N37" s="27">
        <v>8.0799999999999997E-2</v>
      </c>
      <c r="O37" s="27">
        <v>2.8500000000000001E-2</v>
      </c>
      <c r="P37" s="27">
        <f>M37+N37+O37</f>
        <v>5.6325000000000003</v>
      </c>
    </row>
    <row r="38" spans="1:23">
      <c r="B38" s="24" t="s">
        <v>15</v>
      </c>
      <c r="C38" s="25">
        <v>1545</v>
      </c>
      <c r="D38" s="26">
        <v>10228</v>
      </c>
      <c r="E38" s="27">
        <f>D38/C38</f>
        <v>6.6200647249190938</v>
      </c>
      <c r="F38" s="17"/>
      <c r="G38" s="25">
        <v>1541</v>
      </c>
      <c r="H38" s="28">
        <f>(C38-G38)/C38</f>
        <v>2.5889967637540453E-3</v>
      </c>
      <c r="I38" s="26">
        <f>G38*P38</f>
        <v>8276.0946000000004</v>
      </c>
      <c r="J38" s="26">
        <f>I38-D38</f>
        <v>-1951.9053999999996</v>
      </c>
      <c r="L38" s="17"/>
      <c r="M38" s="27">
        <v>5.5232000000000001</v>
      </c>
      <c r="N38" s="27">
        <v>8.0799999999999997E-2</v>
      </c>
      <c r="O38" s="27">
        <v>-0.2334</v>
      </c>
      <c r="P38" s="27">
        <f>M38+N38+O38</f>
        <v>5.3706000000000005</v>
      </c>
    </row>
    <row r="39" spans="1:23">
      <c r="B39" s="24" t="s">
        <v>17</v>
      </c>
      <c r="C39" s="25">
        <f>SUM(C37:C38)</f>
        <v>11127</v>
      </c>
      <c r="D39" s="26">
        <f>SUM(D37:D38)</f>
        <v>46910</v>
      </c>
      <c r="E39" s="27">
        <f>D39/C39</f>
        <v>4.2158713040352298</v>
      </c>
      <c r="F39" s="17"/>
      <c r="G39" s="25">
        <f>SUM(G37:G38)</f>
        <v>9184</v>
      </c>
      <c r="H39" s="28">
        <f>(C39-G39)/C39</f>
        <v>0.17462029298103712</v>
      </c>
      <c r="J39" s="26">
        <f>J37+J38</f>
        <v>4415.2921000000024</v>
      </c>
      <c r="K39" s="29">
        <f>K35+J39</f>
        <v>36440.647199999919</v>
      </c>
      <c r="L39" s="17"/>
      <c r="M39" s="27"/>
      <c r="N39" s="27"/>
      <c r="O39" s="27"/>
      <c r="P39" s="27"/>
    </row>
    <row r="40" spans="1:23" ht="3" customHeight="1">
      <c r="A40" s="42"/>
      <c r="B40" s="43"/>
      <c r="C40" s="44"/>
      <c r="D40" s="45"/>
      <c r="E40" s="46"/>
      <c r="F40" s="17"/>
      <c r="G40" s="44"/>
      <c r="H40" s="43"/>
      <c r="I40" s="45"/>
      <c r="J40" s="45"/>
      <c r="K40" s="47"/>
      <c r="L40" s="17"/>
      <c r="M40" s="48"/>
      <c r="N40" s="46"/>
      <c r="O40" s="46"/>
      <c r="P40" s="49"/>
    </row>
    <row r="41" spans="1:23">
      <c r="A41" s="23">
        <v>43374</v>
      </c>
      <c r="B41" s="24" t="s">
        <v>13</v>
      </c>
      <c r="C41" s="25">
        <v>18112</v>
      </c>
      <c r="D41" s="251">
        <f>81714+10491</f>
        <v>92205</v>
      </c>
      <c r="E41" s="27">
        <f>D41/C41</f>
        <v>5.0908237632508833</v>
      </c>
      <c r="F41" s="17"/>
      <c r="G41" s="25">
        <v>14016</v>
      </c>
      <c r="H41" s="28">
        <f>(C41-G41)/C41</f>
        <v>0.22614840989399293</v>
      </c>
      <c r="I41" s="26">
        <f>G41*P41</f>
        <v>78945.12000000001</v>
      </c>
      <c r="J41" s="26">
        <f>I41-D41</f>
        <v>-13259.87999999999</v>
      </c>
      <c r="L41" s="17"/>
      <c r="M41" s="27">
        <v>5.5232000000000001</v>
      </c>
      <c r="N41" s="27">
        <v>8.0799999999999997E-2</v>
      </c>
      <c r="O41" s="27">
        <v>2.8500000000000001E-2</v>
      </c>
      <c r="P41" s="27">
        <f>M41+N41+O41</f>
        <v>5.6325000000000003</v>
      </c>
      <c r="R41" s="31" t="s">
        <v>218</v>
      </c>
      <c r="S41" s="50"/>
    </row>
    <row r="42" spans="1:23">
      <c r="B42" s="24" t="s">
        <v>15</v>
      </c>
      <c r="C42" s="25">
        <v>4976</v>
      </c>
      <c r="D42" s="26">
        <v>33269</v>
      </c>
      <c r="E42" s="27">
        <f>D42/C42</f>
        <v>6.685892282958199</v>
      </c>
      <c r="F42" s="17"/>
      <c r="G42" s="25">
        <v>4429</v>
      </c>
      <c r="H42" s="28">
        <f>(C42-G42)/C42</f>
        <v>0.10992765273311897</v>
      </c>
      <c r="I42" s="26">
        <f>G42*P42</f>
        <v>23786.387400000003</v>
      </c>
      <c r="J42" s="26">
        <f>I42-D42</f>
        <v>-9482.6125999999967</v>
      </c>
      <c r="L42" s="17"/>
      <c r="M42" s="27">
        <v>5.5232000000000001</v>
      </c>
      <c r="N42" s="27">
        <v>8.0799999999999997E-2</v>
      </c>
      <c r="O42" s="27">
        <v>-0.2334</v>
      </c>
      <c r="P42" s="27">
        <f>M42+N42+O42</f>
        <v>5.3706000000000005</v>
      </c>
      <c r="S42" s="50"/>
    </row>
    <row r="43" spans="1:23">
      <c r="B43" s="24" t="s">
        <v>17</v>
      </c>
      <c r="C43" s="25">
        <f>SUM(C41:C42)</f>
        <v>23088</v>
      </c>
      <c r="D43" s="26">
        <f>SUM(D41:D42)</f>
        <v>125474</v>
      </c>
      <c r="E43" s="27">
        <f>D43/C43</f>
        <v>5.4345980595980592</v>
      </c>
      <c r="F43" s="17"/>
      <c r="G43" s="25">
        <f>SUM(G41:G42)</f>
        <v>18445</v>
      </c>
      <c r="H43" s="28">
        <f>(C43-G43)/C43</f>
        <v>0.20110013860013859</v>
      </c>
      <c r="J43" s="26">
        <f>J41+J42</f>
        <v>-22742.492599999987</v>
      </c>
      <c r="K43" s="29">
        <f>K39+J43</f>
        <v>13698.154599999933</v>
      </c>
      <c r="L43" s="17"/>
      <c r="M43" s="27"/>
      <c r="N43" s="27"/>
      <c r="O43" s="27"/>
      <c r="P43" s="27"/>
      <c r="S43" s="50"/>
    </row>
    <row r="44" spans="1:23" s="52" customFormat="1">
      <c r="A44" s="23"/>
      <c r="B44" s="24"/>
      <c r="C44" s="25"/>
      <c r="D44" s="26"/>
      <c r="E44" s="27"/>
      <c r="F44" s="17"/>
      <c r="G44" s="25"/>
      <c r="H44" s="28"/>
      <c r="I44" s="26"/>
      <c r="J44" s="26"/>
      <c r="K44" s="29"/>
      <c r="L44" s="17"/>
      <c r="M44" s="24"/>
      <c r="N44" s="24"/>
      <c r="O44" s="51"/>
      <c r="P44" s="51"/>
      <c r="Q44" s="24"/>
      <c r="R44" s="24"/>
      <c r="S44" s="25"/>
    </row>
    <row r="45" spans="1:23" s="52" customFormat="1">
      <c r="A45" s="23"/>
      <c r="B45" s="24"/>
      <c r="C45" s="25"/>
      <c r="D45" s="26"/>
      <c r="E45" s="27"/>
      <c r="F45" s="17"/>
      <c r="G45" s="25"/>
      <c r="H45" s="28"/>
      <c r="I45" s="26"/>
      <c r="K45" s="29"/>
      <c r="L45" s="17"/>
      <c r="O45" s="51"/>
      <c r="P45" s="51"/>
      <c r="Q45" s="24"/>
      <c r="R45" s="31" t="s">
        <v>21</v>
      </c>
      <c r="S45" s="25"/>
      <c r="U45" s="53" t="s">
        <v>107</v>
      </c>
      <c r="V45" s="53" t="s">
        <v>22</v>
      </c>
      <c r="W45" s="54" t="s">
        <v>22</v>
      </c>
    </row>
    <row r="46" spans="1:23" s="52" customFormat="1">
      <c r="A46" s="55" t="s">
        <v>23</v>
      </c>
      <c r="B46" s="56"/>
      <c r="C46" s="56">
        <f t="shared" ref="C46:D48" si="0">SUM(C5,C9,C13,C17,C21,C25,C29,C33,C37,C41)</f>
        <v>231391</v>
      </c>
      <c r="D46" s="57">
        <f t="shared" si="0"/>
        <v>993144</v>
      </c>
      <c r="E46" s="58">
        <f>D46/C46</f>
        <v>4.2920597603191135</v>
      </c>
      <c r="F46" s="17"/>
      <c r="G46" s="56">
        <f>SUM(G5,G9,G13,G17,G21,G25,G29,G33,G37,G41)</f>
        <v>210923</v>
      </c>
      <c r="H46" s="59">
        <f>(C46-G46)/C46</f>
        <v>8.8456335812542405E-2</v>
      </c>
      <c r="I46" s="57">
        <f>SUM(I5,I9,I13,I17,I21,I25,I29,I33,I37,I41)</f>
        <v>1149353.9031999998</v>
      </c>
      <c r="K46" s="29"/>
      <c r="L46" s="17"/>
      <c r="O46" s="51"/>
      <c r="P46" s="51"/>
      <c r="Q46" s="24"/>
      <c r="R46" s="31" t="s">
        <v>24</v>
      </c>
      <c r="S46" s="25"/>
      <c r="U46" s="60">
        <f>G46/(1-$R$326)</f>
        <v>228024.86486486485</v>
      </c>
      <c r="V46" s="60">
        <f>C46-U46</f>
        <v>3366.1351351351477</v>
      </c>
      <c r="W46" s="57">
        <f>(V46+V47)*E46</f>
        <v>15781.20772900259</v>
      </c>
    </row>
    <row r="47" spans="1:23" s="52" customFormat="1">
      <c r="A47" s="61"/>
      <c r="B47" s="62" t="s">
        <v>15</v>
      </c>
      <c r="C47" s="56">
        <f t="shared" si="0"/>
        <v>83848</v>
      </c>
      <c r="D47" s="57">
        <f t="shared" si="0"/>
        <v>558294</v>
      </c>
      <c r="E47" s="58">
        <f>D47/C47</f>
        <v>6.6584056864802976</v>
      </c>
      <c r="F47" s="17"/>
      <c r="G47" s="56">
        <f>SUM(G6,G10,G14,G18,G22,G26,G30,G34,G38,G42)</f>
        <v>77272</v>
      </c>
      <c r="H47" s="59">
        <f t="shared" ref="H47:H48" si="1">(C47-G47)/C47</f>
        <v>7.8427630951245109E-2</v>
      </c>
      <c r="I47" s="57">
        <f>SUM(I6,I10,I14,I18,I22,I26,I30,I34,I38,I42)</f>
        <v>415782.25140000001</v>
      </c>
      <c r="K47" s="29"/>
      <c r="L47" s="17"/>
      <c r="O47" s="51"/>
      <c r="P47" s="51"/>
      <c r="Q47" s="24"/>
      <c r="R47" s="63" t="s">
        <v>230</v>
      </c>
      <c r="S47" s="25"/>
      <c r="U47" s="60">
        <f>G47/(1-$R$326)</f>
        <v>83537.297297297293</v>
      </c>
      <c r="V47" s="60">
        <f>C47-U47</f>
        <v>310.70270270270703</v>
      </c>
      <c r="W47" s="57"/>
    </row>
    <row r="48" spans="1:23" s="52" customFormat="1">
      <c r="A48" s="61"/>
      <c r="B48" s="62" t="s">
        <v>17</v>
      </c>
      <c r="C48" s="56">
        <f t="shared" si="0"/>
        <v>315239</v>
      </c>
      <c r="D48" s="57">
        <f t="shared" si="0"/>
        <v>1551438</v>
      </c>
      <c r="E48" s="58">
        <f>D48/C48</f>
        <v>4.9214659353696719</v>
      </c>
      <c r="F48" s="17"/>
      <c r="G48" s="56">
        <f>SUM(G7,G11,G15,G19,G23,G27,G31,G35,G39,G43)</f>
        <v>288195</v>
      </c>
      <c r="H48" s="59">
        <f t="shared" si="1"/>
        <v>8.5788877645215214E-2</v>
      </c>
      <c r="I48" s="57"/>
      <c r="K48" s="29"/>
      <c r="L48" s="17"/>
      <c r="O48" s="51"/>
      <c r="P48" s="51"/>
      <c r="Q48" s="24"/>
      <c r="R48" s="64">
        <f>V48*E48</f>
        <v>18095.43216879735</v>
      </c>
      <c r="S48" s="65" t="s">
        <v>25</v>
      </c>
      <c r="U48" s="60">
        <f>G48/(1-$R$326)</f>
        <v>311562.16216216213</v>
      </c>
      <c r="V48" s="60">
        <f>C48-U48</f>
        <v>3676.8378378378693</v>
      </c>
      <c r="W48" s="57">
        <f>-SUM(W46:W47)</f>
        <v>-15781.20772900259</v>
      </c>
    </row>
    <row r="49" spans="1:19" s="41" customFormat="1" ht="5.4" customHeight="1">
      <c r="A49" s="32"/>
      <c r="B49" s="33"/>
      <c r="C49" s="34"/>
      <c r="D49" s="35"/>
      <c r="E49" s="36"/>
      <c r="F49" s="37"/>
      <c r="G49" s="34"/>
      <c r="H49" s="33"/>
      <c r="I49" s="35"/>
      <c r="J49" s="35"/>
      <c r="K49" s="38"/>
      <c r="L49" s="37"/>
      <c r="M49" s="66"/>
      <c r="N49" s="67"/>
      <c r="O49" s="67"/>
      <c r="P49" s="68"/>
    </row>
    <row r="50" spans="1:19">
      <c r="A50" s="23">
        <v>43405</v>
      </c>
      <c r="B50" s="24" t="s">
        <v>13</v>
      </c>
      <c r="C50" s="25">
        <v>39068</v>
      </c>
      <c r="D50" s="26">
        <v>169340</v>
      </c>
      <c r="E50" s="27">
        <f>D50/C50</f>
        <v>4.3344937032865776</v>
      </c>
      <c r="F50" s="17"/>
      <c r="G50" s="25">
        <v>34861</v>
      </c>
      <c r="H50" s="28">
        <f>(C50-G50)/C50</f>
        <v>0.10768403808743729</v>
      </c>
      <c r="I50" s="26">
        <f>G50*P50</f>
        <v>193537.8137</v>
      </c>
      <c r="J50" s="26">
        <f>I50-D50</f>
        <v>24197.813699999999</v>
      </c>
      <c r="L50" s="17"/>
      <c r="M50" s="27">
        <v>5.6338999999999997</v>
      </c>
      <c r="N50" s="27">
        <v>-0.11070000000000001</v>
      </c>
      <c r="O50" s="27">
        <v>2.8500000000000001E-2</v>
      </c>
      <c r="P50" s="27">
        <f>M50+N50+O50</f>
        <v>5.5517000000000003</v>
      </c>
    </row>
    <row r="51" spans="1:19">
      <c r="B51" s="24" t="s">
        <v>15</v>
      </c>
      <c r="C51" s="25">
        <v>13908</v>
      </c>
      <c r="D51" s="26">
        <v>96435</v>
      </c>
      <c r="E51" s="27">
        <f>D51/C51</f>
        <v>6.9337791199309748</v>
      </c>
      <c r="F51" s="17"/>
      <c r="G51" s="25">
        <v>14377</v>
      </c>
      <c r="H51" s="28">
        <f>(C51-G51)/C51</f>
        <v>-3.3721599079666376E-2</v>
      </c>
      <c r="I51" s="26">
        <f>G51*P51</f>
        <v>76051.454600000012</v>
      </c>
      <c r="J51" s="26">
        <f>I51-D51</f>
        <v>-20383.545399999988</v>
      </c>
      <c r="L51" s="17"/>
      <c r="M51" s="27">
        <v>5.6338999999999997</v>
      </c>
      <c r="N51" s="27">
        <v>-0.11070000000000001</v>
      </c>
      <c r="O51" s="27">
        <v>-0.2334</v>
      </c>
      <c r="P51" s="27">
        <f>M51+N51+O51</f>
        <v>5.2898000000000005</v>
      </c>
    </row>
    <row r="52" spans="1:19">
      <c r="B52" s="24" t="s">
        <v>17</v>
      </c>
      <c r="C52" s="25">
        <f>SUM(C50:C51)</f>
        <v>52976</v>
      </c>
      <c r="D52" s="26">
        <f>SUM(D50:D51)</f>
        <v>265775</v>
      </c>
      <c r="E52" s="27">
        <f>D52/C52</f>
        <v>5.0168944427665361</v>
      </c>
      <c r="F52" s="17"/>
      <c r="G52" s="25">
        <f>SUM(G50:G51)</f>
        <v>49238</v>
      </c>
      <c r="H52" s="28">
        <f>(C52-G52)/C52</f>
        <v>7.0560253699788578E-2</v>
      </c>
      <c r="J52" s="26">
        <f>J50+J51</f>
        <v>3814.2683000000106</v>
      </c>
      <c r="K52" s="29">
        <f>K43+J52</f>
        <v>17512.422899999943</v>
      </c>
      <c r="L52" s="17"/>
      <c r="M52" s="27"/>
      <c r="N52" s="27"/>
      <c r="O52" s="27"/>
      <c r="P52" s="27"/>
    </row>
    <row r="53" spans="1:19" ht="3" customHeight="1">
      <c r="A53" s="42"/>
      <c r="B53" s="43"/>
      <c r="C53" s="44"/>
      <c r="D53" s="45"/>
      <c r="E53" s="46"/>
      <c r="F53" s="17"/>
      <c r="G53" s="44"/>
      <c r="H53" s="43"/>
      <c r="I53" s="45"/>
      <c r="J53" s="45"/>
      <c r="K53" s="47"/>
      <c r="L53" s="17"/>
      <c r="M53" s="48"/>
      <c r="N53" s="46"/>
      <c r="O53" s="46"/>
      <c r="P53" s="49"/>
    </row>
    <row r="54" spans="1:19">
      <c r="A54" s="23">
        <v>43435</v>
      </c>
      <c r="B54" s="24" t="s">
        <v>13</v>
      </c>
      <c r="C54" s="25">
        <v>44532</v>
      </c>
      <c r="D54" s="26">
        <v>286615</v>
      </c>
      <c r="E54" s="27">
        <f>D54/C54</f>
        <v>6.4361582682116234</v>
      </c>
      <c r="F54" s="17"/>
      <c r="G54" s="25">
        <v>46176</v>
      </c>
      <c r="H54" s="28">
        <f>(C54-G54)/C54</f>
        <v>-3.6917272972244675E-2</v>
      </c>
      <c r="I54" s="26">
        <f>G54*P54</f>
        <v>257329.61280000003</v>
      </c>
      <c r="J54" s="26">
        <f>I54-D54</f>
        <v>-29285.387199999968</v>
      </c>
      <c r="L54" s="17"/>
      <c r="M54" s="27">
        <v>5.6550000000000002</v>
      </c>
      <c r="N54" s="27">
        <v>-0.11070000000000001</v>
      </c>
      <c r="O54" s="27">
        <v>2.8500000000000001E-2</v>
      </c>
      <c r="P54" s="27">
        <f>M54+N54+O54</f>
        <v>5.5728000000000009</v>
      </c>
      <c r="R54" s="69"/>
    </row>
    <row r="55" spans="1:19">
      <c r="B55" s="24" t="s">
        <v>15</v>
      </c>
      <c r="C55" s="25">
        <v>18479</v>
      </c>
      <c r="D55" s="26">
        <v>160784</v>
      </c>
      <c r="E55" s="27">
        <f>D55/C55</f>
        <v>8.7009037285567405</v>
      </c>
      <c r="F55" s="17"/>
      <c r="G55" s="25">
        <v>18390</v>
      </c>
      <c r="H55" s="28">
        <f>(C55-G55)/C55</f>
        <v>4.8162779371178095E-3</v>
      </c>
      <c r="I55" s="26">
        <f>G55*P55</f>
        <v>97667.451000000015</v>
      </c>
      <c r="J55" s="26">
        <f>I55-D55</f>
        <v>-63116.548999999985</v>
      </c>
      <c r="L55" s="17"/>
      <c r="M55" s="27">
        <v>5.6550000000000002</v>
      </c>
      <c r="N55" s="27">
        <v>-0.11070000000000001</v>
      </c>
      <c r="O55" s="27">
        <v>-0.2334</v>
      </c>
      <c r="P55" s="27">
        <f>M55+N55+O55</f>
        <v>5.3109000000000011</v>
      </c>
      <c r="R55" s="69"/>
    </row>
    <row r="56" spans="1:19">
      <c r="B56" s="24" t="s">
        <v>17</v>
      </c>
      <c r="C56" s="25">
        <f>SUM(C54:C55)</f>
        <v>63011</v>
      </c>
      <c r="D56" s="26">
        <f>SUM(D54:D55)</f>
        <v>447399</v>
      </c>
      <c r="E56" s="27">
        <f>D56/C56</f>
        <v>7.1003316881179472</v>
      </c>
      <c r="F56" s="17"/>
      <c r="G56" s="25">
        <f>SUM(G54:G55)</f>
        <v>64566</v>
      </c>
      <c r="H56" s="28">
        <f>(C56-G56)/C56</f>
        <v>-2.4678230785101014E-2</v>
      </c>
      <c r="J56" s="26">
        <f>J54+J55</f>
        <v>-92401.936199999953</v>
      </c>
      <c r="K56" s="29">
        <f>K52+J56</f>
        <v>-74889.513300000006</v>
      </c>
      <c r="L56" s="17"/>
      <c r="M56" s="27"/>
      <c r="N56" s="27"/>
      <c r="O56" s="27"/>
      <c r="P56" s="27"/>
      <c r="R56" s="69"/>
      <c r="S56" s="25"/>
    </row>
    <row r="57" spans="1:19" ht="3" customHeight="1">
      <c r="A57" s="42"/>
      <c r="B57" s="43"/>
      <c r="C57" s="44"/>
      <c r="D57" s="45"/>
      <c r="E57" s="46"/>
      <c r="F57" s="17"/>
      <c r="G57" s="44"/>
      <c r="H57" s="43"/>
      <c r="I57" s="45"/>
      <c r="J57" s="45"/>
      <c r="K57" s="47"/>
      <c r="L57" s="17"/>
      <c r="M57" s="48"/>
      <c r="N57" s="46"/>
      <c r="O57" s="46"/>
      <c r="P57" s="49"/>
    </row>
    <row r="58" spans="1:19">
      <c r="A58" s="12">
        <v>43466</v>
      </c>
      <c r="B58" s="13" t="s">
        <v>13</v>
      </c>
      <c r="C58" s="14">
        <v>47794</v>
      </c>
      <c r="D58" s="15">
        <v>288627</v>
      </c>
      <c r="E58" s="16">
        <f>D58/C58</f>
        <v>6.0389797882579401</v>
      </c>
      <c r="F58" s="17"/>
      <c r="G58" s="14">
        <v>45251</v>
      </c>
      <c r="H58" s="18">
        <f>(C58-G58)/C58</f>
        <v>5.320751558773068E-2</v>
      </c>
      <c r="I58" s="15">
        <f>G58*P58</f>
        <v>252174.77280000004</v>
      </c>
      <c r="J58" s="15">
        <f>I58-D58</f>
        <v>-36452.227199999965</v>
      </c>
      <c r="K58" s="19"/>
      <c r="L58" s="17"/>
      <c r="M58" s="16">
        <v>5.6550000000000002</v>
      </c>
      <c r="N58" s="16">
        <v>-0.11070000000000001</v>
      </c>
      <c r="O58" s="16">
        <v>2.8500000000000001E-2</v>
      </c>
      <c r="P58" s="16">
        <f>M58+N58+O58</f>
        <v>5.5728000000000009</v>
      </c>
    </row>
    <row r="59" spans="1:19" ht="13.95" customHeight="1">
      <c r="B59" s="24" t="s">
        <v>15</v>
      </c>
      <c r="C59" s="25">
        <v>23558</v>
      </c>
      <c r="D59" s="26">
        <v>175203</v>
      </c>
      <c r="E59" s="27">
        <f>D59/C59</f>
        <v>7.4370914339078018</v>
      </c>
      <c r="F59" s="17"/>
      <c r="G59" s="25">
        <v>21066</v>
      </c>
      <c r="H59" s="28">
        <f>(C59-G59)/C59</f>
        <v>0.10578147550725868</v>
      </c>
      <c r="I59" s="26">
        <f>G59*P59</f>
        <v>111879.41940000003</v>
      </c>
      <c r="J59" s="26">
        <f>I59-D59</f>
        <v>-63323.580599999972</v>
      </c>
      <c r="L59" s="17"/>
      <c r="M59" s="27">
        <v>5.6550000000000002</v>
      </c>
      <c r="N59" s="27">
        <v>-0.11070000000000001</v>
      </c>
      <c r="O59" s="27">
        <v>-0.2334</v>
      </c>
      <c r="P59" s="27">
        <f>M59+N59+O59</f>
        <v>5.3109000000000011</v>
      </c>
    </row>
    <row r="60" spans="1:19">
      <c r="B60" s="24" t="s">
        <v>17</v>
      </c>
      <c r="C60" s="25">
        <f>SUM(C58:C59)</f>
        <v>71352</v>
      </c>
      <c r="D60" s="26">
        <f>SUM(D58:D59)</f>
        <v>463830</v>
      </c>
      <c r="E60" s="27">
        <f>D60/C60</f>
        <v>6.5005886310124454</v>
      </c>
      <c r="F60" s="17"/>
      <c r="G60" s="25">
        <f>SUM(G58:G59)</f>
        <v>66317</v>
      </c>
      <c r="H60" s="28">
        <f>(C60-G60)/C60</f>
        <v>7.0565646372911767E-2</v>
      </c>
      <c r="J60" s="26">
        <f>J58+J59</f>
        <v>-99775.807799999937</v>
      </c>
      <c r="K60" s="29">
        <f>K56+J60</f>
        <v>-174665.32109999994</v>
      </c>
      <c r="L60" s="17"/>
      <c r="M60" s="27"/>
      <c r="N60" s="27"/>
      <c r="O60" s="27"/>
      <c r="P60" s="27"/>
    </row>
    <row r="61" spans="1:19" s="41" customFormat="1" ht="3" customHeight="1">
      <c r="A61" s="32"/>
      <c r="B61" s="33"/>
      <c r="C61" s="34"/>
      <c r="D61" s="35"/>
      <c r="E61" s="36"/>
      <c r="F61" s="37"/>
      <c r="G61" s="34"/>
      <c r="H61" s="33"/>
      <c r="I61" s="35"/>
      <c r="J61" s="35"/>
      <c r="K61" s="38"/>
      <c r="L61" s="37"/>
      <c r="M61" s="39"/>
      <c r="N61" s="36"/>
      <c r="O61" s="36"/>
      <c r="P61" s="40"/>
    </row>
    <row r="62" spans="1:19" ht="13.95" customHeight="1">
      <c r="A62" s="23">
        <v>43497</v>
      </c>
      <c r="B62" s="24" t="s">
        <v>13</v>
      </c>
      <c r="C62" s="25">
        <v>39964</v>
      </c>
      <c r="D62" s="26">
        <v>173388</v>
      </c>
      <c r="E62" s="27">
        <f>D62/C62</f>
        <v>4.3386047442698432</v>
      </c>
      <c r="F62" s="17"/>
      <c r="G62" s="25">
        <v>39075</v>
      </c>
      <c r="H62" s="28">
        <f>(C62-G62)/C62</f>
        <v>2.2245020518466621E-2</v>
      </c>
      <c r="I62" s="26">
        <f>G62*P62</f>
        <v>220906.60499999998</v>
      </c>
      <c r="J62" s="26">
        <f>I62-D62</f>
        <v>47518.604999999981</v>
      </c>
      <c r="L62" s="17"/>
      <c r="M62" s="27">
        <v>5.8244999999999996</v>
      </c>
      <c r="N62" s="27">
        <v>-0.1996</v>
      </c>
      <c r="O62" s="27">
        <v>2.8500000000000001E-2</v>
      </c>
      <c r="P62" s="27">
        <f>M62+N62+O62</f>
        <v>5.6533999999999995</v>
      </c>
    </row>
    <row r="63" spans="1:19" ht="13.95" customHeight="1">
      <c r="B63" s="24" t="s">
        <v>15</v>
      </c>
      <c r="C63" s="25">
        <v>17208</v>
      </c>
      <c r="D63" s="26">
        <v>115276</v>
      </c>
      <c r="E63" s="27">
        <f>D63/C63</f>
        <v>6.6989772198977215</v>
      </c>
      <c r="F63" s="17"/>
      <c r="G63" s="25">
        <v>17934</v>
      </c>
      <c r="H63" s="28">
        <f>(C63-G63)/C63</f>
        <v>-4.2189679218967921E-2</v>
      </c>
      <c r="I63" s="26">
        <f>G63*P63</f>
        <v>96691.160999999993</v>
      </c>
      <c r="J63" s="26">
        <f>I63-D63</f>
        <v>-18584.839000000007</v>
      </c>
      <c r="L63" s="17"/>
      <c r="M63" s="27">
        <v>5.8244999999999996</v>
      </c>
      <c r="N63" s="27">
        <v>-0.1996</v>
      </c>
      <c r="O63" s="27">
        <v>-0.2334</v>
      </c>
      <c r="P63" s="27">
        <f>M63+N63+O63</f>
        <v>5.3914999999999997</v>
      </c>
    </row>
    <row r="64" spans="1:19">
      <c r="B64" s="24" t="s">
        <v>17</v>
      </c>
      <c r="C64" s="25">
        <f>SUM(C62:C63)</f>
        <v>57172</v>
      </c>
      <c r="D64" s="26">
        <f>SUM(D62:D63)</f>
        <v>288664</v>
      </c>
      <c r="E64" s="27">
        <f>D64/C64</f>
        <v>5.0490449870566012</v>
      </c>
      <c r="F64" s="17"/>
      <c r="G64" s="25">
        <f>SUM(G62:G63)</f>
        <v>57009</v>
      </c>
      <c r="H64" s="28">
        <f>(C64-G64)/C64</f>
        <v>2.8510459665570557E-3</v>
      </c>
      <c r="J64" s="26">
        <f>J62+J63</f>
        <v>28933.765999999974</v>
      </c>
      <c r="K64" s="29">
        <f>K60+J64</f>
        <v>-145731.55509999997</v>
      </c>
      <c r="L64" s="17"/>
      <c r="M64" s="27"/>
      <c r="N64" s="27"/>
      <c r="O64" s="27"/>
      <c r="P64" s="27"/>
    </row>
    <row r="65" spans="1:16" ht="3" customHeight="1">
      <c r="A65" s="42"/>
      <c r="B65" s="43"/>
      <c r="C65" s="44"/>
      <c r="D65" s="45"/>
      <c r="E65" s="46"/>
      <c r="F65" s="17"/>
      <c r="G65" s="44"/>
      <c r="H65" s="43"/>
      <c r="I65" s="45"/>
      <c r="J65" s="45"/>
      <c r="K65" s="47"/>
      <c r="L65" s="17"/>
      <c r="M65" s="48"/>
      <c r="N65" s="46"/>
      <c r="O65" s="46"/>
      <c r="P65" s="49"/>
    </row>
    <row r="66" spans="1:16">
      <c r="A66" s="23">
        <v>43525</v>
      </c>
      <c r="B66" s="24" t="s">
        <v>13</v>
      </c>
      <c r="C66" s="25">
        <v>40449</v>
      </c>
      <c r="D66" s="26">
        <v>178913</v>
      </c>
      <c r="E66" s="27">
        <f>D66/C66</f>
        <v>4.4231748621721181</v>
      </c>
      <c r="F66" s="17"/>
      <c r="G66" s="25">
        <v>38116</v>
      </c>
      <c r="H66" s="28">
        <f>(C66-G66)/C66</f>
        <v>5.7677569284778366E-2</v>
      </c>
      <c r="I66" s="26">
        <f>G66*P66</f>
        <v>215484.9944</v>
      </c>
      <c r="J66" s="26">
        <f>I66-D66</f>
        <v>36571.994399999996</v>
      </c>
      <c r="L66" s="17"/>
      <c r="M66" s="27">
        <v>5.8244999999999996</v>
      </c>
      <c r="N66" s="27">
        <v>-0.1996</v>
      </c>
      <c r="O66" s="27">
        <v>2.8500000000000001E-2</v>
      </c>
      <c r="P66" s="27">
        <f>M66+N66+O66</f>
        <v>5.6533999999999995</v>
      </c>
    </row>
    <row r="67" spans="1:16" ht="13.95" customHeight="1">
      <c r="B67" s="24" t="s">
        <v>15</v>
      </c>
      <c r="C67" s="25">
        <v>16307</v>
      </c>
      <c r="D67" s="26">
        <v>107600</v>
      </c>
      <c r="E67" s="27">
        <f>D67/C67</f>
        <v>6.5983933280186422</v>
      </c>
      <c r="F67" s="17"/>
      <c r="G67" s="25">
        <v>16181</v>
      </c>
      <c r="H67" s="28">
        <f>(C67-G67)/C67</f>
        <v>7.7267431164530567E-3</v>
      </c>
      <c r="I67" s="26">
        <f>G67*P67</f>
        <v>87239.861499999999</v>
      </c>
      <c r="J67" s="26">
        <f>I67-D67</f>
        <v>-20360.138500000001</v>
      </c>
      <c r="L67" s="17"/>
      <c r="M67" s="27">
        <v>5.8244999999999996</v>
      </c>
      <c r="N67" s="27">
        <v>-0.1996</v>
      </c>
      <c r="O67" s="27">
        <v>-0.2334</v>
      </c>
      <c r="P67" s="27">
        <f>M67+N67+O67</f>
        <v>5.3914999999999997</v>
      </c>
    </row>
    <row r="68" spans="1:16">
      <c r="B68" s="24" t="s">
        <v>17</v>
      </c>
      <c r="C68" s="25">
        <f>SUM(C66:C67)</f>
        <v>56756</v>
      </c>
      <c r="D68" s="26">
        <f>SUM(D66:D67)</f>
        <v>286513</v>
      </c>
      <c r="E68" s="27">
        <f>D68/C68</f>
        <v>5.0481534991895129</v>
      </c>
      <c r="F68" s="17"/>
      <c r="G68" s="25">
        <f>SUM(G66:G67)</f>
        <v>54297</v>
      </c>
      <c r="H68" s="28">
        <f>(C68-G68)/C68</f>
        <v>4.3325815772781731E-2</v>
      </c>
      <c r="J68" s="26">
        <f>J66+J67</f>
        <v>16211.855899999995</v>
      </c>
      <c r="K68" s="29">
        <f>K64+J68</f>
        <v>-129519.69919999997</v>
      </c>
      <c r="L68" s="17"/>
      <c r="M68" s="27"/>
      <c r="N68" s="27"/>
      <c r="O68" s="27"/>
      <c r="P68" s="27"/>
    </row>
    <row r="69" spans="1:16" ht="3" customHeight="1">
      <c r="A69" s="42"/>
      <c r="B69" s="43"/>
      <c r="C69" s="44"/>
      <c r="D69" s="45"/>
      <c r="E69" s="46"/>
      <c r="F69" s="17"/>
      <c r="G69" s="44"/>
      <c r="H69" s="43"/>
      <c r="I69" s="45"/>
      <c r="J69" s="45"/>
      <c r="K69" s="47"/>
      <c r="L69" s="17"/>
      <c r="M69" s="48"/>
      <c r="N69" s="46"/>
      <c r="O69" s="46"/>
      <c r="P69" s="49"/>
    </row>
    <row r="70" spans="1:16">
      <c r="A70" s="23">
        <v>43556</v>
      </c>
      <c r="B70" s="24" t="s">
        <v>13</v>
      </c>
      <c r="C70" s="25">
        <v>17950</v>
      </c>
      <c r="D70" s="26">
        <v>63002</v>
      </c>
      <c r="E70" s="27">
        <f>D70/C70</f>
        <v>3.5098607242339832</v>
      </c>
      <c r="F70" s="17"/>
      <c r="G70" s="25">
        <v>18674</v>
      </c>
      <c r="H70" s="28">
        <f>(C70-G70)/C70</f>
        <v>-4.0334261838440112E-2</v>
      </c>
      <c r="I70" s="26">
        <f>G70*P70</f>
        <v>105571.59159999999</v>
      </c>
      <c r="J70" s="26">
        <f>I70-D70</f>
        <v>42569.591599999985</v>
      </c>
      <c r="L70" s="17"/>
      <c r="M70" s="27">
        <v>5.8244999999999996</v>
      </c>
      <c r="N70" s="27">
        <v>-0.1996</v>
      </c>
      <c r="O70" s="27">
        <v>2.8500000000000001E-2</v>
      </c>
      <c r="P70" s="27">
        <f>M70+N70+O70</f>
        <v>5.6533999999999995</v>
      </c>
    </row>
    <row r="71" spans="1:16" ht="13.95" customHeight="1">
      <c r="B71" s="24" t="s">
        <v>15</v>
      </c>
      <c r="C71" s="25">
        <v>6652</v>
      </c>
      <c r="D71" s="26">
        <v>42627</v>
      </c>
      <c r="E71" s="27">
        <f>D71/C71</f>
        <v>6.4081479254359595</v>
      </c>
      <c r="F71" s="17"/>
      <c r="G71" s="25">
        <v>6669</v>
      </c>
      <c r="H71" s="28">
        <f>(C71-G71)/C71</f>
        <v>-2.5556223692122671E-3</v>
      </c>
      <c r="I71" s="26">
        <f>G71*P71</f>
        <v>35955.913499999995</v>
      </c>
      <c r="J71" s="26">
        <f>I71-D71</f>
        <v>-6671.0865000000049</v>
      </c>
      <c r="L71" s="17"/>
      <c r="M71" s="27">
        <v>5.8244999999999996</v>
      </c>
      <c r="N71" s="27">
        <v>-0.1996</v>
      </c>
      <c r="O71" s="27">
        <v>-0.2334</v>
      </c>
      <c r="P71" s="27">
        <f>M71+N71+O71</f>
        <v>5.3914999999999997</v>
      </c>
    </row>
    <row r="72" spans="1:16">
      <c r="B72" s="24" t="s">
        <v>17</v>
      </c>
      <c r="C72" s="25">
        <f>SUM(C70:C71)</f>
        <v>24602</v>
      </c>
      <c r="D72" s="26">
        <f>SUM(D70:D71)</f>
        <v>105629</v>
      </c>
      <c r="E72" s="27">
        <f>D72/C72</f>
        <v>4.2935127225428831</v>
      </c>
      <c r="F72" s="17"/>
      <c r="G72" s="25">
        <f>SUM(G70:G71)</f>
        <v>25343</v>
      </c>
      <c r="H72" s="28">
        <f>(C72-G72)/C72</f>
        <v>-3.0119502479473214E-2</v>
      </c>
      <c r="J72" s="26">
        <f>J70+J71</f>
        <v>35898.50509999998</v>
      </c>
      <c r="K72" s="29">
        <f>K68+J72</f>
        <v>-93621.194099999993</v>
      </c>
      <c r="L72" s="17"/>
      <c r="M72" s="27"/>
      <c r="N72" s="27"/>
      <c r="O72" s="27"/>
      <c r="P72" s="27"/>
    </row>
    <row r="73" spans="1:16" s="41" customFormat="1" ht="3" customHeight="1">
      <c r="A73" s="32"/>
      <c r="B73" s="33"/>
      <c r="C73" s="34"/>
      <c r="D73" s="35"/>
      <c r="E73" s="36"/>
      <c r="F73" s="37"/>
      <c r="G73" s="34"/>
      <c r="H73" s="33"/>
      <c r="I73" s="35"/>
      <c r="J73" s="35"/>
      <c r="K73" s="38"/>
      <c r="L73" s="37"/>
      <c r="M73" s="39"/>
      <c r="N73" s="36"/>
      <c r="O73" s="36"/>
      <c r="P73" s="40"/>
    </row>
    <row r="74" spans="1:16">
      <c r="A74" s="23">
        <v>43586</v>
      </c>
      <c r="B74" s="24" t="s">
        <v>13</v>
      </c>
      <c r="C74" s="25">
        <v>2126</v>
      </c>
      <c r="D74" s="26">
        <v>13196</v>
      </c>
      <c r="E74" s="27">
        <f>D74/C74</f>
        <v>6.2069614299153342</v>
      </c>
      <c r="F74" s="17"/>
      <c r="G74" s="25">
        <v>2450</v>
      </c>
      <c r="H74" s="28">
        <f>(C74-G74)/C74</f>
        <v>-0.1523988711194732</v>
      </c>
      <c r="I74" s="26">
        <f>G74*P74</f>
        <v>13126.119999999999</v>
      </c>
      <c r="J74" s="26">
        <f>I74-D74</f>
        <v>-69.880000000001019</v>
      </c>
      <c r="L74" s="17"/>
      <c r="M74" s="27">
        <v>5.0693000000000001</v>
      </c>
      <c r="N74" s="27">
        <v>0.2883</v>
      </c>
      <c r="O74" s="27"/>
      <c r="P74" s="27">
        <f>M74+N74+O74</f>
        <v>5.3575999999999997</v>
      </c>
    </row>
    <row r="75" spans="1:16" ht="13.95" customHeight="1">
      <c r="B75" s="24" t="s">
        <v>15</v>
      </c>
      <c r="C75" s="25">
        <v>847</v>
      </c>
      <c r="D75" s="26">
        <v>8620</v>
      </c>
      <c r="E75" s="27">
        <f>D75/C75</f>
        <v>10.177095631641086</v>
      </c>
      <c r="F75" s="17"/>
      <c r="G75" s="25">
        <v>849</v>
      </c>
      <c r="H75" s="28">
        <f>(C75-G75)/C75</f>
        <v>-2.3612750885478157E-3</v>
      </c>
      <c r="I75" s="26">
        <f>G75*P74</f>
        <v>4548.6023999999998</v>
      </c>
      <c r="J75" s="26">
        <f>I75-D75</f>
        <v>-4071.3976000000002</v>
      </c>
      <c r="L75" s="17"/>
      <c r="M75" s="27"/>
      <c r="N75" s="27"/>
      <c r="O75" s="27"/>
      <c r="P75" s="27"/>
    </row>
    <row r="76" spans="1:16">
      <c r="B76" s="24" t="s">
        <v>17</v>
      </c>
      <c r="C76" s="25">
        <f>SUM(C74:C75)</f>
        <v>2973</v>
      </c>
      <c r="D76" s="26">
        <f>SUM(D74:D75)</f>
        <v>21816</v>
      </c>
      <c r="E76" s="27">
        <f>D76/C76</f>
        <v>7.3380423814328957</v>
      </c>
      <c r="F76" s="17"/>
      <c r="G76" s="25">
        <f>SUM(G74:G75)</f>
        <v>3299</v>
      </c>
      <c r="H76" s="28">
        <f>(C76-G76)/C76</f>
        <v>-0.1096535486041036</v>
      </c>
      <c r="J76" s="26">
        <f>J74+J75</f>
        <v>-4141.2776000000013</v>
      </c>
      <c r="K76" s="29">
        <f>K72+J76</f>
        <v>-97762.471699999995</v>
      </c>
      <c r="L76" s="17"/>
      <c r="M76" s="27"/>
      <c r="N76" s="27"/>
      <c r="O76" s="27"/>
      <c r="P76" s="27"/>
    </row>
    <row r="77" spans="1:16" ht="3" customHeight="1">
      <c r="A77" s="42"/>
      <c r="B77" s="43"/>
      <c r="C77" s="44"/>
      <c r="D77" s="45"/>
      <c r="E77" s="46"/>
      <c r="F77" s="17"/>
      <c r="G77" s="44"/>
      <c r="H77" s="43"/>
      <c r="I77" s="45"/>
      <c r="J77" s="45"/>
      <c r="K77" s="47"/>
      <c r="L77" s="17"/>
      <c r="M77" s="48"/>
      <c r="N77" s="46"/>
      <c r="O77" s="46"/>
      <c r="P77" s="49"/>
    </row>
    <row r="78" spans="1:16">
      <c r="A78" s="23">
        <v>43617</v>
      </c>
      <c r="B78" s="24" t="s">
        <v>13</v>
      </c>
      <c r="C78" s="25">
        <v>8506</v>
      </c>
      <c r="D78" s="26">
        <v>35088</v>
      </c>
      <c r="E78" s="27">
        <f>D78/C78</f>
        <v>4.1250881730543147</v>
      </c>
      <c r="F78" s="17"/>
      <c r="G78" s="25">
        <v>7004</v>
      </c>
      <c r="H78" s="28">
        <f>(C78-G78)/C78</f>
        <v>0.17658123677404186</v>
      </c>
      <c r="I78" s="26">
        <f>G78*P74</f>
        <v>37524.630399999995</v>
      </c>
      <c r="J78" s="26">
        <f>I78-D78</f>
        <v>2436.6303999999946</v>
      </c>
      <c r="L78" s="17"/>
      <c r="M78" s="27"/>
      <c r="N78" s="27"/>
      <c r="O78" s="27"/>
      <c r="P78" s="27"/>
    </row>
    <row r="79" spans="1:16" ht="13.95" customHeight="1">
      <c r="B79" s="24" t="s">
        <v>15</v>
      </c>
      <c r="C79" s="25">
        <v>1727</v>
      </c>
      <c r="D79" s="26">
        <v>10758</v>
      </c>
      <c r="E79" s="27">
        <f>D79/C79</f>
        <v>6.2292993630573248</v>
      </c>
      <c r="F79" s="17"/>
      <c r="G79" s="25">
        <v>1638</v>
      </c>
      <c r="H79" s="28">
        <f>(C79-G79)/C79</f>
        <v>5.1534452808338162E-2</v>
      </c>
      <c r="I79" s="26">
        <f>G79*P74</f>
        <v>8775.7487999999994</v>
      </c>
      <c r="J79" s="26">
        <f>I79-D79</f>
        <v>-1982.2512000000006</v>
      </c>
      <c r="L79" s="17"/>
      <c r="M79" s="27"/>
      <c r="N79" s="27"/>
      <c r="O79" s="27"/>
      <c r="P79" s="27"/>
    </row>
    <row r="80" spans="1:16">
      <c r="B80" s="24" t="s">
        <v>17</v>
      </c>
      <c r="C80" s="25">
        <f>SUM(C78:C79)</f>
        <v>10233</v>
      </c>
      <c r="D80" s="26">
        <f>SUM(D78:D79)</f>
        <v>45846</v>
      </c>
      <c r="E80" s="27">
        <f>D80/C80</f>
        <v>4.4802110817941951</v>
      </c>
      <c r="F80" s="17"/>
      <c r="G80" s="25">
        <f>SUM(G78:G79)</f>
        <v>8642</v>
      </c>
      <c r="H80" s="28">
        <f>(C80-G80)/C80</f>
        <v>0.15547737711326101</v>
      </c>
      <c r="J80" s="26">
        <f>J78+J79</f>
        <v>454.37919999999394</v>
      </c>
      <c r="K80" s="29">
        <f>K76+J80</f>
        <v>-97308.092499999999</v>
      </c>
      <c r="L80" s="17"/>
      <c r="M80" s="27"/>
      <c r="N80" s="27"/>
      <c r="O80" s="27"/>
      <c r="P80" s="27"/>
    </row>
    <row r="81" spans="1:18" ht="3" customHeight="1">
      <c r="A81" s="42"/>
      <c r="B81" s="43"/>
      <c r="C81" s="44"/>
      <c r="D81" s="45"/>
      <c r="E81" s="46"/>
      <c r="F81" s="17"/>
      <c r="G81" s="44"/>
      <c r="H81" s="43"/>
      <c r="I81" s="45"/>
      <c r="J81" s="45"/>
      <c r="K81" s="47"/>
      <c r="L81" s="17"/>
      <c r="M81" s="48"/>
      <c r="N81" s="46"/>
      <c r="O81" s="46"/>
      <c r="P81" s="49"/>
    </row>
    <row r="82" spans="1:18">
      <c r="A82" s="23">
        <v>43647</v>
      </c>
      <c r="B82" s="24" t="s">
        <v>13</v>
      </c>
      <c r="C82" s="25">
        <v>6826</v>
      </c>
      <c r="D82" s="26">
        <v>37418</v>
      </c>
      <c r="E82" s="27">
        <f>D82/C82</f>
        <v>5.4816876648110169</v>
      </c>
      <c r="F82" s="17"/>
      <c r="G82" s="25">
        <v>5697</v>
      </c>
      <c r="H82" s="28">
        <f>(C82-G82)/C82</f>
        <v>0.16539701142689717</v>
      </c>
      <c r="I82" s="26">
        <f>G82*P74</f>
        <v>30522.247199999998</v>
      </c>
      <c r="J82" s="26">
        <f>I82-D82</f>
        <v>-6895.752800000002</v>
      </c>
      <c r="L82" s="17"/>
      <c r="M82" s="27"/>
      <c r="N82" s="27"/>
      <c r="O82" s="27"/>
      <c r="P82" s="27"/>
    </row>
    <row r="83" spans="1:18" ht="13.95" customHeight="1">
      <c r="B83" s="24" t="s">
        <v>15</v>
      </c>
      <c r="C83" s="25">
        <v>1473</v>
      </c>
      <c r="D83" s="26">
        <v>8632</v>
      </c>
      <c r="E83" s="27">
        <f>D83/C83</f>
        <v>5.8601493550577057</v>
      </c>
      <c r="F83" s="17"/>
      <c r="G83" s="25">
        <v>1461</v>
      </c>
      <c r="H83" s="28">
        <f>(C83-G83)/C83</f>
        <v>8.1466395112016286E-3</v>
      </c>
      <c r="I83" s="26">
        <f>G83*P74</f>
        <v>7827.4535999999998</v>
      </c>
      <c r="J83" s="26">
        <f>I83-D83</f>
        <v>-804.54640000000018</v>
      </c>
      <c r="L83" s="17"/>
      <c r="M83" s="27"/>
      <c r="N83" s="27"/>
      <c r="O83" s="27"/>
      <c r="P83" s="27"/>
    </row>
    <row r="84" spans="1:18">
      <c r="B84" s="24" t="s">
        <v>17</v>
      </c>
      <c r="C84" s="25">
        <f>SUM(C82:C83)</f>
        <v>8299</v>
      </c>
      <c r="D84" s="26">
        <f>SUM(D82:D83)</f>
        <v>46050</v>
      </c>
      <c r="E84" s="27">
        <f>D84/C84</f>
        <v>5.5488613085913965</v>
      </c>
      <c r="F84" s="17"/>
      <c r="G84" s="25">
        <f>SUM(G82:G83)</f>
        <v>7158</v>
      </c>
      <c r="H84" s="28">
        <f>(C84-G84)/C84</f>
        <v>0.13748644414989758</v>
      </c>
      <c r="J84" s="26">
        <f>J82+J83</f>
        <v>-7700.2992000000022</v>
      </c>
      <c r="K84" s="29">
        <f>K80+J84</f>
        <v>-105008.39170000001</v>
      </c>
      <c r="L84" s="17"/>
      <c r="M84" s="27"/>
      <c r="N84" s="27"/>
      <c r="O84" s="27"/>
      <c r="P84" s="27"/>
    </row>
    <row r="85" spans="1:18" s="41" customFormat="1" ht="3" customHeight="1">
      <c r="A85" s="32"/>
      <c r="B85" s="33"/>
      <c r="C85" s="34"/>
      <c r="D85" s="35"/>
      <c r="E85" s="36"/>
      <c r="F85" s="37"/>
      <c r="G85" s="34"/>
      <c r="H85" s="33"/>
      <c r="I85" s="35"/>
      <c r="J85" s="35"/>
      <c r="K85" s="38"/>
      <c r="L85" s="37"/>
      <c r="M85" s="39"/>
      <c r="N85" s="36"/>
      <c r="O85" s="36"/>
      <c r="P85" s="40"/>
    </row>
    <row r="86" spans="1:18">
      <c r="A86" s="23">
        <v>43678</v>
      </c>
      <c r="B86" s="24" t="s">
        <v>13</v>
      </c>
      <c r="C86" s="25">
        <v>7093</v>
      </c>
      <c r="D86" s="26">
        <v>29508</v>
      </c>
      <c r="E86" s="27">
        <f>D86/C86</f>
        <v>4.1601579021570565</v>
      </c>
      <c r="F86" s="17"/>
      <c r="G86" s="25">
        <v>6150</v>
      </c>
      <c r="H86" s="28">
        <f>(C86-G86)/C86</f>
        <v>0.13294797687861271</v>
      </c>
      <c r="I86" s="26">
        <f>G86*P86</f>
        <v>30245.084999999995</v>
      </c>
      <c r="J86" s="26">
        <f>I86-D86</f>
        <v>737.08499999999549</v>
      </c>
      <c r="L86" s="17"/>
      <c r="M86" s="27">
        <v>5.0595999999999997</v>
      </c>
      <c r="N86" s="27">
        <v>-0.14169999999999999</v>
      </c>
      <c r="O86" s="27"/>
      <c r="P86" s="27">
        <f>M86+N86+O86</f>
        <v>4.9178999999999995</v>
      </c>
    </row>
    <row r="87" spans="1:18" ht="13.95" customHeight="1">
      <c r="B87" s="24" t="s">
        <v>15</v>
      </c>
      <c r="C87" s="25">
        <v>1575</v>
      </c>
      <c r="D87" s="26">
        <v>9019</v>
      </c>
      <c r="E87" s="27">
        <f>D87/C87</f>
        <v>5.7263492063492061</v>
      </c>
      <c r="F87" s="17"/>
      <c r="G87" s="25">
        <v>1463</v>
      </c>
      <c r="H87" s="28">
        <f>(C87-G87)/C87</f>
        <v>7.1111111111111111E-2</v>
      </c>
      <c r="I87" s="26">
        <f>G87*P86</f>
        <v>7194.8876999999993</v>
      </c>
      <c r="J87" s="26">
        <f>I87-D87</f>
        <v>-1824.1123000000007</v>
      </c>
      <c r="L87" s="17"/>
      <c r="M87" s="27"/>
      <c r="N87" s="27"/>
      <c r="O87" s="27"/>
      <c r="P87" s="27"/>
    </row>
    <row r="88" spans="1:18">
      <c r="B88" s="24" t="s">
        <v>17</v>
      </c>
      <c r="C88" s="25">
        <f>SUM(C86:C87)</f>
        <v>8668</v>
      </c>
      <c r="D88" s="26">
        <f>SUM(D86:D87)</f>
        <v>38527</v>
      </c>
      <c r="E88" s="27">
        <f>D88/C88</f>
        <v>4.4447392708814029</v>
      </c>
      <c r="F88" s="17"/>
      <c r="G88" s="25">
        <f>SUM(G86:G87)</f>
        <v>7613</v>
      </c>
      <c r="H88" s="28">
        <f>(C88-G88)/C88</f>
        <v>0.12171204430087679</v>
      </c>
      <c r="J88" s="26">
        <f>J86+J87</f>
        <v>-1087.0273000000052</v>
      </c>
      <c r="K88" s="29">
        <f>K84+J88</f>
        <v>-106095.41900000001</v>
      </c>
      <c r="L88" s="17"/>
      <c r="M88" s="27"/>
      <c r="N88" s="27"/>
      <c r="O88" s="27"/>
      <c r="P88" s="27"/>
    </row>
    <row r="89" spans="1:18" ht="3" customHeight="1">
      <c r="A89" s="42"/>
      <c r="B89" s="43"/>
      <c r="C89" s="44"/>
      <c r="D89" s="45"/>
      <c r="E89" s="46"/>
      <c r="F89" s="17"/>
      <c r="G89" s="44"/>
      <c r="H89" s="43"/>
      <c r="I89" s="45"/>
      <c r="J89" s="45"/>
      <c r="K89" s="47"/>
      <c r="L89" s="17"/>
      <c r="M89" s="48"/>
      <c r="N89" s="46"/>
      <c r="O89" s="46"/>
      <c r="P89" s="49"/>
    </row>
    <row r="90" spans="1:18">
      <c r="A90" s="23">
        <v>43709</v>
      </c>
      <c r="B90" s="24" t="s">
        <v>13</v>
      </c>
      <c r="C90" s="25">
        <v>7082</v>
      </c>
      <c r="D90" s="26">
        <v>25580</v>
      </c>
      <c r="E90" s="27">
        <f>D90/C90</f>
        <v>3.6119740186388025</v>
      </c>
      <c r="F90" s="17"/>
      <c r="G90" s="25">
        <v>5890</v>
      </c>
      <c r="H90" s="28">
        <f>(C90-G90)/C90</f>
        <v>0.1683140355831686</v>
      </c>
      <c r="I90" s="26">
        <f>G90*P86</f>
        <v>28966.430999999997</v>
      </c>
      <c r="J90" s="26">
        <f>I90-D90</f>
        <v>3386.4309999999969</v>
      </c>
      <c r="L90" s="17"/>
      <c r="M90" s="27"/>
      <c r="N90" s="27"/>
      <c r="O90" s="27"/>
      <c r="P90" s="27"/>
    </row>
    <row r="91" spans="1:18" ht="13.95" customHeight="1">
      <c r="B91" s="24" t="s">
        <v>15</v>
      </c>
      <c r="C91" s="25">
        <v>1031</v>
      </c>
      <c r="D91" s="26">
        <v>5927</v>
      </c>
      <c r="E91" s="27">
        <f>D91/C91</f>
        <v>5.7487875848690591</v>
      </c>
      <c r="F91" s="17"/>
      <c r="G91" s="25">
        <v>1397</v>
      </c>
      <c r="H91" s="28">
        <f>(C91-G91)/C91</f>
        <v>-0.35499515033947626</v>
      </c>
      <c r="I91" s="26">
        <f>G91*P86</f>
        <v>6870.3062999999993</v>
      </c>
      <c r="J91" s="26">
        <f>I91-D91</f>
        <v>943.30629999999928</v>
      </c>
      <c r="L91" s="17"/>
      <c r="M91" s="27"/>
      <c r="N91" s="27"/>
      <c r="O91" s="27"/>
      <c r="P91" s="27"/>
    </row>
    <row r="92" spans="1:18">
      <c r="B92" s="24" t="s">
        <v>17</v>
      </c>
      <c r="C92" s="25">
        <f>SUM(C90:C91)</f>
        <v>8113</v>
      </c>
      <c r="D92" s="26">
        <f>SUM(D90:D91)</f>
        <v>31507</v>
      </c>
      <c r="E92" s="27">
        <f>D92/C92</f>
        <v>3.8835202761000862</v>
      </c>
      <c r="F92" s="17"/>
      <c r="G92" s="25">
        <f>SUM(G90:G91)</f>
        <v>7287</v>
      </c>
      <c r="H92" s="28">
        <f>(C92-G92)/C92</f>
        <v>0.10181190681622088</v>
      </c>
      <c r="J92" s="26">
        <f>J90+J91</f>
        <v>4329.7372999999961</v>
      </c>
      <c r="K92" s="29">
        <f>K88+J92</f>
        <v>-101765.68170000002</v>
      </c>
      <c r="L92" s="17"/>
      <c r="M92" s="27"/>
      <c r="N92" s="27"/>
      <c r="O92" s="27"/>
      <c r="P92" s="27"/>
    </row>
    <row r="93" spans="1:18" ht="3" customHeight="1">
      <c r="A93" s="42"/>
      <c r="B93" s="43"/>
      <c r="C93" s="44"/>
      <c r="D93" s="45"/>
      <c r="E93" s="46"/>
      <c r="F93" s="17"/>
      <c r="G93" s="44"/>
      <c r="H93" s="43"/>
      <c r="I93" s="45"/>
      <c r="J93" s="45"/>
      <c r="K93" s="47"/>
      <c r="L93" s="17"/>
      <c r="M93" s="48"/>
      <c r="N93" s="46"/>
      <c r="O93" s="46"/>
      <c r="P93" s="49"/>
    </row>
    <row r="94" spans="1:18">
      <c r="A94" s="23">
        <v>43739</v>
      </c>
      <c r="B94" s="24" t="s">
        <v>13</v>
      </c>
      <c r="C94" s="25">
        <v>13453</v>
      </c>
      <c r="D94" s="251">
        <f>41833+6620</f>
        <v>48453</v>
      </c>
      <c r="E94" s="27">
        <f>D94/C94</f>
        <v>3.6016501895487996</v>
      </c>
      <c r="F94" s="17"/>
      <c r="G94" s="25">
        <v>10901</v>
      </c>
      <c r="H94" s="28">
        <f>(C94-G94)/C94</f>
        <v>0.18969746524938674</v>
      </c>
      <c r="I94" s="26">
        <f>G94*P86</f>
        <v>53610.027899999994</v>
      </c>
      <c r="J94" s="26">
        <f>I94-D94</f>
        <v>5157.0278999999937</v>
      </c>
      <c r="L94" s="17"/>
      <c r="M94" s="27"/>
      <c r="N94" s="27"/>
      <c r="O94" s="27"/>
      <c r="P94" s="27"/>
      <c r="R94" s="31" t="s">
        <v>218</v>
      </c>
    </row>
    <row r="95" spans="1:18" ht="13.95" customHeight="1">
      <c r="B95" s="24" t="s">
        <v>15</v>
      </c>
      <c r="C95" s="25">
        <v>4168</v>
      </c>
      <c r="D95" s="26">
        <v>23214</v>
      </c>
      <c r="E95" s="27">
        <f>D95/C95</f>
        <v>5.56957773512476</v>
      </c>
      <c r="F95" s="17"/>
      <c r="G95" s="25">
        <v>3912</v>
      </c>
      <c r="H95" s="28">
        <f>(C95-G95)/C95</f>
        <v>6.1420345489443376E-2</v>
      </c>
      <c r="I95" s="26">
        <f>G95*P86</f>
        <v>19238.824799999999</v>
      </c>
      <c r="J95" s="26">
        <f>I95-D95</f>
        <v>-3975.1752000000015</v>
      </c>
      <c r="L95" s="17"/>
      <c r="M95" s="27"/>
      <c r="N95" s="27"/>
      <c r="O95" s="27"/>
      <c r="P95" s="27"/>
    </row>
    <row r="96" spans="1:18">
      <c r="B96" s="24" t="s">
        <v>17</v>
      </c>
      <c r="C96" s="25">
        <f>SUM(C94:C95)</f>
        <v>17621</v>
      </c>
      <c r="D96" s="26">
        <f>SUM(D94:D95)</f>
        <v>71667</v>
      </c>
      <c r="E96" s="27">
        <f>D96/C96</f>
        <v>4.0671358038703822</v>
      </c>
      <c r="F96" s="17"/>
      <c r="G96" s="25">
        <f>SUM(G94:G95)</f>
        <v>14813</v>
      </c>
      <c r="H96" s="28">
        <f>(C96-G96)/C96</f>
        <v>0.15935531468134612</v>
      </c>
      <c r="J96" s="26">
        <f>J94+J95</f>
        <v>1181.8526999999922</v>
      </c>
      <c r="K96" s="29">
        <f>K92+J96</f>
        <v>-100583.82900000003</v>
      </c>
      <c r="L96" s="17"/>
      <c r="M96" s="53" t="s">
        <v>107</v>
      </c>
      <c r="N96" s="53" t="s">
        <v>22</v>
      </c>
      <c r="O96" s="27"/>
      <c r="P96" s="27"/>
    </row>
    <row r="97" spans="1:19" s="52" customFormat="1" ht="6" customHeight="1">
      <c r="A97" s="23"/>
      <c r="B97" s="24"/>
      <c r="C97" s="25"/>
      <c r="D97" s="26"/>
      <c r="E97" s="27"/>
      <c r="F97" s="17"/>
      <c r="G97" s="25"/>
      <c r="H97" s="28"/>
      <c r="I97" s="26"/>
      <c r="K97" s="29"/>
      <c r="L97" s="17"/>
      <c r="O97" s="51"/>
      <c r="P97" s="51"/>
      <c r="Q97" s="24"/>
      <c r="R97" s="24"/>
      <c r="S97" s="25"/>
    </row>
    <row r="98" spans="1:19">
      <c r="A98" s="55" t="s">
        <v>106</v>
      </c>
      <c r="B98" s="56"/>
      <c r="C98" s="56">
        <f t="shared" ref="C98:D100" si="2">SUM(C50,C54,C58,C62,C66,C70,C74,C78,C82,C86,C90,C94)</f>
        <v>274843</v>
      </c>
      <c r="D98" s="57">
        <f t="shared" si="2"/>
        <v>1349128</v>
      </c>
      <c r="E98" s="58">
        <f>D98/C98</f>
        <v>4.9087224342624696</v>
      </c>
      <c r="F98" s="17"/>
      <c r="G98" s="56">
        <f>SUM(G50,G54,G58,G62,G66,G70,G74,G78,G82,G86,G90,G94)</f>
        <v>260245</v>
      </c>
      <c r="H98" s="59">
        <f>(C98-G98)/C98</f>
        <v>5.3113959606029625E-2</v>
      </c>
      <c r="I98" s="57">
        <f>SUM(I58,I62,I66,I70,I74,I78,I82,I86,I90,I94)</f>
        <v>988132.50529999996</v>
      </c>
      <c r="J98" s="57">
        <f>E98*(N98+N99)</f>
        <v>-66011.437950570296</v>
      </c>
      <c r="K98" s="54" t="s">
        <v>22</v>
      </c>
      <c r="L98" s="17"/>
      <c r="M98" s="60">
        <f>G98/(1-$R$326)</f>
        <v>281345.94594594592</v>
      </c>
      <c r="N98" s="60">
        <f>C98-M98</f>
        <v>-6502.9459459459176</v>
      </c>
      <c r="R98" s="31" t="s">
        <v>198</v>
      </c>
      <c r="S98" s="25"/>
    </row>
    <row r="99" spans="1:19">
      <c r="A99" s="61"/>
      <c r="B99" s="62" t="s">
        <v>15</v>
      </c>
      <c r="C99" s="56">
        <f t="shared" si="2"/>
        <v>106933</v>
      </c>
      <c r="D99" s="57">
        <f t="shared" si="2"/>
        <v>764095</v>
      </c>
      <c r="E99" s="58">
        <f>D99/C99</f>
        <v>7.1455490821355427</v>
      </c>
      <c r="F99" s="17"/>
      <c r="G99" s="56">
        <f>SUM(G51,G55,G59,G63,G67,G71,G75,G79,G83,G87,G91,G95)</f>
        <v>105337</v>
      </c>
      <c r="H99" s="59">
        <f t="shared" ref="H99:H100" si="3">(C99-G99)/C99</f>
        <v>1.4925233557461214E-2</v>
      </c>
      <c r="I99" s="57">
        <f>SUM(I59,I63,I67,I71,I75,I79,I83,I87,I91,I95)</f>
        <v>386222.179</v>
      </c>
      <c r="J99" s="57"/>
      <c r="L99" s="17"/>
      <c r="M99" s="60">
        <f>G99/(1-$R$326)</f>
        <v>113877.83783783783</v>
      </c>
      <c r="N99" s="60">
        <f>C99-M99</f>
        <v>-6944.8378378378256</v>
      </c>
      <c r="R99" s="63" t="s">
        <v>323</v>
      </c>
      <c r="S99" s="25"/>
    </row>
    <row r="100" spans="1:19">
      <c r="A100" s="61"/>
      <c r="B100" s="62" t="s">
        <v>17</v>
      </c>
      <c r="C100" s="56">
        <f t="shared" si="2"/>
        <v>381776</v>
      </c>
      <c r="D100" s="57">
        <f t="shared" si="2"/>
        <v>2113223</v>
      </c>
      <c r="E100" s="58">
        <f>D100/C100</f>
        <v>5.5352431792464687</v>
      </c>
      <c r="F100" s="17"/>
      <c r="G100" s="56">
        <f>SUM(G52,G56,G60,G64,G68,G72,G76,G80,G84,G88,G92,G96)</f>
        <v>365582</v>
      </c>
      <c r="H100" s="59">
        <f t="shared" si="3"/>
        <v>4.2417543271447131E-2</v>
      </c>
      <c r="I100" s="57"/>
      <c r="J100" s="57">
        <f>SUM(J98:J99)</f>
        <v>-66011.437950570296</v>
      </c>
      <c r="K100" s="70">
        <f>K96+J100</f>
        <v>-166595.26695057034</v>
      </c>
      <c r="L100" s="17"/>
      <c r="M100" s="60">
        <f>G100/(1-$R$326)</f>
        <v>395223.78378378379</v>
      </c>
      <c r="N100" s="60">
        <f>C100-M100</f>
        <v>-13447.783783783787</v>
      </c>
      <c r="O100" s="27" t="s">
        <v>131</v>
      </c>
      <c r="R100" s="64">
        <f>N100*E100</f>
        <v>-74436.753465170477</v>
      </c>
      <c r="S100" s="65" t="s">
        <v>25</v>
      </c>
    </row>
    <row r="101" spans="1:19" s="41" customFormat="1" ht="5.4" customHeight="1">
      <c r="A101" s="32"/>
      <c r="B101" s="33"/>
      <c r="C101" s="34"/>
      <c r="D101" s="35"/>
      <c r="E101" s="36"/>
      <c r="F101" s="37"/>
      <c r="G101" s="34"/>
      <c r="H101" s="33"/>
      <c r="I101" s="35"/>
      <c r="J101" s="35"/>
      <c r="K101" s="38"/>
      <c r="L101" s="37"/>
      <c r="M101" s="66"/>
      <c r="N101" s="67"/>
      <c r="O101" s="67"/>
      <c r="P101" s="68"/>
    </row>
    <row r="102" spans="1:19">
      <c r="A102" s="23">
        <v>43770</v>
      </c>
      <c r="B102" s="24" t="s">
        <v>13</v>
      </c>
      <c r="C102" s="25">
        <v>37517</v>
      </c>
      <c r="D102" s="26">
        <v>124098</v>
      </c>
      <c r="E102" s="27">
        <f>D102/C102</f>
        <v>3.3077804728523068</v>
      </c>
      <c r="F102" s="17"/>
      <c r="G102" s="25">
        <v>29031</v>
      </c>
      <c r="H102" s="28">
        <f>(C102-G102)/C102</f>
        <v>0.22619079350694352</v>
      </c>
      <c r="I102" s="26">
        <f>G102*P102</f>
        <v>139432.98990000002</v>
      </c>
      <c r="J102" s="26">
        <f>I102-D102</f>
        <v>15334.989900000015</v>
      </c>
      <c r="L102" s="17"/>
      <c r="M102" s="27">
        <v>4.7664</v>
      </c>
      <c r="N102" s="27">
        <v>3.6499999999999998E-2</v>
      </c>
      <c r="O102" s="27"/>
      <c r="P102" s="27">
        <f>M102+N102+O102</f>
        <v>4.8029000000000002</v>
      </c>
    </row>
    <row r="103" spans="1:19" ht="13.95" customHeight="1">
      <c r="B103" s="24" t="s">
        <v>15</v>
      </c>
      <c r="C103" s="25">
        <v>14918</v>
      </c>
      <c r="D103" s="26">
        <v>91294</v>
      </c>
      <c r="E103" s="27">
        <f>D103/C103</f>
        <v>6.119721142244269</v>
      </c>
      <c r="F103" s="17"/>
      <c r="G103" s="25">
        <v>13274</v>
      </c>
      <c r="H103" s="28">
        <f>(C103-G103)/C103</f>
        <v>0.11020244000536265</v>
      </c>
      <c r="I103" s="26">
        <f>G103*P102</f>
        <v>63753.694600000003</v>
      </c>
      <c r="J103" s="26">
        <f>I103-D103</f>
        <v>-27540.305399999997</v>
      </c>
      <c r="L103" s="17"/>
      <c r="M103" s="27"/>
      <c r="N103" s="27"/>
      <c r="O103" s="27"/>
      <c r="P103" s="27"/>
    </row>
    <row r="104" spans="1:19">
      <c r="B104" s="24" t="s">
        <v>17</v>
      </c>
      <c r="C104" s="25">
        <f>SUM(C102:C103)</f>
        <v>52435</v>
      </c>
      <c r="D104" s="26">
        <f>SUM(D102:D103)</f>
        <v>215392</v>
      </c>
      <c r="E104" s="27">
        <f>D104/C104</f>
        <v>4.1077905978830938</v>
      </c>
      <c r="F104" s="17"/>
      <c r="G104" s="25">
        <f>SUM(G102:G103)</f>
        <v>42305</v>
      </c>
      <c r="H104" s="28">
        <f>(C104-G104)/C104</f>
        <v>0.19319157051587679</v>
      </c>
      <c r="J104" s="26">
        <f>J102+J103</f>
        <v>-12205.315499999982</v>
      </c>
      <c r="K104" s="29">
        <f>K100+J104</f>
        <v>-178800.58245057031</v>
      </c>
      <c r="L104" s="17"/>
      <c r="M104" s="27"/>
      <c r="N104" s="27"/>
      <c r="O104" s="27"/>
      <c r="P104" s="27"/>
    </row>
    <row r="105" spans="1:19" ht="3" customHeight="1">
      <c r="A105" s="42"/>
      <c r="B105" s="43"/>
      <c r="C105" s="44"/>
      <c r="D105" s="45"/>
      <c r="E105" s="46"/>
      <c r="F105" s="71"/>
      <c r="G105" s="44"/>
      <c r="H105" s="43"/>
      <c r="I105" s="45"/>
      <c r="J105" s="45"/>
      <c r="K105" s="47"/>
      <c r="L105" s="71"/>
      <c r="M105" s="48"/>
      <c r="N105" s="46"/>
      <c r="O105" s="46"/>
      <c r="P105" s="49"/>
    </row>
    <row r="106" spans="1:19">
      <c r="A106" s="23">
        <v>43800</v>
      </c>
      <c r="B106" s="24" t="s">
        <v>13</v>
      </c>
      <c r="C106" s="25">
        <v>42985</v>
      </c>
      <c r="D106" s="26">
        <v>136704</v>
      </c>
      <c r="E106" s="27">
        <f>D106/C106</f>
        <v>3.1802721879725486</v>
      </c>
      <c r="F106" s="17"/>
      <c r="G106" s="25">
        <v>43235</v>
      </c>
      <c r="H106" s="28">
        <f>(C106-G106)/C106</f>
        <v>-5.8159823194137488E-3</v>
      </c>
      <c r="I106" s="26">
        <f>G106*P102</f>
        <v>207653.38150000002</v>
      </c>
      <c r="J106" s="26">
        <f>I106-D106</f>
        <v>70949.381500000018</v>
      </c>
      <c r="L106" s="17"/>
      <c r="M106" s="27"/>
      <c r="N106" s="27"/>
      <c r="O106" s="27"/>
      <c r="P106" s="27"/>
      <c r="R106" s="69"/>
    </row>
    <row r="107" spans="1:19" ht="13.95" customHeight="1">
      <c r="B107" s="24" t="s">
        <v>15</v>
      </c>
      <c r="C107" s="25">
        <v>18941</v>
      </c>
      <c r="D107" s="26">
        <v>108664</v>
      </c>
      <c r="E107" s="27">
        <f>D107/C107</f>
        <v>5.7369727047146402</v>
      </c>
      <c r="F107" s="17"/>
      <c r="G107" s="25">
        <v>19248</v>
      </c>
      <c r="H107" s="28">
        <f>(C107-G107)/C107</f>
        <v>-1.6208225542473999E-2</v>
      </c>
      <c r="I107" s="26">
        <f>G107*P102</f>
        <v>92446.219200000007</v>
      </c>
      <c r="J107" s="26">
        <f>I107-D107</f>
        <v>-16217.780799999993</v>
      </c>
      <c r="L107" s="17"/>
      <c r="M107" s="27"/>
      <c r="N107" s="27"/>
      <c r="O107" s="27"/>
      <c r="P107" s="27"/>
      <c r="R107" s="69"/>
    </row>
    <row r="108" spans="1:19" s="72" customFormat="1">
      <c r="A108" s="23"/>
      <c r="B108" s="24" t="s">
        <v>17</v>
      </c>
      <c r="C108" s="25">
        <f>SUM(C106:C107)</f>
        <v>61926</v>
      </c>
      <c r="D108" s="26">
        <f>SUM(D106:D107)</f>
        <v>245368</v>
      </c>
      <c r="E108" s="27">
        <f>D108/C108</f>
        <v>3.9622775570842617</v>
      </c>
      <c r="F108" s="17"/>
      <c r="G108" s="25">
        <f>SUM(G106:G107)</f>
        <v>62483</v>
      </c>
      <c r="H108" s="28">
        <f>(C108-G108)/C108</f>
        <v>-8.99460646578174E-3</v>
      </c>
      <c r="I108" s="26"/>
      <c r="J108" s="26">
        <f>J106+J107</f>
        <v>54731.600700000025</v>
      </c>
      <c r="K108" s="29">
        <f>K104+J108</f>
        <v>-124068.98175057028</v>
      </c>
      <c r="L108" s="17"/>
      <c r="M108" s="27"/>
      <c r="N108" s="27"/>
      <c r="O108" s="27"/>
      <c r="P108" s="27"/>
      <c r="Q108" s="24"/>
      <c r="R108" s="69"/>
      <c r="S108" s="25"/>
    </row>
    <row r="109" spans="1:19" ht="3" customHeight="1">
      <c r="A109" s="73"/>
      <c r="B109" s="74"/>
      <c r="C109" s="75"/>
      <c r="D109" s="76"/>
      <c r="E109" s="77"/>
      <c r="F109" s="17"/>
      <c r="G109" s="75"/>
      <c r="H109" s="78"/>
      <c r="I109" s="45"/>
      <c r="J109" s="76"/>
      <c r="K109" s="79"/>
      <c r="L109" s="17"/>
      <c r="M109" s="48"/>
      <c r="N109" s="46"/>
      <c r="O109" s="46"/>
      <c r="P109" s="49"/>
    </row>
    <row r="110" spans="1:19">
      <c r="A110" s="12">
        <v>43831</v>
      </c>
      <c r="B110" s="13" t="s">
        <v>13</v>
      </c>
      <c r="C110" s="14">
        <v>45464</v>
      </c>
      <c r="D110" s="15">
        <v>162157</v>
      </c>
      <c r="E110" s="16">
        <v>3.5667</v>
      </c>
      <c r="F110" s="17"/>
      <c r="G110" s="14">
        <v>42378</v>
      </c>
      <c r="H110" s="18">
        <f>(C110-G110)/C110</f>
        <v>6.7877881400668666E-2</v>
      </c>
      <c r="I110" s="15">
        <f>G110*P102</f>
        <v>203537.29620000001</v>
      </c>
      <c r="J110" s="15">
        <f>I110-D110</f>
        <v>41380.296200000012</v>
      </c>
      <c r="K110" s="19"/>
      <c r="L110" s="17"/>
      <c r="M110" s="16"/>
      <c r="N110" s="16"/>
      <c r="O110" s="16"/>
      <c r="P110" s="16"/>
    </row>
    <row r="111" spans="1:19" ht="13.95" customHeight="1">
      <c r="B111" s="24" t="s">
        <v>15</v>
      </c>
      <c r="C111" s="25">
        <v>20236</v>
      </c>
      <c r="D111" s="26">
        <v>114738</v>
      </c>
      <c r="E111" s="27">
        <f>D111/C111</f>
        <v>5.6699940699743037</v>
      </c>
      <c r="F111" s="17"/>
      <c r="G111" s="25">
        <v>19700</v>
      </c>
      <c r="H111" s="28">
        <f>(C111-G111)/C111</f>
        <v>2.6487448112275155E-2</v>
      </c>
      <c r="I111" s="26">
        <f>G111*P102</f>
        <v>94617.13</v>
      </c>
      <c r="J111" s="26">
        <f>I111-D111</f>
        <v>-20120.869999999995</v>
      </c>
      <c r="L111" s="17"/>
      <c r="M111" s="27"/>
      <c r="N111" s="27"/>
      <c r="O111" s="27"/>
      <c r="P111" s="27"/>
    </row>
    <row r="112" spans="1:19">
      <c r="B112" s="24" t="s">
        <v>17</v>
      </c>
      <c r="C112" s="25">
        <f>SUM(C110:C111)</f>
        <v>65700</v>
      </c>
      <c r="D112" s="26">
        <f>SUM(D110:D111)</f>
        <v>276895</v>
      </c>
      <c r="E112" s="27">
        <f>D112/C112</f>
        <v>4.2145357686453577</v>
      </c>
      <c r="F112" s="17"/>
      <c r="G112" s="25">
        <f>SUM(G110:G111)</f>
        <v>62078</v>
      </c>
      <c r="H112" s="28">
        <f>(C112-G112)/C112</f>
        <v>5.512937595129376E-2</v>
      </c>
      <c r="J112" s="26">
        <f>J110+J111</f>
        <v>21259.426200000016</v>
      </c>
      <c r="K112" s="29">
        <f>K108+J112</f>
        <v>-102809.55555057027</v>
      </c>
      <c r="L112" s="17"/>
      <c r="M112" s="27"/>
      <c r="N112" s="27"/>
      <c r="O112" s="27"/>
      <c r="P112" s="27"/>
    </row>
    <row r="113" spans="1:18" s="41" customFormat="1" ht="3" customHeight="1">
      <c r="A113" s="32"/>
      <c r="B113" s="33"/>
      <c r="C113" s="34"/>
      <c r="D113" s="35"/>
      <c r="E113" s="36"/>
      <c r="F113" s="37"/>
      <c r="G113" s="34"/>
      <c r="H113" s="33"/>
      <c r="I113" s="35"/>
      <c r="J113" s="35"/>
      <c r="K113" s="38"/>
      <c r="L113" s="37"/>
      <c r="M113" s="39"/>
      <c r="N113" s="36"/>
      <c r="O113" s="36"/>
      <c r="P113" s="40"/>
    </row>
    <row r="114" spans="1:18">
      <c r="A114" s="23">
        <v>43862</v>
      </c>
      <c r="B114" s="24" t="s">
        <v>13</v>
      </c>
      <c r="C114" s="25">
        <v>43784</v>
      </c>
      <c r="D114" s="26">
        <v>124549</v>
      </c>
      <c r="E114" s="27">
        <f>D114/C114</f>
        <v>2.8446236067970037</v>
      </c>
      <c r="F114" s="17"/>
      <c r="G114" s="25">
        <v>38041</v>
      </c>
      <c r="H114" s="28">
        <f>(C114-G114)/C114</f>
        <v>0.13116663621414215</v>
      </c>
      <c r="I114" s="26">
        <f>G114*P114</f>
        <v>171971.94869999998</v>
      </c>
      <c r="J114" s="26">
        <f>I114-D114</f>
        <v>47422.948699999979</v>
      </c>
      <c r="L114" s="17"/>
      <c r="M114" s="27">
        <v>4.4863999999999997</v>
      </c>
      <c r="N114" s="27">
        <v>3.4299999999999997E-2</v>
      </c>
      <c r="O114" s="27"/>
      <c r="P114" s="27">
        <f>M114+N114+O114</f>
        <v>4.5206999999999997</v>
      </c>
    </row>
    <row r="115" spans="1:18" ht="13.95" customHeight="1">
      <c r="B115" s="24" t="s">
        <v>15</v>
      </c>
      <c r="C115" s="25">
        <v>18969</v>
      </c>
      <c r="D115" s="26">
        <v>101404</v>
      </c>
      <c r="E115" s="27">
        <f>D115/C115</f>
        <v>5.3457746850123886</v>
      </c>
      <c r="F115" s="17"/>
      <c r="G115" s="25">
        <v>18892</v>
      </c>
      <c r="H115" s="28">
        <f>(C115-G115)/C115</f>
        <v>4.0592545732510942E-3</v>
      </c>
      <c r="I115" s="26">
        <f>G115*P114</f>
        <v>85405.064399999988</v>
      </c>
      <c r="J115" s="26">
        <f>I115-D115</f>
        <v>-15998.935600000012</v>
      </c>
      <c r="L115" s="17"/>
      <c r="M115" s="27"/>
      <c r="N115" s="27"/>
      <c r="O115" s="27"/>
      <c r="P115" s="27"/>
    </row>
    <row r="116" spans="1:18">
      <c r="B116" s="24" t="s">
        <v>17</v>
      </c>
      <c r="C116" s="25">
        <f>SUM(C114:C115)</f>
        <v>62753</v>
      </c>
      <c r="D116" s="26">
        <f>SUM(D114:D115)</f>
        <v>225953</v>
      </c>
      <c r="E116" s="27">
        <f>D116/C116</f>
        <v>3.6006724778098258</v>
      </c>
      <c r="F116" s="17"/>
      <c r="G116" s="25">
        <f>SUM(G114:G115)</f>
        <v>56933</v>
      </c>
      <c r="H116" s="28">
        <f>(C116-G116)/C116</f>
        <v>9.2744569980718047E-2</v>
      </c>
      <c r="J116" s="26">
        <f>J114+J115</f>
        <v>31424.013099999967</v>
      </c>
      <c r="K116" s="29">
        <f>K112+J116</f>
        <v>-71385.542450570298</v>
      </c>
      <c r="L116" s="17"/>
      <c r="M116" s="27"/>
      <c r="N116" s="27"/>
      <c r="O116" s="27"/>
      <c r="P116" s="27"/>
    </row>
    <row r="117" spans="1:18" ht="3" customHeight="1">
      <c r="A117" s="42"/>
      <c r="B117" s="43"/>
      <c r="C117" s="44"/>
      <c r="D117" s="45"/>
      <c r="E117" s="46"/>
      <c r="F117" s="71"/>
      <c r="G117" s="44"/>
      <c r="H117" s="43"/>
      <c r="I117" s="45"/>
      <c r="J117" s="45"/>
      <c r="K117" s="47"/>
      <c r="L117" s="71"/>
      <c r="M117" s="48"/>
      <c r="N117" s="46"/>
      <c r="O117" s="46"/>
      <c r="P117" s="49"/>
    </row>
    <row r="118" spans="1:18">
      <c r="A118" s="23">
        <v>43891</v>
      </c>
      <c r="B118" s="24" t="s">
        <v>13</v>
      </c>
      <c r="C118" s="25">
        <v>28890</v>
      </c>
      <c r="D118" s="26">
        <v>95845</v>
      </c>
      <c r="E118" s="27">
        <f>D118/C118</f>
        <v>3.3175839390792663</v>
      </c>
      <c r="F118" s="17"/>
      <c r="G118" s="25">
        <v>28863</v>
      </c>
      <c r="H118" s="28">
        <f>(C118-G118)/C118</f>
        <v>9.3457943925233649E-4</v>
      </c>
      <c r="I118" s="26">
        <f>G118*P114</f>
        <v>130480.9641</v>
      </c>
      <c r="J118" s="26">
        <f>I118-D118</f>
        <v>34635.964099999997</v>
      </c>
      <c r="L118" s="17"/>
      <c r="M118" s="27"/>
      <c r="N118" s="27"/>
      <c r="O118" s="27"/>
      <c r="P118" s="27"/>
    </row>
    <row r="119" spans="1:18" ht="13.95" customHeight="1">
      <c r="B119" s="24" t="s">
        <v>15</v>
      </c>
      <c r="C119" s="25">
        <v>14733</v>
      </c>
      <c r="D119" s="26">
        <v>79088</v>
      </c>
      <c r="E119" s="27">
        <f>D119/C119</f>
        <v>5.3680852507975292</v>
      </c>
      <c r="F119" s="17"/>
      <c r="G119" s="25">
        <v>13405</v>
      </c>
      <c r="H119" s="28">
        <f>(C119-G119)/C119</f>
        <v>9.0137785922758437E-2</v>
      </c>
      <c r="I119" s="26">
        <f>G119*P114</f>
        <v>60599.983499999995</v>
      </c>
      <c r="J119" s="26">
        <f>I119-D119</f>
        <v>-18488.016500000005</v>
      </c>
      <c r="L119" s="17"/>
      <c r="M119" s="27"/>
      <c r="N119" s="27"/>
      <c r="O119" s="27"/>
      <c r="P119" s="27"/>
    </row>
    <row r="120" spans="1:18">
      <c r="B120" s="24" t="s">
        <v>17</v>
      </c>
      <c r="C120" s="25">
        <f>SUM(C118:C119)</f>
        <v>43623</v>
      </c>
      <c r="D120" s="26">
        <f>SUM(D118:D119)</f>
        <v>174933</v>
      </c>
      <c r="E120" s="27">
        <f>D120/C120</f>
        <v>4.0101093459872086</v>
      </c>
      <c r="F120" s="17"/>
      <c r="G120" s="25">
        <f>SUM(G118:G119)</f>
        <v>42268</v>
      </c>
      <c r="H120" s="28">
        <f>(C120-G120)/C120</f>
        <v>3.1061595947092131E-2</v>
      </c>
      <c r="J120" s="26">
        <f>J118+J119</f>
        <v>16147.947599999992</v>
      </c>
      <c r="K120" s="29">
        <f>K116+J120</f>
        <v>-55237.594850570305</v>
      </c>
      <c r="L120" s="17"/>
      <c r="M120" s="27"/>
      <c r="N120" s="27"/>
      <c r="O120" s="27"/>
      <c r="P120" s="27"/>
    </row>
    <row r="121" spans="1:18" ht="3" customHeight="1">
      <c r="A121" s="42"/>
      <c r="B121" s="43"/>
      <c r="C121" s="44"/>
      <c r="D121" s="45"/>
      <c r="E121" s="46"/>
      <c r="F121" s="71"/>
      <c r="G121" s="44"/>
      <c r="H121" s="43"/>
      <c r="I121" s="45"/>
      <c r="J121" s="45"/>
      <c r="K121" s="47"/>
      <c r="L121" s="71"/>
      <c r="M121" s="48"/>
      <c r="N121" s="46"/>
      <c r="O121" s="46"/>
      <c r="P121" s="49"/>
    </row>
    <row r="122" spans="1:18">
      <c r="A122" s="23">
        <v>43922</v>
      </c>
      <c r="B122" s="24" t="s">
        <v>13</v>
      </c>
      <c r="C122" s="25">
        <v>23069</v>
      </c>
      <c r="D122" s="26">
        <v>62790</v>
      </c>
      <c r="E122" s="27">
        <f>D122/C122</f>
        <v>2.7218344965104686</v>
      </c>
      <c r="F122" s="17"/>
      <c r="G122" s="25">
        <v>19246</v>
      </c>
      <c r="H122" s="28">
        <f>(C122-G122)/C122</f>
        <v>0.16572023061251029</v>
      </c>
      <c r="I122" s="26">
        <f>G122*P114</f>
        <v>87005.392199999987</v>
      </c>
      <c r="J122" s="26">
        <f>I122-D122</f>
        <v>24215.392199999987</v>
      </c>
      <c r="L122" s="17"/>
      <c r="M122" s="27"/>
      <c r="N122" s="27"/>
      <c r="O122" s="27"/>
      <c r="P122" s="27"/>
      <c r="R122" s="69"/>
    </row>
    <row r="123" spans="1:18" ht="13.95" customHeight="1">
      <c r="B123" s="24" t="s">
        <v>15</v>
      </c>
      <c r="C123" s="25">
        <v>8076</v>
      </c>
      <c r="D123" s="26">
        <v>41456</v>
      </c>
      <c r="E123" s="27">
        <f>D123/C123</f>
        <v>5.1332342743932644</v>
      </c>
      <c r="F123" s="17"/>
      <c r="G123" s="25">
        <v>8609</v>
      </c>
      <c r="H123" s="28">
        <f>(C123-G123)/C123</f>
        <v>-6.5998018821198615E-2</v>
      </c>
      <c r="I123" s="26">
        <f>G123*P114</f>
        <v>38918.706299999998</v>
      </c>
      <c r="J123" s="26">
        <f>I123-D123</f>
        <v>-2537.293700000002</v>
      </c>
      <c r="L123" s="17"/>
      <c r="M123" s="27"/>
      <c r="N123" s="27"/>
      <c r="O123" s="27"/>
      <c r="P123" s="27"/>
      <c r="R123" s="69"/>
    </row>
    <row r="124" spans="1:18">
      <c r="B124" s="24" t="s">
        <v>17</v>
      </c>
      <c r="C124" s="25">
        <f>SUM(C122:C123)</f>
        <v>31145</v>
      </c>
      <c r="D124" s="26">
        <f>SUM(D122:D123)</f>
        <v>104246</v>
      </c>
      <c r="E124" s="27">
        <f>D124/C124</f>
        <v>3.3471183175469577</v>
      </c>
      <c r="F124" s="17"/>
      <c r="G124" s="25">
        <f>SUM(G122:G123)</f>
        <v>27855</v>
      </c>
      <c r="H124" s="28">
        <f>(C124-G124)/C124</f>
        <v>0.10563493337614384</v>
      </c>
      <c r="J124" s="26">
        <f>J122+J123</f>
        <v>21678.098499999986</v>
      </c>
      <c r="K124" s="29">
        <f>K120+J124</f>
        <v>-33559.49635057032</v>
      </c>
      <c r="L124" s="17"/>
      <c r="M124" s="27"/>
      <c r="N124" s="27"/>
      <c r="O124" s="27"/>
      <c r="P124" s="27"/>
      <c r="R124" s="69"/>
    </row>
    <row r="125" spans="1:18" ht="3" customHeight="1">
      <c r="A125" s="42"/>
      <c r="B125" s="43"/>
      <c r="C125" s="44"/>
      <c r="D125" s="45"/>
      <c r="E125" s="46"/>
      <c r="F125" s="71"/>
      <c r="G125" s="44"/>
      <c r="H125" s="43"/>
      <c r="I125" s="45"/>
      <c r="J125" s="45"/>
      <c r="K125" s="47"/>
      <c r="L125" s="71"/>
      <c r="M125" s="48"/>
      <c r="N125" s="46"/>
      <c r="O125" s="46"/>
      <c r="P125" s="49"/>
    </row>
    <row r="126" spans="1:18">
      <c r="A126" s="23">
        <v>43952</v>
      </c>
      <c r="B126" s="24" t="s">
        <v>13</v>
      </c>
      <c r="C126" s="25">
        <v>16487</v>
      </c>
      <c r="D126" s="26">
        <v>47074</v>
      </c>
      <c r="E126" s="27">
        <f>D126/C126</f>
        <v>2.8552192636622795</v>
      </c>
      <c r="F126" s="17"/>
      <c r="G126" s="25">
        <v>14604</v>
      </c>
      <c r="H126" s="28">
        <f>(C126-G126)/C126</f>
        <v>0.11421119670043064</v>
      </c>
      <c r="I126" s="26">
        <f>G126*P114</f>
        <v>66020.30279999999</v>
      </c>
      <c r="J126" s="26">
        <f>I126-D126</f>
        <v>18946.30279999999</v>
      </c>
      <c r="L126" s="17"/>
      <c r="M126" s="27"/>
      <c r="N126" s="27"/>
      <c r="O126" s="27"/>
      <c r="P126" s="27"/>
    </row>
    <row r="127" spans="1:18" ht="13.95" customHeight="1">
      <c r="B127" s="24" t="s">
        <v>15</v>
      </c>
      <c r="C127" s="25">
        <v>5041</v>
      </c>
      <c r="D127" s="26">
        <v>27286</v>
      </c>
      <c r="E127" s="27">
        <f>D127/C127</f>
        <v>5.4128149176750648</v>
      </c>
      <c r="F127" s="17"/>
      <c r="G127" s="25">
        <v>5167</v>
      </c>
      <c r="H127" s="28">
        <f>(C127-G127)/C127</f>
        <v>-2.4995040666534418E-2</v>
      </c>
      <c r="I127" s="26">
        <f>G127*P114</f>
        <v>23358.456899999997</v>
      </c>
      <c r="J127" s="26">
        <f>I127-D127</f>
        <v>-3927.5431000000026</v>
      </c>
      <c r="L127" s="17"/>
      <c r="M127" s="27"/>
      <c r="N127" s="27"/>
      <c r="O127" s="27"/>
      <c r="P127" s="27"/>
    </row>
    <row r="128" spans="1:18" ht="12" customHeight="1">
      <c r="B128" s="24" t="s">
        <v>26</v>
      </c>
      <c r="C128" s="25">
        <v>161</v>
      </c>
      <c r="D128" s="26">
        <v>871</v>
      </c>
      <c r="E128" s="27">
        <f>D128/C128</f>
        <v>5.4099378881987574</v>
      </c>
      <c r="F128" s="17"/>
      <c r="G128" s="25">
        <v>122</v>
      </c>
      <c r="H128" s="28">
        <f>(C128-G128)/C128</f>
        <v>0.24223602484472051</v>
      </c>
      <c r="I128" s="26">
        <f>G128*P128</f>
        <v>634.4</v>
      </c>
      <c r="J128" s="26">
        <f>I128-D128</f>
        <v>-236.60000000000002</v>
      </c>
      <c r="L128" s="17"/>
      <c r="M128" s="394" t="s">
        <v>132</v>
      </c>
      <c r="N128" s="395"/>
      <c r="O128" s="395"/>
      <c r="P128" s="27">
        <v>5.2</v>
      </c>
    </row>
    <row r="129" spans="1:16">
      <c r="B129" s="24" t="s">
        <v>17</v>
      </c>
      <c r="C129" s="25">
        <f>SUM(C126:C128)</f>
        <v>21689</v>
      </c>
      <c r="D129" s="26">
        <f>SUM(D126:D128)</f>
        <v>75231</v>
      </c>
      <c r="E129" s="27">
        <f>D129/C129</f>
        <v>3.4686246484393011</v>
      </c>
      <c r="F129" s="17"/>
      <c r="G129" s="25">
        <f>SUM(G126:G128)</f>
        <v>19893</v>
      </c>
      <c r="H129" s="28">
        <f>(C129-G129)/C129</f>
        <v>8.280695283323343E-2</v>
      </c>
      <c r="J129" s="26">
        <f>J126+J127+J128</f>
        <v>14782.159699999987</v>
      </c>
      <c r="K129" s="29">
        <f>K124+J129</f>
        <v>-18777.336650570331</v>
      </c>
      <c r="L129" s="17"/>
      <c r="M129" s="27"/>
      <c r="N129" s="27"/>
      <c r="O129" s="27"/>
      <c r="P129" s="27"/>
    </row>
    <row r="130" spans="1:16" ht="3" customHeight="1">
      <c r="A130" s="42"/>
      <c r="B130" s="43"/>
      <c r="C130" s="44"/>
      <c r="D130" s="45"/>
      <c r="E130" s="46"/>
      <c r="F130" s="71"/>
      <c r="G130" s="44"/>
      <c r="H130" s="43"/>
      <c r="I130" s="45"/>
      <c r="J130" s="45"/>
      <c r="K130" s="47"/>
      <c r="L130" s="71"/>
      <c r="M130" s="48"/>
      <c r="N130" s="46"/>
      <c r="O130" s="46"/>
      <c r="P130" s="49"/>
    </row>
    <row r="131" spans="1:16">
      <c r="A131" s="23">
        <v>43983</v>
      </c>
      <c r="B131" s="24" t="s">
        <v>13</v>
      </c>
      <c r="C131" s="25">
        <v>9003</v>
      </c>
      <c r="D131" s="26">
        <v>30400</v>
      </c>
      <c r="E131" s="27">
        <f>D131/C131</f>
        <v>3.3766522270354327</v>
      </c>
      <c r="F131" s="17"/>
      <c r="G131" s="25">
        <v>6931</v>
      </c>
      <c r="H131" s="28">
        <f>(C131-G131)/C131</f>
        <v>0.2301455070532045</v>
      </c>
      <c r="I131" s="26">
        <f>G131*P114</f>
        <v>31332.971699999998</v>
      </c>
      <c r="J131" s="26">
        <f>I131-D131</f>
        <v>932.97169999999824</v>
      </c>
      <c r="L131" s="17"/>
      <c r="M131" s="27"/>
      <c r="N131" s="27"/>
      <c r="O131" s="27"/>
      <c r="P131" s="27"/>
    </row>
    <row r="132" spans="1:16" ht="13.95" customHeight="1">
      <c r="B132" s="24" t="s">
        <v>15</v>
      </c>
      <c r="C132" s="25">
        <v>2540</v>
      </c>
      <c r="D132" s="26">
        <v>13408</v>
      </c>
      <c r="E132" s="27">
        <f>D132/C132</f>
        <v>5.278740157480315</v>
      </c>
      <c r="F132" s="17"/>
      <c r="G132" s="25">
        <v>1880</v>
      </c>
      <c r="H132" s="28">
        <f>(C132-G132)/C132</f>
        <v>0.25984251968503935</v>
      </c>
      <c r="I132" s="26">
        <f>G132*P114</f>
        <v>8498.9159999999993</v>
      </c>
      <c r="J132" s="26">
        <f>I132-D132</f>
        <v>-4909.0840000000007</v>
      </c>
      <c r="L132" s="17"/>
      <c r="M132" s="27"/>
      <c r="N132" s="27"/>
      <c r="O132" s="27"/>
      <c r="P132" s="27"/>
    </row>
    <row r="133" spans="1:16" ht="12" customHeight="1">
      <c r="B133" s="24" t="s">
        <v>26</v>
      </c>
      <c r="C133" s="25">
        <v>35</v>
      </c>
      <c r="D133" s="26">
        <v>185</v>
      </c>
      <c r="E133" s="27">
        <f>D133/C133</f>
        <v>5.2857142857142856</v>
      </c>
      <c r="F133" s="17"/>
      <c r="G133" s="25">
        <v>11</v>
      </c>
      <c r="H133" s="28">
        <f>(C133-G133)/C133</f>
        <v>0.68571428571428572</v>
      </c>
      <c r="I133" s="26">
        <f>G133*P133</f>
        <v>57.2</v>
      </c>
      <c r="J133" s="26">
        <f>I133-D133</f>
        <v>-127.8</v>
      </c>
      <c r="L133" s="17"/>
      <c r="M133" s="394" t="s">
        <v>132</v>
      </c>
      <c r="N133" s="395"/>
      <c r="O133" s="395"/>
      <c r="P133" s="27">
        <v>5.2</v>
      </c>
    </row>
    <row r="134" spans="1:16">
      <c r="B134" s="24" t="s">
        <v>17</v>
      </c>
      <c r="C134" s="25">
        <f>SUM(C131:C133)</f>
        <v>11578</v>
      </c>
      <c r="D134" s="25">
        <f>SUM(D131:D133)</f>
        <v>43993</v>
      </c>
      <c r="E134" s="27">
        <f>D134/C134</f>
        <v>3.7997063396096045</v>
      </c>
      <c r="F134" s="17"/>
      <c r="G134" s="25">
        <f>SUM(G131:G133)</f>
        <v>8822</v>
      </c>
      <c r="H134" s="28">
        <f>(C134-G134)/C134</f>
        <v>0.23803765762653309</v>
      </c>
      <c r="J134" s="80">
        <f>SUM(J131:J133)</f>
        <v>-4103.9123000000027</v>
      </c>
      <c r="K134" s="29">
        <f>K129+J134</f>
        <v>-22881.248950570334</v>
      </c>
      <c r="L134" s="17"/>
      <c r="M134" s="27"/>
      <c r="N134" s="27"/>
      <c r="O134" s="27"/>
      <c r="P134" s="27"/>
    </row>
    <row r="135" spans="1:16" ht="3" customHeight="1">
      <c r="A135" s="42"/>
      <c r="B135" s="43"/>
      <c r="C135" s="44"/>
      <c r="D135" s="45"/>
      <c r="E135" s="46"/>
      <c r="F135" s="17"/>
      <c r="G135" s="44"/>
      <c r="H135" s="43"/>
      <c r="I135" s="45"/>
      <c r="J135" s="45"/>
      <c r="K135" s="47"/>
      <c r="L135" s="17"/>
      <c r="M135" s="48"/>
      <c r="N135" s="46"/>
      <c r="O135" s="46"/>
      <c r="P135" s="49"/>
    </row>
    <row r="136" spans="1:16">
      <c r="A136" s="23">
        <v>44013</v>
      </c>
      <c r="B136" s="24" t="s">
        <v>13</v>
      </c>
      <c r="C136" s="25">
        <v>7026</v>
      </c>
      <c r="D136" s="26">
        <v>20947</v>
      </c>
      <c r="E136" s="27">
        <f>D136/C136</f>
        <v>2.9813549672644464</v>
      </c>
      <c r="F136" s="17"/>
      <c r="G136" s="25">
        <v>5519</v>
      </c>
      <c r="H136" s="28">
        <f>(C136-G136)/C136</f>
        <v>0.21448904070594932</v>
      </c>
      <c r="I136" s="26">
        <f>G136*P136</f>
        <v>18411.384000000002</v>
      </c>
      <c r="J136" s="26">
        <f>I136-D136</f>
        <v>-2535.6159999999982</v>
      </c>
      <c r="L136" s="17"/>
      <c r="M136" s="27">
        <v>3.9988000000000001</v>
      </c>
      <c r="N136" s="27">
        <v>-0.66279999999999994</v>
      </c>
      <c r="O136" s="27"/>
      <c r="P136" s="27">
        <f>M136+N136+O136</f>
        <v>3.3360000000000003</v>
      </c>
    </row>
    <row r="137" spans="1:16" ht="13.95" customHeight="1">
      <c r="B137" s="24" t="s">
        <v>15</v>
      </c>
      <c r="C137" s="25">
        <v>2398</v>
      </c>
      <c r="D137" s="26">
        <v>12095</v>
      </c>
      <c r="E137" s="27">
        <f>D137/C137</f>
        <v>5.0437864887406167</v>
      </c>
      <c r="F137" s="17"/>
      <c r="G137" s="25">
        <v>1511</v>
      </c>
      <c r="H137" s="28">
        <f>(C137-G137)/C137</f>
        <v>0.36989157631359465</v>
      </c>
      <c r="I137" s="26">
        <f>G137*P136</f>
        <v>5040.6960000000008</v>
      </c>
      <c r="J137" s="26">
        <f>I137-D137</f>
        <v>-7054.3039999999992</v>
      </c>
      <c r="L137" s="17"/>
      <c r="M137" s="27"/>
      <c r="N137" s="27"/>
      <c r="O137" s="27"/>
      <c r="P137" s="27"/>
    </row>
    <row r="138" spans="1:16">
      <c r="B138" s="24" t="s">
        <v>17</v>
      </c>
      <c r="C138" s="25">
        <f>SUM(C136:C137)</f>
        <v>9424</v>
      </c>
      <c r="D138" s="26">
        <f>SUM(D136:D137)</f>
        <v>33042</v>
      </c>
      <c r="E138" s="27">
        <f>D138/C138</f>
        <v>3.5061544991511036</v>
      </c>
      <c r="F138" s="17"/>
      <c r="G138" s="25">
        <f>SUM(G136:G137)</f>
        <v>7030</v>
      </c>
      <c r="H138" s="28">
        <f>(C138-G138)/C138</f>
        <v>0.25403225806451613</v>
      </c>
      <c r="J138" s="26">
        <f>J136+J137</f>
        <v>-9589.9199999999983</v>
      </c>
      <c r="K138" s="29">
        <f>K134+J138</f>
        <v>-32471.168950570333</v>
      </c>
      <c r="L138" s="17"/>
      <c r="M138" s="27"/>
      <c r="N138" s="27"/>
      <c r="O138" s="27"/>
      <c r="P138" s="27"/>
    </row>
    <row r="139" spans="1:16" s="41" customFormat="1" ht="3" customHeight="1">
      <c r="A139" s="32"/>
      <c r="B139" s="33"/>
      <c r="C139" s="34"/>
      <c r="D139" s="35"/>
      <c r="E139" s="36"/>
      <c r="F139" s="37"/>
      <c r="G139" s="34"/>
      <c r="H139" s="33"/>
      <c r="I139" s="35"/>
      <c r="J139" s="35"/>
      <c r="K139" s="38"/>
      <c r="L139" s="37"/>
      <c r="M139" s="39"/>
      <c r="N139" s="36"/>
      <c r="O139" s="36"/>
      <c r="P139" s="40"/>
    </row>
    <row r="140" spans="1:16">
      <c r="A140" s="23">
        <v>44044</v>
      </c>
      <c r="B140" s="24" t="s">
        <v>13</v>
      </c>
      <c r="C140" s="25">
        <v>7241</v>
      </c>
      <c r="D140" s="26">
        <v>23874</v>
      </c>
      <c r="E140" s="27">
        <f>D140/C140</f>
        <v>3.2970584173456703</v>
      </c>
      <c r="F140" s="17"/>
      <c r="G140" s="25">
        <v>5117</v>
      </c>
      <c r="H140" s="28">
        <f>(C140-G140)/C140</f>
        <v>0.29332965060074573</v>
      </c>
      <c r="I140" s="26">
        <f>G140*P140</f>
        <v>17419.291399999998</v>
      </c>
      <c r="J140" s="26">
        <f>I140-D140</f>
        <v>-6454.7086000000018</v>
      </c>
      <c r="L140" s="17"/>
      <c r="M140" s="27">
        <v>3.9198</v>
      </c>
      <c r="N140" s="27">
        <v>-0.51559999999999995</v>
      </c>
      <c r="O140" s="27"/>
      <c r="P140" s="27">
        <f>M140+N140+O140</f>
        <v>3.4041999999999999</v>
      </c>
    </row>
    <row r="141" spans="1:16" ht="13.95" customHeight="1">
      <c r="B141" s="24" t="s">
        <v>15</v>
      </c>
      <c r="C141" s="25">
        <v>1664</v>
      </c>
      <c r="D141" s="26">
        <v>9015</v>
      </c>
      <c r="E141" s="27">
        <f>D141/C141</f>
        <v>5.4176682692307692</v>
      </c>
      <c r="F141" s="17"/>
      <c r="G141" s="25">
        <v>1457</v>
      </c>
      <c r="H141" s="28">
        <f>(C141-G141)/C141</f>
        <v>0.12439903846153846</v>
      </c>
      <c r="I141" s="26">
        <f>G141*P140</f>
        <v>4959.9193999999998</v>
      </c>
      <c r="J141" s="26">
        <f>I141-D141</f>
        <v>-4055.0806000000002</v>
      </c>
      <c r="L141" s="17"/>
      <c r="M141" s="27"/>
      <c r="N141" s="27"/>
      <c r="O141" s="27"/>
      <c r="P141" s="27"/>
    </row>
    <row r="142" spans="1:16">
      <c r="B142" s="24" t="s">
        <v>17</v>
      </c>
      <c r="C142" s="25">
        <f>SUM(C140:C141)</f>
        <v>8905</v>
      </c>
      <c r="D142" s="26">
        <f>SUM(D140:D141)</f>
        <v>32889</v>
      </c>
      <c r="E142" s="27">
        <f>D142/C142</f>
        <v>3.6933183604716451</v>
      </c>
      <c r="F142" s="17"/>
      <c r="G142" s="25">
        <f>SUM(G140:G141)</f>
        <v>6574</v>
      </c>
      <c r="H142" s="28">
        <f>(C142-G142)/C142</f>
        <v>0.26176305446378439</v>
      </c>
      <c r="J142" s="26">
        <f>J140+J141</f>
        <v>-10509.789200000003</v>
      </c>
      <c r="K142" s="29">
        <f>K138+J142</f>
        <v>-42980.958150570339</v>
      </c>
      <c r="L142" s="17"/>
      <c r="M142" s="27"/>
      <c r="N142" s="27"/>
      <c r="O142" s="27"/>
      <c r="P142" s="27"/>
    </row>
    <row r="143" spans="1:16" ht="3" customHeight="1">
      <c r="A143" s="42"/>
      <c r="B143" s="43"/>
      <c r="C143" s="44"/>
      <c r="D143" s="45"/>
      <c r="E143" s="46"/>
      <c r="F143" s="17"/>
      <c r="G143" s="44"/>
      <c r="H143" s="43"/>
      <c r="I143" s="45"/>
      <c r="J143" s="45"/>
      <c r="K143" s="47"/>
      <c r="L143" s="17"/>
      <c r="M143" s="48"/>
      <c r="N143" s="46"/>
      <c r="O143" s="46"/>
      <c r="P143" s="49"/>
    </row>
    <row r="144" spans="1:16">
      <c r="A144" s="23">
        <v>44075</v>
      </c>
      <c r="B144" s="24" t="s">
        <v>13</v>
      </c>
      <c r="C144" s="25">
        <v>8567</v>
      </c>
      <c r="D144" s="26">
        <v>24277</v>
      </c>
      <c r="E144" s="27">
        <f>D144/C144</f>
        <v>2.8337807867398155</v>
      </c>
      <c r="F144" s="17"/>
      <c r="G144" s="25">
        <v>6310</v>
      </c>
      <c r="H144" s="28">
        <f>(C144-G144)/C144</f>
        <v>0.26345278393836813</v>
      </c>
      <c r="I144" s="26">
        <f>G144*P140</f>
        <v>21480.502</v>
      </c>
      <c r="J144" s="26">
        <f>I144-D144</f>
        <v>-2796.4979999999996</v>
      </c>
      <c r="L144" s="17"/>
      <c r="M144" s="27"/>
      <c r="N144" s="27"/>
      <c r="O144" s="27"/>
      <c r="P144" s="27"/>
    </row>
    <row r="145" spans="1:23" ht="13.95" customHeight="1">
      <c r="B145" s="24" t="s">
        <v>15</v>
      </c>
      <c r="C145" s="25">
        <v>1831</v>
      </c>
      <c r="D145" s="26">
        <v>10136</v>
      </c>
      <c r="E145" s="27">
        <f>D145/C145</f>
        <v>5.5357728017476786</v>
      </c>
      <c r="F145" s="17"/>
      <c r="G145" s="25">
        <v>1625</v>
      </c>
      <c r="H145" s="28">
        <f>(C145-G145)/C145</f>
        <v>0.11250682687056253</v>
      </c>
      <c r="I145" s="26">
        <f>G145*P140</f>
        <v>5531.8249999999998</v>
      </c>
      <c r="J145" s="26">
        <f>I145-D145</f>
        <v>-4604.1750000000002</v>
      </c>
      <c r="L145" s="17"/>
      <c r="M145" s="27"/>
      <c r="N145" s="27"/>
      <c r="O145" s="27"/>
      <c r="P145" s="27"/>
    </row>
    <row r="146" spans="1:23">
      <c r="B146" s="24" t="s">
        <v>17</v>
      </c>
      <c r="C146" s="25">
        <f>SUM(C144:C145)</f>
        <v>10398</v>
      </c>
      <c r="D146" s="26">
        <f>SUM(D144:D145)</f>
        <v>34413</v>
      </c>
      <c r="E146" s="27">
        <f>D146/C146</f>
        <v>3.3095787651471436</v>
      </c>
      <c r="F146" s="17"/>
      <c r="G146" s="25">
        <f>SUM(G144:G145)</f>
        <v>7935</v>
      </c>
      <c r="H146" s="28">
        <f>(C146-G146)/C146</f>
        <v>0.23687247547605308</v>
      </c>
      <c r="J146" s="26">
        <f>J144+J145</f>
        <v>-7400.6729999999998</v>
      </c>
      <c r="K146" s="29">
        <f>K142+J146</f>
        <v>-50381.631150570342</v>
      </c>
      <c r="L146" s="17"/>
      <c r="M146" s="27"/>
      <c r="N146" s="27"/>
      <c r="O146" s="27"/>
      <c r="P146" s="27"/>
    </row>
    <row r="147" spans="1:23" ht="3" customHeight="1">
      <c r="A147" s="42"/>
      <c r="B147" s="43"/>
      <c r="C147" s="44"/>
      <c r="D147" s="45"/>
      <c r="E147" s="46"/>
      <c r="F147" s="17"/>
      <c r="G147" s="44"/>
      <c r="H147" s="43"/>
      <c r="I147" s="45"/>
      <c r="J147" s="45"/>
      <c r="K147" s="47"/>
      <c r="L147" s="17"/>
      <c r="M147" s="48"/>
      <c r="N147" s="46"/>
      <c r="O147" s="46"/>
      <c r="P147" s="49"/>
    </row>
    <row r="148" spans="1:23">
      <c r="A148" s="23">
        <v>44105</v>
      </c>
      <c r="B148" s="24" t="s">
        <v>13</v>
      </c>
      <c r="C148" s="25">
        <v>14527</v>
      </c>
      <c r="D148" s="251">
        <f>35710+3936</f>
        <v>39646</v>
      </c>
      <c r="E148" s="27">
        <f t="shared" ref="E148:E154" si="4">D148/C148</f>
        <v>2.7291250774420046</v>
      </c>
      <c r="F148" s="17"/>
      <c r="G148" s="25">
        <v>11437</v>
      </c>
      <c r="H148" s="28">
        <f>(C148-G148)/C148</f>
        <v>0.21270737247883251</v>
      </c>
      <c r="I148" s="26">
        <f>G148*P140</f>
        <v>38933.835399999996</v>
      </c>
      <c r="J148" s="26">
        <f>I148-D148</f>
        <v>-712.1646000000037</v>
      </c>
      <c r="L148" s="17"/>
      <c r="M148" s="27"/>
      <c r="N148" s="27"/>
      <c r="O148" s="27"/>
      <c r="P148" s="27"/>
      <c r="R148" s="31" t="s">
        <v>218</v>
      </c>
    </row>
    <row r="149" spans="1:23" ht="13.95" customHeight="1">
      <c r="B149" s="24" t="s">
        <v>15</v>
      </c>
      <c r="C149" s="25">
        <v>4013</v>
      </c>
      <c r="D149" s="26">
        <v>19972</v>
      </c>
      <c r="E149" s="27">
        <f t="shared" si="4"/>
        <v>4.9768253177174184</v>
      </c>
      <c r="F149" s="17"/>
      <c r="G149" s="25">
        <v>3855</v>
      </c>
      <c r="H149" s="28">
        <f>(C149-G149)/C149</f>
        <v>3.9372040867181657E-2</v>
      </c>
      <c r="I149" s="26">
        <f>G149*P140</f>
        <v>13123.190999999999</v>
      </c>
      <c r="J149" s="26">
        <f>I149-D149</f>
        <v>-6848.8090000000011</v>
      </c>
      <c r="L149" s="17"/>
      <c r="M149" s="27"/>
      <c r="N149" s="27"/>
      <c r="O149" s="27"/>
      <c r="P149" s="27"/>
    </row>
    <row r="150" spans="1:23">
      <c r="B150" s="24" t="s">
        <v>17</v>
      </c>
      <c r="C150" s="25">
        <f>SUM(C148:C149)</f>
        <v>18540</v>
      </c>
      <c r="D150" s="26">
        <f>SUM(D148:D149)</f>
        <v>59618</v>
      </c>
      <c r="E150" s="27">
        <f t="shared" si="4"/>
        <v>3.2156418554476809</v>
      </c>
      <c r="F150" s="17"/>
      <c r="G150" s="25">
        <f>SUM(G148:G149)</f>
        <v>15292</v>
      </c>
      <c r="H150" s="28">
        <f>(C150-G150)/C150</f>
        <v>0.17518878101402374</v>
      </c>
      <c r="J150" s="26">
        <f>J148+J149</f>
        <v>-7560.9736000000048</v>
      </c>
      <c r="K150" s="29">
        <f>K146+J150</f>
        <v>-57942.604750570346</v>
      </c>
      <c r="L150" s="17"/>
      <c r="M150" s="53" t="s">
        <v>107</v>
      </c>
      <c r="N150" s="53" t="s">
        <v>22</v>
      </c>
      <c r="O150" s="27"/>
      <c r="P150" s="27"/>
    </row>
    <row r="151" spans="1:23" ht="6" customHeight="1">
      <c r="F151" s="17"/>
      <c r="H151" s="28"/>
      <c r="L151" s="17"/>
      <c r="M151" s="27"/>
      <c r="N151" s="27"/>
      <c r="O151" s="27"/>
      <c r="P151" s="27"/>
      <c r="W151" s="26"/>
    </row>
    <row r="152" spans="1:23">
      <c r="A152" s="55" t="s">
        <v>106</v>
      </c>
      <c r="B152" s="56"/>
      <c r="C152" s="56">
        <f>SUM(C102,C106,C110,C114,C118,C122,C126,C131,C136,C140,C144,C148)</f>
        <v>284560</v>
      </c>
      <c r="D152" s="57">
        <f>SUM(D102,D106,D110,D114,D118,D122,D126,D131,D136,D140,D144,D148)</f>
        <v>892361</v>
      </c>
      <c r="E152" s="58">
        <f t="shared" si="4"/>
        <v>3.1359326679786337</v>
      </c>
      <c r="F152" s="17"/>
      <c r="G152" s="56">
        <f>SUM(G102,G106,G110,G114,G118,G122,G126,G131,G136,G140,G144,G148)</f>
        <v>250712</v>
      </c>
      <c r="H152" s="59">
        <f>(C152-G152)/C152</f>
        <v>0.11894855215068878</v>
      </c>
      <c r="I152" s="57">
        <f>SUM(I102,I106,I110,I114,I118,I122,I126,I131,I136,I140,I144,I148)</f>
        <v>1133680.2598999999</v>
      </c>
      <c r="J152" s="57">
        <f>E152*(N152+N153)</f>
        <v>29797.462701259035</v>
      </c>
      <c r="K152" s="54" t="s">
        <v>22</v>
      </c>
      <c r="L152" s="17"/>
      <c r="M152" s="60">
        <f>G152/(1-$R$326)</f>
        <v>271040</v>
      </c>
      <c r="N152" s="60">
        <f>C152-M152</f>
        <v>13520</v>
      </c>
      <c r="R152" s="31" t="s">
        <v>27</v>
      </c>
      <c r="S152" s="25"/>
    </row>
    <row r="153" spans="1:23">
      <c r="A153" s="61"/>
      <c r="B153" s="62" t="s">
        <v>15</v>
      </c>
      <c r="C153" s="56">
        <f>SUM(C103,C107,C111,C115,C119,C123,C127:C128,C132:C133,C137,C141,C145,C149)</f>
        <v>113556</v>
      </c>
      <c r="D153" s="57">
        <f>SUM(D103,D107,D111,D115,D119,D123,D127:D128,D132:D133,D137,D141,D145,D149)</f>
        <v>629612</v>
      </c>
      <c r="E153" s="58">
        <f t="shared" si="4"/>
        <v>5.5445066751206449</v>
      </c>
      <c r="F153" s="17"/>
      <c r="G153" s="56">
        <f>SUM(G103,G107,G111,G115,G119,G123,G127:G128,G132:G133,G137,G141,G145,G149)</f>
        <v>108756</v>
      </c>
      <c r="H153" s="59">
        <f t="shared" ref="H153:H154" si="5">(C153-G153)/C153</f>
        <v>4.2269893268519494E-2</v>
      </c>
      <c r="I153" s="57">
        <f>SUM(I103,I107,I111,I115,I119,I123,I127:I128,I132:I133,I137,I141,I145,I149)</f>
        <v>496945.40230000007</v>
      </c>
      <c r="J153" s="57"/>
      <c r="L153" s="17"/>
      <c r="M153" s="60">
        <f>G153/(1-$R$326)</f>
        <v>117574.05405405405</v>
      </c>
      <c r="N153" s="60">
        <f>C153-M153</f>
        <v>-4018.0540540540533</v>
      </c>
      <c r="R153" s="69"/>
      <c r="S153" s="25"/>
    </row>
    <row r="154" spans="1:23">
      <c r="A154" s="61"/>
      <c r="B154" s="62" t="s">
        <v>17</v>
      </c>
      <c r="C154" s="56">
        <f>SUM(C104,C108,C112,C116,C120,C124,C129,C134,C138,C142,C146,C150)</f>
        <v>398116</v>
      </c>
      <c r="D154" s="57">
        <f>SUM(D104,D108,D112,D116,D120,D124,D129,D134,D138,D142,D146,D150)</f>
        <v>1521973</v>
      </c>
      <c r="E154" s="58">
        <f t="shared" si="4"/>
        <v>3.8229385405258767</v>
      </c>
      <c r="F154" s="17"/>
      <c r="G154" s="56">
        <f>SUM(G104,G108,G112,G116,G120,G124,G129,G134,G138,G142,G146,G150)</f>
        <v>359468</v>
      </c>
      <c r="H154" s="59">
        <f t="shared" si="5"/>
        <v>9.7077233771061699E-2</v>
      </c>
      <c r="I154" s="57">
        <f>SUM(I104,I108,I112,I116,I120,I124,I128,I133,I138,I142,I146,I150)</f>
        <v>691.6</v>
      </c>
      <c r="J154" s="57">
        <f>SUM(J152:J153)</f>
        <v>29797.462701259035</v>
      </c>
      <c r="K154" s="70">
        <f>K150+J154</f>
        <v>-28145.142049311311</v>
      </c>
      <c r="L154" s="17"/>
      <c r="M154" s="60">
        <f>G154/(1-$R$326)</f>
        <v>388614.05405405402</v>
      </c>
      <c r="N154" s="60">
        <f>C154-M154</f>
        <v>9501.9459459459758</v>
      </c>
      <c r="R154" s="64">
        <f>N154*E154</f>
        <v>36325.355366750482</v>
      </c>
      <c r="S154" s="65" t="s">
        <v>25</v>
      </c>
    </row>
    <row r="155" spans="1:23" s="41" customFormat="1" ht="6" customHeight="1">
      <c r="A155" s="32"/>
      <c r="B155" s="33"/>
      <c r="C155" s="34"/>
      <c r="D155" s="35"/>
      <c r="E155" s="36"/>
      <c r="F155" s="37"/>
      <c r="G155" s="34"/>
      <c r="H155" s="33"/>
      <c r="I155" s="35"/>
      <c r="J155" s="35"/>
      <c r="K155" s="38"/>
      <c r="L155" s="37"/>
      <c r="M155" s="66"/>
      <c r="N155" s="67"/>
      <c r="O155" s="67"/>
      <c r="P155" s="68"/>
    </row>
    <row r="156" spans="1:23">
      <c r="A156" s="23">
        <v>44136</v>
      </c>
      <c r="B156" s="24" t="s">
        <v>13</v>
      </c>
      <c r="C156" s="25">
        <v>29545</v>
      </c>
      <c r="D156" s="26">
        <v>105289</v>
      </c>
      <c r="E156" s="27">
        <f>D156/C156</f>
        <v>3.5636825181925875</v>
      </c>
      <c r="F156" s="17"/>
      <c r="G156" s="25">
        <v>20509</v>
      </c>
      <c r="H156" s="28">
        <f>(C156-G156)/C156</f>
        <v>0.30583855136232863</v>
      </c>
      <c r="I156" s="26">
        <f>G156*P156</f>
        <v>102481.4221</v>
      </c>
      <c r="J156" s="26">
        <f>I156-D156</f>
        <v>-2807.5779000000039</v>
      </c>
      <c r="L156" s="17"/>
      <c r="M156" s="27">
        <v>5.4423000000000004</v>
      </c>
      <c r="N156" s="27">
        <v>-0.44540000000000002</v>
      </c>
      <c r="O156" s="27"/>
      <c r="P156" s="27">
        <f>M156+N156+O156</f>
        <v>4.9969000000000001</v>
      </c>
    </row>
    <row r="157" spans="1:23" ht="13.95" customHeight="1">
      <c r="B157" s="24" t="s">
        <v>15</v>
      </c>
      <c r="C157" s="25">
        <v>9674</v>
      </c>
      <c r="D157" s="26">
        <v>86553</v>
      </c>
      <c r="E157" s="27">
        <f>D157/C157</f>
        <v>8.9469712631796572</v>
      </c>
      <c r="F157" s="17"/>
      <c r="G157" s="25">
        <v>8590</v>
      </c>
      <c r="H157" s="28">
        <f>(C157-G157)/C157</f>
        <v>0.112052925366963</v>
      </c>
      <c r="I157" s="26">
        <f>G157*P156</f>
        <v>42923.370999999999</v>
      </c>
      <c r="J157" s="26">
        <f>I157-D157</f>
        <v>-43629.629000000001</v>
      </c>
      <c r="L157" s="17"/>
      <c r="M157" s="27"/>
      <c r="N157" s="27"/>
      <c r="O157" s="27"/>
      <c r="P157" s="27"/>
    </row>
    <row r="158" spans="1:23">
      <c r="B158" s="24" t="s">
        <v>17</v>
      </c>
      <c r="C158" s="25">
        <f>SUM(C156:C157)</f>
        <v>39219</v>
      </c>
      <c r="D158" s="26">
        <f>SUM(D156:D157)</f>
        <v>191842</v>
      </c>
      <c r="E158" s="27">
        <f>D158/C158</f>
        <v>4.8915576633774442</v>
      </c>
      <c r="F158" s="17"/>
      <c r="G158" s="25">
        <f>SUM(G156:G157)</f>
        <v>29099</v>
      </c>
      <c r="H158" s="28">
        <f>(C158-G158)/C158</f>
        <v>0.25803819577245724</v>
      </c>
      <c r="J158" s="26">
        <f>J156+J157</f>
        <v>-46437.206900000005</v>
      </c>
      <c r="K158" s="29">
        <f>K154+J158</f>
        <v>-74582.348949311316</v>
      </c>
      <c r="L158" s="17"/>
      <c r="M158" s="27"/>
      <c r="N158" s="27"/>
      <c r="O158" s="27"/>
      <c r="P158" s="27"/>
    </row>
    <row r="159" spans="1:23" ht="3" customHeight="1">
      <c r="A159" s="42"/>
      <c r="B159" s="43"/>
      <c r="C159" s="44"/>
      <c r="D159" s="45"/>
      <c r="E159" s="46"/>
      <c r="F159" s="17"/>
      <c r="G159" s="44"/>
      <c r="H159" s="43"/>
      <c r="I159" s="45"/>
      <c r="J159" s="45"/>
      <c r="K159" s="47"/>
      <c r="L159" s="17"/>
      <c r="M159" s="48"/>
      <c r="N159" s="46"/>
      <c r="O159" s="46"/>
      <c r="P159" s="49"/>
    </row>
    <row r="160" spans="1:23">
      <c r="A160" s="23">
        <v>44166</v>
      </c>
      <c r="B160" s="24" t="s">
        <v>13</v>
      </c>
      <c r="C160" s="25">
        <v>48493</v>
      </c>
      <c r="D160" s="26">
        <v>169717</v>
      </c>
      <c r="E160" s="27">
        <f>D160/C160</f>
        <v>3.4998247169694596</v>
      </c>
      <c r="F160" s="17"/>
      <c r="G160" s="25">
        <v>44603</v>
      </c>
      <c r="H160" s="28">
        <f>(C160-G160)/C160</f>
        <v>8.0217763388530303E-2</v>
      </c>
      <c r="I160" s="26">
        <f>G160*P156</f>
        <v>222876.73070000001</v>
      </c>
      <c r="J160" s="26">
        <f>I160-D160</f>
        <v>53159.730700000015</v>
      </c>
      <c r="L160" s="17"/>
      <c r="M160" s="27"/>
      <c r="N160" s="27"/>
      <c r="O160" s="27"/>
      <c r="P160" s="27"/>
      <c r="R160" s="69"/>
    </row>
    <row r="161" spans="1:19" ht="13.95" customHeight="1">
      <c r="B161" s="24" t="s">
        <v>15</v>
      </c>
      <c r="C161" s="25">
        <v>22609</v>
      </c>
      <c r="D161" s="26">
        <v>197225</v>
      </c>
      <c r="E161" s="27">
        <f>D161/C161</f>
        <v>8.7232960325534084</v>
      </c>
      <c r="F161" s="17"/>
      <c r="G161" s="25">
        <v>22622</v>
      </c>
      <c r="H161" s="28">
        <f>(C161-G161)/C161</f>
        <v>-5.7499225971958067E-4</v>
      </c>
      <c r="I161" s="26">
        <f>G161*P156</f>
        <v>113039.87180000001</v>
      </c>
      <c r="J161" s="26">
        <f>I161-D161</f>
        <v>-84185.128199999992</v>
      </c>
      <c r="L161" s="17"/>
      <c r="M161" s="27"/>
      <c r="N161" s="27"/>
      <c r="O161" s="27"/>
      <c r="P161" s="27"/>
      <c r="R161" s="69"/>
    </row>
    <row r="162" spans="1:19">
      <c r="B162" s="24" t="s">
        <v>17</v>
      </c>
      <c r="C162" s="25">
        <f>SUM(C160:C161)</f>
        <v>71102</v>
      </c>
      <c r="D162" s="26">
        <f>SUM(D160:D161)</f>
        <v>366942</v>
      </c>
      <c r="E162" s="27">
        <f>D162/C162</f>
        <v>5.1607831003347302</v>
      </c>
      <c r="F162" s="17"/>
      <c r="G162" s="25">
        <f>SUM(G160:G161)</f>
        <v>67225</v>
      </c>
      <c r="H162" s="28">
        <f>(C162-G162)/C162</f>
        <v>5.4527298810160052E-2</v>
      </c>
      <c r="J162" s="26">
        <f>J160+J161</f>
        <v>-31025.397499999977</v>
      </c>
      <c r="K162" s="29">
        <f>K158+J162</f>
        <v>-105607.74644931129</v>
      </c>
      <c r="L162" s="17"/>
      <c r="M162" s="27"/>
      <c r="N162" s="27"/>
      <c r="O162" s="27"/>
      <c r="P162" s="27"/>
      <c r="R162" s="69"/>
      <c r="S162" s="25"/>
    </row>
    <row r="163" spans="1:19" ht="3" customHeight="1">
      <c r="A163" s="42"/>
      <c r="B163" s="43"/>
      <c r="C163" s="44"/>
      <c r="D163" s="45"/>
      <c r="E163" s="46"/>
      <c r="F163" s="17"/>
      <c r="G163" s="44"/>
      <c r="H163" s="43"/>
      <c r="I163" s="45"/>
      <c r="J163" s="45"/>
      <c r="K163" s="47"/>
      <c r="L163" s="17"/>
      <c r="M163" s="48"/>
      <c r="N163" s="46"/>
      <c r="O163" s="46"/>
      <c r="P163" s="49"/>
    </row>
    <row r="164" spans="1:19">
      <c r="A164" s="12">
        <v>44217</v>
      </c>
      <c r="B164" s="13" t="s">
        <v>13</v>
      </c>
      <c r="C164" s="14">
        <v>52693.5</v>
      </c>
      <c r="D164" s="15">
        <v>179379</v>
      </c>
      <c r="E164" s="16">
        <f>D164/C164</f>
        <v>3.4041959634490024</v>
      </c>
      <c r="F164" s="17"/>
      <c r="G164" s="14">
        <v>49939</v>
      </c>
      <c r="H164" s="18">
        <f>(C164-G164)/C164</f>
        <v>5.2273999639424217E-2</v>
      </c>
      <c r="I164" s="15">
        <f>G164*P156</f>
        <v>249540.18910000002</v>
      </c>
      <c r="J164" s="15">
        <f>I164-D164</f>
        <v>70161.189100000018</v>
      </c>
      <c r="K164" s="19"/>
      <c r="L164" s="17"/>
      <c r="M164" s="16"/>
      <c r="N164" s="16"/>
      <c r="O164" s="16"/>
      <c r="P164" s="16"/>
    </row>
    <row r="165" spans="1:19" ht="13.95" customHeight="1">
      <c r="B165" s="24" t="s">
        <v>15</v>
      </c>
      <c r="C165" s="25">
        <v>22378</v>
      </c>
      <c r="D165" s="26">
        <v>194959</v>
      </c>
      <c r="E165" s="27">
        <f>D165/C165</f>
        <v>8.712083296094379</v>
      </c>
      <c r="F165" s="17"/>
      <c r="G165" s="25">
        <v>22055</v>
      </c>
      <c r="H165" s="28">
        <f>(C165-G165)/C165</f>
        <v>1.4433818929305568E-2</v>
      </c>
      <c r="I165" s="26">
        <f>G165*P156</f>
        <v>110206.6295</v>
      </c>
      <c r="J165" s="26">
        <f>I165-D165</f>
        <v>-84752.370500000005</v>
      </c>
      <c r="L165" s="17"/>
      <c r="M165" s="27"/>
      <c r="N165" s="27"/>
      <c r="O165" s="27"/>
      <c r="P165" s="27"/>
    </row>
    <row r="166" spans="1:19">
      <c r="B166" s="24" t="s">
        <v>17</v>
      </c>
      <c r="C166" s="25">
        <f>SUM(C164:C165)</f>
        <v>75071.5</v>
      </c>
      <c r="D166" s="26">
        <f>SUM(D164:D165)</f>
        <v>374338</v>
      </c>
      <c r="E166" s="27">
        <f>D166/C166</f>
        <v>4.9864196133019858</v>
      </c>
      <c r="F166" s="17"/>
      <c r="G166" s="25">
        <f>SUM(G164:G165)</f>
        <v>71994</v>
      </c>
      <c r="H166" s="28">
        <f>(C166-G166)/C166</f>
        <v>4.0994252146287206E-2</v>
      </c>
      <c r="J166" s="26">
        <f>J164+J165</f>
        <v>-14591.181399999987</v>
      </c>
      <c r="K166" s="29">
        <f>K162+J166</f>
        <v>-120198.92784931128</v>
      </c>
      <c r="L166" s="17"/>
      <c r="M166" s="27"/>
      <c r="N166" s="27"/>
      <c r="O166" s="27"/>
      <c r="P166" s="27"/>
    </row>
    <row r="167" spans="1:19" s="41" customFormat="1" ht="3" customHeight="1">
      <c r="A167" s="32"/>
      <c r="B167" s="33"/>
      <c r="C167" s="34"/>
      <c r="D167" s="35"/>
      <c r="E167" s="36"/>
      <c r="F167" s="37"/>
      <c r="G167" s="34"/>
      <c r="H167" s="33"/>
      <c r="I167" s="35"/>
      <c r="J167" s="35"/>
      <c r="K167" s="38"/>
      <c r="L167" s="37"/>
      <c r="M167" s="39"/>
      <c r="N167" s="36"/>
      <c r="O167" s="36"/>
      <c r="P167" s="40"/>
    </row>
    <row r="168" spans="1:19">
      <c r="A168" s="23">
        <v>44228</v>
      </c>
      <c r="B168" s="24" t="s">
        <v>13</v>
      </c>
      <c r="C168" s="25">
        <v>51355.9</v>
      </c>
      <c r="D168" s="26">
        <v>211230</v>
      </c>
      <c r="E168" s="27">
        <f>D168/C168</f>
        <v>4.1130619850883736</v>
      </c>
      <c r="F168" s="17"/>
      <c r="G168" s="25">
        <v>51733</v>
      </c>
      <c r="H168" s="28">
        <f>(C168-G168)/C168</f>
        <v>-7.3428758915723129E-3</v>
      </c>
      <c r="I168" s="26">
        <f>G168*P168</f>
        <v>254153.88240000003</v>
      </c>
      <c r="J168" s="26">
        <f>I168-D168</f>
        <v>42923.882400000031</v>
      </c>
      <c r="L168" s="17"/>
      <c r="M168" s="27">
        <v>5.3089000000000004</v>
      </c>
      <c r="N168" s="27">
        <v>-0.39610000000000001</v>
      </c>
      <c r="O168" s="27"/>
      <c r="P168" s="27">
        <f>M168+N168+O168</f>
        <v>4.9128000000000007</v>
      </c>
    </row>
    <row r="169" spans="1:19" ht="13.95" customHeight="1">
      <c r="B169" s="24" t="s">
        <v>15</v>
      </c>
      <c r="C169" s="25">
        <v>27523</v>
      </c>
      <c r="D169" s="26">
        <v>252711</v>
      </c>
      <c r="E169" s="27">
        <f>D169/C169</f>
        <v>9.1818115757729899</v>
      </c>
      <c r="F169" s="17"/>
      <c r="G169" s="25">
        <v>25666.400000000001</v>
      </c>
      <c r="H169" s="28">
        <f>(C169-G169)/C169</f>
        <v>6.7456309268611653E-2</v>
      </c>
      <c r="I169" s="26">
        <f>G169*P168</f>
        <v>126093.88992000003</v>
      </c>
      <c r="J169" s="26">
        <f>I169-D169</f>
        <v>-126617.11007999997</v>
      </c>
      <c r="L169" s="17"/>
      <c r="M169" s="27"/>
      <c r="N169" s="27"/>
      <c r="O169" s="27"/>
      <c r="P169" s="27"/>
    </row>
    <row r="170" spans="1:19">
      <c r="B170" s="24" t="s">
        <v>17</v>
      </c>
      <c r="C170" s="25">
        <f>SUM(C168:C169)</f>
        <v>78878.899999999994</v>
      </c>
      <c r="D170" s="26">
        <f>SUM(D168:D169)</f>
        <v>463941</v>
      </c>
      <c r="E170" s="27">
        <f>D170/C170</f>
        <v>5.8816869910711231</v>
      </c>
      <c r="F170" s="17"/>
      <c r="G170" s="25">
        <f>SUM(G168:G169)</f>
        <v>77399.399999999994</v>
      </c>
      <c r="H170" s="28">
        <f>(C170-G170)/C170</f>
        <v>1.8756600307560073E-2</v>
      </c>
      <c r="J170" s="26">
        <f>J168+J169</f>
        <v>-83693.227679999938</v>
      </c>
      <c r="K170" s="29">
        <f>K166+J170</f>
        <v>-203892.15552931122</v>
      </c>
      <c r="L170" s="17"/>
      <c r="M170" s="27"/>
      <c r="N170" s="27"/>
      <c r="O170" s="27"/>
      <c r="P170" s="27"/>
    </row>
    <row r="171" spans="1:19" ht="3" customHeight="1">
      <c r="A171" s="42"/>
      <c r="B171" s="43"/>
      <c r="C171" s="44"/>
      <c r="D171" s="45"/>
      <c r="E171" s="46"/>
      <c r="F171" s="17"/>
      <c r="G171" s="44"/>
      <c r="H171" s="43"/>
      <c r="I171" s="45"/>
      <c r="J171" s="45"/>
      <c r="K171" s="47"/>
      <c r="L171" s="17"/>
      <c r="M171" s="48"/>
      <c r="N171" s="46"/>
      <c r="O171" s="46"/>
      <c r="P171" s="49"/>
    </row>
    <row r="172" spans="1:19">
      <c r="A172" s="23">
        <v>44256</v>
      </c>
      <c r="B172" s="24" t="s">
        <v>13</v>
      </c>
      <c r="C172" s="25">
        <v>31995.1</v>
      </c>
      <c r="D172" s="26">
        <v>120767</v>
      </c>
      <c r="E172" s="27">
        <f>D172/C172</f>
        <v>3.7745467274676439</v>
      </c>
      <c r="F172" s="17"/>
      <c r="G172" s="25">
        <v>31563</v>
      </c>
      <c r="H172" s="28">
        <f>(C172-G172)/C172</f>
        <v>1.3505192982675428E-2</v>
      </c>
      <c r="I172" s="26">
        <f>G172*P168</f>
        <v>155062.70640000002</v>
      </c>
      <c r="J172" s="26">
        <f>I172-D172</f>
        <v>34295.706400000025</v>
      </c>
      <c r="L172" s="17"/>
      <c r="M172" s="27"/>
      <c r="N172" s="27"/>
      <c r="O172" s="27"/>
      <c r="P172" s="27"/>
    </row>
    <row r="173" spans="1:19" ht="13.95" customHeight="1">
      <c r="B173" s="24" t="s">
        <v>15</v>
      </c>
      <c r="C173" s="25">
        <v>13893</v>
      </c>
      <c r="D173" s="26">
        <v>128340</v>
      </c>
      <c r="E173" s="27">
        <f>D173/C173</f>
        <v>9.2377456272943217</v>
      </c>
      <c r="F173" s="17"/>
      <c r="G173" s="25">
        <v>13571.6</v>
      </c>
      <c r="H173" s="28">
        <f>(C173-G173)/C173</f>
        <v>2.3133952350104344E-2</v>
      </c>
      <c r="I173" s="26">
        <f>G173*P168</f>
        <v>66674.556480000014</v>
      </c>
      <c r="J173" s="26">
        <f>I173-D173</f>
        <v>-61665.443519999986</v>
      </c>
      <c r="L173" s="17"/>
      <c r="M173" s="27"/>
      <c r="N173" s="27"/>
      <c r="O173" s="27"/>
      <c r="P173" s="27"/>
    </row>
    <row r="174" spans="1:19">
      <c r="B174" s="24" t="s">
        <v>17</v>
      </c>
      <c r="C174" s="25">
        <f>SUM(C172:C173)</f>
        <v>45888.1</v>
      </c>
      <c r="D174" s="26">
        <f>SUM(D172:D173)</f>
        <v>249107</v>
      </c>
      <c r="E174" s="27">
        <f>D174/C174</f>
        <v>5.4285751643672322</v>
      </c>
      <c r="F174" s="17"/>
      <c r="G174" s="25">
        <f>SUM(G172:G173)</f>
        <v>45134.6</v>
      </c>
      <c r="H174" s="28">
        <f>(C174-G174)/C174</f>
        <v>1.6420379139689811E-2</v>
      </c>
      <c r="J174" s="26">
        <f>J172+J173</f>
        <v>-27369.737119999962</v>
      </c>
      <c r="K174" s="29">
        <f>K170+J174</f>
        <v>-231261.89264931116</v>
      </c>
      <c r="L174" s="17"/>
      <c r="M174" s="27"/>
      <c r="N174" s="27"/>
      <c r="O174" s="27"/>
      <c r="P174" s="27"/>
    </row>
    <row r="175" spans="1:19" ht="3" customHeight="1">
      <c r="A175" s="42"/>
      <c r="B175" s="43"/>
      <c r="C175" s="44"/>
      <c r="D175" s="45"/>
      <c r="E175" s="46"/>
      <c r="F175" s="17"/>
      <c r="G175" s="44"/>
      <c r="H175" s="43"/>
      <c r="I175" s="45"/>
      <c r="J175" s="45"/>
      <c r="K175" s="47"/>
      <c r="L175" s="17"/>
      <c r="M175" s="48"/>
      <c r="N175" s="46"/>
      <c r="O175" s="46"/>
      <c r="P175" s="49"/>
    </row>
    <row r="176" spans="1:19">
      <c r="A176" s="23">
        <v>44287</v>
      </c>
      <c r="B176" s="24" t="s">
        <v>13</v>
      </c>
      <c r="C176" s="25">
        <v>23097</v>
      </c>
      <c r="D176" s="26">
        <v>72299</v>
      </c>
      <c r="E176" s="27">
        <f>D176/C176</f>
        <v>3.1302333636402997</v>
      </c>
      <c r="F176" s="17"/>
      <c r="G176" s="25">
        <v>22735</v>
      </c>
      <c r="H176" s="28">
        <f>(C176-G176)/C176</f>
        <v>1.5673031129583927E-2</v>
      </c>
      <c r="I176" s="26">
        <f>G176*P168</f>
        <v>111692.50800000002</v>
      </c>
      <c r="J176" s="26">
        <f>I176-D176</f>
        <v>39393.508000000016</v>
      </c>
      <c r="L176" s="17"/>
      <c r="M176" s="27"/>
      <c r="N176" s="27"/>
      <c r="O176" s="27"/>
      <c r="P176" s="27"/>
      <c r="R176" s="69"/>
    </row>
    <row r="177" spans="1:19">
      <c r="B177" s="24" t="s">
        <v>15</v>
      </c>
      <c r="C177" s="25">
        <v>9247</v>
      </c>
      <c r="D177" s="26">
        <v>95076</v>
      </c>
      <c r="E177" s="27">
        <f>D177/C177</f>
        <v>10.281821131177679</v>
      </c>
      <c r="F177" s="17"/>
      <c r="G177" s="25">
        <v>8986</v>
      </c>
      <c r="H177" s="28">
        <f>(C177-G177)/C177</f>
        <v>2.8225370390396885E-2</v>
      </c>
      <c r="I177" s="26">
        <f>G177*P168</f>
        <v>44146.420800000007</v>
      </c>
      <c r="J177" s="26">
        <f>I177-D177</f>
        <v>-50929.579199999993</v>
      </c>
      <c r="L177" s="17"/>
      <c r="M177" s="27"/>
      <c r="N177" s="27"/>
      <c r="O177" s="27"/>
      <c r="P177" s="27"/>
      <c r="R177" s="69"/>
    </row>
    <row r="178" spans="1:19">
      <c r="B178" s="24" t="s">
        <v>17</v>
      </c>
      <c r="C178" s="25">
        <f>SUM(C176:C177)</f>
        <v>32344</v>
      </c>
      <c r="D178" s="26">
        <f>SUM(D176:D177)</f>
        <v>167375</v>
      </c>
      <c r="E178" s="27">
        <f>D178/C178</f>
        <v>5.17483922829582</v>
      </c>
      <c r="F178" s="17"/>
      <c r="G178" s="25">
        <f>SUM(G176:G177)</f>
        <v>31721</v>
      </c>
      <c r="H178" s="28">
        <f>(C178-G178)/C178</f>
        <v>1.9261686866188475E-2</v>
      </c>
      <c r="J178" s="26">
        <f>J176+J177</f>
        <v>-11536.071199999977</v>
      </c>
      <c r="K178" s="29">
        <f>K174+J178</f>
        <v>-242797.96384931114</v>
      </c>
      <c r="L178" s="17"/>
      <c r="M178" s="27"/>
      <c r="N178" s="27"/>
      <c r="O178" s="27"/>
      <c r="P178" s="27"/>
      <c r="R178" s="69"/>
      <c r="S178" s="25"/>
    </row>
    <row r="179" spans="1:19" s="41" customFormat="1" ht="3" customHeight="1">
      <c r="A179" s="32"/>
      <c r="B179" s="33"/>
      <c r="C179" s="34"/>
      <c r="D179" s="35"/>
      <c r="E179" s="36"/>
      <c r="F179" s="37"/>
      <c r="G179" s="34"/>
      <c r="H179" s="33"/>
      <c r="I179" s="35"/>
      <c r="J179" s="35"/>
      <c r="K179" s="38"/>
      <c r="L179" s="37"/>
      <c r="M179" s="39"/>
      <c r="N179" s="36"/>
      <c r="O179" s="36"/>
      <c r="P179" s="40"/>
    </row>
    <row r="180" spans="1:19">
      <c r="A180" s="23">
        <v>44317</v>
      </c>
      <c r="B180" s="24" t="s">
        <v>13</v>
      </c>
      <c r="C180" s="25">
        <v>14410</v>
      </c>
      <c r="D180" s="26">
        <v>63361</v>
      </c>
      <c r="E180" s="27">
        <f>D180/C180</f>
        <v>4.3970159611380986</v>
      </c>
      <c r="F180" s="17"/>
      <c r="G180" s="25">
        <v>10473.299999999999</v>
      </c>
      <c r="H180" s="28">
        <f>(C180-G180)/C180</f>
        <v>0.27319222761970857</v>
      </c>
      <c r="I180" s="26">
        <f>G180*P180</f>
        <v>56657.411009999996</v>
      </c>
      <c r="J180" s="26">
        <f>I180-D180</f>
        <v>-6703.5889900000038</v>
      </c>
      <c r="L180" s="17"/>
      <c r="M180" s="27">
        <v>5.6539000000000001</v>
      </c>
      <c r="N180" s="27">
        <v>-0.2442</v>
      </c>
      <c r="O180" s="27"/>
      <c r="P180" s="27">
        <f>M180+N180+O180</f>
        <v>5.4097</v>
      </c>
    </row>
    <row r="181" spans="1:19">
      <c r="B181" s="24" t="s">
        <v>15</v>
      </c>
      <c r="C181" s="25">
        <v>3360</v>
      </c>
      <c r="D181" s="26">
        <v>34193</v>
      </c>
      <c r="E181" s="27">
        <f>D181/C181</f>
        <v>10.176488095238096</v>
      </c>
      <c r="F181" s="17"/>
      <c r="G181" s="25">
        <v>3263</v>
      </c>
      <c r="H181" s="28">
        <f>(C181-G181)/C181</f>
        <v>2.8869047619047621E-2</v>
      </c>
      <c r="I181" s="26">
        <f>G181*P180</f>
        <v>17651.8511</v>
      </c>
      <c r="J181" s="26">
        <f>I181-D181</f>
        <v>-16541.1489</v>
      </c>
      <c r="L181" s="17"/>
      <c r="M181" s="27"/>
      <c r="N181" s="27"/>
      <c r="O181" s="27"/>
      <c r="P181" s="27"/>
    </row>
    <row r="182" spans="1:19">
      <c r="B182" s="24" t="s">
        <v>17</v>
      </c>
      <c r="C182" s="25">
        <f>SUM(C180:C181)</f>
        <v>17770</v>
      </c>
      <c r="D182" s="26">
        <f>SUM(D180:D181)</f>
        <v>97554</v>
      </c>
      <c r="E182" s="27">
        <f>D182/C182</f>
        <v>5.4898142937535175</v>
      </c>
      <c r="F182" s="17"/>
      <c r="G182" s="25">
        <f>SUM(G180:G181)</f>
        <v>13736.3</v>
      </c>
      <c r="H182" s="28">
        <f>(C182-G182)/C182</f>
        <v>0.22699493528418688</v>
      </c>
      <c r="J182" s="26">
        <f>J180+J181</f>
        <v>-23244.737890000004</v>
      </c>
      <c r="K182" s="29">
        <f>K178+J182</f>
        <v>-266042.70173931116</v>
      </c>
      <c r="L182" s="17"/>
      <c r="M182" s="27"/>
      <c r="N182" s="27"/>
      <c r="O182" s="27"/>
      <c r="P182" s="27"/>
    </row>
    <row r="183" spans="1:19" ht="3" customHeight="1">
      <c r="A183" s="42"/>
      <c r="B183" s="43"/>
      <c r="C183" s="44"/>
      <c r="D183" s="45"/>
      <c r="E183" s="46"/>
      <c r="F183" s="81"/>
      <c r="G183" s="44"/>
      <c r="H183" s="43"/>
      <c r="I183" s="45"/>
      <c r="J183" s="45"/>
      <c r="K183" s="47"/>
      <c r="L183" s="81"/>
      <c r="M183" s="46"/>
      <c r="N183" s="46"/>
      <c r="O183" s="46"/>
      <c r="P183" s="49"/>
    </row>
    <row r="184" spans="1:19">
      <c r="A184" s="23">
        <v>44348</v>
      </c>
      <c r="B184" s="24" t="s">
        <v>13</v>
      </c>
      <c r="C184" s="25">
        <v>8491.1</v>
      </c>
      <c r="D184" s="26">
        <v>39510</v>
      </c>
      <c r="E184" s="27">
        <f>D184/C184</f>
        <v>4.6531073712475415</v>
      </c>
      <c r="F184" s="17"/>
      <c r="G184" s="25">
        <v>7576.5</v>
      </c>
      <c r="H184" s="28">
        <f>(C184-G184)/C184</f>
        <v>0.10771278161840048</v>
      </c>
      <c r="I184" s="26">
        <f>G184*P180</f>
        <v>40986.592049999999</v>
      </c>
      <c r="J184" s="26">
        <f>I184-D184</f>
        <v>1476.5920499999993</v>
      </c>
      <c r="L184" s="17"/>
      <c r="M184" s="27"/>
      <c r="N184" s="27"/>
      <c r="O184" s="27"/>
      <c r="P184" s="27"/>
      <c r="R184" s="69"/>
    </row>
    <row r="185" spans="1:19">
      <c r="B185" s="24" t="s">
        <v>15</v>
      </c>
      <c r="C185" s="25">
        <v>2400</v>
      </c>
      <c r="D185" s="26">
        <v>24661</v>
      </c>
      <c r="E185" s="27">
        <f>D185/C185</f>
        <v>10.275416666666667</v>
      </c>
      <c r="F185" s="17"/>
      <c r="G185" s="25">
        <v>1926.8</v>
      </c>
      <c r="H185" s="28">
        <f>(C185-G185)/C185</f>
        <v>0.19716666666666668</v>
      </c>
      <c r="I185" s="26">
        <f>G185*P180</f>
        <v>10423.409959999999</v>
      </c>
      <c r="J185" s="26">
        <f>I185-D185</f>
        <v>-14237.590040000001</v>
      </c>
      <c r="L185" s="17"/>
      <c r="M185" s="27"/>
      <c r="N185" s="27"/>
      <c r="O185" s="27"/>
      <c r="P185" s="27"/>
      <c r="R185" s="69"/>
    </row>
    <row r="186" spans="1:19">
      <c r="B186" s="24" t="s">
        <v>17</v>
      </c>
      <c r="C186" s="25">
        <f>SUM(C184:C185)</f>
        <v>10891.1</v>
      </c>
      <c r="D186" s="26">
        <f>SUM(D184:D185)</f>
        <v>64171</v>
      </c>
      <c r="E186" s="27">
        <f>D186/C186</f>
        <v>5.8920586533958916</v>
      </c>
      <c r="F186" s="17"/>
      <c r="G186" s="25">
        <f>SUM(G184:G185)</f>
        <v>9503.2999999999993</v>
      </c>
      <c r="H186" s="28">
        <f>(C186-G186)/C186</f>
        <v>0.12742514530212753</v>
      </c>
      <c r="J186" s="26">
        <f>J184+J185</f>
        <v>-12760.997990000002</v>
      </c>
      <c r="K186" s="29">
        <f>K182+J186</f>
        <v>-278803.69972931116</v>
      </c>
      <c r="L186" s="17"/>
      <c r="M186" s="27"/>
      <c r="N186" s="27"/>
      <c r="O186" s="27"/>
      <c r="P186" s="27"/>
      <c r="R186" s="69"/>
      <c r="S186" s="25"/>
    </row>
    <row r="187" spans="1:19" ht="3" customHeight="1">
      <c r="A187" s="42"/>
      <c r="B187" s="43"/>
      <c r="C187" s="44"/>
      <c r="D187" s="45"/>
      <c r="E187" s="46"/>
      <c r="F187" s="17"/>
      <c r="G187" s="44"/>
      <c r="H187" s="43"/>
      <c r="I187" s="45"/>
      <c r="J187" s="45"/>
      <c r="K187" s="47"/>
      <c r="L187" s="17"/>
      <c r="M187" s="48"/>
      <c r="N187" s="46"/>
      <c r="O187" s="46"/>
      <c r="P187" s="49"/>
    </row>
    <row r="188" spans="1:19">
      <c r="A188" s="23">
        <v>44378</v>
      </c>
      <c r="B188" s="24" t="s">
        <v>13</v>
      </c>
      <c r="C188" s="25">
        <v>6628.9</v>
      </c>
      <c r="D188" s="26">
        <v>43249</v>
      </c>
      <c r="E188" s="27">
        <f>D188/C188</f>
        <v>6.5243102173814664</v>
      </c>
      <c r="F188" s="17"/>
      <c r="G188" s="25">
        <v>5432.5</v>
      </c>
      <c r="H188" s="28">
        <f>(C188-G188)/C188</f>
        <v>0.1804824329828478</v>
      </c>
      <c r="I188" s="26">
        <f>G188*P180</f>
        <v>29388.195250000001</v>
      </c>
      <c r="J188" s="26">
        <f>I188-D188</f>
        <v>-13860.804749999999</v>
      </c>
      <c r="L188" s="17"/>
      <c r="M188" s="27"/>
      <c r="N188" s="27"/>
      <c r="O188" s="27"/>
      <c r="P188" s="27"/>
    </row>
    <row r="189" spans="1:19">
      <c r="B189" s="24" t="s">
        <v>15</v>
      </c>
      <c r="C189" s="25">
        <v>2126</v>
      </c>
      <c r="D189" s="26">
        <v>23127</v>
      </c>
      <c r="E189" s="27">
        <f>D189/C189</f>
        <v>10.878174976481656</v>
      </c>
      <c r="F189" s="17"/>
      <c r="G189" s="25">
        <v>1404</v>
      </c>
      <c r="H189" s="28">
        <f>(C189-G189)/C189</f>
        <v>0.33960489181561621</v>
      </c>
      <c r="I189" s="26">
        <f>G189*P180</f>
        <v>7595.2187999999996</v>
      </c>
      <c r="J189" s="26">
        <f>I189-D189</f>
        <v>-15531.781200000001</v>
      </c>
      <c r="L189" s="17"/>
      <c r="M189" s="27"/>
      <c r="N189" s="27"/>
      <c r="O189" s="27"/>
      <c r="P189" s="27"/>
    </row>
    <row r="190" spans="1:19">
      <c r="B190" s="24" t="s">
        <v>17</v>
      </c>
      <c r="C190" s="25">
        <f>SUM(C188:C189)</f>
        <v>8754.9</v>
      </c>
      <c r="D190" s="26">
        <f>SUM(D188:D189)</f>
        <v>66376</v>
      </c>
      <c r="E190" s="27">
        <f>D190/C190</f>
        <v>7.5815828850129643</v>
      </c>
      <c r="F190" s="17"/>
      <c r="G190" s="25">
        <f>SUM(G188:G189)</f>
        <v>6836.5</v>
      </c>
      <c r="H190" s="28">
        <f>(C190-G190)/C190</f>
        <v>0.21912300540268875</v>
      </c>
      <c r="J190" s="26">
        <f>J188+J189</f>
        <v>-29392.585950000001</v>
      </c>
      <c r="K190" s="29">
        <f>K186+J190</f>
        <v>-308196.28567931114</v>
      </c>
      <c r="L190" s="17"/>
      <c r="M190" s="27"/>
      <c r="N190" s="27"/>
      <c r="O190" s="27"/>
      <c r="P190" s="27"/>
    </row>
    <row r="191" spans="1:19" s="41" customFormat="1" ht="3" customHeight="1">
      <c r="A191" s="32"/>
      <c r="B191" s="33"/>
      <c r="C191" s="34"/>
      <c r="D191" s="35"/>
      <c r="E191" s="36"/>
      <c r="F191" s="37"/>
      <c r="G191" s="34"/>
      <c r="H191" s="33"/>
      <c r="I191" s="35"/>
      <c r="J191" s="35"/>
      <c r="K191" s="38"/>
      <c r="L191" s="37"/>
      <c r="M191" s="39"/>
      <c r="N191" s="36"/>
      <c r="O191" s="36"/>
      <c r="P191" s="40"/>
    </row>
    <row r="192" spans="1:19">
      <c r="A192" s="23">
        <v>44409</v>
      </c>
      <c r="B192" s="24" t="s">
        <v>13</v>
      </c>
      <c r="C192" s="25">
        <v>6095.5</v>
      </c>
      <c r="D192" s="26">
        <v>46911</v>
      </c>
      <c r="E192" s="27">
        <f>D192/C192</f>
        <v>7.6960052497744238</v>
      </c>
      <c r="F192" s="17"/>
      <c r="G192" s="25">
        <v>5445.3</v>
      </c>
      <c r="H192" s="28">
        <f>(C192-G192)/C192</f>
        <v>0.10666885407267654</v>
      </c>
      <c r="I192" s="26">
        <f>G192*P192</f>
        <v>37500.147510000003</v>
      </c>
      <c r="J192" s="26">
        <f>I192-D192</f>
        <v>-9410.8524899999975</v>
      </c>
      <c r="L192" s="17"/>
      <c r="M192" s="27">
        <v>6.6717000000000004</v>
      </c>
      <c r="N192" s="27">
        <v>0.215</v>
      </c>
      <c r="O192" s="27"/>
      <c r="P192" s="27">
        <f>M192+N192+O192</f>
        <v>6.8867000000000003</v>
      </c>
    </row>
    <row r="193" spans="1:23">
      <c r="B193" s="24" t="s">
        <v>15</v>
      </c>
      <c r="C193" s="25">
        <v>1761</v>
      </c>
      <c r="D193" s="26">
        <v>19591</v>
      </c>
      <c r="E193" s="27">
        <f>D193/C193</f>
        <v>11.124929017603634</v>
      </c>
      <c r="F193" s="17"/>
      <c r="G193" s="25">
        <v>1300.3</v>
      </c>
      <c r="H193" s="28">
        <f>(C193-G193)/C193</f>
        <v>0.26161272004542874</v>
      </c>
      <c r="I193" s="26">
        <f>G193*P192</f>
        <v>8954.7760099999996</v>
      </c>
      <c r="J193" s="26">
        <f>I193-D193</f>
        <v>-10636.22399</v>
      </c>
      <c r="L193" s="17"/>
      <c r="M193" s="27"/>
      <c r="N193" s="27"/>
      <c r="O193" s="27"/>
      <c r="P193" s="27"/>
    </row>
    <row r="194" spans="1:23">
      <c r="B194" s="24" t="s">
        <v>17</v>
      </c>
      <c r="C194" s="25">
        <f>SUM(C192:C193)</f>
        <v>7856.5</v>
      </c>
      <c r="D194" s="26">
        <f>SUM(D192:D193)</f>
        <v>66502</v>
      </c>
      <c r="E194" s="27">
        <f>D194/C194</f>
        <v>8.4645834659199384</v>
      </c>
      <c r="F194" s="17"/>
      <c r="G194" s="25">
        <f>SUM(G192:G193)</f>
        <v>6745.6</v>
      </c>
      <c r="H194" s="28">
        <f>(C194-G194)/C194</f>
        <v>0.14139884172341369</v>
      </c>
      <c r="J194" s="26">
        <f>J192+J193</f>
        <v>-20047.076479999996</v>
      </c>
      <c r="K194" s="29">
        <f>K190+J194</f>
        <v>-328243.36215931113</v>
      </c>
      <c r="L194" s="17"/>
      <c r="M194" s="27"/>
      <c r="N194" s="27"/>
      <c r="O194" s="27"/>
      <c r="P194" s="27"/>
    </row>
    <row r="195" spans="1:23" ht="3" customHeight="1">
      <c r="A195" s="42"/>
      <c r="B195" s="43"/>
      <c r="C195" s="44"/>
      <c r="D195" s="45"/>
      <c r="E195" s="46"/>
      <c r="F195" s="17"/>
      <c r="G195" s="44"/>
      <c r="H195" s="43"/>
      <c r="I195" s="45"/>
      <c r="J195" s="45"/>
      <c r="K195" s="47"/>
      <c r="L195" s="17"/>
      <c r="M195" s="48"/>
      <c r="N195" s="46"/>
      <c r="O195" s="46"/>
      <c r="P195" s="49"/>
    </row>
    <row r="196" spans="1:23">
      <c r="A196" s="23">
        <v>44440</v>
      </c>
      <c r="B196" s="24" t="s">
        <v>13</v>
      </c>
      <c r="C196" s="25">
        <v>7793.7</v>
      </c>
      <c r="D196" s="26">
        <v>36623</v>
      </c>
      <c r="E196" s="27">
        <f>D196/C196</f>
        <v>4.6990517982473028</v>
      </c>
      <c r="F196" s="17"/>
      <c r="G196" s="25">
        <v>6279</v>
      </c>
      <c r="H196" s="28">
        <f>(C196-G196)/C196</f>
        <v>0.19434928211247543</v>
      </c>
      <c r="I196" s="26">
        <f>G196*P192</f>
        <v>43241.5893</v>
      </c>
      <c r="J196" s="26">
        <f>I196-D196</f>
        <v>6618.5892999999996</v>
      </c>
      <c r="L196" s="17"/>
      <c r="M196" s="27"/>
      <c r="N196" s="27"/>
      <c r="O196" s="27"/>
      <c r="P196" s="27"/>
      <c r="T196" s="82"/>
      <c r="U196" s="83"/>
    </row>
    <row r="197" spans="1:23">
      <c r="B197" s="24" t="s">
        <v>15</v>
      </c>
      <c r="C197" s="25">
        <v>2065</v>
      </c>
      <c r="D197" s="26">
        <v>24112</v>
      </c>
      <c r="E197" s="27">
        <f>D197/C197</f>
        <v>11.676513317191283</v>
      </c>
      <c r="F197" s="17"/>
      <c r="G197" s="25">
        <v>1565</v>
      </c>
      <c r="H197" s="28">
        <f>(C197-G197)/C197</f>
        <v>0.24213075060532688</v>
      </c>
      <c r="I197" s="26">
        <f>G197*P192</f>
        <v>10777.6855</v>
      </c>
      <c r="J197" s="26">
        <f>I197-D197</f>
        <v>-13334.3145</v>
      </c>
      <c r="L197" s="17"/>
      <c r="M197" s="27"/>
      <c r="N197" s="27"/>
      <c r="O197" s="27"/>
      <c r="P197" s="27"/>
    </row>
    <row r="198" spans="1:23">
      <c r="B198" s="24" t="s">
        <v>17</v>
      </c>
      <c r="C198" s="25">
        <f>SUM(C196:C197)</f>
        <v>9858.7000000000007</v>
      </c>
      <c r="D198" s="26">
        <f>SUM(D196:D197)</f>
        <v>60735</v>
      </c>
      <c r="E198" s="27">
        <f>D198/C198</f>
        <v>6.1605485510259967</v>
      </c>
      <c r="F198" s="17"/>
      <c r="G198" s="25">
        <f>SUM(G196:G197)</f>
        <v>7844</v>
      </c>
      <c r="H198" s="28">
        <f>(C198-G198)/C198</f>
        <v>0.20435757249941683</v>
      </c>
      <c r="J198" s="26">
        <f>J196+J197</f>
        <v>-6715.7252000000008</v>
      </c>
      <c r="K198" s="29">
        <f>K194+J198</f>
        <v>-334959.08735931112</v>
      </c>
      <c r="L198" s="17"/>
      <c r="M198" s="27"/>
      <c r="N198" s="27"/>
      <c r="O198" s="27"/>
      <c r="P198" s="27"/>
    </row>
    <row r="199" spans="1:23" ht="3" customHeight="1">
      <c r="A199" s="42"/>
      <c r="B199" s="43"/>
      <c r="C199" s="44"/>
      <c r="D199" s="45"/>
      <c r="E199" s="46"/>
      <c r="F199" s="17"/>
      <c r="G199" s="44"/>
      <c r="H199" s="43"/>
      <c r="I199" s="45"/>
      <c r="J199" s="45"/>
      <c r="K199" s="47"/>
      <c r="L199" s="17"/>
      <c r="M199" s="48"/>
      <c r="N199" s="46"/>
      <c r="O199" s="46"/>
      <c r="P199" s="49"/>
    </row>
    <row r="200" spans="1:23" ht="14.4">
      <c r="A200" s="23">
        <v>44470</v>
      </c>
      <c r="B200" s="24" t="s">
        <v>13</v>
      </c>
      <c r="C200" s="25">
        <v>12478.4</v>
      </c>
      <c r="D200" s="251">
        <f>98195+5463</f>
        <v>103658</v>
      </c>
      <c r="E200" s="27">
        <f t="shared" ref="E200:E206" si="6">D200/C200</f>
        <v>8.3069944864726253</v>
      </c>
      <c r="F200" s="17"/>
      <c r="G200" s="25">
        <v>8492.2000000000007</v>
      </c>
      <c r="H200" s="28">
        <f>(C200-G200)/C200</f>
        <v>0.31944800615463514</v>
      </c>
      <c r="I200" s="26">
        <f>G200*P192</f>
        <v>58483.233740000011</v>
      </c>
      <c r="J200" s="26">
        <f>I200-D200</f>
        <v>-45174.766259999989</v>
      </c>
      <c r="L200" s="17"/>
      <c r="M200" s="27"/>
      <c r="N200" s="27"/>
      <c r="O200" s="27"/>
      <c r="P200" s="27"/>
      <c r="R200" s="31" t="s">
        <v>218</v>
      </c>
      <c r="T200" s="84"/>
      <c r="U200" s="85"/>
    </row>
    <row r="201" spans="1:23">
      <c r="B201" s="24" t="s">
        <v>15</v>
      </c>
      <c r="C201" s="25">
        <v>3127</v>
      </c>
      <c r="D201" s="26">
        <v>41142</v>
      </c>
      <c r="E201" s="27">
        <f t="shared" si="6"/>
        <v>13.157019507515191</v>
      </c>
      <c r="F201" s="17"/>
      <c r="G201" s="25">
        <v>2409</v>
      </c>
      <c r="H201" s="28">
        <f>(C201-G201)/C201</f>
        <v>0.22961304764950433</v>
      </c>
      <c r="I201" s="26">
        <f>G201*P192</f>
        <v>16590.060300000001</v>
      </c>
      <c r="J201" s="26">
        <f>I201-D201</f>
        <v>-24551.939699999999</v>
      </c>
      <c r="L201" s="17"/>
      <c r="M201" s="27"/>
      <c r="N201" s="27"/>
      <c r="O201" s="27"/>
      <c r="P201" s="27"/>
    </row>
    <row r="202" spans="1:23">
      <c r="B202" s="24" t="s">
        <v>17</v>
      </c>
      <c r="C202" s="25">
        <f>SUM(C200:C201)</f>
        <v>15605.4</v>
      </c>
      <c r="D202" s="26">
        <f>SUM(D200:D201)</f>
        <v>144800</v>
      </c>
      <c r="E202" s="27">
        <f t="shared" si="6"/>
        <v>9.278839376113396</v>
      </c>
      <c r="F202" s="17"/>
      <c r="G202" s="25">
        <f>SUM(G200:G201)</f>
        <v>10901.2</v>
      </c>
      <c r="H202" s="28">
        <f>(C202-G202)/C202</f>
        <v>0.30144693503530823</v>
      </c>
      <c r="J202" s="26">
        <f>J200+J201</f>
        <v>-69726.705959999992</v>
      </c>
      <c r="K202" s="29">
        <f>K198+J202</f>
        <v>-404685.79331931111</v>
      </c>
      <c r="L202" s="17"/>
      <c r="M202" s="53" t="s">
        <v>107</v>
      </c>
      <c r="N202" s="53" t="s">
        <v>22</v>
      </c>
      <c r="O202" s="27"/>
      <c r="P202" s="27"/>
      <c r="W202" s="26"/>
    </row>
    <row r="203" spans="1:23" ht="6" customHeight="1">
      <c r="F203" s="17"/>
      <c r="H203" s="28"/>
      <c r="L203" s="17"/>
      <c r="M203" s="27"/>
      <c r="N203" s="27"/>
      <c r="O203" s="27"/>
      <c r="P203" s="27"/>
      <c r="W203" s="26"/>
    </row>
    <row r="204" spans="1:23">
      <c r="A204" s="55" t="s">
        <v>106</v>
      </c>
      <c r="B204" s="56"/>
      <c r="C204" s="56">
        <f t="shared" ref="C204:D206" si="7">SUM(C156,C160,C164,C168,C172,C176,C180,C184,C188,C192,C196,C200)</f>
        <v>293077.10000000003</v>
      </c>
      <c r="D204" s="57">
        <f t="shared" si="7"/>
        <v>1191993</v>
      </c>
      <c r="E204" s="58">
        <f t="shared" si="6"/>
        <v>4.0671652612913114</v>
      </c>
      <c r="F204" s="17"/>
      <c r="G204" s="56">
        <f>SUM(G156,G160,G164,G168,G172,G176,G180,G184,G188,G192,G196,G200)</f>
        <v>264780.79999999999</v>
      </c>
      <c r="H204" s="59">
        <f>(C204-G204)/C204</f>
        <v>9.6548996833939069E-2</v>
      </c>
      <c r="I204" s="57">
        <f>SUM(I156,I160,I164,I168,I172,I176,I180,I184,I188,I192,I196,I200)</f>
        <v>1362064.6075600004</v>
      </c>
      <c r="J204" s="57">
        <f>E204*(N204+N205)</f>
        <v>18059.060170201567</v>
      </c>
      <c r="K204" s="54" t="s">
        <v>22</v>
      </c>
      <c r="L204" s="17"/>
      <c r="M204" s="60">
        <f>G204/(1-$R$326)</f>
        <v>286249.51351351349</v>
      </c>
      <c r="N204" s="60">
        <f>C204-M204</f>
        <v>6827.5864864865434</v>
      </c>
    </row>
    <row r="205" spans="1:23">
      <c r="A205" s="61"/>
      <c r="B205" s="62" t="s">
        <v>15</v>
      </c>
      <c r="C205" s="56">
        <f t="shared" si="7"/>
        <v>120163</v>
      </c>
      <c r="D205" s="57">
        <f t="shared" si="7"/>
        <v>1121690</v>
      </c>
      <c r="E205" s="58">
        <f t="shared" si="6"/>
        <v>9.3347369822657562</v>
      </c>
      <c r="F205" s="17"/>
      <c r="G205" s="56">
        <f>SUM(G157,G161,G165,G169,G173,G177,G181,G185,G189,G193,G197,G201)</f>
        <v>113359.1</v>
      </c>
      <c r="H205" s="59">
        <f t="shared" ref="H205:H206" si="8">(C205-G205)/C205</f>
        <v>5.6622254770603217E-2</v>
      </c>
      <c r="I205" s="57">
        <f>SUM(I157,I161,I165,I169,I173,I177,I181,I185,I189,I193,I197,I201)</f>
        <v>575077.74117000017</v>
      </c>
      <c r="J205" s="57"/>
      <c r="L205" s="17"/>
      <c r="M205" s="60">
        <f>G205/(1-$R$326)</f>
        <v>122550.37837837837</v>
      </c>
      <c r="N205" s="60">
        <f>C205-M205</f>
        <v>-2387.3783783783729</v>
      </c>
      <c r="R205" s="69"/>
      <c r="S205" s="25"/>
    </row>
    <row r="206" spans="1:23">
      <c r="A206" s="61"/>
      <c r="B206" s="62" t="s">
        <v>17</v>
      </c>
      <c r="C206" s="56">
        <f t="shared" si="7"/>
        <v>413240.10000000003</v>
      </c>
      <c r="D206" s="57">
        <f t="shared" si="7"/>
        <v>2313683</v>
      </c>
      <c r="E206" s="58">
        <f t="shared" si="6"/>
        <v>5.5988830706410146</v>
      </c>
      <c r="F206" s="17"/>
      <c r="G206" s="56">
        <f>SUM(G158,G162,G166,G170,G174,G178,G182,G186,G190,G194,G198,G202)</f>
        <v>378139.89999999997</v>
      </c>
      <c r="H206" s="59">
        <f t="shared" si="8"/>
        <v>8.4938997933646967E-2</v>
      </c>
      <c r="I206" s="57">
        <f>SUM(I156,I160,I164,I168,I172,I176,I180,I185,I190,I194,I198,I202)</f>
        <v>1162888.2596700001</v>
      </c>
      <c r="J206" s="57">
        <f>SUM(J204:J205)</f>
        <v>18059.060170201567</v>
      </c>
      <c r="K206" s="70">
        <f>K202+J206</f>
        <v>-386626.73314910952</v>
      </c>
      <c r="L206" s="17"/>
      <c r="M206" s="60">
        <f>G206/(1-$R$326)</f>
        <v>408799.89189189184</v>
      </c>
      <c r="N206" s="60">
        <f>C206-M206</f>
        <v>4440.2081081081997</v>
      </c>
      <c r="R206" s="64">
        <f>N206*E206</f>
        <v>24860.206006609966</v>
      </c>
      <c r="S206" s="65" t="s">
        <v>25</v>
      </c>
    </row>
    <row r="207" spans="1:23" s="41" customFormat="1" ht="6" customHeight="1">
      <c r="A207" s="32"/>
      <c r="B207" s="33"/>
      <c r="C207" s="34"/>
      <c r="D207" s="35"/>
      <c r="E207" s="36"/>
      <c r="F207" s="37"/>
      <c r="G207" s="34"/>
      <c r="H207" s="33"/>
      <c r="I207" s="35"/>
      <c r="J207" s="35"/>
      <c r="K207" s="38"/>
      <c r="L207" s="37"/>
      <c r="M207" s="66"/>
      <c r="N207" s="67"/>
      <c r="O207" s="67"/>
      <c r="P207" s="68"/>
    </row>
    <row r="208" spans="1:23" ht="14.4">
      <c r="A208" s="23">
        <v>44501</v>
      </c>
      <c r="B208" s="24" t="s">
        <v>13</v>
      </c>
      <c r="C208" s="25">
        <v>36247.800000000003</v>
      </c>
      <c r="D208" s="26">
        <v>277808.59999999998</v>
      </c>
      <c r="E208" s="27">
        <f>D208/C208</f>
        <v>7.6641506519016316</v>
      </c>
      <c r="F208" s="17"/>
      <c r="G208" s="25">
        <v>28082</v>
      </c>
      <c r="H208" s="28">
        <f>(C208-G208)/C208</f>
        <v>0.22527712026660934</v>
      </c>
      <c r="I208" s="26">
        <f>G208*P208</f>
        <v>240393.15279999998</v>
      </c>
      <c r="J208" s="26">
        <f>I208-D208</f>
        <v>-37415.447199999995</v>
      </c>
      <c r="L208" s="17"/>
      <c r="M208" s="27">
        <v>8.3378999999999994</v>
      </c>
      <c r="N208" s="27">
        <v>0.2225</v>
      </c>
      <c r="O208" s="27"/>
      <c r="P208" s="27">
        <f>SUM(M208:O208)</f>
        <v>8.5603999999999996</v>
      </c>
      <c r="T208" s="84"/>
      <c r="U208" s="85"/>
    </row>
    <row r="209" spans="1:22">
      <c r="B209" s="24" t="s">
        <v>15</v>
      </c>
      <c r="C209" s="25">
        <v>14788</v>
      </c>
      <c r="D209" s="26">
        <v>208825</v>
      </c>
      <c r="E209" s="27">
        <f>D209/C209</f>
        <v>14.121246956992156</v>
      </c>
      <c r="F209" s="17"/>
      <c r="G209" s="25">
        <v>11273</v>
      </c>
      <c r="H209" s="28">
        <f>(C209-G209)/C209</f>
        <v>0.23769272383013254</v>
      </c>
      <c r="I209" s="26">
        <f>G209*P208</f>
        <v>96501.389199999991</v>
      </c>
      <c r="J209" s="26">
        <f>I209-D209</f>
        <v>-112323.61080000001</v>
      </c>
      <c r="L209" s="17"/>
      <c r="M209" s="27"/>
      <c r="N209" s="27"/>
      <c r="O209" s="27"/>
      <c r="P209" s="27"/>
    </row>
    <row r="210" spans="1:22">
      <c r="B210" s="24" t="s">
        <v>17</v>
      </c>
      <c r="C210" s="25">
        <f>SUM(C208:C209)</f>
        <v>51035.8</v>
      </c>
      <c r="D210" s="26">
        <f>SUM(D208:D209)</f>
        <v>486633.6</v>
      </c>
      <c r="E210" s="27">
        <f>D210/C210</f>
        <v>9.535141998361933</v>
      </c>
      <c r="F210" s="17"/>
      <c r="G210" s="25">
        <f>SUM(G208:G209)</f>
        <v>39355</v>
      </c>
      <c r="H210" s="28">
        <f>(C210-G210)/C210</f>
        <v>0.22887463310068623</v>
      </c>
      <c r="J210" s="26">
        <f>J208+J209</f>
        <v>-149739.05800000002</v>
      </c>
      <c r="K210" s="29">
        <f>K206+J210</f>
        <v>-536365.7911491096</v>
      </c>
      <c r="L210" s="17"/>
      <c r="M210" s="27"/>
      <c r="N210" s="27"/>
      <c r="O210" s="27"/>
      <c r="P210" s="27"/>
    </row>
    <row r="211" spans="1:22" ht="3" customHeight="1">
      <c r="A211" s="42"/>
      <c r="B211" s="43"/>
      <c r="C211" s="44"/>
      <c r="D211" s="45"/>
      <c r="E211" s="46"/>
      <c r="F211" s="17"/>
      <c r="G211" s="44"/>
      <c r="H211" s="43"/>
      <c r="I211" s="45"/>
      <c r="J211" s="45"/>
      <c r="K211" s="47"/>
      <c r="L211" s="17"/>
      <c r="M211" s="48"/>
      <c r="N211" s="46"/>
      <c r="O211" s="46"/>
      <c r="P211" s="49"/>
    </row>
    <row r="212" spans="1:22" ht="14.4">
      <c r="A212" s="23">
        <v>44531</v>
      </c>
      <c r="B212" s="24" t="s">
        <v>13</v>
      </c>
      <c r="C212" s="25">
        <v>36232.699999999997</v>
      </c>
      <c r="D212" s="26">
        <v>267226.93</v>
      </c>
      <c r="E212" s="27">
        <f>D212/C212</f>
        <v>7.3752971763075896</v>
      </c>
      <c r="F212" s="17"/>
      <c r="G212" s="25">
        <v>36613</v>
      </c>
      <c r="H212" s="28">
        <f>(C212-G212)/C212</f>
        <v>-1.0496043629097554E-2</v>
      </c>
      <c r="I212" s="26">
        <f>G212*P208</f>
        <v>313421.9252</v>
      </c>
      <c r="J212" s="26">
        <f>I212-D212</f>
        <v>46194.995200000005</v>
      </c>
      <c r="L212" s="17"/>
      <c r="M212" s="27"/>
      <c r="N212" s="27"/>
      <c r="O212" s="27"/>
      <c r="P212" s="27"/>
      <c r="R212" s="69"/>
      <c r="T212" s="84"/>
      <c r="U212" s="85"/>
    </row>
    <row r="213" spans="1:22">
      <c r="B213" s="24" t="s">
        <v>15</v>
      </c>
      <c r="C213" s="25">
        <v>14143</v>
      </c>
      <c r="D213" s="26">
        <v>188557</v>
      </c>
      <c r="E213" s="27">
        <f>D213/C213</f>
        <v>13.33217846284381</v>
      </c>
      <c r="F213" s="17"/>
      <c r="G213" s="25">
        <v>16395</v>
      </c>
      <c r="H213" s="28">
        <f>(C213-G213)/C213</f>
        <v>-0.15923071484126422</v>
      </c>
      <c r="I213" s="26">
        <f>G213*P208</f>
        <v>140347.758</v>
      </c>
      <c r="J213" s="26">
        <f>I213-D213</f>
        <v>-48209.241999999998</v>
      </c>
      <c r="L213" s="17"/>
      <c r="M213" s="27"/>
      <c r="N213" s="27"/>
      <c r="O213" s="27"/>
      <c r="P213" s="27"/>
      <c r="R213" s="69"/>
    </row>
    <row r="214" spans="1:22">
      <c r="B214" s="24" t="s">
        <v>17</v>
      </c>
      <c r="C214" s="25">
        <f>SUM(C212:C213)</f>
        <v>50375.7</v>
      </c>
      <c r="D214" s="26">
        <f>SUM(D212:D213)</f>
        <v>455783.93</v>
      </c>
      <c r="E214" s="27">
        <f>D214/C214</f>
        <v>9.0476942255889252</v>
      </c>
      <c r="F214" s="17"/>
      <c r="G214" s="25">
        <f>SUM(G212:G213)</f>
        <v>53008</v>
      </c>
      <c r="H214" s="28">
        <f>(C214-G214)/C214</f>
        <v>-5.2253368191409806E-2</v>
      </c>
      <c r="J214" s="26">
        <f>J212+J213</f>
        <v>-2014.2467999999935</v>
      </c>
      <c r="K214" s="29">
        <f>K210+J214</f>
        <v>-538380.03794910957</v>
      </c>
      <c r="L214" s="17"/>
      <c r="M214" s="27"/>
      <c r="N214" s="27"/>
      <c r="O214" s="27"/>
      <c r="P214" s="27"/>
      <c r="R214" s="69"/>
      <c r="S214" s="25"/>
      <c r="T214" s="82"/>
      <c r="U214" s="83"/>
    </row>
    <row r="215" spans="1:22" ht="3" customHeight="1">
      <c r="A215" s="42"/>
      <c r="B215" s="43"/>
      <c r="C215" s="44"/>
      <c r="D215" s="45"/>
      <c r="E215" s="46"/>
      <c r="F215" s="17"/>
      <c r="G215" s="44"/>
      <c r="H215" s="43"/>
      <c r="I215" s="45"/>
      <c r="J215" s="45"/>
      <c r="K215" s="47"/>
      <c r="L215" s="17"/>
      <c r="M215" s="48"/>
      <c r="N215" s="46"/>
      <c r="O215" s="46"/>
      <c r="P215" s="49"/>
    </row>
    <row r="216" spans="1:22" ht="14.4">
      <c r="A216" s="12">
        <v>44562</v>
      </c>
      <c r="B216" s="13" t="s">
        <v>13</v>
      </c>
      <c r="C216" s="14">
        <v>59511.8</v>
      </c>
      <c r="D216" s="15">
        <v>301603.62</v>
      </c>
      <c r="E216" s="16">
        <f>D216/C216</f>
        <v>5.0679633282811141</v>
      </c>
      <c r="F216" s="17"/>
      <c r="G216" s="14">
        <v>48801</v>
      </c>
      <c r="H216" s="18">
        <f>(C216-G216)/C216</f>
        <v>0.17997775231130636</v>
      </c>
      <c r="I216" s="15">
        <f>G216*P208</f>
        <v>417756.08039999998</v>
      </c>
      <c r="J216" s="15">
        <f>I216-D216</f>
        <v>116152.46039999998</v>
      </c>
      <c r="K216" s="19"/>
      <c r="L216" s="17"/>
      <c r="M216" s="16"/>
      <c r="N216" s="16"/>
      <c r="O216" s="16"/>
      <c r="P216" s="16"/>
      <c r="R216" s="86"/>
      <c r="S216" s="86"/>
      <c r="T216" s="84"/>
      <c r="U216" s="85"/>
    </row>
    <row r="217" spans="1:22" ht="14.4">
      <c r="B217" s="24" t="s">
        <v>15</v>
      </c>
      <c r="C217" s="25">
        <v>22438</v>
      </c>
      <c r="D217" s="26">
        <v>255305</v>
      </c>
      <c r="E217" s="27">
        <f>D217/C217</f>
        <v>11.378242267581781</v>
      </c>
      <c r="F217" s="17"/>
      <c r="G217" s="25">
        <v>22579</v>
      </c>
      <c r="H217" s="28">
        <f>(C217-G217)/C217</f>
        <v>-6.2839825296372226E-3</v>
      </c>
      <c r="I217" s="26">
        <f>G217*P208</f>
        <v>193285.27159999998</v>
      </c>
      <c r="J217" s="26">
        <f>I217-D217</f>
        <v>-62019.728400000022</v>
      </c>
      <c r="L217" s="17"/>
      <c r="M217" s="27"/>
      <c r="N217" s="27"/>
      <c r="O217" s="27"/>
      <c r="P217" s="27"/>
      <c r="R217" s="86"/>
      <c r="S217" s="86"/>
    </row>
    <row r="218" spans="1:22">
      <c r="B218" s="24" t="s">
        <v>17</v>
      </c>
      <c r="C218" s="25">
        <f>SUM(C216:C217)</f>
        <v>81949.8</v>
      </c>
      <c r="D218" s="26">
        <f>SUM(D216:D217)</f>
        <v>556908.62</v>
      </c>
      <c r="E218" s="27">
        <f>D218/C218</f>
        <v>6.7957288486366041</v>
      </c>
      <c r="F218" s="17"/>
      <c r="G218" s="25">
        <f>SUM(G216:G217)</f>
        <v>71380</v>
      </c>
      <c r="H218" s="28">
        <f>(C218-G218)/C218</f>
        <v>0.1289789602903241</v>
      </c>
      <c r="J218" s="26">
        <f>J216+J217</f>
        <v>54132.73199999996</v>
      </c>
      <c r="K218" s="29">
        <f>K214+J218</f>
        <v>-484247.30594910961</v>
      </c>
      <c r="L218" s="17"/>
      <c r="M218" s="27"/>
      <c r="N218" s="27"/>
      <c r="O218" s="27"/>
      <c r="P218" s="27"/>
    </row>
    <row r="219" spans="1:22" s="41" customFormat="1" ht="3" customHeight="1">
      <c r="A219" s="32"/>
      <c r="B219" s="33"/>
      <c r="C219" s="34"/>
      <c r="D219" s="35"/>
      <c r="E219" s="36"/>
      <c r="F219" s="37"/>
      <c r="G219" s="34"/>
      <c r="H219" s="33"/>
      <c r="I219" s="35"/>
      <c r="J219" s="35"/>
      <c r="K219" s="38"/>
      <c r="L219" s="37"/>
      <c r="M219" s="39"/>
      <c r="N219" s="36"/>
      <c r="O219" s="36"/>
      <c r="P219" s="40"/>
    </row>
    <row r="220" spans="1:22" ht="14.4">
      <c r="A220" s="23">
        <v>44593</v>
      </c>
      <c r="B220" s="24" t="s">
        <v>13</v>
      </c>
      <c r="C220" s="25">
        <v>50129.4</v>
      </c>
      <c r="D220" s="26">
        <v>403245.57</v>
      </c>
      <c r="E220" s="27">
        <f>D220/C220</f>
        <v>8.0440932865743449</v>
      </c>
      <c r="F220" s="17"/>
      <c r="G220" s="25">
        <v>47902</v>
      </c>
      <c r="H220" s="28">
        <f>(C220-G220)/C220</f>
        <v>4.4433007376908591E-2</v>
      </c>
      <c r="I220" s="26">
        <f>G220*P220</f>
        <v>336003.78879999998</v>
      </c>
      <c r="J220" s="26">
        <f>I220-D220</f>
        <v>-67241.781200000027</v>
      </c>
      <c r="L220" s="17"/>
      <c r="M220" s="27">
        <v>6.7129000000000003</v>
      </c>
      <c r="N220" s="27">
        <v>0.30149999999999999</v>
      </c>
      <c r="O220" s="27"/>
      <c r="P220" s="27">
        <f>SUM(M220:O220)</f>
        <v>7.0144000000000002</v>
      </c>
      <c r="R220" s="86"/>
      <c r="T220" s="84"/>
      <c r="U220" s="85"/>
      <c r="V220" s="85">
        <v>5.8</v>
      </c>
    </row>
    <row r="221" spans="1:22" ht="14.4">
      <c r="B221" s="24" t="s">
        <v>15</v>
      </c>
      <c r="C221" s="25">
        <v>16910</v>
      </c>
      <c r="D221" s="26">
        <v>241973</v>
      </c>
      <c r="E221" s="27">
        <f>D221/C221</f>
        <v>14.309461856889415</v>
      </c>
      <c r="F221" s="17"/>
      <c r="G221" s="25">
        <v>21543</v>
      </c>
      <c r="H221" s="28">
        <f>(C221-G221)/C221</f>
        <v>-0.27397989355411001</v>
      </c>
      <c r="I221" s="26">
        <f>G221*P220</f>
        <v>151111.21919999999</v>
      </c>
      <c r="J221" s="26">
        <f>I221-D221</f>
        <v>-90861.780800000008</v>
      </c>
      <c r="L221" s="17"/>
      <c r="M221" s="27"/>
      <c r="N221" s="27"/>
      <c r="O221" s="27"/>
      <c r="P221" s="27"/>
      <c r="R221" s="86"/>
    </row>
    <row r="222" spans="1:22" ht="14.4">
      <c r="B222" s="24" t="s">
        <v>17</v>
      </c>
      <c r="C222" s="25">
        <f>SUM(C220:C221)</f>
        <v>67039.399999999994</v>
      </c>
      <c r="D222" s="26">
        <f>SUM(D220:D221)</f>
        <v>645218.57000000007</v>
      </c>
      <c r="E222" s="27">
        <f>D222/C222</f>
        <v>9.6244681485812844</v>
      </c>
      <c r="F222" s="17"/>
      <c r="G222" s="25">
        <f>SUM(G220:G221)</f>
        <v>69445</v>
      </c>
      <c r="H222" s="28">
        <f>(C222-G222)/C222</f>
        <v>-3.5883376044535092E-2</v>
      </c>
      <c r="J222" s="26">
        <f>J220+J221</f>
        <v>-158103.56200000003</v>
      </c>
      <c r="K222" s="29">
        <f>K218+J222</f>
        <v>-642350.86794910964</v>
      </c>
      <c r="L222" s="17"/>
      <c r="M222" s="27"/>
      <c r="N222" s="27"/>
      <c r="O222" s="27"/>
      <c r="P222" s="27"/>
      <c r="R222" s="86"/>
    </row>
    <row r="223" spans="1:22" ht="3" customHeight="1">
      <c r="A223" s="42"/>
      <c r="B223" s="43"/>
      <c r="C223" s="44"/>
      <c r="D223" s="45"/>
      <c r="E223" s="46"/>
      <c r="F223" s="17"/>
      <c r="G223" s="44"/>
      <c r="H223" s="43"/>
      <c r="I223" s="45"/>
      <c r="J223" s="45"/>
      <c r="K223" s="47"/>
      <c r="L223" s="17"/>
      <c r="M223" s="48"/>
      <c r="N223" s="46"/>
      <c r="O223" s="46"/>
      <c r="P223" s="49"/>
      <c r="R223" s="86"/>
    </row>
    <row r="224" spans="1:22" ht="14.4">
      <c r="A224" s="23">
        <v>44621</v>
      </c>
      <c r="B224" s="24" t="s">
        <v>13</v>
      </c>
      <c r="C224" s="25">
        <v>35837.800000000003</v>
      </c>
      <c r="D224" s="26">
        <v>182375.55</v>
      </c>
      <c r="E224" s="27">
        <f>D224/C224</f>
        <v>5.0889158932746978</v>
      </c>
      <c r="F224" s="17"/>
      <c r="G224" s="25">
        <v>32920</v>
      </c>
      <c r="H224" s="28">
        <f>(C224-G224)/C224</f>
        <v>8.1416828041899966E-2</v>
      </c>
      <c r="I224" s="26">
        <f>G224*P220</f>
        <v>230914.04800000001</v>
      </c>
      <c r="J224" s="26">
        <f>I224-D224</f>
        <v>48538.498000000021</v>
      </c>
      <c r="L224" s="17"/>
      <c r="M224" s="27"/>
      <c r="N224" s="27"/>
      <c r="O224" s="27"/>
      <c r="P224" s="27"/>
      <c r="R224" s="86"/>
      <c r="T224" s="84"/>
      <c r="U224" s="85"/>
      <c r="V224" s="85">
        <v>3.92</v>
      </c>
    </row>
    <row r="225" spans="1:27" ht="14.4">
      <c r="B225" s="24" t="s">
        <v>15</v>
      </c>
      <c r="C225" s="25">
        <v>12923</v>
      </c>
      <c r="D225" s="26">
        <v>161126</v>
      </c>
      <c r="E225" s="27">
        <f>D225/C225</f>
        <v>12.468157548556837</v>
      </c>
      <c r="F225" s="17"/>
      <c r="G225" s="25">
        <v>15106</v>
      </c>
      <c r="H225" s="28">
        <f>(C225-G225)/C225</f>
        <v>-0.1689236245453842</v>
      </c>
      <c r="I225" s="26">
        <f>G225*P220</f>
        <v>105959.5264</v>
      </c>
      <c r="J225" s="26">
        <f>I225-D225</f>
        <v>-55166.473599999998</v>
      </c>
      <c r="L225" s="17"/>
      <c r="M225" s="27"/>
      <c r="N225" s="27"/>
      <c r="O225" s="27"/>
      <c r="P225" s="27"/>
      <c r="R225" s="86"/>
    </row>
    <row r="226" spans="1:27" ht="14.4">
      <c r="B226" s="24" t="s">
        <v>17</v>
      </c>
      <c r="C226" s="25">
        <f>SUM(C224:C225)</f>
        <v>48760.800000000003</v>
      </c>
      <c r="D226" s="26">
        <f>SUM(D224:D225)</f>
        <v>343501.55</v>
      </c>
      <c r="E226" s="27">
        <f>D226/C226</f>
        <v>7.0446249856442051</v>
      </c>
      <c r="F226" s="17"/>
      <c r="G226" s="25">
        <f>SUM(G224:G225)</f>
        <v>48026</v>
      </c>
      <c r="H226" s="28">
        <f>(C226-G226)/C226</f>
        <v>1.5069482042952595E-2</v>
      </c>
      <c r="J226" s="26">
        <f>J224+J225</f>
        <v>-6627.9755999999761</v>
      </c>
      <c r="K226" s="29">
        <f>K222+J226</f>
        <v>-648978.84354910965</v>
      </c>
      <c r="L226" s="17"/>
      <c r="M226" s="27"/>
      <c r="N226" s="27"/>
      <c r="O226" s="27"/>
      <c r="P226" s="27"/>
      <c r="R226" s="86"/>
    </row>
    <row r="227" spans="1:27" ht="3" customHeight="1">
      <c r="A227" s="42"/>
      <c r="B227" s="43"/>
      <c r="C227" s="44"/>
      <c r="D227" s="45"/>
      <c r="E227" s="46"/>
      <c r="F227" s="17"/>
      <c r="G227" s="44"/>
      <c r="H227" s="43"/>
      <c r="I227" s="45"/>
      <c r="J227" s="45"/>
      <c r="K227" s="47"/>
      <c r="L227" s="17"/>
      <c r="M227" s="48"/>
      <c r="N227" s="46"/>
      <c r="O227" s="46"/>
      <c r="P227" s="49"/>
      <c r="R227" s="86"/>
    </row>
    <row r="228" spans="1:27" ht="14.4">
      <c r="A228" s="23">
        <v>44652</v>
      </c>
      <c r="B228" s="24" t="s">
        <v>13</v>
      </c>
      <c r="C228" s="25">
        <v>24398.799999999999</v>
      </c>
      <c r="D228" s="26">
        <v>119075.08</v>
      </c>
      <c r="E228" s="27">
        <f>D228/C228</f>
        <v>4.88036624752037</v>
      </c>
      <c r="F228" s="17"/>
      <c r="G228" s="25">
        <v>21173</v>
      </c>
      <c r="H228" s="28">
        <f>(C228-G228)/C228</f>
        <v>0.13221142023378196</v>
      </c>
      <c r="I228" s="26">
        <f>G228*P220</f>
        <v>148515.89120000001</v>
      </c>
      <c r="J228" s="26">
        <f>I228-D228</f>
        <v>29440.811200000011</v>
      </c>
      <c r="L228" s="17"/>
      <c r="M228" s="27"/>
      <c r="N228" s="27"/>
      <c r="O228" s="27"/>
      <c r="P228" s="27"/>
      <c r="R228" s="86"/>
      <c r="T228" s="84"/>
      <c r="U228" s="85"/>
      <c r="V228" s="85">
        <v>4.63</v>
      </c>
      <c r="Y228" s="87"/>
      <c r="Z228" s="87"/>
      <c r="AA228" s="88"/>
    </row>
    <row r="229" spans="1:27" ht="14.4">
      <c r="B229" s="24" t="s">
        <v>15</v>
      </c>
      <c r="C229" s="25">
        <v>8382</v>
      </c>
      <c r="D229" s="26">
        <v>102511</v>
      </c>
      <c r="E229" s="27">
        <f>D229/C229</f>
        <v>12.229897399188738</v>
      </c>
      <c r="F229" s="17"/>
      <c r="G229" s="25">
        <v>8472</v>
      </c>
      <c r="H229" s="28">
        <f>(C229-G229)/C229</f>
        <v>-1.0737294201861132E-2</v>
      </c>
      <c r="I229" s="26">
        <f>G229*P220</f>
        <v>59425.996800000001</v>
      </c>
      <c r="J229" s="26">
        <f>I229-D229</f>
        <v>-43085.003199999999</v>
      </c>
      <c r="L229" s="17"/>
      <c r="M229" s="27"/>
      <c r="N229" s="27"/>
      <c r="O229" s="27"/>
      <c r="P229" s="27"/>
      <c r="R229" s="86"/>
      <c r="Y229" s="87"/>
      <c r="Z229" s="87"/>
      <c r="AA229" s="88"/>
    </row>
    <row r="230" spans="1:27" ht="14.4">
      <c r="B230" s="24" t="s">
        <v>17</v>
      </c>
      <c r="C230" s="25">
        <f>SUM(C228:C229)</f>
        <v>32780.800000000003</v>
      </c>
      <c r="D230" s="26">
        <f>SUM(D228:D229)</f>
        <v>221586.08000000002</v>
      </c>
      <c r="E230" s="27">
        <f>D230/C230</f>
        <v>6.7596300273330732</v>
      </c>
      <c r="F230" s="17"/>
      <c r="G230" s="25">
        <f>SUM(G228:G229)</f>
        <v>29645</v>
      </c>
      <c r="H230" s="28">
        <f>(C230-G230)/C230</f>
        <v>9.565965443186264E-2</v>
      </c>
      <c r="J230" s="26">
        <f>J228+J229</f>
        <v>-13644.191999999988</v>
      </c>
      <c r="K230" s="29">
        <f>K226+J230</f>
        <v>-662623.03554910969</v>
      </c>
      <c r="L230" s="17"/>
      <c r="M230" s="27"/>
      <c r="N230" s="27"/>
      <c r="O230" s="27"/>
      <c r="P230" s="27"/>
      <c r="R230" s="86"/>
      <c r="S230" s="25"/>
      <c r="Y230" s="87"/>
      <c r="Z230" s="87"/>
      <c r="AA230" s="88"/>
    </row>
    <row r="231" spans="1:27" s="41" customFormat="1" ht="3" customHeight="1">
      <c r="A231" s="32"/>
      <c r="B231" s="33"/>
      <c r="C231" s="34"/>
      <c r="D231" s="35"/>
      <c r="E231" s="36"/>
      <c r="F231" s="37"/>
      <c r="G231" s="34"/>
      <c r="H231" s="33"/>
      <c r="I231" s="35"/>
      <c r="J231" s="35"/>
      <c r="K231" s="38"/>
      <c r="L231" s="37"/>
      <c r="M231" s="39"/>
      <c r="N231" s="36"/>
      <c r="O231" s="36"/>
      <c r="P231" s="40"/>
    </row>
    <row r="232" spans="1:27" ht="14.4">
      <c r="A232" s="23">
        <v>44682</v>
      </c>
      <c r="B232" s="24" t="s">
        <v>13</v>
      </c>
      <c r="C232" s="25">
        <v>10852.2</v>
      </c>
      <c r="D232" s="26">
        <v>95046.53</v>
      </c>
      <c r="E232" s="27">
        <f>D232/C232</f>
        <v>8.7582729769079073</v>
      </c>
      <c r="F232" s="17"/>
      <c r="G232" s="25">
        <v>9515</v>
      </c>
      <c r="H232" s="28">
        <f>(C232-G232)/C232</f>
        <v>0.12321925508191893</v>
      </c>
      <c r="I232" s="26">
        <f>G232*P232</f>
        <v>79314.185499999992</v>
      </c>
      <c r="J232" s="26">
        <f>I232-D232</f>
        <v>-15732.344500000007</v>
      </c>
      <c r="L232" s="17"/>
      <c r="M232" s="27">
        <v>8.0748999999999995</v>
      </c>
      <c r="N232" s="27">
        <v>0.26079999999999998</v>
      </c>
      <c r="O232" s="27"/>
      <c r="P232" s="27">
        <f>SUM(M232:O232)</f>
        <v>8.3356999999999992</v>
      </c>
      <c r="R232" s="86"/>
      <c r="T232" s="84"/>
      <c r="U232" s="85"/>
      <c r="V232" s="85">
        <v>6.58</v>
      </c>
    </row>
    <row r="233" spans="1:27" ht="14.4">
      <c r="B233" s="24" t="s">
        <v>15</v>
      </c>
      <c r="C233" s="25">
        <v>2573</v>
      </c>
      <c r="D233" s="26">
        <v>37756</v>
      </c>
      <c r="E233" s="27">
        <f>D233/C233</f>
        <v>14.673921492421298</v>
      </c>
      <c r="F233" s="17"/>
      <c r="G233" s="25">
        <v>2427</v>
      </c>
      <c r="H233" s="28">
        <f>(C233-G233)/C233</f>
        <v>5.6743101438010105E-2</v>
      </c>
      <c r="I233" s="26">
        <f>G233*P232</f>
        <v>20230.743899999998</v>
      </c>
      <c r="J233" s="26">
        <f>I233-D233</f>
        <v>-17525.256100000002</v>
      </c>
      <c r="L233" s="17"/>
      <c r="M233" s="27"/>
      <c r="N233" s="27"/>
      <c r="O233" s="27"/>
      <c r="P233" s="27"/>
      <c r="R233" s="86"/>
    </row>
    <row r="234" spans="1:27" ht="14.4">
      <c r="B234" s="24" t="s">
        <v>17</v>
      </c>
      <c r="C234" s="25">
        <f>SUM(C232:C233)</f>
        <v>13425.2</v>
      </c>
      <c r="D234" s="26">
        <f>SUM(D232:D233)</f>
        <v>132802.53</v>
      </c>
      <c r="E234" s="27">
        <f>D234/C234</f>
        <v>9.8920336382325775</v>
      </c>
      <c r="F234" s="17"/>
      <c r="G234" s="25">
        <f>SUM(G232:G233)</f>
        <v>11942</v>
      </c>
      <c r="H234" s="28">
        <f>(C234-G234)/C234</f>
        <v>0.11047880106069188</v>
      </c>
      <c r="J234" s="26">
        <f>J232+J233</f>
        <v>-33257.600600000005</v>
      </c>
      <c r="K234" s="29">
        <f>K230+J234</f>
        <v>-695880.63614910969</v>
      </c>
      <c r="L234" s="17"/>
      <c r="M234" s="27"/>
      <c r="N234" s="27"/>
      <c r="O234" s="27"/>
      <c r="P234" s="27"/>
      <c r="R234" s="86"/>
    </row>
    <row r="235" spans="1:27" ht="3" customHeight="1">
      <c r="A235" s="42"/>
      <c r="B235" s="43"/>
      <c r="C235" s="44"/>
      <c r="D235" s="45"/>
      <c r="E235" s="46"/>
      <c r="F235" s="17"/>
      <c r="G235" s="44"/>
      <c r="H235" s="43"/>
      <c r="I235" s="45"/>
      <c r="J235" s="45"/>
      <c r="K235" s="47"/>
      <c r="L235" s="17"/>
      <c r="M235" s="48"/>
      <c r="N235" s="46"/>
      <c r="O235" s="46"/>
      <c r="P235" s="49"/>
      <c r="R235" s="86"/>
    </row>
    <row r="236" spans="1:27" ht="14.4">
      <c r="A236" s="23">
        <v>44713</v>
      </c>
      <c r="B236" s="24" t="s">
        <v>13</v>
      </c>
      <c r="C236" s="25">
        <v>7311.4</v>
      </c>
      <c r="D236" s="26">
        <v>63735.91</v>
      </c>
      <c r="E236" s="27">
        <f>D236/C236</f>
        <v>8.7173332056788038</v>
      </c>
      <c r="F236" s="17"/>
      <c r="G236" s="25">
        <v>6459</v>
      </c>
      <c r="H236" s="28">
        <f>(C236-G236)/C236</f>
        <v>0.11658505894903845</v>
      </c>
      <c r="I236" s="26">
        <f>G236*P232</f>
        <v>53840.286299999992</v>
      </c>
      <c r="J236" s="26">
        <f>I236-D236</f>
        <v>-9895.623700000011</v>
      </c>
      <c r="L236" s="17"/>
      <c r="M236" s="27"/>
      <c r="N236" s="27"/>
      <c r="O236" s="27"/>
      <c r="P236" s="27"/>
      <c r="R236" s="86"/>
      <c r="T236" s="84"/>
      <c r="U236" s="85"/>
      <c r="V236" s="85">
        <v>8.14</v>
      </c>
    </row>
    <row r="237" spans="1:27" ht="14.4">
      <c r="B237" s="24" t="s">
        <v>15</v>
      </c>
      <c r="C237" s="25">
        <v>2117</v>
      </c>
      <c r="D237" s="26">
        <v>35203</v>
      </c>
      <c r="E237" s="27">
        <f>D237/C237</f>
        <v>16.628719886632027</v>
      </c>
      <c r="F237" s="17"/>
      <c r="G237" s="25">
        <v>1673</v>
      </c>
      <c r="H237" s="28">
        <f>(C237-G237)/C237</f>
        <v>0.20973075106282474</v>
      </c>
      <c r="I237" s="26">
        <f>G237*P232</f>
        <v>13945.626099999999</v>
      </c>
      <c r="J237" s="26">
        <f>I237-D237</f>
        <v>-21257.373899999999</v>
      </c>
      <c r="L237" s="17"/>
      <c r="M237" s="27"/>
      <c r="N237" s="27"/>
      <c r="O237" s="27"/>
      <c r="P237" s="27"/>
      <c r="R237" s="86"/>
    </row>
    <row r="238" spans="1:27" ht="14.4">
      <c r="B238" s="24" t="s">
        <v>17</v>
      </c>
      <c r="C238" s="25">
        <f>SUM(C236:C237)</f>
        <v>9428.4</v>
      </c>
      <c r="D238" s="26">
        <f>SUM(D236:D237)</f>
        <v>98938.91</v>
      </c>
      <c r="E238" s="27">
        <f>D238/C238</f>
        <v>10.493711552331256</v>
      </c>
      <c r="F238" s="17"/>
      <c r="G238" s="25">
        <f>SUM(G236:G237)</f>
        <v>8132</v>
      </c>
      <c r="H238" s="28">
        <f>(C238-G238)/C238</f>
        <v>0.13749946968732762</v>
      </c>
      <c r="J238" s="26">
        <f>J236+J237</f>
        <v>-31152.99760000001</v>
      </c>
      <c r="K238" s="29">
        <f>K234+J238</f>
        <v>-727033.63374910969</v>
      </c>
      <c r="L238" s="17"/>
      <c r="M238" s="27"/>
      <c r="N238" s="27"/>
      <c r="O238" s="27"/>
      <c r="P238" s="27"/>
      <c r="R238" s="86"/>
    </row>
    <row r="239" spans="1:27" ht="3" customHeight="1">
      <c r="A239" s="42"/>
      <c r="B239" s="43"/>
      <c r="C239" s="44"/>
      <c r="D239" s="45"/>
      <c r="E239" s="46"/>
      <c r="F239" s="17"/>
      <c r="G239" s="44"/>
      <c r="H239" s="43"/>
      <c r="I239" s="45"/>
      <c r="J239" s="45"/>
      <c r="K239" s="47"/>
      <c r="L239" s="17"/>
      <c r="M239" s="48"/>
      <c r="N239" s="46"/>
      <c r="O239" s="46"/>
      <c r="P239" s="49"/>
      <c r="R239" s="86"/>
    </row>
    <row r="240" spans="1:27" ht="14.4">
      <c r="A240" s="23">
        <v>44743</v>
      </c>
      <c r="B240" s="24" t="s">
        <v>13</v>
      </c>
      <c r="C240" s="25">
        <v>6836</v>
      </c>
      <c r="D240" s="26">
        <v>49483.82</v>
      </c>
      <c r="E240" s="27">
        <f>D240/C240</f>
        <v>7.2387097717963718</v>
      </c>
      <c r="F240" s="17"/>
      <c r="G240" s="25">
        <v>4801</v>
      </c>
      <c r="H240" s="28">
        <f>(C240-G240)/C240</f>
        <v>0.29768870684610882</v>
      </c>
      <c r="I240" s="26">
        <f>G240*P232</f>
        <v>40019.695699999997</v>
      </c>
      <c r="J240" s="26">
        <f>I240-D240</f>
        <v>-9464.1243000000031</v>
      </c>
      <c r="L240" s="17"/>
      <c r="M240" s="27"/>
      <c r="N240" s="27"/>
      <c r="O240" s="27"/>
      <c r="P240" s="27"/>
      <c r="R240" s="86"/>
      <c r="T240" s="84"/>
      <c r="U240" s="85"/>
      <c r="V240" s="85">
        <v>5.72</v>
      </c>
    </row>
    <row r="241" spans="1:28" ht="14.4">
      <c r="B241" s="24" t="s">
        <v>15</v>
      </c>
      <c r="C241" s="25">
        <v>1549</v>
      </c>
      <c r="D241" s="26">
        <v>21055</v>
      </c>
      <c r="E241" s="27">
        <f>D241/C241</f>
        <v>13.592640413169788</v>
      </c>
      <c r="F241" s="17"/>
      <c r="G241" s="25">
        <v>1376</v>
      </c>
      <c r="H241" s="28">
        <f>(C241-G241)/C241</f>
        <v>0.11168495803744351</v>
      </c>
      <c r="I241" s="26">
        <f>G241*P232</f>
        <v>11469.923199999999</v>
      </c>
      <c r="J241" s="26">
        <f>I241-D241</f>
        <v>-9585.0768000000007</v>
      </c>
      <c r="L241" s="17"/>
      <c r="M241" s="27"/>
      <c r="N241" s="27"/>
      <c r="O241" s="27"/>
      <c r="P241" s="27"/>
      <c r="R241" s="86"/>
    </row>
    <row r="242" spans="1:28">
      <c r="B242" s="24" t="s">
        <v>17</v>
      </c>
      <c r="C242" s="25">
        <f>SUM(C240:C241)</f>
        <v>8385</v>
      </c>
      <c r="D242" s="26">
        <f>SUM(D240:D241)</f>
        <v>70538.820000000007</v>
      </c>
      <c r="E242" s="27">
        <f>D242/C242</f>
        <v>8.412500894454384</v>
      </c>
      <c r="F242" s="17"/>
      <c r="G242" s="25">
        <f>SUM(G240:G241)</f>
        <v>6177</v>
      </c>
      <c r="H242" s="28">
        <f>(C242-G242)/C242</f>
        <v>0.26332737030411452</v>
      </c>
      <c r="J242" s="26">
        <f>J240+J241</f>
        <v>-19049.201100000006</v>
      </c>
      <c r="K242" s="29">
        <f>K238+J242</f>
        <v>-746082.83484910964</v>
      </c>
      <c r="L242" s="17"/>
      <c r="M242" s="27"/>
      <c r="N242" s="27"/>
      <c r="O242" s="27"/>
      <c r="P242" s="27"/>
      <c r="R242" s="69"/>
      <c r="S242" s="25"/>
      <c r="Y242" s="89"/>
      <c r="Z242" s="89"/>
      <c r="AA242" s="89"/>
    </row>
    <row r="243" spans="1:28" s="41" customFormat="1" ht="3" customHeight="1">
      <c r="A243" s="32"/>
      <c r="B243" s="33"/>
      <c r="C243" s="34"/>
      <c r="D243" s="35"/>
      <c r="E243" s="36"/>
      <c r="F243" s="37"/>
      <c r="G243" s="34"/>
      <c r="H243" s="33"/>
      <c r="I243" s="35"/>
      <c r="J243" s="35"/>
      <c r="K243" s="38"/>
      <c r="L243" s="37"/>
      <c r="M243" s="39"/>
      <c r="N243" s="36"/>
      <c r="O243" s="36"/>
      <c r="P243" s="40"/>
    </row>
    <row r="244" spans="1:28" ht="14.4">
      <c r="A244" s="23">
        <v>44774</v>
      </c>
      <c r="B244" s="24" t="s">
        <v>13</v>
      </c>
      <c r="C244" s="25">
        <v>7136.35</v>
      </c>
      <c r="D244" s="26">
        <v>66416.69</v>
      </c>
      <c r="E244" s="27">
        <f>D244/C244</f>
        <v>9.3068151085639013</v>
      </c>
      <c r="F244" s="17"/>
      <c r="G244" s="25">
        <v>5528</v>
      </c>
      <c r="H244" s="28">
        <f>(C244-G244)/C244</f>
        <v>0.22537431600187774</v>
      </c>
      <c r="I244" s="26">
        <f>G244*P244</f>
        <v>56051.156000000003</v>
      </c>
      <c r="J244" s="26">
        <f>I244-D244</f>
        <v>-10365.534</v>
      </c>
      <c r="L244" s="17"/>
      <c r="M244" s="27">
        <v>9.5959000000000003</v>
      </c>
      <c r="N244" s="27">
        <v>0.54359999999999997</v>
      </c>
      <c r="O244" s="27"/>
      <c r="P244" s="27">
        <f>SUM(M244:O244)</f>
        <v>10.1395</v>
      </c>
      <c r="R244" s="86"/>
      <c r="T244" s="84"/>
      <c r="U244" s="85"/>
      <c r="V244" s="85">
        <v>7.87</v>
      </c>
      <c r="X244" s="50"/>
      <c r="Y244" s="90"/>
      <c r="Z244" s="90"/>
      <c r="AA244" s="91"/>
    </row>
    <row r="245" spans="1:28" ht="14.4">
      <c r="B245" s="24" t="s">
        <v>15</v>
      </c>
      <c r="C245" s="25">
        <v>1415</v>
      </c>
      <c r="D245" s="26">
        <v>23042</v>
      </c>
      <c r="E245" s="27">
        <f>D245/C245</f>
        <v>16.284098939929329</v>
      </c>
      <c r="F245" s="17"/>
      <c r="G245" s="25">
        <v>1344</v>
      </c>
      <c r="H245" s="28">
        <f>(C245-G245)/C245</f>
        <v>5.0176678445229682E-2</v>
      </c>
      <c r="I245" s="26">
        <f>G245*P244</f>
        <v>13627.487999999999</v>
      </c>
      <c r="J245" s="26">
        <f>I245-D245</f>
        <v>-9414.5120000000006</v>
      </c>
      <c r="L245" s="17"/>
      <c r="M245" s="27"/>
      <c r="N245" s="27"/>
      <c r="O245" s="27"/>
      <c r="P245" s="27"/>
      <c r="R245" s="86"/>
      <c r="X245" s="50"/>
      <c r="Y245" s="90"/>
      <c r="Z245" s="90"/>
      <c r="AA245" s="91"/>
      <c r="AB245" s="92"/>
    </row>
    <row r="246" spans="1:28">
      <c r="B246" s="24" t="s">
        <v>17</v>
      </c>
      <c r="C246" s="25">
        <f>SUM(C244:C245)</f>
        <v>8551.35</v>
      </c>
      <c r="D246" s="26">
        <f>SUM(D244:D245)</f>
        <v>89458.69</v>
      </c>
      <c r="E246" s="27">
        <f>D246/C246</f>
        <v>10.461352885801658</v>
      </c>
      <c r="F246" s="17"/>
      <c r="G246" s="25">
        <f>SUM(G244:G245)</f>
        <v>6872</v>
      </c>
      <c r="H246" s="28">
        <f>(C246-G246)/C246</f>
        <v>0.19638419664731302</v>
      </c>
      <c r="J246" s="26">
        <f>J244+J245</f>
        <v>-19780.046000000002</v>
      </c>
      <c r="K246" s="29">
        <f>K242+J246</f>
        <v>-765862.88084910961</v>
      </c>
      <c r="L246" s="17"/>
      <c r="M246" s="27"/>
      <c r="N246" s="27"/>
      <c r="O246" s="27"/>
      <c r="P246" s="27"/>
      <c r="R246" s="63"/>
      <c r="S246" s="25"/>
      <c r="X246" s="50"/>
      <c r="Y246" s="90"/>
      <c r="Z246" s="90"/>
      <c r="AA246" s="93"/>
    </row>
    <row r="247" spans="1:28" ht="3" customHeight="1">
      <c r="A247" s="42"/>
      <c r="B247" s="43"/>
      <c r="C247" s="44"/>
      <c r="D247" s="45"/>
      <c r="E247" s="46"/>
      <c r="F247" s="17"/>
      <c r="G247" s="44"/>
      <c r="H247" s="43"/>
      <c r="I247" s="45"/>
      <c r="J247" s="45"/>
      <c r="K247" s="47"/>
      <c r="L247" s="17"/>
      <c r="M247" s="48"/>
      <c r="N247" s="46"/>
      <c r="O247" s="46"/>
      <c r="P247" s="49"/>
    </row>
    <row r="248" spans="1:28" ht="14.4">
      <c r="A248" s="23">
        <v>44805</v>
      </c>
      <c r="B248" s="24" t="s">
        <v>13</v>
      </c>
      <c r="C248" s="25">
        <v>7885</v>
      </c>
      <c r="D248" s="26">
        <v>95522.18</v>
      </c>
      <c r="E248" s="27">
        <f>D248/C248</f>
        <v>12.114417247939125</v>
      </c>
      <c r="F248" s="17"/>
      <c r="G248" s="25">
        <v>6132</v>
      </c>
      <c r="H248" s="28">
        <f>(C248-G248)/C248</f>
        <v>0.22232086239695625</v>
      </c>
      <c r="I248" s="26">
        <f>G248*P244</f>
        <v>62175.413999999997</v>
      </c>
      <c r="J248" s="26">
        <f>I248-D248</f>
        <v>-33346.765999999996</v>
      </c>
      <c r="L248" s="17"/>
      <c r="M248" s="27"/>
      <c r="N248" s="27"/>
      <c r="O248" s="27"/>
      <c r="P248" s="27"/>
      <c r="R248" s="86"/>
      <c r="T248" s="84"/>
      <c r="U248" s="85"/>
      <c r="V248" s="85">
        <v>8.0299999999999994</v>
      </c>
    </row>
    <row r="249" spans="1:28" ht="14.4">
      <c r="B249" s="24" t="s">
        <v>15</v>
      </c>
      <c r="C249" s="25">
        <v>1833</v>
      </c>
      <c r="D249" s="26">
        <v>30224</v>
      </c>
      <c r="E249" s="27">
        <f>D249/C249</f>
        <v>16.488816148390615</v>
      </c>
      <c r="F249" s="17"/>
      <c r="G249" s="25">
        <v>1520</v>
      </c>
      <c r="H249" s="28">
        <f>(C249-G249)/C249</f>
        <v>0.1707583196944899</v>
      </c>
      <c r="I249" s="26">
        <f>G249*P244</f>
        <v>15412.039999999999</v>
      </c>
      <c r="J249" s="26">
        <f>I249-D249</f>
        <v>-14811.960000000001</v>
      </c>
      <c r="L249" s="17"/>
      <c r="M249" s="27"/>
      <c r="N249" s="27"/>
      <c r="O249" s="27"/>
      <c r="P249" s="27"/>
      <c r="R249" s="86"/>
    </row>
    <row r="250" spans="1:28">
      <c r="B250" s="24" t="s">
        <v>17</v>
      </c>
      <c r="C250" s="25">
        <f>SUM(C248:C249)</f>
        <v>9718</v>
      </c>
      <c r="D250" s="26">
        <f>SUM(D248:D249)</f>
        <v>125746.18</v>
      </c>
      <c r="E250" s="27">
        <f>D250/C250</f>
        <v>12.939512245317966</v>
      </c>
      <c r="F250" s="17"/>
      <c r="G250" s="25">
        <f>SUM(G248:G249)</f>
        <v>7652</v>
      </c>
      <c r="H250" s="28">
        <f>(C250-G250)/C250</f>
        <v>0.21259518419427867</v>
      </c>
      <c r="J250" s="26">
        <f>J248+J249</f>
        <v>-48158.725999999995</v>
      </c>
      <c r="K250" s="29">
        <f>K246+J250</f>
        <v>-814021.60684910964</v>
      </c>
      <c r="L250" s="17"/>
      <c r="M250" s="27"/>
      <c r="N250" s="27"/>
      <c r="O250" s="27"/>
      <c r="P250" s="27"/>
    </row>
    <row r="251" spans="1:28" ht="3" customHeight="1">
      <c r="A251" s="42"/>
      <c r="B251" s="43"/>
      <c r="C251" s="44"/>
      <c r="D251" s="45"/>
      <c r="E251" s="46"/>
      <c r="F251" s="17"/>
      <c r="G251" s="44"/>
      <c r="H251" s="43"/>
      <c r="I251" s="45"/>
      <c r="J251" s="45"/>
      <c r="K251" s="47"/>
      <c r="L251" s="17"/>
      <c r="M251" s="48"/>
      <c r="N251" s="46"/>
      <c r="O251" s="46"/>
      <c r="P251" s="49"/>
    </row>
    <row r="252" spans="1:28" ht="14.4">
      <c r="A252" s="23">
        <v>44835</v>
      </c>
      <c r="B252" s="24" t="s">
        <v>13</v>
      </c>
      <c r="C252" s="25">
        <v>19438</v>
      </c>
      <c r="D252" s="251">
        <f>118056.06+4727</f>
        <v>122783.06</v>
      </c>
      <c r="E252" s="27">
        <f>D252/C252</f>
        <v>6.3166508900092602</v>
      </c>
      <c r="F252" s="17"/>
      <c r="G252" s="25">
        <v>16518</v>
      </c>
      <c r="H252" s="28">
        <f>(C252-G252)/C252</f>
        <v>0.15022121617450354</v>
      </c>
      <c r="I252" s="26">
        <f>G252*P244</f>
        <v>167484.261</v>
      </c>
      <c r="J252" s="26">
        <f>I252-D252</f>
        <v>44701.201000000001</v>
      </c>
      <c r="L252" s="17"/>
      <c r="M252" s="27"/>
      <c r="N252" s="27"/>
      <c r="O252" s="27"/>
      <c r="P252" s="27"/>
      <c r="R252" s="31" t="s">
        <v>218</v>
      </c>
      <c r="T252" s="84"/>
      <c r="U252" s="85"/>
      <c r="V252" s="85">
        <v>4.8899999999999997</v>
      </c>
    </row>
    <row r="253" spans="1:28" ht="14.4">
      <c r="B253" s="24" t="s">
        <v>15</v>
      </c>
      <c r="C253" s="25">
        <v>6809</v>
      </c>
      <c r="D253" s="26">
        <v>85493</v>
      </c>
      <c r="E253" s="27">
        <f>D253/C253</f>
        <v>12.555881920986929</v>
      </c>
      <c r="F253" s="17"/>
      <c r="G253" s="25">
        <v>6003</v>
      </c>
      <c r="H253" s="28">
        <f>(C253-G253)/C253</f>
        <v>0.11837274195917169</v>
      </c>
      <c r="I253" s="26">
        <f>G253*P244</f>
        <v>60867.4185</v>
      </c>
      <c r="J253" s="26">
        <f>I253-D253</f>
        <v>-24625.5815</v>
      </c>
      <c r="L253" s="17"/>
      <c r="M253" s="27"/>
      <c r="N253" s="27"/>
      <c r="O253" s="27"/>
      <c r="P253" s="27"/>
      <c r="R253" s="86"/>
    </row>
    <row r="254" spans="1:28">
      <c r="B254" s="24" t="s">
        <v>17</v>
      </c>
      <c r="C254" s="25">
        <f>SUM(C252:C253)</f>
        <v>26247</v>
      </c>
      <c r="D254" s="26">
        <f>SUM(D252:D253)</f>
        <v>208276.06</v>
      </c>
      <c r="E254" s="27">
        <f>D254/C254</f>
        <v>7.9352329790071243</v>
      </c>
      <c r="F254" s="17"/>
      <c r="G254" s="25">
        <f>SUM(G252:G253)</f>
        <v>22521</v>
      </c>
      <c r="H254" s="28">
        <f>(C254-G254)/C254</f>
        <v>0.14195908103783289</v>
      </c>
      <c r="J254" s="26">
        <f>J252+J253</f>
        <v>20075.619500000001</v>
      </c>
      <c r="K254" s="29">
        <f>K250+J254</f>
        <v>-793945.98734910961</v>
      </c>
      <c r="L254" s="17"/>
      <c r="M254" s="53" t="s">
        <v>107</v>
      </c>
      <c r="N254" s="53" t="s">
        <v>22</v>
      </c>
      <c r="R254" s="69"/>
      <c r="S254" s="25"/>
    </row>
    <row r="255" spans="1:28" ht="6" customHeight="1">
      <c r="F255" s="17"/>
      <c r="H255" s="28"/>
      <c r="J255" s="24"/>
      <c r="L255" s="17"/>
    </row>
    <row r="256" spans="1:28">
      <c r="A256" s="55" t="s">
        <v>106</v>
      </c>
      <c r="B256" s="56"/>
      <c r="C256" s="56">
        <f t="shared" ref="C256:D258" si="9">SUM(C208,C212,C216,C220,C224,C228,C232,C236,C240,C244,C248,C252)</f>
        <v>301817.25</v>
      </c>
      <c r="D256" s="57">
        <f t="shared" si="9"/>
        <v>2044323.54</v>
      </c>
      <c r="E256" s="58">
        <f>D256/C256</f>
        <v>6.7733820383029801</v>
      </c>
      <c r="F256" s="17"/>
      <c r="G256" s="56">
        <f>SUM(G208,G212,G216,G220,G224,G228,G232,G236,G240,G244,G248,G252)</f>
        <v>264444</v>
      </c>
      <c r="H256" s="59">
        <f>(C256-G256)/C256</f>
        <v>0.12382741543102656</v>
      </c>
      <c r="I256" s="57">
        <f>SUM(I208,I212,I216,I220,I224,I228,I232,I236,I240,I244,I248,I252)</f>
        <v>2145889.8848999999</v>
      </c>
      <c r="J256" s="57">
        <f>E256*(N256+N257)</f>
        <v>21711.115035788469</v>
      </c>
      <c r="K256" s="54" t="s">
        <v>22</v>
      </c>
      <c r="L256" s="17"/>
      <c r="M256" s="60">
        <f>G256/(1-$R$326)</f>
        <v>285885.40540540538</v>
      </c>
      <c r="N256" s="60">
        <f>C256-M256</f>
        <v>15931.844594594615</v>
      </c>
      <c r="P256" s="156"/>
      <c r="R256" s="31" t="s">
        <v>27</v>
      </c>
    </row>
    <row r="257" spans="1:22">
      <c r="A257" s="61"/>
      <c r="B257" s="62" t="s">
        <v>15</v>
      </c>
      <c r="C257" s="56">
        <f t="shared" si="9"/>
        <v>105880</v>
      </c>
      <c r="D257" s="57">
        <f t="shared" si="9"/>
        <v>1391070</v>
      </c>
      <c r="E257" s="58">
        <f>D257/C257</f>
        <v>13.138175292784284</v>
      </c>
      <c r="F257" s="17"/>
      <c r="G257" s="56">
        <f>SUM(G209,G213,G217,G221,G225,G229,G233,G237,G241,G245,G249,G253)</f>
        <v>109711</v>
      </c>
      <c r="H257" s="59">
        <f t="shared" ref="H257:H258" si="10">(C257-G257)/C257</f>
        <v>-3.6182470721571589E-2</v>
      </c>
      <c r="I257" s="57">
        <f>SUM(I209,I213,I217,I221,I225,I229,I233,I237,I241,I245,I249,I253)</f>
        <v>882184.40090000001</v>
      </c>
      <c r="J257" s="57"/>
      <c r="L257" s="17"/>
      <c r="M257" s="60">
        <f>G257/(1-$R$326)</f>
        <v>118606.48648648648</v>
      </c>
      <c r="N257" s="60">
        <f>C257-M257</f>
        <v>-12726.486486486479</v>
      </c>
      <c r="P257" s="156"/>
      <c r="R257" s="69"/>
      <c r="S257" s="25"/>
    </row>
    <row r="258" spans="1:22">
      <c r="A258" s="61"/>
      <c r="B258" s="62" t="s">
        <v>17</v>
      </c>
      <c r="C258" s="56">
        <f t="shared" si="9"/>
        <v>407697.25</v>
      </c>
      <c r="D258" s="57">
        <f>SUM(D256:D257)</f>
        <v>3435393.54</v>
      </c>
      <c r="E258" s="58">
        <f>D258/C258</f>
        <v>8.4263348354692109</v>
      </c>
      <c r="F258" s="17"/>
      <c r="G258" s="56">
        <f>SUM(G210,G214,G218,G222,G226,G230,G234,G238,G242,G246,G250,G254)</f>
        <v>374155</v>
      </c>
      <c r="H258" s="59">
        <f t="shared" si="10"/>
        <v>8.2272446036857003E-2</v>
      </c>
      <c r="I258" s="57">
        <f>SUM(I256:I257)</f>
        <v>3028074.2857999997</v>
      </c>
      <c r="J258" s="57">
        <f>SUM(J256:J257)</f>
        <v>21711.115035788469</v>
      </c>
      <c r="K258" s="70">
        <f>K254+J258</f>
        <v>-772234.8723133211</v>
      </c>
      <c r="L258" s="17"/>
      <c r="M258" s="60">
        <f>G258/(1-$R$326)</f>
        <v>404491.89189189189</v>
      </c>
      <c r="N258" s="60">
        <f>C258-M258</f>
        <v>3205.3581081081065</v>
      </c>
      <c r="P258" s="156"/>
      <c r="R258" s="64">
        <f>N258*E258</f>
        <v>27009.420686505022</v>
      </c>
      <c r="S258" s="65" t="s">
        <v>25</v>
      </c>
    </row>
    <row r="259" spans="1:22" s="41" customFormat="1" ht="6" customHeight="1">
      <c r="A259" s="32"/>
      <c r="B259" s="33"/>
      <c r="C259" s="34"/>
      <c r="D259" s="35"/>
      <c r="E259" s="36"/>
      <c r="F259" s="37"/>
      <c r="G259" s="34"/>
      <c r="H259" s="33"/>
      <c r="I259" s="35"/>
      <c r="J259" s="35"/>
      <c r="K259" s="38"/>
      <c r="L259" s="37"/>
      <c r="M259" s="66"/>
      <c r="N259" s="67"/>
      <c r="O259" s="67"/>
      <c r="P259" s="68"/>
    </row>
    <row r="260" spans="1:22" ht="14.4">
      <c r="A260" s="23">
        <v>44866</v>
      </c>
      <c r="B260" s="24" t="s">
        <v>13</v>
      </c>
      <c r="C260" s="25">
        <v>31812</v>
      </c>
      <c r="D260" s="26">
        <v>184230.6</v>
      </c>
      <c r="E260" s="27">
        <f>D260/C260</f>
        <v>5.7912297246322142</v>
      </c>
      <c r="F260" s="17"/>
      <c r="G260" s="25">
        <v>30534.5</v>
      </c>
      <c r="H260" s="28">
        <f>(C260-G260)/C260</f>
        <v>4.0157802087262669E-2</v>
      </c>
      <c r="I260" s="26">
        <f>G260*P260</f>
        <v>350841.40500000009</v>
      </c>
      <c r="J260" s="26">
        <f>I260-D260</f>
        <v>166610.80500000008</v>
      </c>
      <c r="L260" s="17"/>
      <c r="P260" s="272">
        <f>15.71-4.22</f>
        <v>11.490000000000002</v>
      </c>
      <c r="R260" s="31" t="s">
        <v>256</v>
      </c>
      <c r="T260" s="84"/>
      <c r="U260" s="85"/>
      <c r="V260" s="85">
        <v>4.0199999999999996</v>
      </c>
    </row>
    <row r="261" spans="1:22">
      <c r="B261" s="24" t="s">
        <v>15</v>
      </c>
      <c r="C261" s="25">
        <v>14117</v>
      </c>
      <c r="D261" s="26">
        <v>161866.66</v>
      </c>
      <c r="E261" s="27">
        <f>D261/C261</f>
        <v>11.466080612028051</v>
      </c>
      <c r="F261" s="17"/>
      <c r="G261" s="25">
        <v>12948.4</v>
      </c>
      <c r="H261" s="28">
        <f>(C261-G261)/C261</f>
        <v>8.2779627399589176E-2</v>
      </c>
      <c r="I261" s="26">
        <f>G261*P260</f>
        <v>148777.11600000001</v>
      </c>
      <c r="J261" s="26">
        <f>I261-D261</f>
        <v>-13089.543999999994</v>
      </c>
      <c r="L261" s="17"/>
      <c r="M261" s="27"/>
      <c r="N261" s="27"/>
      <c r="O261" s="27"/>
      <c r="P261" s="27"/>
      <c r="R261" s="31" t="s">
        <v>257</v>
      </c>
    </row>
    <row r="262" spans="1:22">
      <c r="B262" s="24" t="s">
        <v>17</v>
      </c>
      <c r="C262" s="25">
        <f>SUM(C260:C261)</f>
        <v>45929</v>
      </c>
      <c r="D262" s="26">
        <f>SUM(D260:D261)</f>
        <v>346097.26</v>
      </c>
      <c r="E262" s="27">
        <f>D262/C262</f>
        <v>7.5354843345163189</v>
      </c>
      <c r="F262" s="17"/>
      <c r="G262" s="25">
        <f>SUM(G260:G261)</f>
        <v>43482.9</v>
      </c>
      <c r="H262" s="28">
        <f>(C262-G262)/C262</f>
        <v>5.3258289969300411E-2</v>
      </c>
      <c r="J262" s="26">
        <f>J260+J261</f>
        <v>153521.26100000009</v>
      </c>
      <c r="K262" s="29">
        <f>K258+J262</f>
        <v>-618713.61131332105</v>
      </c>
      <c r="L262" s="17"/>
      <c r="M262" s="27"/>
      <c r="N262" s="27"/>
      <c r="O262" s="27"/>
      <c r="P262" s="27"/>
    </row>
    <row r="263" spans="1:22" ht="3" customHeight="1">
      <c r="A263" s="42"/>
      <c r="B263" s="43"/>
      <c r="C263" s="44"/>
      <c r="D263" s="45"/>
      <c r="E263" s="46"/>
      <c r="F263" s="17"/>
      <c r="G263" s="44"/>
      <c r="H263" s="43"/>
      <c r="I263" s="45"/>
      <c r="J263" s="45"/>
      <c r="K263" s="47"/>
      <c r="L263" s="17"/>
      <c r="M263" s="48"/>
      <c r="N263" s="46"/>
      <c r="O263" s="46"/>
      <c r="P263" s="49"/>
    </row>
    <row r="264" spans="1:22" ht="14.4">
      <c r="A264" s="23">
        <v>44896</v>
      </c>
      <c r="B264" s="24" t="s">
        <v>13</v>
      </c>
      <c r="C264" s="25">
        <v>45376</v>
      </c>
      <c r="D264" s="26">
        <v>345573.19</v>
      </c>
      <c r="E264" s="27">
        <f>D264/C264</f>
        <v>7.6157702309590976</v>
      </c>
      <c r="F264" s="17"/>
      <c r="G264" s="25">
        <v>45474.2</v>
      </c>
      <c r="H264" s="28">
        <f>(C264-G264)/C264</f>
        <v>-2.1641396332862544E-3</v>
      </c>
      <c r="I264" s="26">
        <f>G264*P264</f>
        <v>553320.97075999994</v>
      </c>
      <c r="J264" s="26">
        <f>I264-D264</f>
        <v>207747.78075999994</v>
      </c>
      <c r="L264" s="17"/>
      <c r="M264" s="27">
        <v>11.504300000000001</v>
      </c>
      <c r="N264" s="27">
        <f t="shared" ref="N264" si="11">0.6643-0.0008</f>
        <v>0.66349999999999998</v>
      </c>
      <c r="O264" s="27"/>
      <c r="P264" s="27">
        <f>SUM(M264:O264)</f>
        <v>12.1678</v>
      </c>
      <c r="R264" s="69"/>
      <c r="T264" s="84"/>
      <c r="U264" s="85"/>
      <c r="V264" s="85">
        <v>5.89</v>
      </c>
    </row>
    <row r="265" spans="1:22">
      <c r="B265" s="24" t="s">
        <v>15</v>
      </c>
      <c r="C265" s="25">
        <v>20145</v>
      </c>
      <c r="D265" s="26">
        <v>295862.32</v>
      </c>
      <c r="E265" s="27">
        <f>D265/C265</f>
        <v>14.686637875403326</v>
      </c>
      <c r="F265" s="17"/>
      <c r="G265" s="25">
        <v>20015.5</v>
      </c>
      <c r="H265" s="28">
        <f>(C265-G265)/C265</f>
        <v>6.4283941424671132E-3</v>
      </c>
      <c r="I265" s="26">
        <f>G265*P264</f>
        <v>243544.60089999999</v>
      </c>
      <c r="J265" s="26">
        <f>I265-D265</f>
        <v>-52317.719100000017</v>
      </c>
      <c r="L265" s="17"/>
      <c r="M265" s="27"/>
      <c r="N265" s="27"/>
      <c r="O265" s="27"/>
      <c r="P265" s="27"/>
      <c r="R265" s="69"/>
    </row>
    <row r="266" spans="1:22">
      <c r="B266" s="24" t="s">
        <v>17</v>
      </c>
      <c r="C266" s="25">
        <f>SUM(C264:C265)</f>
        <v>65521</v>
      </c>
      <c r="D266" s="26">
        <f>SUM(D264:D265)</f>
        <v>641435.51</v>
      </c>
      <c r="E266" s="27">
        <f>D266/C266</f>
        <v>9.7897698447825885</v>
      </c>
      <c r="F266" s="17"/>
      <c r="G266" s="25">
        <f>SUM(G264:G265)</f>
        <v>65489.7</v>
      </c>
      <c r="H266" s="28">
        <f>(C266-G266)/C266</f>
        <v>4.7770943666920393E-4</v>
      </c>
      <c r="J266" s="26">
        <f>J264+J265</f>
        <v>155430.06165999992</v>
      </c>
      <c r="K266" s="29">
        <f>K262+J266</f>
        <v>-463283.54965332116</v>
      </c>
      <c r="L266" s="17"/>
      <c r="M266" s="27"/>
      <c r="N266" s="27"/>
      <c r="O266" s="27"/>
      <c r="P266" s="27"/>
      <c r="R266" s="69"/>
      <c r="S266" s="25"/>
      <c r="T266" s="82"/>
      <c r="U266" s="83"/>
      <c r="V266" s="83"/>
    </row>
    <row r="267" spans="1:22" ht="3" customHeight="1">
      <c r="A267" s="42"/>
      <c r="B267" s="43"/>
      <c r="C267" s="44"/>
      <c r="D267" s="45"/>
      <c r="E267" s="46"/>
      <c r="F267" s="17"/>
      <c r="G267" s="44"/>
      <c r="H267" s="43"/>
      <c r="I267" s="45"/>
      <c r="J267" s="45"/>
      <c r="K267" s="47"/>
      <c r="L267" s="17"/>
      <c r="M267" s="48"/>
      <c r="N267" s="46"/>
      <c r="O267" s="46"/>
      <c r="P267" s="49"/>
    </row>
    <row r="268" spans="1:22" ht="14.4">
      <c r="A268" s="12">
        <v>44927</v>
      </c>
      <c r="B268" s="13" t="s">
        <v>13</v>
      </c>
      <c r="C268" s="14">
        <v>45649.7</v>
      </c>
      <c r="D268" s="15">
        <v>284853.09999999998</v>
      </c>
      <c r="E268" s="16">
        <f>V268+1.8</f>
        <v>5.76</v>
      </c>
      <c r="F268" s="17"/>
      <c r="G268" s="14">
        <v>39064</v>
      </c>
      <c r="H268" s="18">
        <f>(C268-G268)/C268</f>
        <v>0.14426600831987937</v>
      </c>
      <c r="I268" s="15">
        <f>G268*P264</f>
        <v>475322.93919999996</v>
      </c>
      <c r="J268" s="15">
        <f>I268-D268</f>
        <v>190469.83919999999</v>
      </c>
      <c r="K268" s="19"/>
      <c r="L268" s="17"/>
      <c r="M268" s="16"/>
      <c r="N268" s="16"/>
      <c r="O268" s="16"/>
      <c r="P268" s="16"/>
      <c r="R268" s="86"/>
      <c r="S268" s="86"/>
      <c r="T268" s="84"/>
      <c r="U268" s="85"/>
      <c r="V268" s="85">
        <v>3.96</v>
      </c>
    </row>
    <row r="269" spans="1:22" ht="14.4">
      <c r="B269" s="24" t="s">
        <v>15</v>
      </c>
      <c r="C269" s="25">
        <v>16655</v>
      </c>
      <c r="D269" s="26">
        <v>189291.84</v>
      </c>
      <c r="E269" s="27">
        <f>V268+8.25</f>
        <v>12.21</v>
      </c>
      <c r="F269" s="17"/>
      <c r="G269" s="25">
        <v>16494.599999999999</v>
      </c>
      <c r="H269" s="28">
        <f>(C269-G269)/C269</f>
        <v>9.6307415190634311E-3</v>
      </c>
      <c r="I269" s="26">
        <f>G269*P264</f>
        <v>200702.99387999997</v>
      </c>
      <c r="J269" s="26">
        <f>I269-D269</f>
        <v>11411.153879999969</v>
      </c>
      <c r="L269" s="17"/>
      <c r="M269" s="27"/>
      <c r="N269" s="27"/>
      <c r="O269" s="27"/>
      <c r="P269" s="27"/>
      <c r="R269" s="86"/>
      <c r="S269" s="86"/>
    </row>
    <row r="270" spans="1:22">
      <c r="B270" s="24" t="s">
        <v>17</v>
      </c>
      <c r="C270" s="25">
        <f>SUM(C268:C269)</f>
        <v>62304.7</v>
      </c>
      <c r="D270" s="26">
        <f>SUM(D268:D269)</f>
        <v>474144.93999999994</v>
      </c>
      <c r="E270" s="27">
        <f>D270/C270</f>
        <v>7.6100990775976767</v>
      </c>
      <c r="F270" s="17"/>
      <c r="G270" s="25">
        <f>SUM(G268:G269)</f>
        <v>55558.6</v>
      </c>
      <c r="H270" s="28">
        <f>(C270-G270)/C270</f>
        <v>0.10827594065937239</v>
      </c>
      <c r="J270" s="26">
        <f>J268+J269</f>
        <v>201880.99307999996</v>
      </c>
      <c r="K270" s="29">
        <f>K266+J270</f>
        <v>-261402.5565733212</v>
      </c>
      <c r="L270" s="17"/>
      <c r="M270" s="27"/>
      <c r="N270" s="27"/>
      <c r="O270" s="27"/>
      <c r="P270" s="27"/>
    </row>
    <row r="271" spans="1:22" s="41" customFormat="1" ht="3" customHeight="1">
      <c r="A271" s="32"/>
      <c r="B271" s="33"/>
      <c r="C271" s="34"/>
      <c r="D271" s="35"/>
      <c r="E271" s="36"/>
      <c r="F271" s="37"/>
      <c r="G271" s="34"/>
      <c r="H271" s="33"/>
      <c r="I271" s="35"/>
      <c r="J271" s="35"/>
      <c r="K271" s="38"/>
      <c r="L271" s="37"/>
      <c r="M271" s="39"/>
      <c r="N271" s="36"/>
      <c r="O271" s="36"/>
      <c r="P271" s="40"/>
    </row>
    <row r="272" spans="1:22" ht="14.4">
      <c r="A272" s="23">
        <v>44958</v>
      </c>
      <c r="B272" s="24" t="s">
        <v>13</v>
      </c>
      <c r="C272" s="25">
        <v>35399</v>
      </c>
      <c r="D272" s="26">
        <v>168539.92</v>
      </c>
      <c r="E272" s="27">
        <f>D272/C272</f>
        <v>4.7611491850052268</v>
      </c>
      <c r="F272" s="17"/>
      <c r="G272" s="25">
        <v>36289</v>
      </c>
      <c r="H272" s="28">
        <f>(C272-G272)/C272</f>
        <v>-2.5141953162518715E-2</v>
      </c>
      <c r="I272" s="26">
        <f>G272*P272</f>
        <v>441557.2942</v>
      </c>
      <c r="J272" s="26">
        <f>I272-D272</f>
        <v>273017.37419999996</v>
      </c>
      <c r="L272" s="17"/>
      <c r="M272" s="281">
        <v>11.504300000000001</v>
      </c>
      <c r="N272" s="281">
        <f t="shared" ref="N272" si="12">0.6643-0.0008</f>
        <v>0.66349999999999998</v>
      </c>
      <c r="O272" s="27"/>
      <c r="P272" s="27">
        <f>SUM(M272:O272)</f>
        <v>12.1678</v>
      </c>
      <c r="R272" s="31" t="s">
        <v>324</v>
      </c>
      <c r="U272" s="84"/>
      <c r="V272" s="85">
        <v>2.48</v>
      </c>
    </row>
    <row r="273" spans="1:28" ht="14.4">
      <c r="B273" s="24" t="s">
        <v>15</v>
      </c>
      <c r="C273" s="25">
        <v>17270</v>
      </c>
      <c r="D273" s="26">
        <v>164702.85999999999</v>
      </c>
      <c r="E273" s="27">
        <f>D273/C273</f>
        <v>9.5369345686160969</v>
      </c>
      <c r="F273" s="17"/>
      <c r="G273" s="25">
        <v>16600.099999999999</v>
      </c>
      <c r="H273" s="28">
        <f>(C273-G273)/C273</f>
        <v>3.8789808917197535E-2</v>
      </c>
      <c r="I273" s="26">
        <f>G273*P272</f>
        <v>201986.69677999997</v>
      </c>
      <c r="J273" s="26">
        <f>I273-D273</f>
        <v>37283.836779999983</v>
      </c>
      <c r="L273" s="17"/>
      <c r="M273" s="27"/>
      <c r="N273" s="27"/>
      <c r="O273" s="27"/>
      <c r="P273" s="27"/>
      <c r="R273" s="86"/>
    </row>
    <row r="274" spans="1:28" ht="14.4">
      <c r="B274" s="24" t="s">
        <v>17</v>
      </c>
      <c r="C274" s="25">
        <f>SUM(C272:C273)</f>
        <v>52669</v>
      </c>
      <c r="D274" s="26">
        <f>SUM(D272:D273)</f>
        <v>333242.78000000003</v>
      </c>
      <c r="E274" s="27">
        <f>D274/C274</f>
        <v>6.3271142417740993</v>
      </c>
      <c r="F274" s="17"/>
      <c r="G274" s="25">
        <f>SUM(G272:G273)</f>
        <v>52889.1</v>
      </c>
      <c r="H274" s="28">
        <f>(C274-G274)/C274</f>
        <v>-4.178928781636229E-3</v>
      </c>
      <c r="J274" s="26">
        <f>J272+J273</f>
        <v>310301.21097999997</v>
      </c>
      <c r="K274" s="29">
        <f>K270+J274</f>
        <v>48898.654406678776</v>
      </c>
      <c r="L274" s="17"/>
      <c r="M274" s="27"/>
      <c r="N274" s="27"/>
      <c r="O274" s="27"/>
      <c r="P274" s="27"/>
      <c r="R274" s="86"/>
    </row>
    <row r="275" spans="1:28" ht="3" customHeight="1">
      <c r="A275" s="42"/>
      <c r="B275" s="43"/>
      <c r="C275" s="44"/>
      <c r="D275" s="45"/>
      <c r="E275" s="46"/>
      <c r="F275" s="17"/>
      <c r="G275" s="44"/>
      <c r="H275" s="43"/>
      <c r="I275" s="45"/>
      <c r="J275" s="45"/>
      <c r="K275" s="47"/>
      <c r="L275" s="17"/>
      <c r="M275" s="48"/>
      <c r="N275" s="46"/>
      <c r="O275" s="46"/>
      <c r="P275" s="49"/>
      <c r="R275" s="86"/>
    </row>
    <row r="276" spans="1:28" ht="14.4">
      <c r="A276" s="23">
        <v>44986</v>
      </c>
      <c r="B276" s="24" t="s">
        <v>13</v>
      </c>
      <c r="C276" s="25">
        <v>33734</v>
      </c>
      <c r="D276" s="26">
        <v>134469.34</v>
      </c>
      <c r="E276" s="27">
        <f>D276/C276</f>
        <v>3.9861664789233413</v>
      </c>
      <c r="F276" s="17"/>
      <c r="G276" s="25">
        <v>31899.599999999999</v>
      </c>
      <c r="H276" s="28">
        <f>(C276-G276)/C276</f>
        <v>5.4378371968933463E-2</v>
      </c>
      <c r="I276" s="26">
        <f>G276*P272</f>
        <v>388147.95288</v>
      </c>
      <c r="J276" s="26">
        <f>I276-D276</f>
        <v>253678.61288</v>
      </c>
      <c r="L276" s="17"/>
      <c r="M276" s="27"/>
      <c r="N276" s="27"/>
      <c r="O276" s="27"/>
      <c r="P276" s="27"/>
      <c r="R276" s="86"/>
      <c r="U276" s="84"/>
      <c r="V276" s="85">
        <v>2.08</v>
      </c>
    </row>
    <row r="277" spans="1:28" ht="14.4">
      <c r="B277" s="24" t="s">
        <v>15</v>
      </c>
      <c r="C277" s="25">
        <v>13312</v>
      </c>
      <c r="D277" s="26">
        <v>120290</v>
      </c>
      <c r="E277" s="27">
        <f>D277/C277</f>
        <v>9.0362079326923084</v>
      </c>
      <c r="F277" s="17"/>
      <c r="G277" s="25">
        <v>12850.82</v>
      </c>
      <c r="H277" s="28">
        <f>(C277-G277)/C277</f>
        <v>3.4643930288461564E-2</v>
      </c>
      <c r="I277" s="26">
        <f>G277*P272</f>
        <v>156366.20759599999</v>
      </c>
      <c r="J277" s="26">
        <f>I277-D277</f>
        <v>36076.207595999993</v>
      </c>
      <c r="L277" s="17"/>
      <c r="M277" s="27"/>
      <c r="N277" s="27"/>
      <c r="O277" s="27"/>
      <c r="P277" s="27"/>
      <c r="R277" s="86"/>
    </row>
    <row r="278" spans="1:28" ht="14.4">
      <c r="B278" s="24" t="s">
        <v>17</v>
      </c>
      <c r="C278" s="25">
        <f>SUM(C276:C277)</f>
        <v>47046</v>
      </c>
      <c r="D278" s="26">
        <f>SUM(D276:D277)</f>
        <v>254759.34</v>
      </c>
      <c r="E278" s="27">
        <f>D278/C278</f>
        <v>5.4151115929090681</v>
      </c>
      <c r="F278" s="17"/>
      <c r="G278" s="25">
        <f>SUM(G276:G277)</f>
        <v>44750.42</v>
      </c>
      <c r="H278" s="28">
        <f>(C278-G278)/C278</f>
        <v>4.8794371466224583E-2</v>
      </c>
      <c r="J278" s="26">
        <f>J276+J277</f>
        <v>289754.82047599996</v>
      </c>
      <c r="K278" s="29">
        <f>K274+J278</f>
        <v>338653.47488267871</v>
      </c>
      <c r="L278" s="17"/>
      <c r="M278" s="27"/>
      <c r="N278" s="27"/>
      <c r="O278" s="27"/>
      <c r="P278" s="27"/>
      <c r="R278" s="86"/>
    </row>
    <row r="279" spans="1:28" ht="3" customHeight="1">
      <c r="A279" s="42"/>
      <c r="B279" s="43"/>
      <c r="C279" s="44"/>
      <c r="D279" s="45"/>
      <c r="E279" s="46"/>
      <c r="F279" s="17"/>
      <c r="G279" s="44"/>
      <c r="H279" s="43"/>
      <c r="I279" s="45"/>
      <c r="J279" s="45"/>
      <c r="K279" s="47"/>
      <c r="L279" s="17"/>
      <c r="M279" s="48"/>
      <c r="N279" s="46"/>
      <c r="O279" s="46"/>
      <c r="P279" s="49"/>
      <c r="R279" s="86"/>
    </row>
    <row r="280" spans="1:28" ht="14.4">
      <c r="A280" s="23">
        <v>45017</v>
      </c>
      <c r="B280" s="24" t="s">
        <v>13</v>
      </c>
      <c r="C280" s="25">
        <v>18452.27</v>
      </c>
      <c r="D280" s="26">
        <v>66180.509999999995</v>
      </c>
      <c r="E280" s="27">
        <f>D280/C280</f>
        <v>3.5865782367155905</v>
      </c>
      <c r="F280" s="17"/>
      <c r="G280" s="25">
        <v>17384</v>
      </c>
      <c r="H280" s="28">
        <f>(C280-G280)/C280</f>
        <v>5.7893690044639519E-2</v>
      </c>
      <c r="I280" s="26">
        <f>G280*P272</f>
        <v>211525.03519999998</v>
      </c>
      <c r="J280" s="26">
        <f>I280-D280</f>
        <v>145344.52519999997</v>
      </c>
      <c r="L280" s="17"/>
      <c r="M280" s="27"/>
      <c r="N280" s="27"/>
      <c r="O280" s="27"/>
      <c r="P280" s="27"/>
      <c r="Q280" s="31"/>
      <c r="R280" s="86"/>
      <c r="U280" s="84"/>
      <c r="V280" s="85">
        <v>1.72</v>
      </c>
      <c r="Z280" s="87"/>
      <c r="AA280" s="87"/>
      <c r="AB280" s="88"/>
    </row>
    <row r="281" spans="1:28" ht="14.4">
      <c r="B281" s="24" t="s">
        <v>15</v>
      </c>
      <c r="C281" s="25">
        <v>7372</v>
      </c>
      <c r="D281" s="26">
        <v>63291.3</v>
      </c>
      <c r="E281" s="27">
        <f>D281/C281</f>
        <v>8.585363537710256</v>
      </c>
      <c r="F281" s="17"/>
      <c r="G281" s="25">
        <v>6381</v>
      </c>
      <c r="H281" s="28">
        <f>(C281-G281)/C281</f>
        <v>0.13442756375474768</v>
      </c>
      <c r="I281" s="26">
        <f>G281*P272</f>
        <v>77642.731799999994</v>
      </c>
      <c r="J281" s="26">
        <f>I281-D281</f>
        <v>14351.431799999991</v>
      </c>
      <c r="L281" s="17"/>
      <c r="M281" s="27"/>
      <c r="N281" s="27"/>
      <c r="O281" s="27"/>
      <c r="P281" s="27"/>
      <c r="R281" s="86"/>
      <c r="Z281" s="87"/>
      <c r="AA281" s="87"/>
      <c r="AB281" s="88"/>
    </row>
    <row r="282" spans="1:28" ht="14.4">
      <c r="B282" s="24" t="s">
        <v>17</v>
      </c>
      <c r="C282" s="25">
        <f>SUM(C280:C281)</f>
        <v>25824.27</v>
      </c>
      <c r="D282" s="26">
        <f>SUM(D280:D281)</f>
        <v>129471.81</v>
      </c>
      <c r="E282" s="27">
        <f>D282/C282</f>
        <v>5.0135709547646456</v>
      </c>
      <c r="F282" s="17"/>
      <c r="G282" s="25">
        <f>SUM(G280:G281)</f>
        <v>23765</v>
      </c>
      <c r="H282" s="28">
        <f>(C282-G282)/C282</f>
        <v>7.974165387830906E-2</v>
      </c>
      <c r="J282" s="26">
        <f>J280+J281</f>
        <v>159695.95699999997</v>
      </c>
      <c r="K282" s="29">
        <f>K278+J282</f>
        <v>498349.43188267865</v>
      </c>
      <c r="L282" s="17"/>
      <c r="M282" s="27"/>
      <c r="N282" s="27"/>
      <c r="O282" s="27"/>
      <c r="P282" s="27"/>
      <c r="R282" s="86"/>
      <c r="S282" s="25"/>
      <c r="T282" s="25"/>
      <c r="Z282" s="87"/>
      <c r="AA282" s="87"/>
      <c r="AB282" s="88"/>
    </row>
    <row r="283" spans="1:28" s="41" customFormat="1" ht="3" customHeight="1">
      <c r="A283" s="32"/>
      <c r="B283" s="33"/>
      <c r="C283" s="34"/>
      <c r="D283" s="35"/>
      <c r="E283" s="36"/>
      <c r="F283" s="37"/>
      <c r="G283" s="34"/>
      <c r="H283" s="33"/>
      <c r="I283" s="35"/>
      <c r="J283" s="35"/>
      <c r="K283" s="38"/>
      <c r="L283" s="37"/>
      <c r="M283" s="39"/>
      <c r="N283" s="36"/>
      <c r="O283" s="36"/>
      <c r="P283" s="40"/>
    </row>
    <row r="284" spans="1:28" ht="14.4">
      <c r="A284" s="23">
        <v>45047</v>
      </c>
      <c r="B284" s="24" t="s">
        <v>13</v>
      </c>
      <c r="C284" s="25">
        <v>15731</v>
      </c>
      <c r="D284" s="26">
        <v>49090.14</v>
      </c>
      <c r="E284" s="27">
        <f>D284/C284</f>
        <v>3.1205988176212576</v>
      </c>
      <c r="F284" s="17"/>
      <c r="G284" s="25">
        <v>11914</v>
      </c>
      <c r="H284" s="28">
        <f>(C284-G284)/C284</f>
        <v>0.24264191723348802</v>
      </c>
      <c r="I284" s="26">
        <f>G284*P284</f>
        <v>65416.199799999995</v>
      </c>
      <c r="J284" s="26">
        <f>I284-D284</f>
        <v>16326.059799999995</v>
      </c>
      <c r="L284" s="17"/>
      <c r="M284" s="27">
        <v>5.9318999999999997</v>
      </c>
      <c r="N284" s="27">
        <v>-0.44119999999999998</v>
      </c>
      <c r="O284" s="27"/>
      <c r="P284" s="27">
        <f>SUM(M284:O284)</f>
        <v>5.4906999999999995</v>
      </c>
      <c r="Q284" s="31"/>
      <c r="R284" s="86"/>
      <c r="U284" s="84"/>
      <c r="V284" s="85">
        <v>1.77</v>
      </c>
      <c r="Z284" s="87"/>
      <c r="AA284" s="87"/>
      <c r="AB284" s="88"/>
    </row>
    <row r="285" spans="1:28" ht="14.4">
      <c r="B285" s="24" t="s">
        <v>15</v>
      </c>
      <c r="C285" s="25">
        <v>2879</v>
      </c>
      <c r="D285" s="26">
        <v>24897.62</v>
      </c>
      <c r="E285" s="27">
        <f>D285/C285</f>
        <v>8.6480097255991666</v>
      </c>
      <c r="F285" s="17"/>
      <c r="G285" s="25">
        <v>3296</v>
      </c>
      <c r="H285" s="28">
        <f>(C285-G285)/C285</f>
        <v>-0.14484195901354638</v>
      </c>
      <c r="I285" s="26">
        <f>G285*P284</f>
        <v>18097.347199999997</v>
      </c>
      <c r="J285" s="26">
        <f>I285-D285</f>
        <v>-6800.2728000000025</v>
      </c>
      <c r="L285" s="17"/>
      <c r="M285" s="27"/>
      <c r="N285" s="27"/>
      <c r="O285" s="27"/>
      <c r="P285" s="27"/>
      <c r="R285" s="86"/>
      <c r="Z285" s="87"/>
      <c r="AA285" s="87"/>
      <c r="AB285" s="88"/>
    </row>
    <row r="286" spans="1:28" ht="14.4">
      <c r="B286" s="24" t="s">
        <v>17</v>
      </c>
      <c r="C286" s="25">
        <f>SUM(C284:C285)</f>
        <v>18610</v>
      </c>
      <c r="D286" s="26">
        <f>SUM(D284:D285)</f>
        <v>73987.759999999995</v>
      </c>
      <c r="E286" s="27">
        <f>D286/C286</f>
        <v>3.9756990865126274</v>
      </c>
      <c r="F286" s="17"/>
      <c r="G286" s="25">
        <f>SUM(G284:G285)</f>
        <v>15210</v>
      </c>
      <c r="H286" s="28">
        <f>(C286-G286)/C286</f>
        <v>0.18269747447608811</v>
      </c>
      <c r="J286" s="26">
        <f>J284+J285</f>
        <v>9525.786999999993</v>
      </c>
      <c r="K286" s="29">
        <f>K282+J286</f>
        <v>507875.21888267866</v>
      </c>
      <c r="L286" s="17"/>
      <c r="M286" s="27"/>
      <c r="N286" s="27"/>
      <c r="O286" s="27"/>
      <c r="P286" s="27"/>
      <c r="R286" s="86"/>
      <c r="S286" s="25"/>
      <c r="T286" s="25"/>
      <c r="Z286" s="87"/>
      <c r="AA286" s="87"/>
      <c r="AB286" s="88"/>
    </row>
    <row r="287" spans="1:28" ht="3" customHeight="1">
      <c r="A287" s="42"/>
      <c r="B287" s="43"/>
      <c r="C287" s="44"/>
      <c r="D287" s="45"/>
      <c r="E287" s="46"/>
      <c r="F287" s="17"/>
      <c r="G287" s="44"/>
      <c r="H287" s="43"/>
      <c r="I287" s="45"/>
      <c r="J287" s="45"/>
      <c r="K287" s="47"/>
      <c r="L287" s="17"/>
      <c r="M287" s="48"/>
      <c r="N287" s="46"/>
      <c r="O287" s="46"/>
      <c r="P287" s="49"/>
      <c r="R287" s="86"/>
    </row>
    <row r="288" spans="1:28" ht="14.4">
      <c r="A288" s="23">
        <v>45078</v>
      </c>
      <c r="B288" s="24" t="s">
        <v>13</v>
      </c>
      <c r="C288" s="25">
        <v>8235</v>
      </c>
      <c r="D288" s="26">
        <v>24721.8</v>
      </c>
      <c r="E288" s="27">
        <f>D288/C288</f>
        <v>3.0020400728597449</v>
      </c>
      <c r="F288" s="17"/>
      <c r="G288" s="25">
        <v>7770</v>
      </c>
      <c r="H288" s="28">
        <f>(C288-G288)/C288</f>
        <v>5.6466302367941715E-2</v>
      </c>
      <c r="I288" s="26">
        <f>G288*P284</f>
        <v>42662.738999999994</v>
      </c>
      <c r="J288" s="26">
        <f>I288-D288</f>
        <v>17940.938999999995</v>
      </c>
      <c r="L288" s="17"/>
      <c r="M288" s="27"/>
      <c r="N288" s="27"/>
      <c r="O288" s="27"/>
      <c r="P288" s="27"/>
      <c r="Q288" s="31"/>
      <c r="R288" s="86"/>
      <c r="U288" s="84"/>
      <c r="V288" s="85">
        <v>1.53</v>
      </c>
      <c r="Z288" s="87"/>
      <c r="AA288" s="87"/>
      <c r="AB288" s="88"/>
    </row>
    <row r="289" spans="1:28" ht="14.4">
      <c r="B289" s="24" t="s">
        <v>15</v>
      </c>
      <c r="C289" s="25">
        <v>2296</v>
      </c>
      <c r="D289" s="26">
        <v>19166.28</v>
      </c>
      <c r="E289" s="27">
        <f>D289/C289</f>
        <v>8.3476829268292683</v>
      </c>
      <c r="F289" s="17"/>
      <c r="G289" s="25">
        <v>1954</v>
      </c>
      <c r="H289" s="28">
        <f>(C289-G289)/C289</f>
        <v>0.14895470383275261</v>
      </c>
      <c r="I289" s="26">
        <f>G289*P284</f>
        <v>10728.827799999999</v>
      </c>
      <c r="J289" s="26">
        <f>I289-D289</f>
        <v>-8437.4521999999997</v>
      </c>
      <c r="L289" s="17"/>
      <c r="M289" s="27"/>
      <c r="N289" s="27"/>
      <c r="O289" s="27"/>
      <c r="P289" s="27"/>
      <c r="R289" s="86"/>
      <c r="Z289" s="87"/>
      <c r="AA289" s="87"/>
      <c r="AB289" s="88"/>
    </row>
    <row r="290" spans="1:28" ht="14.4">
      <c r="B290" s="24" t="s">
        <v>17</v>
      </c>
      <c r="C290" s="25">
        <f>SUM(C288:C289)</f>
        <v>10531</v>
      </c>
      <c r="D290" s="26">
        <f>SUM(D288:D289)</f>
        <v>43888.08</v>
      </c>
      <c r="E290" s="27">
        <f>D290/C290</f>
        <v>4.1675130566897733</v>
      </c>
      <c r="F290" s="17"/>
      <c r="G290" s="25">
        <f>SUM(G288:G289)</f>
        <v>9724</v>
      </c>
      <c r="H290" s="28">
        <f>(C290-G290)/C290</f>
        <v>7.6630899249833823E-2</v>
      </c>
      <c r="J290" s="26">
        <f>J288+J289</f>
        <v>9503.4867999999951</v>
      </c>
      <c r="K290" s="29">
        <f>K286+J290</f>
        <v>517378.70568267867</v>
      </c>
      <c r="L290" s="17"/>
      <c r="M290" s="27"/>
      <c r="N290" s="27"/>
      <c r="O290" s="27"/>
      <c r="P290" s="27"/>
      <c r="R290" s="86"/>
      <c r="S290" s="25"/>
      <c r="T290" s="25"/>
      <c r="Z290" s="87"/>
      <c r="AA290" s="87"/>
      <c r="AB290" s="88"/>
    </row>
    <row r="291" spans="1:28" ht="3" customHeight="1">
      <c r="A291" s="42"/>
      <c r="B291" s="43"/>
      <c r="C291" s="44"/>
      <c r="D291" s="45"/>
      <c r="E291" s="46"/>
      <c r="F291" s="17"/>
      <c r="G291" s="44"/>
      <c r="H291" s="43"/>
      <c r="I291" s="45"/>
      <c r="J291" s="45"/>
      <c r="K291" s="47"/>
      <c r="L291" s="17"/>
      <c r="M291" s="48"/>
      <c r="N291" s="46"/>
      <c r="O291" s="46"/>
      <c r="P291" s="49"/>
      <c r="R291" s="86"/>
    </row>
    <row r="292" spans="1:28" ht="14.4">
      <c r="A292" s="23">
        <v>45108</v>
      </c>
      <c r="B292" s="24" t="s">
        <v>13</v>
      </c>
      <c r="C292" s="25">
        <v>6775</v>
      </c>
      <c r="D292" s="26">
        <v>22793.15</v>
      </c>
      <c r="E292" s="27">
        <f>D292/C292</f>
        <v>3.3643025830258306</v>
      </c>
      <c r="F292" s="17"/>
      <c r="G292" s="25">
        <v>5957.9</v>
      </c>
      <c r="H292" s="28">
        <f>(C292-G292)/C292</f>
        <v>0.12060516605166056</v>
      </c>
      <c r="I292" s="26">
        <f>G292*P284</f>
        <v>32713.041529999995</v>
      </c>
      <c r="J292" s="26">
        <f>I292-D292</f>
        <v>9919.8915299999935</v>
      </c>
      <c r="L292" s="17"/>
      <c r="M292" s="27"/>
      <c r="N292" s="27"/>
      <c r="O292" s="27"/>
      <c r="P292" s="27"/>
      <c r="R292" s="86"/>
      <c r="U292" s="84"/>
      <c r="V292" s="85">
        <v>1.59</v>
      </c>
    </row>
    <row r="293" spans="1:28" ht="14.4">
      <c r="B293" s="24" t="s">
        <v>15</v>
      </c>
      <c r="C293" s="25">
        <v>1838</v>
      </c>
      <c r="D293" s="26">
        <v>15483.77</v>
      </c>
      <c r="E293" s="27">
        <f>D293/C293</f>
        <v>8.4242491838955385</v>
      </c>
      <c r="F293" s="17"/>
      <c r="G293" s="25">
        <v>1458.7</v>
      </c>
      <c r="H293" s="28">
        <f>(C293-G293)/C293</f>
        <v>0.2063656147986942</v>
      </c>
      <c r="I293" s="26">
        <f>G293*P284</f>
        <v>8009.2840899999992</v>
      </c>
      <c r="J293" s="26">
        <f>I293-D293</f>
        <v>-7474.4859100000012</v>
      </c>
      <c r="L293" s="17"/>
      <c r="M293" s="27"/>
      <c r="N293" s="27"/>
      <c r="O293" s="27"/>
      <c r="P293" s="27"/>
      <c r="R293" s="86"/>
    </row>
    <row r="294" spans="1:28">
      <c r="B294" s="24" t="s">
        <v>17</v>
      </c>
      <c r="C294" s="25">
        <f>SUM(C292:C293)</f>
        <v>8613</v>
      </c>
      <c r="D294" s="26">
        <f>SUM(D292:D293)</f>
        <v>38276.92</v>
      </c>
      <c r="E294" s="27">
        <f>D294/C294</f>
        <v>4.4440868454661553</v>
      </c>
      <c r="F294" s="17"/>
      <c r="G294" s="25">
        <f>SUM(G292:G293)</f>
        <v>7416.5999999999995</v>
      </c>
      <c r="H294" s="28">
        <f>(C294-G294)/C294</f>
        <v>0.13890630442354587</v>
      </c>
      <c r="J294" s="26">
        <f>J292+J293</f>
        <v>2445.4056199999923</v>
      </c>
      <c r="K294" s="29">
        <f>K290+J294</f>
        <v>519824.11130267865</v>
      </c>
      <c r="L294" s="17"/>
      <c r="M294" s="27"/>
      <c r="N294" s="27"/>
      <c r="O294" s="27"/>
      <c r="P294" s="27"/>
      <c r="R294" s="69"/>
      <c r="S294" s="25"/>
      <c r="T294" s="25"/>
      <c r="Z294" s="89"/>
      <c r="AA294" s="89"/>
      <c r="AB294" s="89"/>
    </row>
    <row r="295" spans="1:28" s="41" customFormat="1" ht="3" customHeight="1">
      <c r="A295" s="32"/>
      <c r="B295" s="33"/>
      <c r="C295" s="34"/>
      <c r="D295" s="35"/>
      <c r="E295" s="36"/>
      <c r="F295" s="37"/>
      <c r="G295" s="34"/>
      <c r="H295" s="33"/>
      <c r="I295" s="35"/>
      <c r="J295" s="35"/>
      <c r="K295" s="38"/>
      <c r="L295" s="37"/>
      <c r="M295" s="39"/>
      <c r="N295" s="36"/>
      <c r="O295" s="36"/>
      <c r="P295" s="40"/>
    </row>
    <row r="296" spans="1:28" ht="14.4">
      <c r="A296" s="23">
        <v>45139</v>
      </c>
      <c r="B296" s="24" t="s">
        <v>13</v>
      </c>
      <c r="C296" s="25">
        <v>7140</v>
      </c>
      <c r="D296" s="26">
        <v>21668.34</v>
      </c>
      <c r="E296" s="27">
        <f>D296/C296</f>
        <v>3.0347815126050421</v>
      </c>
      <c r="F296" s="17"/>
      <c r="G296" s="25">
        <v>6557.9</v>
      </c>
      <c r="H296" s="28">
        <f>(C296-G296)/C296</f>
        <v>8.1526610644257758E-2</v>
      </c>
      <c r="I296" s="26">
        <f>G296*P296</f>
        <v>23708.120079999997</v>
      </c>
      <c r="J296" s="26">
        <f>I296-D296</f>
        <v>2039.7800799999968</v>
      </c>
      <c r="L296" s="17"/>
      <c r="M296" s="27">
        <v>6.5308999999999999</v>
      </c>
      <c r="N296" s="27">
        <v>-2.9157000000000002</v>
      </c>
      <c r="O296" s="27"/>
      <c r="P296" s="27">
        <f>SUM(M296:O296)</f>
        <v>3.6151999999999997</v>
      </c>
      <c r="R296" s="86"/>
      <c r="T296" s="84"/>
      <c r="U296" s="85"/>
      <c r="V296" s="85">
        <v>1.35</v>
      </c>
      <c r="X296" s="50"/>
      <c r="Y296" s="90"/>
      <c r="Z296" s="90"/>
      <c r="AA296" s="91"/>
    </row>
    <row r="297" spans="1:28" ht="14.4">
      <c r="B297" s="24" t="s">
        <v>15</v>
      </c>
      <c r="C297" s="25">
        <v>1803</v>
      </c>
      <c r="D297" s="26">
        <v>14313.6</v>
      </c>
      <c r="E297" s="27">
        <f>D297/C297</f>
        <v>7.9387687188019971</v>
      </c>
      <c r="F297" s="17"/>
      <c r="G297" s="25">
        <v>1950.5</v>
      </c>
      <c r="H297" s="28">
        <f>(C297-G297)/C297</f>
        <v>-8.1808097615085965E-2</v>
      </c>
      <c r="I297" s="26">
        <f>G297*P296</f>
        <v>7051.4475999999995</v>
      </c>
      <c r="J297" s="26">
        <f>I297-D297</f>
        <v>-7262.1524000000009</v>
      </c>
      <c r="L297" s="17"/>
      <c r="M297" s="27"/>
      <c r="N297" s="27"/>
      <c r="O297" s="27"/>
      <c r="P297" s="27"/>
      <c r="R297" s="86"/>
      <c r="X297" s="50"/>
      <c r="Y297" s="90"/>
      <c r="Z297" s="90"/>
      <c r="AA297" s="91"/>
      <c r="AB297" s="92"/>
    </row>
    <row r="298" spans="1:28">
      <c r="B298" s="24" t="s">
        <v>17</v>
      </c>
      <c r="C298" s="25">
        <f>SUM(C296:C297)</f>
        <v>8943</v>
      </c>
      <c r="D298" s="26">
        <f>SUM(D296:D297)</f>
        <v>35981.94</v>
      </c>
      <c r="E298" s="27">
        <f>D298/C298</f>
        <v>4.023475343844348</v>
      </c>
      <c r="F298" s="17"/>
      <c r="G298" s="25">
        <f>SUM(G296:G297)</f>
        <v>8508.4</v>
      </c>
      <c r="H298" s="28">
        <f>(C298-G298)/C298</f>
        <v>4.8596667784859708E-2</v>
      </c>
      <c r="J298" s="26">
        <f>J296+J297</f>
        <v>-5222.372320000004</v>
      </c>
      <c r="K298" s="29">
        <f>K294+J298</f>
        <v>514601.73898267862</v>
      </c>
      <c r="L298" s="17"/>
      <c r="M298" s="27"/>
      <c r="N298" s="27"/>
      <c r="O298" s="27"/>
      <c r="P298" s="27"/>
      <c r="R298" s="63"/>
      <c r="S298" s="25"/>
      <c r="X298" s="50"/>
      <c r="Y298" s="90"/>
      <c r="Z298" s="90"/>
      <c r="AA298" s="93"/>
    </row>
    <row r="299" spans="1:28" ht="3" customHeight="1">
      <c r="A299" s="42"/>
      <c r="B299" s="43"/>
      <c r="C299" s="44"/>
      <c r="D299" s="45"/>
      <c r="E299" s="46"/>
      <c r="F299" s="17"/>
      <c r="G299" s="44"/>
      <c r="H299" s="43"/>
      <c r="I299" s="45"/>
      <c r="J299" s="45"/>
      <c r="K299" s="47"/>
      <c r="L299" s="17"/>
      <c r="M299" s="48"/>
      <c r="N299" s="46"/>
      <c r="O299" s="46"/>
      <c r="P299" s="49"/>
    </row>
    <row r="300" spans="1:28" ht="14.4">
      <c r="A300" s="23">
        <v>45170</v>
      </c>
      <c r="B300" s="24" t="s">
        <v>13</v>
      </c>
      <c r="C300" s="25">
        <v>7798</v>
      </c>
      <c r="D300" s="26">
        <v>19487.02</v>
      </c>
      <c r="E300" s="27">
        <f>D300/C300</f>
        <v>2.4989766606822261</v>
      </c>
      <c r="F300" s="17"/>
      <c r="G300" s="25">
        <v>7091.9</v>
      </c>
      <c r="H300" s="28">
        <f>(C300-G300)/C300</f>
        <v>9.0548858681713307E-2</v>
      </c>
      <c r="I300" s="26">
        <f>G300*P296</f>
        <v>25638.636879999998</v>
      </c>
      <c r="J300" s="26">
        <f>I300-D300</f>
        <v>6151.6168799999978</v>
      </c>
      <c r="L300" s="17"/>
      <c r="M300" s="27"/>
      <c r="N300" s="27"/>
      <c r="O300" s="27"/>
      <c r="P300" s="27"/>
      <c r="R300" s="86"/>
      <c r="T300" s="84"/>
      <c r="U300" s="85"/>
      <c r="V300" s="85">
        <v>1.08</v>
      </c>
    </row>
    <row r="301" spans="1:28" ht="14.4">
      <c r="B301" s="24" t="s">
        <v>15</v>
      </c>
      <c r="C301" s="25">
        <v>1922</v>
      </c>
      <c r="D301" s="26">
        <v>14963.4</v>
      </c>
      <c r="E301" s="27">
        <f>D301/C301</f>
        <v>7.7853277835587926</v>
      </c>
      <c r="F301" s="17"/>
      <c r="G301" s="25">
        <v>1514</v>
      </c>
      <c r="H301" s="28">
        <f>(C301-G301)/C301</f>
        <v>0.21227887617065558</v>
      </c>
      <c r="I301" s="26">
        <f>G301*P296</f>
        <v>5473.4128000000001</v>
      </c>
      <c r="J301" s="26">
        <f>I301-D301</f>
        <v>-9489.9871999999996</v>
      </c>
      <c r="L301" s="17"/>
      <c r="M301" s="27"/>
      <c r="N301" s="27"/>
      <c r="O301" s="27"/>
      <c r="P301" s="27"/>
      <c r="R301" s="86"/>
    </row>
    <row r="302" spans="1:28">
      <c r="B302" s="24" t="s">
        <v>17</v>
      </c>
      <c r="C302" s="25">
        <f>SUM(C300:C301)</f>
        <v>9720</v>
      </c>
      <c r="D302" s="26">
        <f>SUM(D300:D301)</f>
        <v>34450.42</v>
      </c>
      <c r="E302" s="27">
        <f>D302/C302</f>
        <v>3.5442818930041149</v>
      </c>
      <c r="F302" s="17"/>
      <c r="G302" s="25">
        <f>SUM(G300:G301)</f>
        <v>8605.9</v>
      </c>
      <c r="H302" s="28">
        <f>(C302-G302)/C302</f>
        <v>0.11461934156378605</v>
      </c>
      <c r="J302" s="26">
        <f>J300+J301</f>
        <v>-3338.3703200000018</v>
      </c>
      <c r="K302" s="29">
        <f>K298+J302</f>
        <v>511263.36866267864</v>
      </c>
      <c r="L302" s="17"/>
      <c r="M302" s="27"/>
      <c r="N302" s="27"/>
      <c r="O302" s="27"/>
      <c r="P302" s="27"/>
    </row>
    <row r="303" spans="1:28" ht="3" customHeight="1">
      <c r="A303" s="42"/>
      <c r="B303" s="43"/>
      <c r="C303" s="44"/>
      <c r="D303" s="45"/>
      <c r="E303" s="46"/>
      <c r="F303" s="17"/>
      <c r="G303" s="44"/>
      <c r="H303" s="43"/>
      <c r="I303" s="45"/>
      <c r="J303" s="45"/>
      <c r="K303" s="47"/>
      <c r="L303" s="17"/>
      <c r="M303" s="48"/>
      <c r="N303" s="46"/>
      <c r="O303" s="46"/>
      <c r="P303" s="49"/>
    </row>
    <row r="304" spans="1:28" ht="14.4">
      <c r="A304" s="23">
        <v>45200</v>
      </c>
      <c r="B304" s="24" t="s">
        <v>13</v>
      </c>
      <c r="C304" s="25">
        <v>14044</v>
      </c>
      <c r="D304" s="251">
        <f>39599.16+13298</f>
        <v>52897.16</v>
      </c>
      <c r="E304" s="27">
        <f>D304/C304</f>
        <v>3.7665309028766734</v>
      </c>
      <c r="F304" s="17"/>
      <c r="G304" s="25">
        <v>12599.7</v>
      </c>
      <c r="H304" s="28">
        <f>(C304-G304)/C304</f>
        <v>0.10284107091996576</v>
      </c>
      <c r="I304" s="26">
        <f>G304*P296</f>
        <v>45550.435440000001</v>
      </c>
      <c r="J304" s="26">
        <f>I304-D304</f>
        <v>-7346.7245600000024</v>
      </c>
      <c r="L304" s="17"/>
      <c r="M304" s="27"/>
      <c r="N304" s="27"/>
      <c r="O304" s="27"/>
      <c r="P304" s="27"/>
      <c r="R304" s="31" t="s">
        <v>218</v>
      </c>
      <c r="T304" s="84"/>
      <c r="U304" s="85"/>
      <c r="V304" s="85">
        <v>1.38</v>
      </c>
    </row>
    <row r="305" spans="1:29" ht="14.4">
      <c r="B305" s="24" t="s">
        <v>15</v>
      </c>
      <c r="C305" s="25">
        <v>4784</v>
      </c>
      <c r="D305" s="26">
        <v>39031.46</v>
      </c>
      <c r="E305" s="27">
        <f>D305/C305</f>
        <v>8.1587499999999995</v>
      </c>
      <c r="F305" s="17"/>
      <c r="G305" s="25">
        <v>3885.7</v>
      </c>
      <c r="H305" s="28">
        <f>(C305-G305)/C305</f>
        <v>0.18777173913043482</v>
      </c>
      <c r="I305" s="26">
        <f>G305*P296</f>
        <v>14047.582639999999</v>
      </c>
      <c r="J305" s="26">
        <f>I305-D305</f>
        <v>-24983.877359999999</v>
      </c>
      <c r="L305" s="17"/>
      <c r="M305" s="27"/>
      <c r="N305" s="27"/>
      <c r="O305" s="27"/>
      <c r="P305" s="27"/>
      <c r="R305" s="86"/>
    </row>
    <row r="306" spans="1:29">
      <c r="B306" s="24" t="s">
        <v>17</v>
      </c>
      <c r="C306" s="25">
        <f>SUM(C304:C305)</f>
        <v>18828</v>
      </c>
      <c r="D306" s="26">
        <f>SUM(D304:D305)</f>
        <v>91928.62</v>
      </c>
      <c r="E306" s="27">
        <f>D306/C306</f>
        <v>4.8825483322710852</v>
      </c>
      <c r="F306" s="17"/>
      <c r="G306" s="25">
        <f>SUM(G304:G305)</f>
        <v>16485.400000000001</v>
      </c>
      <c r="H306" s="28">
        <f>(C306-G306)/C306</f>
        <v>0.12442107499468869</v>
      </c>
      <c r="J306" s="26">
        <f>J304+J305</f>
        <v>-32330.601920000001</v>
      </c>
      <c r="K306" s="29">
        <f>K302+J306</f>
        <v>478932.76674267865</v>
      </c>
      <c r="L306" s="17"/>
      <c r="M306" s="53" t="s">
        <v>107</v>
      </c>
      <c r="N306" s="53" t="s">
        <v>22</v>
      </c>
      <c r="R306" s="69"/>
      <c r="S306" s="25"/>
    </row>
    <row r="307" spans="1:29" ht="6" customHeight="1">
      <c r="F307" s="17"/>
      <c r="H307" s="28"/>
      <c r="J307" s="24"/>
      <c r="L307" s="17"/>
    </row>
    <row r="308" spans="1:29">
      <c r="A308" s="55" t="s">
        <v>106</v>
      </c>
      <c r="B308" s="56"/>
      <c r="C308" s="56">
        <f t="shared" ref="C308:D310" si="13">SUM(C260,C264,C268,C272,C276,C280,C284,C288,C292,C296,C300,C304)</f>
        <v>270145.96999999997</v>
      </c>
      <c r="D308" s="57">
        <f t="shared" si="13"/>
        <v>1374504.27</v>
      </c>
      <c r="E308" s="58">
        <f>D308/C308</f>
        <v>5.0880058288487522</v>
      </c>
      <c r="F308" s="17"/>
      <c r="G308" s="56">
        <f>SUM(G260,G264,G268,G272,G276,G280,G284,G288,G292,G296,G300,G304)</f>
        <v>252536.7</v>
      </c>
      <c r="H308" s="59">
        <f>(C308-G308)/C308</f>
        <v>6.51842779664637E-2</v>
      </c>
      <c r="I308" s="57">
        <f>SUM(I260,I264,I268,I272,I276,I280,I284,I288,I292,I296,I300,I304)</f>
        <v>2656404.7699700003</v>
      </c>
      <c r="J308" s="57">
        <f>E308*(N308+N309)</f>
        <v>-29909.07356346634</v>
      </c>
      <c r="K308" s="54" t="s">
        <v>22</v>
      </c>
      <c r="L308" s="17"/>
      <c r="M308" s="60">
        <f>G308/(1-$R$326)</f>
        <v>273012.64864864864</v>
      </c>
      <c r="N308" s="60">
        <f>C308-M308</f>
        <v>-2866.6786486486671</v>
      </c>
      <c r="P308" s="156"/>
      <c r="R308" s="31" t="s">
        <v>27</v>
      </c>
    </row>
    <row r="309" spans="1:29">
      <c r="A309" s="61"/>
      <c r="B309" s="62" t="s">
        <v>15</v>
      </c>
      <c r="C309" s="56">
        <f t="shared" si="13"/>
        <v>104393</v>
      </c>
      <c r="D309" s="57">
        <f t="shared" si="13"/>
        <v>1123161.1099999999</v>
      </c>
      <c r="E309" s="58">
        <f>D309/C309</f>
        <v>10.758969566924984</v>
      </c>
      <c r="F309" s="17"/>
      <c r="G309" s="56">
        <f>SUM(G261,G265,G269,G273,G277,G281,G285,G289,G293,G297,G301,G305)</f>
        <v>99349.32</v>
      </c>
      <c r="H309" s="59">
        <f t="shared" ref="H309:H310" si="14">(C309-G309)/C309</f>
        <v>4.8314350579061749E-2</v>
      </c>
      <c r="I309" s="57">
        <f>SUM(I261,I265,I269,I273,I277,I281,I285,I289,I293,I297,I301,I305)</f>
        <v>1092428.249086</v>
      </c>
      <c r="J309" s="57"/>
      <c r="L309" s="17"/>
      <c r="M309" s="60">
        <f>G309/(1-$R$326)</f>
        <v>107404.67027027028</v>
      </c>
      <c r="N309" s="60">
        <f>C309-M309</f>
        <v>-3011.6702702702751</v>
      </c>
      <c r="P309" s="156"/>
      <c r="R309" s="69"/>
      <c r="S309" s="25"/>
    </row>
    <row r="310" spans="1:29">
      <c r="A310" s="61"/>
      <c r="B310" s="62" t="s">
        <v>17</v>
      </c>
      <c r="C310" s="56">
        <f t="shared" si="13"/>
        <v>374538.97000000003</v>
      </c>
      <c r="D310" s="57">
        <f>SUM(D308:D309)</f>
        <v>2497665.38</v>
      </c>
      <c r="E310" s="58">
        <f>D310/C310</f>
        <v>6.6686395276838608</v>
      </c>
      <c r="F310" s="17"/>
      <c r="G310" s="56">
        <f>SUM(G262,G266,G270,G274,G278,G282,G286,G290,G294,G298,G302,G306)</f>
        <v>351886.02000000008</v>
      </c>
      <c r="H310" s="59">
        <f t="shared" si="14"/>
        <v>6.0482224319674802E-2</v>
      </c>
      <c r="I310" s="57">
        <f>SUM(I308:I309)</f>
        <v>3748833.0190560003</v>
      </c>
      <c r="J310" s="57">
        <f>SUM(J308:J309)</f>
        <v>-29909.07356346634</v>
      </c>
      <c r="K310" s="70">
        <f>K306+J310</f>
        <v>449023.69317921234</v>
      </c>
      <c r="L310" s="17"/>
      <c r="M310" s="60">
        <f>G310/(1-$R$326)</f>
        <v>380417.31891891896</v>
      </c>
      <c r="N310" s="60">
        <f>C310-M310</f>
        <v>-5878.3489189189277</v>
      </c>
      <c r="P310" s="156"/>
      <c r="R310" s="64">
        <f>N310*E310</f>
        <v>-39200.589958220451</v>
      </c>
      <c r="S310" s="65" t="s">
        <v>25</v>
      </c>
    </row>
    <row r="311" spans="1:29" s="41" customFormat="1" ht="6" customHeight="1">
      <c r="A311" s="32"/>
      <c r="B311" s="33"/>
      <c r="C311" s="34"/>
      <c r="D311" s="35"/>
      <c r="E311" s="36"/>
      <c r="F311" s="37"/>
      <c r="G311" s="34"/>
      <c r="H311" s="33"/>
      <c r="I311" s="35"/>
      <c r="J311" s="35"/>
      <c r="K311" s="38"/>
      <c r="L311" s="37"/>
      <c r="M311" s="66"/>
      <c r="N311" s="67"/>
      <c r="O311" s="67"/>
      <c r="P311" s="68"/>
    </row>
    <row r="312" spans="1:29" ht="14.4">
      <c r="A312" s="23">
        <v>45231</v>
      </c>
      <c r="B312" s="24" t="s">
        <v>13</v>
      </c>
      <c r="C312" s="282">
        <v>31000</v>
      </c>
      <c r="D312" s="283">
        <f>C312*(V312+1.8)</f>
        <v>116250</v>
      </c>
      <c r="E312" s="27">
        <f>D312/C312</f>
        <v>3.75</v>
      </c>
      <c r="F312" s="17"/>
      <c r="G312" s="25">
        <v>28421.5</v>
      </c>
      <c r="H312" s="28">
        <f>(C312-G312)/C312</f>
        <v>8.3177419354838716E-2</v>
      </c>
      <c r="I312" s="26">
        <f>G312*P312</f>
        <v>85710.717550000001</v>
      </c>
      <c r="J312" s="26">
        <f>I312-D312</f>
        <v>-30539.282449999999</v>
      </c>
      <c r="L312" s="17"/>
      <c r="M312" s="27">
        <v>6.2594000000000003</v>
      </c>
      <c r="N312" s="27">
        <v>-3.2437</v>
      </c>
      <c r="O312" s="27"/>
      <c r="P312" s="27">
        <f>SUM(M312:O312)</f>
        <v>3.0157000000000003</v>
      </c>
      <c r="R312" s="86"/>
      <c r="U312" s="84"/>
      <c r="V312" s="85">
        <v>1.95</v>
      </c>
      <c r="Y312" s="50"/>
      <c r="Z312" s="90"/>
      <c r="AA312" s="90"/>
      <c r="AB312" s="91"/>
    </row>
    <row r="313" spans="1:29" ht="14.4">
      <c r="B313" s="24" t="s">
        <v>15</v>
      </c>
      <c r="C313" s="25">
        <v>12627</v>
      </c>
      <c r="D313" s="26">
        <v>112044.65</v>
      </c>
      <c r="E313" s="27">
        <f>D313/C313</f>
        <v>8.8734180723845721</v>
      </c>
      <c r="F313" s="17"/>
      <c r="G313" s="25">
        <v>13082.3</v>
      </c>
      <c r="H313" s="28">
        <f>(C313-G313)/C313</f>
        <v>-3.6057654232992738E-2</v>
      </c>
      <c r="I313" s="26">
        <f>G313*P312</f>
        <v>39452.292110000002</v>
      </c>
      <c r="J313" s="26">
        <f>I313-D313</f>
        <v>-72592.357889999985</v>
      </c>
      <c r="L313" s="17"/>
      <c r="M313" s="27"/>
      <c r="N313" s="27"/>
      <c r="O313" s="27"/>
      <c r="P313" s="27"/>
      <c r="R313" s="86"/>
      <c r="Y313" s="50"/>
      <c r="Z313" s="90"/>
      <c r="AA313" s="90"/>
      <c r="AB313" s="91"/>
      <c r="AC313" s="92"/>
    </row>
    <row r="314" spans="1:29">
      <c r="B314" s="24" t="s">
        <v>17</v>
      </c>
      <c r="C314" s="25">
        <f>SUM(C312:C313)</f>
        <v>43627</v>
      </c>
      <c r="D314" s="26">
        <f>SUM(D312:D313)</f>
        <v>228294.65</v>
      </c>
      <c r="E314" s="27">
        <f>D314/C314</f>
        <v>5.2328752836546171</v>
      </c>
      <c r="F314" s="17"/>
      <c r="G314" s="25">
        <f>SUM(G312:G313)</f>
        <v>41503.800000000003</v>
      </c>
      <c r="H314" s="28">
        <f>(C314-G314)/C314</f>
        <v>4.8667109817314896E-2</v>
      </c>
      <c r="J314" s="26">
        <f>J312+J313</f>
        <v>-103131.64033999998</v>
      </c>
      <c r="K314" s="29">
        <f>K310+J314</f>
        <v>345892.05283921235</v>
      </c>
      <c r="L314" s="17"/>
      <c r="M314" s="27"/>
      <c r="N314" s="27"/>
      <c r="O314" s="27"/>
      <c r="P314" s="27"/>
      <c r="R314" s="63"/>
      <c r="S314" s="25"/>
      <c r="T314" s="25"/>
      <c r="Y314" s="50"/>
      <c r="Z314" s="90"/>
      <c r="AA314" s="90"/>
      <c r="AB314" s="93"/>
    </row>
    <row r="315" spans="1:29" ht="3" customHeight="1">
      <c r="A315" s="42"/>
      <c r="B315" s="43"/>
      <c r="C315" s="44"/>
      <c r="D315" s="45"/>
      <c r="E315" s="46"/>
      <c r="F315" s="17"/>
      <c r="G315" s="44"/>
      <c r="H315" s="43"/>
      <c r="I315" s="45"/>
      <c r="J315" s="45"/>
      <c r="K315" s="47"/>
      <c r="L315" s="17"/>
      <c r="M315" s="48"/>
      <c r="N315" s="46"/>
      <c r="O315" s="46"/>
      <c r="P315" s="49"/>
    </row>
    <row r="316" spans="1:29" ht="14.4">
      <c r="A316" s="23">
        <v>45261</v>
      </c>
      <c r="B316" s="24" t="s">
        <v>13</v>
      </c>
      <c r="C316" s="284">
        <v>46000</v>
      </c>
      <c r="D316" s="285">
        <f>C316*(V316+1.8)</f>
        <v>175720</v>
      </c>
      <c r="E316" s="27">
        <f>D316/C316</f>
        <v>3.82</v>
      </c>
      <c r="F316" s="17"/>
      <c r="G316" s="284">
        <v>42000</v>
      </c>
      <c r="H316" s="28">
        <f>(C316-G316)/C316</f>
        <v>8.6956521739130432E-2</v>
      </c>
      <c r="I316" s="26">
        <f>G316*P312</f>
        <v>126659.40000000001</v>
      </c>
      <c r="J316" s="26">
        <f>I316-D316</f>
        <v>-49060.599999999991</v>
      </c>
      <c r="L316" s="17"/>
      <c r="M316" s="27"/>
      <c r="N316" s="27"/>
      <c r="O316" s="27"/>
      <c r="P316" s="27"/>
      <c r="R316" s="86"/>
      <c r="U316" s="84"/>
      <c r="V316" s="85">
        <v>2.02</v>
      </c>
    </row>
    <row r="317" spans="1:29" ht="14.4">
      <c r="B317" s="24" t="s">
        <v>15</v>
      </c>
      <c r="C317" s="284">
        <v>21000</v>
      </c>
      <c r="D317" s="285">
        <f>C317*(V316+8.25)</f>
        <v>215670</v>
      </c>
      <c r="E317" s="27">
        <f>D317/C317</f>
        <v>10.27</v>
      </c>
      <c r="F317" s="17"/>
      <c r="G317" s="284">
        <v>20000</v>
      </c>
      <c r="H317" s="28">
        <f>(C317-G317)/C317</f>
        <v>4.7619047619047616E-2</v>
      </c>
      <c r="I317" s="26">
        <f>G317*P312</f>
        <v>60314.000000000007</v>
      </c>
      <c r="J317" s="26">
        <f>I317-D317</f>
        <v>-155356</v>
      </c>
      <c r="L317" s="17"/>
      <c r="M317" s="27"/>
      <c r="N317" s="27"/>
      <c r="O317" s="27"/>
      <c r="P317" s="27"/>
      <c r="R317" s="86"/>
    </row>
    <row r="318" spans="1:29">
      <c r="B318" s="24" t="s">
        <v>17</v>
      </c>
      <c r="C318" s="25">
        <f>SUM(C316:C317)</f>
        <v>67000</v>
      </c>
      <c r="D318" s="26">
        <f>SUM(D316:D317)</f>
        <v>391390</v>
      </c>
      <c r="E318" s="27">
        <f>D318/C318</f>
        <v>5.8416417910447764</v>
      </c>
      <c r="F318" s="17"/>
      <c r="G318" s="25">
        <f>SUM(G316:G317)</f>
        <v>62000</v>
      </c>
      <c r="H318" s="28">
        <f>(C318-G318)/C318</f>
        <v>7.4626865671641784E-2</v>
      </c>
      <c r="J318" s="26">
        <f>J316+J317</f>
        <v>-204416.59999999998</v>
      </c>
      <c r="K318" s="29">
        <f>K314+J318</f>
        <v>141475.45283921238</v>
      </c>
      <c r="L318" s="17"/>
      <c r="M318" s="27"/>
      <c r="N318" s="27"/>
      <c r="O318" s="27"/>
      <c r="P318" s="27"/>
      <c r="V318" s="83"/>
    </row>
    <row r="319" spans="1:29" ht="3" customHeight="1">
      <c r="A319" s="42"/>
      <c r="B319" s="43"/>
      <c r="C319" s="44"/>
      <c r="D319" s="45"/>
      <c r="E319" s="46"/>
      <c r="F319" s="17"/>
      <c r="G319" s="44"/>
      <c r="H319" s="43"/>
      <c r="I319" s="45"/>
      <c r="J319" s="45"/>
      <c r="K319" s="47"/>
      <c r="L319" s="17"/>
      <c r="M319" s="48"/>
      <c r="N319" s="46"/>
      <c r="O319" s="46"/>
      <c r="P319" s="49"/>
    </row>
    <row r="320" spans="1:29" ht="14.4">
      <c r="A320" s="12">
        <v>45292</v>
      </c>
      <c r="B320" s="13" t="s">
        <v>13</v>
      </c>
      <c r="C320" s="14">
        <v>50000</v>
      </c>
      <c r="D320" s="15">
        <f>C320*(V320+1.8)</f>
        <v>200000</v>
      </c>
      <c r="E320" s="16">
        <f>D320/C320</f>
        <v>4</v>
      </c>
      <c r="F320" s="17"/>
      <c r="G320" s="14">
        <v>46000</v>
      </c>
      <c r="H320" s="18">
        <f>(C320-G320)/C320</f>
        <v>0.08</v>
      </c>
      <c r="I320" s="15">
        <f>G320*P312</f>
        <v>138722.20000000001</v>
      </c>
      <c r="J320" s="15">
        <f>I320-D320</f>
        <v>-61277.799999999988</v>
      </c>
      <c r="K320" s="19"/>
      <c r="L320" s="17"/>
      <c r="M320" s="16"/>
      <c r="N320" s="16"/>
      <c r="O320" s="16"/>
      <c r="P320" s="16"/>
      <c r="R320" s="86" t="s">
        <v>218</v>
      </c>
      <c r="S320" s="86"/>
      <c r="T320" s="84"/>
      <c r="U320" s="85"/>
      <c r="V320" s="85">
        <v>2.2000000000000002</v>
      </c>
    </row>
    <row r="321" spans="1:22" ht="14.4">
      <c r="B321" s="24" t="s">
        <v>15</v>
      </c>
      <c r="C321" s="284">
        <v>21000</v>
      </c>
      <c r="D321" s="285">
        <f>C321*(V320+8.25)</f>
        <v>219449.99999999997</v>
      </c>
      <c r="E321" s="27">
        <f>D321/C321</f>
        <v>10.45</v>
      </c>
      <c r="F321" s="17"/>
      <c r="G321" s="284">
        <v>20000</v>
      </c>
      <c r="H321" s="28">
        <f>(C321-G321)/C321</f>
        <v>4.7619047619047616E-2</v>
      </c>
      <c r="I321" s="26">
        <f>G321*P312</f>
        <v>60314.000000000007</v>
      </c>
      <c r="J321" s="26">
        <f>I321-D321</f>
        <v>-159135.99999999997</v>
      </c>
      <c r="L321" s="17"/>
      <c r="M321" s="27"/>
      <c r="N321" s="27"/>
      <c r="O321" s="27"/>
      <c r="P321" s="27"/>
      <c r="R321" s="86"/>
    </row>
    <row r="322" spans="1:22">
      <c r="B322" s="24" t="s">
        <v>17</v>
      </c>
      <c r="C322" s="25">
        <f>SUM(C320:C321)</f>
        <v>71000</v>
      </c>
      <c r="D322" s="26">
        <f>SUM(D320:D321)</f>
        <v>419450</v>
      </c>
      <c r="E322" s="27">
        <f>D322/C322</f>
        <v>5.9077464788732392</v>
      </c>
      <c r="F322" s="17"/>
      <c r="G322" s="25">
        <f>SUM(G320:G321)</f>
        <v>66000</v>
      </c>
      <c r="H322" s="28">
        <f>(C322-G322)/C322</f>
        <v>7.0422535211267609E-2</v>
      </c>
      <c r="J322" s="26">
        <f>J320+J321</f>
        <v>-220413.79999999996</v>
      </c>
      <c r="K322" s="286">
        <f>K318+J322</f>
        <v>-78938.347160787584</v>
      </c>
      <c r="L322" s="17"/>
      <c r="R322" s="69"/>
      <c r="S322" s="25"/>
      <c r="T322" s="25"/>
    </row>
    <row r="323" spans="1:22" s="41" customFormat="1" ht="3" customHeight="1">
      <c r="A323" s="32"/>
      <c r="B323" s="33"/>
      <c r="C323" s="34"/>
      <c r="D323" s="35"/>
      <c r="E323" s="36"/>
      <c r="F323" s="37"/>
      <c r="G323" s="34"/>
      <c r="H323" s="33"/>
      <c r="I323" s="35"/>
      <c r="J323" s="35"/>
      <c r="K323" s="38"/>
      <c r="L323" s="37"/>
      <c r="M323" s="39"/>
      <c r="N323" s="36"/>
      <c r="O323" s="36"/>
      <c r="P323" s="40"/>
    </row>
    <row r="324" spans="1:22" ht="14.4">
      <c r="L324" s="17"/>
      <c r="T324" s="84"/>
      <c r="U324" s="85"/>
    </row>
    <row r="325" spans="1:22" ht="14.4">
      <c r="K325" s="256" t="s">
        <v>233</v>
      </c>
      <c r="L325" s="17"/>
      <c r="R325" s="258" t="s">
        <v>228</v>
      </c>
      <c r="T325" s="84"/>
      <c r="U325" s="85"/>
    </row>
    <row r="326" spans="1:22">
      <c r="L326" s="17"/>
      <c r="R326" s="257">
        <v>7.4999999999999997E-2</v>
      </c>
      <c r="S326" s="31" t="s">
        <v>229</v>
      </c>
      <c r="U326" s="85"/>
    </row>
    <row r="327" spans="1:22">
      <c r="D327" s="25"/>
      <c r="I327" s="25"/>
      <c r="L327" s="17"/>
      <c r="S327" s="23"/>
      <c r="T327" s="29"/>
      <c r="U327" s="29"/>
      <c r="V327" s="26"/>
    </row>
    <row r="328" spans="1:22">
      <c r="L328" s="17"/>
      <c r="T328" s="29"/>
      <c r="U328" s="143"/>
      <c r="V328" s="26"/>
    </row>
    <row r="329" spans="1:22">
      <c r="L329" s="17"/>
      <c r="T329" s="29"/>
      <c r="U329" s="85"/>
    </row>
    <row r="330" spans="1:22">
      <c r="L330" s="17"/>
      <c r="T330" s="29"/>
      <c r="U330" s="85"/>
    </row>
    <row r="331" spans="1:22">
      <c r="L331" s="17"/>
      <c r="U331" s="85"/>
    </row>
    <row r="332" spans="1:22" ht="14.4">
      <c r="L332" s="17"/>
      <c r="T332" s="84"/>
      <c r="U332" s="85"/>
    </row>
    <row r="333" spans="1:22" ht="14.4">
      <c r="L333" s="17"/>
      <c r="T333" s="84"/>
      <c r="U333" s="85"/>
    </row>
    <row r="334" spans="1:22" ht="14.4">
      <c r="L334" s="17"/>
      <c r="T334" s="84"/>
      <c r="U334" s="85"/>
    </row>
    <row r="335" spans="1:22" ht="14.4">
      <c r="L335" s="17"/>
      <c r="T335" s="84"/>
      <c r="U335" s="85"/>
    </row>
    <row r="336" spans="1:22" ht="14.4">
      <c r="L336" s="17"/>
      <c r="T336" s="84"/>
      <c r="U336" s="85"/>
    </row>
    <row r="337" spans="12:21" ht="14.4">
      <c r="L337" s="17"/>
      <c r="T337" s="84"/>
      <c r="U337" s="85"/>
    </row>
    <row r="338" spans="12:21" ht="14.4">
      <c r="L338" s="17"/>
      <c r="T338" s="84"/>
      <c r="U338" s="85"/>
    </row>
    <row r="339" spans="12:21" ht="14.4">
      <c r="L339" s="17"/>
      <c r="T339" s="84"/>
      <c r="U339" s="85"/>
    </row>
    <row r="340" spans="12:21">
      <c r="L340" s="17"/>
    </row>
    <row r="341" spans="12:21">
      <c r="L341" s="17"/>
    </row>
    <row r="342" spans="12:21">
      <c r="L342" s="17"/>
    </row>
    <row r="343" spans="12:21">
      <c r="L343" s="17"/>
    </row>
  </sheetData>
  <mergeCells count="2">
    <mergeCell ref="M128:O128"/>
    <mergeCell ref="M133:O133"/>
  </mergeCells>
  <printOptions horizontalCentered="1"/>
  <pageMargins left="0.2" right="0.2" top="0.25" bottom="0.25" header="0.2" footer="0.2"/>
  <pageSetup scale="85" fitToHeight="0" orientation="landscape" r:id="rId1"/>
  <rowBreaks count="6" manualBreakCount="6">
    <brk id="49" max="16383" man="1"/>
    <brk id="101" max="16383" man="1"/>
    <brk id="155" max="16383" man="1"/>
    <brk id="207" max="16383" man="1"/>
    <brk id="259" max="16383" man="1"/>
    <brk id="311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4FC5A-5100-494B-89F6-5AB9374DDCF6}">
  <dimension ref="A1:W183"/>
  <sheetViews>
    <sheetView zoomScaleNormal="100" workbookViewId="0">
      <pane xSplit="2" ySplit="2" topLeftCell="C151" activePane="bottomRight" state="frozen"/>
      <selection pane="topRight" activeCell="C1" sqref="C1"/>
      <selection pane="bottomLeft" activeCell="A3" sqref="A3"/>
      <selection pane="bottomRight" activeCell="N172" sqref="N172"/>
    </sheetView>
  </sheetViews>
  <sheetFormatPr defaultColWidth="8.88671875" defaultRowHeight="13.8"/>
  <cols>
    <col min="1" max="1" width="9.6640625" style="23" bestFit="1" customWidth="1"/>
    <col min="2" max="2" width="8.33203125" style="24" bestFit="1" customWidth="1"/>
    <col min="3" max="3" width="8.88671875" style="25"/>
    <col min="4" max="4" width="11.77734375" style="26" customWidth="1"/>
    <col min="5" max="5" width="9.33203125" style="27" bestFit="1" customWidth="1"/>
    <col min="6" max="6" width="1.109375" style="26" customWidth="1"/>
    <col min="7" max="7" width="8.88671875" style="25"/>
    <col min="8" max="8" width="7.33203125" style="24" bestFit="1" customWidth="1"/>
    <col min="9" max="9" width="11.77734375" style="26" customWidth="1"/>
    <col min="10" max="10" width="11.5546875" style="26" customWidth="1"/>
    <col min="11" max="11" width="11.5546875" style="29" customWidth="1"/>
    <col min="12" max="12" width="1.109375" style="26" customWidth="1"/>
    <col min="13" max="16" width="9.33203125" style="51" customWidth="1"/>
    <col min="17" max="17" width="8.88671875" style="24"/>
    <col min="18" max="18" width="10.109375" style="24" customWidth="1"/>
    <col min="19" max="19" width="8.88671875" style="24"/>
    <col min="20" max="20" width="11.6640625" style="24" bestFit="1" customWidth="1"/>
    <col min="21" max="21" width="10.33203125" style="24" bestFit="1" customWidth="1"/>
    <col min="22" max="24" width="8.88671875" style="24"/>
    <col min="25" max="25" width="12" style="24" bestFit="1" customWidth="1"/>
    <col min="26" max="27" width="11" style="24" bestFit="1" customWidth="1"/>
    <col min="28" max="16384" width="8.88671875" style="24"/>
  </cols>
  <sheetData>
    <row r="1" spans="1:23" s="2" customFormat="1" ht="13.8" customHeight="1">
      <c r="A1" s="245" t="s">
        <v>202</v>
      </c>
      <c r="B1" s="245"/>
      <c r="C1" s="245"/>
      <c r="D1" s="245" t="s">
        <v>208</v>
      </c>
      <c r="E1" s="245"/>
      <c r="F1" s="245"/>
      <c r="G1" s="245"/>
      <c r="H1" s="245" t="s">
        <v>201</v>
      </c>
      <c r="I1" s="245"/>
      <c r="J1" s="245"/>
      <c r="K1" s="245"/>
      <c r="L1" s="245"/>
      <c r="M1" s="245"/>
      <c r="N1" s="245"/>
      <c r="O1" s="245"/>
      <c r="P1" s="245"/>
      <c r="Q1" s="1"/>
      <c r="R1" s="1"/>
    </row>
    <row r="2" spans="1:23" s="11" customFormat="1" ht="42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/>
      <c r="G2" s="5" t="s">
        <v>5</v>
      </c>
      <c r="H2" s="9" t="s">
        <v>6</v>
      </c>
      <c r="I2" s="6" t="s">
        <v>7</v>
      </c>
      <c r="J2" s="6" t="s">
        <v>8</v>
      </c>
      <c r="K2" s="6" t="s">
        <v>251</v>
      </c>
      <c r="L2" s="8"/>
      <c r="M2" s="10" t="s">
        <v>9</v>
      </c>
      <c r="N2" s="10" t="s">
        <v>10</v>
      </c>
      <c r="O2" s="10" t="s">
        <v>11</v>
      </c>
      <c r="P2" s="10" t="s">
        <v>12</v>
      </c>
      <c r="R2" s="221" t="s">
        <v>185</v>
      </c>
    </row>
    <row r="3" spans="1:23" s="52" customFormat="1">
      <c r="A3" s="23"/>
      <c r="B3" s="296" t="s">
        <v>311</v>
      </c>
      <c r="C3" s="297"/>
      <c r="D3" s="298"/>
      <c r="E3" s="281"/>
      <c r="F3" s="17"/>
      <c r="G3" s="25"/>
      <c r="H3" s="28"/>
      <c r="I3" s="26"/>
      <c r="J3" s="26"/>
      <c r="K3" s="29"/>
      <c r="L3" s="17"/>
      <c r="M3" s="24"/>
      <c r="N3" s="24"/>
      <c r="O3" s="51"/>
      <c r="P3" s="51"/>
      <c r="Q3" s="24"/>
      <c r="R3" s="24"/>
      <c r="S3" s="25"/>
    </row>
    <row r="4" spans="1:23" s="52" customFormat="1">
      <c r="A4" s="23"/>
      <c r="B4" s="24"/>
      <c r="C4" s="25"/>
      <c r="D4" s="26"/>
      <c r="E4" s="27"/>
      <c r="F4" s="17"/>
      <c r="G4" s="25"/>
      <c r="H4" s="28"/>
      <c r="I4" s="26"/>
      <c r="K4" s="29"/>
      <c r="L4" s="17"/>
      <c r="O4" s="51"/>
      <c r="P4" s="51"/>
      <c r="Q4" s="24"/>
      <c r="R4" s="31" t="s">
        <v>21</v>
      </c>
      <c r="S4" s="25"/>
      <c r="U4" s="53" t="s">
        <v>107</v>
      </c>
      <c r="V4" s="53" t="s">
        <v>22</v>
      </c>
      <c r="W4" s="54" t="s">
        <v>22</v>
      </c>
    </row>
    <row r="5" spans="1:23" s="21" customFormat="1">
      <c r="A5" s="12">
        <v>43101</v>
      </c>
      <c r="B5" s="13" t="s">
        <v>13</v>
      </c>
      <c r="C5" s="14">
        <v>65406</v>
      </c>
      <c r="D5" s="15">
        <v>291131</v>
      </c>
      <c r="E5" s="16">
        <f>D5/C5</f>
        <v>4.4511359814084335</v>
      </c>
      <c r="F5" s="17"/>
      <c r="G5" s="14">
        <v>62719</v>
      </c>
      <c r="H5" s="18">
        <f>(C5-G5)/C5</f>
        <v>4.1081857933522918E-2</v>
      </c>
      <c r="I5" s="15">
        <f>G5*P5</f>
        <v>342671.52839999995</v>
      </c>
      <c r="J5" s="15">
        <f>I5-D5</f>
        <v>51540.528399999952</v>
      </c>
      <c r="K5" s="19"/>
      <c r="L5" s="17"/>
      <c r="M5" s="20">
        <v>5.4635999999999996</v>
      </c>
      <c r="N5" s="16">
        <v>0</v>
      </c>
      <c r="O5" s="16">
        <v>0</v>
      </c>
      <c r="P5" s="16">
        <f>M5+N5+O5</f>
        <v>5.4635999999999996</v>
      </c>
      <c r="R5" s="22" t="s">
        <v>14</v>
      </c>
    </row>
    <row r="6" spans="1:23" s="21" customFormat="1">
      <c r="A6" s="23"/>
      <c r="B6" s="24" t="s">
        <v>15</v>
      </c>
      <c r="C6" s="25">
        <v>29404</v>
      </c>
      <c r="D6" s="26">
        <v>196402</v>
      </c>
      <c r="E6" s="27">
        <f>D6/C6</f>
        <v>6.679431369881649</v>
      </c>
      <c r="F6" s="17"/>
      <c r="G6" s="25">
        <v>27814</v>
      </c>
      <c r="H6" s="28">
        <f>(C6-G6)/C6</f>
        <v>5.4074275608760713E-2</v>
      </c>
      <c r="I6" s="26">
        <f>G6*P5</f>
        <v>151964.5704</v>
      </c>
      <c r="J6" s="26">
        <f>I6-D6</f>
        <v>-44437.429600000003</v>
      </c>
      <c r="K6" s="29"/>
      <c r="L6" s="17"/>
      <c r="M6" s="30"/>
      <c r="N6" s="27"/>
      <c r="O6" s="27"/>
      <c r="P6" s="27"/>
      <c r="R6" s="22" t="s">
        <v>16</v>
      </c>
    </row>
    <row r="7" spans="1:23">
      <c r="B7" s="24" t="s">
        <v>17</v>
      </c>
      <c r="C7" s="25">
        <f>SUM(C5:C6)</f>
        <v>94810</v>
      </c>
      <c r="D7" s="26">
        <f>SUM(D5:D6)</f>
        <v>487533</v>
      </c>
      <c r="E7" s="27">
        <f>D7/C7</f>
        <v>5.1422107372640014</v>
      </c>
      <c r="F7" s="17"/>
      <c r="G7" s="25">
        <f>SUM(G5:G6)</f>
        <v>90533</v>
      </c>
      <c r="H7" s="28">
        <f>(C7-G7)/C7</f>
        <v>4.5111275181942835E-2</v>
      </c>
      <c r="J7" s="26">
        <f>J5+J6</f>
        <v>7103.0987999999488</v>
      </c>
      <c r="K7" s="29">
        <f>K1+J7</f>
        <v>7103.0987999999488</v>
      </c>
      <c r="L7" s="17"/>
      <c r="M7" s="27"/>
      <c r="N7" s="27"/>
      <c r="O7" s="27"/>
      <c r="P7" s="27"/>
      <c r="R7" s="31" t="s">
        <v>18</v>
      </c>
    </row>
    <row r="8" spans="1:23" s="41" customFormat="1" ht="3" customHeight="1">
      <c r="A8" s="32"/>
      <c r="B8" s="33"/>
      <c r="C8" s="34"/>
      <c r="D8" s="35"/>
      <c r="E8" s="36"/>
      <c r="F8" s="37"/>
      <c r="G8" s="34"/>
      <c r="H8" s="33"/>
      <c r="I8" s="35"/>
      <c r="J8" s="35">
        <f>J6+J7</f>
        <v>-37334.330800000054</v>
      </c>
      <c r="K8" s="38" t="e">
        <f>K2+J8</f>
        <v>#VALUE!</v>
      </c>
      <c r="L8" s="37"/>
      <c r="M8" s="39"/>
      <c r="N8" s="36"/>
      <c r="O8" s="36"/>
      <c r="P8" s="40"/>
    </row>
    <row r="9" spans="1:23">
      <c r="A9" s="23">
        <v>43132</v>
      </c>
      <c r="B9" s="24" t="s">
        <v>13</v>
      </c>
      <c r="C9" s="25">
        <v>35323</v>
      </c>
      <c r="D9" s="26">
        <v>179044</v>
      </c>
      <c r="E9" s="27">
        <f>D9/C9</f>
        <v>5.0687653936528605</v>
      </c>
      <c r="F9" s="17"/>
      <c r="G9" s="25">
        <v>38306</v>
      </c>
      <c r="H9" s="28">
        <f>(C9-G9)/C9</f>
        <v>-8.4449225716954956E-2</v>
      </c>
      <c r="I9" s="26">
        <f>G9*P9</f>
        <v>206205.02859999999</v>
      </c>
      <c r="J9" s="26">
        <f>I9-D9</f>
        <v>27161.028599999991</v>
      </c>
      <c r="L9" s="17"/>
      <c r="M9" s="27">
        <v>5.3830999999999998</v>
      </c>
      <c r="N9" s="27">
        <v>0</v>
      </c>
      <c r="O9" s="27">
        <v>0</v>
      </c>
      <c r="P9" s="27">
        <f>M9+N9+O9</f>
        <v>5.3830999999999998</v>
      </c>
    </row>
    <row r="10" spans="1:23">
      <c r="B10" s="24" t="s">
        <v>15</v>
      </c>
      <c r="C10" s="25">
        <v>15049</v>
      </c>
      <c r="D10" s="26">
        <v>107182</v>
      </c>
      <c r="E10" s="27">
        <f>D10/C10</f>
        <v>7.1222008106850954</v>
      </c>
      <c r="F10" s="17"/>
      <c r="G10" s="25">
        <v>13430</v>
      </c>
      <c r="H10" s="28">
        <f>(C10-G10)/C10</f>
        <v>0.10758189912951027</v>
      </c>
      <c r="I10" s="26">
        <f>G10*P9</f>
        <v>72295.032999999996</v>
      </c>
      <c r="J10" s="26">
        <f>I10-D10</f>
        <v>-34886.967000000004</v>
      </c>
      <c r="L10" s="17"/>
      <c r="M10" s="27"/>
      <c r="N10" s="27"/>
      <c r="O10" s="27"/>
      <c r="P10" s="27"/>
    </row>
    <row r="11" spans="1:23">
      <c r="B11" s="24" t="s">
        <v>17</v>
      </c>
      <c r="C11" s="25">
        <f>SUM(C9:C10)</f>
        <v>50372</v>
      </c>
      <c r="D11" s="26">
        <f>SUM(D9:D10)</f>
        <v>286226</v>
      </c>
      <c r="E11" s="27">
        <f>D11/C11</f>
        <v>5.6822441038672276</v>
      </c>
      <c r="F11" s="17"/>
      <c r="G11" s="25">
        <f>SUM(G9:G10)</f>
        <v>51736</v>
      </c>
      <c r="H11" s="28">
        <f>(C11-G11)/C11</f>
        <v>-2.7078535694433414E-2</v>
      </c>
      <c r="J11" s="26">
        <f>J9+J10</f>
        <v>-7725.9384000000136</v>
      </c>
      <c r="K11" s="29">
        <f>K7+J11</f>
        <v>-622.83960000006482</v>
      </c>
      <c r="L11" s="17"/>
      <c r="M11" s="27"/>
      <c r="N11" s="27"/>
      <c r="O11" s="27"/>
      <c r="P11" s="27"/>
    </row>
    <row r="12" spans="1:23" ht="3" customHeight="1">
      <c r="A12" s="42"/>
      <c r="B12" s="43"/>
      <c r="C12" s="44"/>
      <c r="D12" s="45"/>
      <c r="E12" s="46"/>
      <c r="F12" s="17"/>
      <c r="G12" s="44"/>
      <c r="H12" s="43"/>
      <c r="I12" s="45"/>
      <c r="J12" s="45"/>
      <c r="K12" s="47"/>
      <c r="L12" s="17"/>
      <c r="M12" s="48"/>
      <c r="N12" s="46"/>
      <c r="O12" s="46"/>
      <c r="P12" s="49"/>
    </row>
    <row r="13" spans="1:23">
      <c r="A13" s="23">
        <v>43160</v>
      </c>
      <c r="B13" s="24" t="s">
        <v>13</v>
      </c>
      <c r="C13" s="25">
        <v>41090</v>
      </c>
      <c r="D13" s="26">
        <v>167635</v>
      </c>
      <c r="E13" s="27">
        <f>D13/C13</f>
        <v>4.079703090776345</v>
      </c>
      <c r="F13" s="17"/>
      <c r="G13" s="25">
        <v>35545</v>
      </c>
      <c r="H13" s="28">
        <f>(C13-G13)/C13</f>
        <v>0.13494767583353615</v>
      </c>
      <c r="I13" s="26">
        <f>G13*P9</f>
        <v>191342.28949999998</v>
      </c>
      <c r="J13" s="26">
        <f>I13-D13</f>
        <v>23707.289499999984</v>
      </c>
      <c r="L13" s="17"/>
      <c r="M13" s="27"/>
      <c r="N13" s="27"/>
      <c r="O13" s="27"/>
      <c r="P13" s="27"/>
    </row>
    <row r="14" spans="1:23">
      <c r="B14" s="24" t="s">
        <v>15</v>
      </c>
      <c r="C14" s="25">
        <v>16557</v>
      </c>
      <c r="D14" s="26">
        <v>104730</v>
      </c>
      <c r="E14" s="27">
        <f>D14/C14</f>
        <v>6.3254212719695593</v>
      </c>
      <c r="F14" s="17"/>
      <c r="G14" s="25">
        <v>15864</v>
      </c>
      <c r="H14" s="28">
        <f>(C14-G14)/C14</f>
        <v>4.1855408588512409E-2</v>
      </c>
      <c r="I14" s="26">
        <f>G14*P9</f>
        <v>85397.498399999997</v>
      </c>
      <c r="J14" s="26">
        <f>I14-D14</f>
        <v>-19332.501600000003</v>
      </c>
      <c r="L14" s="17"/>
      <c r="M14" s="27"/>
      <c r="N14" s="27"/>
      <c r="O14" s="27"/>
      <c r="P14" s="27"/>
    </row>
    <row r="15" spans="1:23">
      <c r="B15" s="24" t="s">
        <v>17</v>
      </c>
      <c r="C15" s="25">
        <f>SUM(C13:C14)</f>
        <v>57647</v>
      </c>
      <c r="D15" s="26">
        <f>SUM(D13:D14)</f>
        <v>272365</v>
      </c>
      <c r="E15" s="27">
        <f>D15/C15</f>
        <v>4.7247038007181636</v>
      </c>
      <c r="F15" s="17"/>
      <c r="G15" s="25">
        <f>SUM(G13:G14)</f>
        <v>51409</v>
      </c>
      <c r="H15" s="28">
        <f>(C15-G15)/C15</f>
        <v>0.10821031450032093</v>
      </c>
      <c r="J15" s="26">
        <f>J13+J14</f>
        <v>4374.7878999999812</v>
      </c>
      <c r="K15" s="29">
        <f>K11+J15</f>
        <v>3751.9482999999163</v>
      </c>
      <c r="L15" s="17"/>
      <c r="M15" s="27"/>
      <c r="N15" s="27"/>
      <c r="O15" s="27"/>
      <c r="P15" s="27"/>
    </row>
    <row r="16" spans="1:23" ht="3" customHeight="1">
      <c r="A16" s="42"/>
      <c r="B16" s="43"/>
      <c r="C16" s="44"/>
      <c r="D16" s="45"/>
      <c r="E16" s="46"/>
      <c r="F16" s="17"/>
      <c r="G16" s="44"/>
      <c r="H16" s="43"/>
      <c r="I16" s="45"/>
      <c r="J16" s="45"/>
      <c r="K16" s="47"/>
      <c r="L16" s="17"/>
      <c r="M16" s="48"/>
      <c r="N16" s="46"/>
      <c r="O16" s="46"/>
      <c r="P16" s="49"/>
    </row>
    <row r="17" spans="1:16">
      <c r="A17" s="23">
        <v>43191</v>
      </c>
      <c r="B17" s="24" t="s">
        <v>13</v>
      </c>
      <c r="C17" s="25">
        <v>25637</v>
      </c>
      <c r="D17" s="26">
        <v>97922</v>
      </c>
      <c r="E17" s="27">
        <f>D17/C17</f>
        <v>3.8195576705542771</v>
      </c>
      <c r="F17" s="17"/>
      <c r="G17" s="25">
        <v>20974</v>
      </c>
      <c r="H17" s="28">
        <f>(C17-G17)/C17</f>
        <v>0.18188555603229706</v>
      </c>
      <c r="I17" s="26">
        <f>G17*P9</f>
        <v>112905.1394</v>
      </c>
      <c r="J17" s="26">
        <f>I17-D17</f>
        <v>14983.1394</v>
      </c>
      <c r="L17" s="17"/>
      <c r="M17" s="27"/>
      <c r="N17" s="27"/>
      <c r="O17" s="27"/>
      <c r="P17" s="27"/>
    </row>
    <row r="18" spans="1:16">
      <c r="B18" s="24" t="s">
        <v>15</v>
      </c>
      <c r="C18" s="25">
        <v>7345</v>
      </c>
      <c r="D18" s="26">
        <v>47233</v>
      </c>
      <c r="E18" s="27">
        <f>D18/C18</f>
        <v>6.4306330837304291</v>
      </c>
      <c r="F18" s="17"/>
      <c r="G18" s="25">
        <v>2025</v>
      </c>
      <c r="H18" s="28">
        <f>(C18-G18)/C18</f>
        <v>0.72430224642614027</v>
      </c>
      <c r="I18" s="26">
        <f>G18*P9</f>
        <v>10900.7775</v>
      </c>
      <c r="J18" s="26">
        <f>I18-D18</f>
        <v>-36332.222500000003</v>
      </c>
      <c r="L18" s="17"/>
      <c r="M18" s="27"/>
      <c r="N18" s="27"/>
      <c r="O18" s="27"/>
      <c r="P18" s="27"/>
    </row>
    <row r="19" spans="1:16">
      <c r="B19" s="24" t="s">
        <v>17</v>
      </c>
      <c r="C19" s="25">
        <f>SUM(C17:C18)</f>
        <v>32982</v>
      </c>
      <c r="D19" s="26">
        <f>SUM(D17:D18)</f>
        <v>145155</v>
      </c>
      <c r="E19" s="27">
        <f>D19/C19</f>
        <v>4.4010369292341274</v>
      </c>
      <c r="F19" s="17"/>
      <c r="G19" s="25">
        <f>SUM(G17:G18)</f>
        <v>22999</v>
      </c>
      <c r="H19" s="28">
        <f>(C19-G19)/C19</f>
        <v>0.30268024983324238</v>
      </c>
      <c r="J19" s="26">
        <f>J17+J18</f>
        <v>-21349.083100000003</v>
      </c>
      <c r="K19" s="29">
        <f>K15+J19</f>
        <v>-17597.134800000087</v>
      </c>
      <c r="L19" s="17"/>
      <c r="M19" s="27"/>
      <c r="N19" s="27"/>
      <c r="O19" s="27"/>
      <c r="P19" s="27"/>
    </row>
    <row r="20" spans="1:16" s="41" customFormat="1" ht="3" customHeight="1">
      <c r="A20" s="32"/>
      <c r="B20" s="33"/>
      <c r="C20" s="34"/>
      <c r="D20" s="35"/>
      <c r="E20" s="36"/>
      <c r="F20" s="37"/>
      <c r="G20" s="34"/>
      <c r="H20" s="33"/>
      <c r="I20" s="35"/>
      <c r="J20" s="35"/>
      <c r="K20" s="38"/>
      <c r="L20" s="37"/>
      <c r="M20" s="39"/>
      <c r="N20" s="36"/>
      <c r="O20" s="36"/>
      <c r="P20" s="40"/>
    </row>
    <row r="21" spans="1:16">
      <c r="A21" s="23">
        <v>43221</v>
      </c>
      <c r="B21" s="24" t="s">
        <v>13</v>
      </c>
      <c r="C21" s="25">
        <v>10288</v>
      </c>
      <c r="D21" s="26">
        <v>41743</v>
      </c>
      <c r="E21" s="27">
        <f>D21/C21</f>
        <v>4.0574455676516328</v>
      </c>
      <c r="F21" s="17"/>
      <c r="G21" s="25">
        <v>12480</v>
      </c>
      <c r="H21" s="28">
        <f>(C21-G21)/C21</f>
        <v>-0.2130637636080871</v>
      </c>
      <c r="I21" s="26">
        <f>G21*P21</f>
        <v>67536.767999999996</v>
      </c>
      <c r="J21" s="26">
        <f>I21-D21</f>
        <v>25793.767999999996</v>
      </c>
      <c r="L21" s="17"/>
      <c r="M21" s="27">
        <v>5.3830999999999998</v>
      </c>
      <c r="N21" s="27">
        <v>0</v>
      </c>
      <c r="O21" s="27">
        <v>2.8500000000000001E-2</v>
      </c>
      <c r="P21" s="27">
        <f>M21+N21+O21</f>
        <v>5.4116</v>
      </c>
    </row>
    <row r="22" spans="1:16">
      <c r="B22" s="24" t="s">
        <v>15</v>
      </c>
      <c r="C22" s="25">
        <v>3940</v>
      </c>
      <c r="D22" s="26">
        <v>25821</v>
      </c>
      <c r="E22" s="27">
        <f>D22/C22</f>
        <v>6.5535532994923855</v>
      </c>
      <c r="F22" s="17"/>
      <c r="G22" s="25">
        <v>7620</v>
      </c>
      <c r="H22" s="28">
        <f>(C22-G22)/C22</f>
        <v>-0.93401015228426398</v>
      </c>
      <c r="I22" s="26">
        <f>G22*P22</f>
        <v>39240.714</v>
      </c>
      <c r="J22" s="26">
        <f>I22-D22</f>
        <v>13419.714</v>
      </c>
      <c r="L22" s="17"/>
      <c r="M22" s="27">
        <v>5.3830999999999998</v>
      </c>
      <c r="N22" s="27">
        <v>0</v>
      </c>
      <c r="O22" s="27">
        <v>-0.2334</v>
      </c>
      <c r="P22" s="27">
        <f>M22+N22+O22</f>
        <v>5.1497000000000002</v>
      </c>
    </row>
    <row r="23" spans="1:16">
      <c r="B23" s="24" t="s">
        <v>17</v>
      </c>
      <c r="C23" s="25">
        <f>SUM(C21:C22)</f>
        <v>14228</v>
      </c>
      <c r="D23" s="26">
        <f>SUM(D21:D22)</f>
        <v>67564</v>
      </c>
      <c r="E23" s="27">
        <f>D23/C23</f>
        <v>4.7486646050042172</v>
      </c>
      <c r="F23" s="17"/>
      <c r="G23" s="25">
        <f>SUM(G21:G22)</f>
        <v>20100</v>
      </c>
      <c r="H23" s="28">
        <f>(C23-G23)/C23</f>
        <v>-0.41270733764408207</v>
      </c>
      <c r="J23" s="26">
        <f>J21+J22</f>
        <v>39213.481999999996</v>
      </c>
      <c r="K23" s="29">
        <f>K19+J23</f>
        <v>21616.347199999909</v>
      </c>
      <c r="L23" s="17"/>
      <c r="M23" s="27"/>
      <c r="N23" s="27"/>
      <c r="O23" s="27"/>
      <c r="P23" s="27"/>
    </row>
    <row r="24" spans="1:16" ht="3" customHeight="1">
      <c r="A24" s="42"/>
      <c r="B24" s="43"/>
      <c r="C24" s="44"/>
      <c r="D24" s="45"/>
      <c r="E24" s="46"/>
      <c r="F24" s="17"/>
      <c r="G24" s="44"/>
      <c r="H24" s="43"/>
      <c r="I24" s="45"/>
      <c r="J24" s="45"/>
      <c r="K24" s="47"/>
      <c r="L24" s="17"/>
      <c r="M24" s="48"/>
      <c r="N24" s="46"/>
      <c r="O24" s="46"/>
      <c r="P24" s="49"/>
    </row>
    <row r="25" spans="1:16">
      <c r="A25" s="23">
        <v>43252</v>
      </c>
      <c r="B25" s="24" t="s">
        <v>13</v>
      </c>
      <c r="C25" s="25">
        <v>8163</v>
      </c>
      <c r="D25" s="26">
        <v>27226</v>
      </c>
      <c r="E25" s="27">
        <f>D25/C25</f>
        <v>3.3352933970354037</v>
      </c>
      <c r="F25" s="17"/>
      <c r="G25" s="25">
        <v>6373</v>
      </c>
      <c r="H25" s="28">
        <f>(C25-G25)/C25</f>
        <v>0.21928212666911676</v>
      </c>
      <c r="I25" s="26">
        <f>G25*P25</f>
        <v>34488.126799999998</v>
      </c>
      <c r="J25" s="26">
        <f>I25-D25</f>
        <v>7262.1267999999982</v>
      </c>
      <c r="L25" s="17"/>
      <c r="M25" s="27">
        <v>5.3830999999999998</v>
      </c>
      <c r="N25" s="27">
        <v>0</v>
      </c>
      <c r="O25" s="27">
        <v>2.8500000000000001E-2</v>
      </c>
      <c r="P25" s="27">
        <f>M25+N25+O25</f>
        <v>5.4116</v>
      </c>
    </row>
    <row r="26" spans="1:16">
      <c r="B26" s="24" t="s">
        <v>15</v>
      </c>
      <c r="C26" s="25">
        <v>1827</v>
      </c>
      <c r="D26" s="26">
        <v>12055</v>
      </c>
      <c r="E26" s="27">
        <f>D26/C26</f>
        <v>6.5982484948002194</v>
      </c>
      <c r="F26" s="17"/>
      <c r="G26" s="25">
        <v>1664</v>
      </c>
      <c r="H26" s="28">
        <f>(C26-G26)/C26</f>
        <v>8.9217296113847835E-2</v>
      </c>
      <c r="I26" s="26">
        <f>G26*P26</f>
        <v>8569.1008000000002</v>
      </c>
      <c r="J26" s="26">
        <f>I26-D26</f>
        <v>-3485.8991999999998</v>
      </c>
      <c r="L26" s="17"/>
      <c r="M26" s="27">
        <v>5.3830999999999998</v>
      </c>
      <c r="N26" s="27">
        <v>0</v>
      </c>
      <c r="O26" s="27">
        <v>-0.2334</v>
      </c>
      <c r="P26" s="27">
        <f>M26+N26+O26</f>
        <v>5.1497000000000002</v>
      </c>
    </row>
    <row r="27" spans="1:16">
      <c r="B27" s="24" t="s">
        <v>17</v>
      </c>
      <c r="C27" s="25">
        <f>SUM(C25:C26)</f>
        <v>9990</v>
      </c>
      <c r="D27" s="26">
        <f>SUM(D25:D26)</f>
        <v>39281</v>
      </c>
      <c r="E27" s="27">
        <f>D27/C27</f>
        <v>3.9320320320320321</v>
      </c>
      <c r="F27" s="17"/>
      <c r="G27" s="25">
        <f>SUM(G25:G26)</f>
        <v>8037</v>
      </c>
      <c r="H27" s="28">
        <f>(C27-G27)/C27</f>
        <v>0.1954954954954955</v>
      </c>
      <c r="J27" s="26">
        <f>J25+J26</f>
        <v>3776.2275999999983</v>
      </c>
      <c r="K27" s="29">
        <f>K23+J27</f>
        <v>25392.574799999908</v>
      </c>
      <c r="L27" s="17"/>
      <c r="M27" s="27"/>
      <c r="N27" s="27"/>
      <c r="O27" s="27"/>
      <c r="P27" s="27"/>
    </row>
    <row r="28" spans="1:16" ht="3" customHeight="1">
      <c r="A28" s="42"/>
      <c r="B28" s="43"/>
      <c r="C28" s="44"/>
      <c r="D28" s="45"/>
      <c r="E28" s="46"/>
      <c r="F28" s="17"/>
      <c r="G28" s="44"/>
      <c r="H28" s="43"/>
      <c r="I28" s="45"/>
      <c r="J28" s="45"/>
      <c r="K28" s="47"/>
      <c r="L28" s="17"/>
      <c r="M28" s="48"/>
      <c r="N28" s="46"/>
      <c r="O28" s="46"/>
      <c r="P28" s="49"/>
    </row>
    <row r="29" spans="1:16">
      <c r="A29" s="23">
        <v>43282</v>
      </c>
      <c r="B29" s="24" t="s">
        <v>13</v>
      </c>
      <c r="C29" s="25">
        <v>8324</v>
      </c>
      <c r="D29" s="26">
        <v>30123</v>
      </c>
      <c r="E29" s="27">
        <f>D29/C29</f>
        <v>3.6188130706391157</v>
      </c>
      <c r="F29" s="17"/>
      <c r="G29" s="25">
        <v>5553</v>
      </c>
      <c r="H29" s="28">
        <f>(C29-G29)/C29</f>
        <v>0.33289283998077845</v>
      </c>
      <c r="I29" s="26">
        <f>G29*P29</f>
        <v>30050.614799999999</v>
      </c>
      <c r="J29" s="26">
        <f>I29-D29</f>
        <v>-72.385200000000623</v>
      </c>
      <c r="L29" s="17"/>
      <c r="M29" s="27">
        <v>5.3830999999999998</v>
      </c>
      <c r="N29" s="27">
        <v>0</v>
      </c>
      <c r="O29" s="27">
        <v>2.8500000000000001E-2</v>
      </c>
      <c r="P29" s="27">
        <f>M29+N29+O29</f>
        <v>5.4116</v>
      </c>
    </row>
    <row r="30" spans="1:16">
      <c r="B30" s="24" t="s">
        <v>15</v>
      </c>
      <c r="C30" s="25">
        <v>1610</v>
      </c>
      <c r="D30" s="26">
        <v>10911</v>
      </c>
      <c r="E30" s="27">
        <f>D30/C30</f>
        <v>6.777018633540373</v>
      </c>
      <c r="F30" s="17"/>
      <c r="G30" s="25">
        <v>1481</v>
      </c>
      <c r="H30" s="28">
        <f>(C30-G30)/C30</f>
        <v>8.0124223602484473E-2</v>
      </c>
      <c r="I30" s="26">
        <f>G30*P30</f>
        <v>7626.7057000000004</v>
      </c>
      <c r="J30" s="26">
        <f>I30-D30</f>
        <v>-3284.2942999999996</v>
      </c>
      <c r="L30" s="17"/>
      <c r="M30" s="27">
        <v>5.3830999999999998</v>
      </c>
      <c r="N30" s="27">
        <v>0</v>
      </c>
      <c r="O30" s="27">
        <v>-0.2334</v>
      </c>
      <c r="P30" s="27">
        <f>M30+N30+O30</f>
        <v>5.1497000000000002</v>
      </c>
    </row>
    <row r="31" spans="1:16">
      <c r="B31" s="24" t="s">
        <v>17</v>
      </c>
      <c r="C31" s="25">
        <f>SUM(C29:C30)</f>
        <v>9934</v>
      </c>
      <c r="D31" s="26">
        <f>SUM(D29:D30)</f>
        <v>41034</v>
      </c>
      <c r="E31" s="27">
        <f>D31/C31</f>
        <v>4.1306623716529094</v>
      </c>
      <c r="F31" s="17"/>
      <c r="G31" s="25">
        <f>SUM(G29:G30)</f>
        <v>7034</v>
      </c>
      <c r="H31" s="28">
        <f>(C31-G31)/C31</f>
        <v>0.29192671632776324</v>
      </c>
      <c r="J31" s="26">
        <f>J29+J30</f>
        <v>-3356.6795000000002</v>
      </c>
      <c r="K31" s="29">
        <f>K27+J31</f>
        <v>22035.895299999909</v>
      </c>
      <c r="L31" s="17"/>
      <c r="M31" s="27"/>
      <c r="N31" s="27"/>
      <c r="O31" s="27"/>
      <c r="P31" s="27"/>
    </row>
    <row r="32" spans="1:16" s="41" customFormat="1" ht="3" customHeight="1">
      <c r="A32" s="32"/>
      <c r="B32" s="33"/>
      <c r="C32" s="34"/>
      <c r="D32" s="35"/>
      <c r="E32" s="36"/>
      <c r="F32" s="37"/>
      <c r="G32" s="34"/>
      <c r="H32" s="33"/>
      <c r="I32" s="35"/>
      <c r="J32" s="35"/>
      <c r="K32" s="38"/>
      <c r="L32" s="37"/>
      <c r="M32" s="39"/>
      <c r="N32" s="36"/>
      <c r="O32" s="36"/>
      <c r="P32" s="40"/>
    </row>
    <row r="33" spans="1:23">
      <c r="A33" s="23">
        <v>43313</v>
      </c>
      <c r="B33" s="24" t="s">
        <v>13</v>
      </c>
      <c r="C33" s="25">
        <v>9466</v>
      </c>
      <c r="D33" s="26">
        <v>29433</v>
      </c>
      <c r="E33" s="27">
        <f>D33/C33</f>
        <v>3.1093386858229453</v>
      </c>
      <c r="F33" s="17"/>
      <c r="G33" s="25">
        <v>7314</v>
      </c>
      <c r="H33" s="28">
        <f>(C33-G33)/C33</f>
        <v>0.22733995351785338</v>
      </c>
      <c r="I33" s="26">
        <f>G33*P33</f>
        <v>42160.090200000006</v>
      </c>
      <c r="J33" s="26">
        <f>I33-D33</f>
        <v>12727.090200000006</v>
      </c>
      <c r="L33" s="17"/>
      <c r="M33" s="27">
        <v>5.6550000000000002</v>
      </c>
      <c r="N33" s="27">
        <v>8.0799999999999997E-2</v>
      </c>
      <c r="O33" s="27">
        <v>2.8500000000000001E-2</v>
      </c>
      <c r="P33" s="27">
        <f>M33+N33+O33</f>
        <v>5.7643000000000004</v>
      </c>
      <c r="R33" s="31" t="s">
        <v>19</v>
      </c>
    </row>
    <row r="34" spans="1:23">
      <c r="B34" s="24" t="s">
        <v>15</v>
      </c>
      <c r="C34" s="25">
        <v>1595</v>
      </c>
      <c r="D34" s="26">
        <v>10463</v>
      </c>
      <c r="E34" s="27">
        <f>D34/C34</f>
        <v>6.5598746081504702</v>
      </c>
      <c r="F34" s="17"/>
      <c r="G34" s="25">
        <v>1404</v>
      </c>
      <c r="H34" s="28">
        <f>(C34-G34)/C34</f>
        <v>0.11974921630094044</v>
      </c>
      <c r="I34" s="26">
        <f>G34*P34</f>
        <v>7725.3696000000009</v>
      </c>
      <c r="J34" s="26">
        <f>I34-D34</f>
        <v>-2737.6303999999991</v>
      </c>
      <c r="L34" s="17"/>
      <c r="M34" s="27">
        <v>5.6550000000000002</v>
      </c>
      <c r="N34" s="27">
        <v>8.0799999999999997E-2</v>
      </c>
      <c r="O34" s="27">
        <v>-0.2334</v>
      </c>
      <c r="P34" s="27">
        <f>M34+N34+O34</f>
        <v>5.5024000000000006</v>
      </c>
      <c r="R34" s="31" t="s">
        <v>20</v>
      </c>
    </row>
    <row r="35" spans="1:23">
      <c r="B35" s="24" t="s">
        <v>17</v>
      </c>
      <c r="C35" s="25">
        <f>SUM(C33:C34)</f>
        <v>11061</v>
      </c>
      <c r="D35" s="26">
        <f>SUM(D33:D34)</f>
        <v>39896</v>
      </c>
      <c r="E35" s="27">
        <f>D35/C35</f>
        <v>3.6069071512521473</v>
      </c>
      <c r="F35" s="17"/>
      <c r="G35" s="25">
        <f>SUM(G33:G34)</f>
        <v>8718</v>
      </c>
      <c r="H35" s="28">
        <f>(C35-G35)/C35</f>
        <v>0.21182533224844047</v>
      </c>
      <c r="J35" s="26">
        <f>J33+J34</f>
        <v>9989.4598000000078</v>
      </c>
      <c r="K35" s="29">
        <f>K31+J35</f>
        <v>32025.355099999917</v>
      </c>
      <c r="L35" s="17"/>
      <c r="M35" s="27"/>
      <c r="N35" s="27"/>
      <c r="O35" s="27"/>
      <c r="P35" s="27"/>
    </row>
    <row r="36" spans="1:23" ht="3" customHeight="1">
      <c r="A36" s="42"/>
      <c r="B36" s="43"/>
      <c r="C36" s="44"/>
      <c r="D36" s="45"/>
      <c r="E36" s="46"/>
      <c r="F36" s="17"/>
      <c r="G36" s="44"/>
      <c r="H36" s="43"/>
      <c r="I36" s="45"/>
      <c r="J36" s="45"/>
      <c r="K36" s="47"/>
      <c r="L36" s="17"/>
      <c r="M36" s="48"/>
      <c r="N36" s="46"/>
      <c r="O36" s="46"/>
      <c r="P36" s="49"/>
    </row>
    <row r="37" spans="1:23">
      <c r="A37" s="23">
        <v>43344</v>
      </c>
      <c r="B37" s="24" t="s">
        <v>13</v>
      </c>
      <c r="C37" s="25">
        <v>9582</v>
      </c>
      <c r="D37" s="26">
        <v>36682</v>
      </c>
      <c r="E37" s="27">
        <f>D37/C37</f>
        <v>3.8282195783761219</v>
      </c>
      <c r="F37" s="17"/>
      <c r="G37" s="25">
        <v>7643</v>
      </c>
      <c r="H37" s="28">
        <f>(C37-G37)/C37</f>
        <v>0.2023585890210812</v>
      </c>
      <c r="I37" s="26">
        <f>G37*P37</f>
        <v>43049.197500000002</v>
      </c>
      <c r="J37" s="26">
        <f>I37-D37</f>
        <v>6367.197500000002</v>
      </c>
      <c r="L37" s="17"/>
      <c r="M37" s="27">
        <v>5.5232000000000001</v>
      </c>
      <c r="N37" s="27">
        <v>8.0799999999999997E-2</v>
      </c>
      <c r="O37" s="27">
        <v>2.8500000000000001E-2</v>
      </c>
      <c r="P37" s="27">
        <f>M37+N37+O37</f>
        <v>5.6325000000000003</v>
      </c>
    </row>
    <row r="38" spans="1:23">
      <c r="B38" s="24" t="s">
        <v>15</v>
      </c>
      <c r="C38" s="25">
        <v>1545</v>
      </c>
      <c r="D38" s="26">
        <v>10228</v>
      </c>
      <c r="E38" s="27">
        <f>D38/C38</f>
        <v>6.6200647249190938</v>
      </c>
      <c r="F38" s="17"/>
      <c r="G38" s="25">
        <v>1541</v>
      </c>
      <c r="H38" s="28">
        <f>(C38-G38)/C38</f>
        <v>2.5889967637540453E-3</v>
      </c>
      <c r="I38" s="26">
        <f>G38*P38</f>
        <v>8276.0946000000004</v>
      </c>
      <c r="J38" s="26">
        <f>I38-D38</f>
        <v>-1951.9053999999996</v>
      </c>
      <c r="L38" s="17"/>
      <c r="M38" s="27">
        <v>5.5232000000000001</v>
      </c>
      <c r="N38" s="27">
        <v>8.0799999999999997E-2</v>
      </c>
      <c r="O38" s="27">
        <v>-0.2334</v>
      </c>
      <c r="P38" s="27">
        <f>M38+N38+O38</f>
        <v>5.3706000000000005</v>
      </c>
    </row>
    <row r="39" spans="1:23">
      <c r="B39" s="24" t="s">
        <v>17</v>
      </c>
      <c r="C39" s="25">
        <f>SUM(C37:C38)</f>
        <v>11127</v>
      </c>
      <c r="D39" s="26">
        <f>SUM(D37:D38)</f>
        <v>46910</v>
      </c>
      <c r="E39" s="27">
        <f>D39/C39</f>
        <v>4.2158713040352298</v>
      </c>
      <c r="F39" s="17"/>
      <c r="G39" s="25">
        <f>SUM(G37:G38)</f>
        <v>9184</v>
      </c>
      <c r="H39" s="28">
        <f>(C39-G39)/C39</f>
        <v>0.17462029298103712</v>
      </c>
      <c r="J39" s="26">
        <f>J37+J38</f>
        <v>4415.2921000000024</v>
      </c>
      <c r="K39" s="29">
        <f>K35+J39</f>
        <v>36440.647199999919</v>
      </c>
      <c r="L39" s="17"/>
      <c r="M39" s="27"/>
      <c r="N39" s="27"/>
      <c r="O39" s="27"/>
      <c r="P39" s="27"/>
    </row>
    <row r="40" spans="1:23" ht="3" customHeight="1">
      <c r="A40" s="42"/>
      <c r="B40" s="43"/>
      <c r="C40" s="44"/>
      <c r="D40" s="45"/>
      <c r="E40" s="46"/>
      <c r="F40" s="17"/>
      <c r="G40" s="44"/>
      <c r="H40" s="43"/>
      <c r="I40" s="45"/>
      <c r="J40" s="45"/>
      <c r="K40" s="47"/>
      <c r="L40" s="17"/>
      <c r="M40" s="48"/>
      <c r="N40" s="46"/>
      <c r="O40" s="46"/>
      <c r="P40" s="49"/>
    </row>
    <row r="41" spans="1:23">
      <c r="A41" s="23">
        <v>43374</v>
      </c>
      <c r="B41" s="24" t="s">
        <v>13</v>
      </c>
      <c r="C41" s="25">
        <v>18112</v>
      </c>
      <c r="D41" s="251">
        <f>81714+10491</f>
        <v>92205</v>
      </c>
      <c r="E41" s="27">
        <f>D41/C41</f>
        <v>5.0908237632508833</v>
      </c>
      <c r="F41" s="17"/>
      <c r="G41" s="25">
        <v>14016</v>
      </c>
      <c r="H41" s="28">
        <f>(C41-G41)/C41</f>
        <v>0.22614840989399293</v>
      </c>
      <c r="I41" s="26">
        <f>G41*P41</f>
        <v>78945.12000000001</v>
      </c>
      <c r="J41" s="26">
        <f>I41-D41</f>
        <v>-13259.87999999999</v>
      </c>
      <c r="L41" s="17"/>
      <c r="M41" s="27">
        <v>5.5232000000000001</v>
      </c>
      <c r="N41" s="27">
        <v>8.0799999999999997E-2</v>
      </c>
      <c r="O41" s="27">
        <v>2.8500000000000001E-2</v>
      </c>
      <c r="P41" s="27">
        <f>M41+N41+O41</f>
        <v>5.6325000000000003</v>
      </c>
      <c r="R41" s="31" t="s">
        <v>218</v>
      </c>
      <c r="S41" s="50"/>
    </row>
    <row r="42" spans="1:23">
      <c r="B42" s="24" t="s">
        <v>15</v>
      </c>
      <c r="C42" s="25">
        <v>4976</v>
      </c>
      <c r="D42" s="26">
        <v>33269</v>
      </c>
      <c r="E42" s="27">
        <f>D42/C42</f>
        <v>6.685892282958199</v>
      </c>
      <c r="F42" s="17"/>
      <c r="G42" s="25">
        <v>4429</v>
      </c>
      <c r="H42" s="28">
        <f>(C42-G42)/C42</f>
        <v>0.10992765273311897</v>
      </c>
      <c r="I42" s="26">
        <f>G42*P42</f>
        <v>23786.387400000003</v>
      </c>
      <c r="J42" s="26">
        <f>I42-D42</f>
        <v>-9482.6125999999967</v>
      </c>
      <c r="L42" s="17"/>
      <c r="M42" s="27">
        <v>5.5232000000000001</v>
      </c>
      <c r="N42" s="27">
        <v>8.0799999999999997E-2</v>
      </c>
      <c r="O42" s="27">
        <v>-0.2334</v>
      </c>
      <c r="P42" s="27">
        <f>M42+N42+O42</f>
        <v>5.3706000000000005</v>
      </c>
      <c r="S42" s="50"/>
    </row>
    <row r="43" spans="1:23">
      <c r="B43" s="24" t="s">
        <v>17</v>
      </c>
      <c r="C43" s="25">
        <f>SUM(C41:C42)</f>
        <v>23088</v>
      </c>
      <c r="D43" s="26">
        <f>SUM(D41:D42)</f>
        <v>125474</v>
      </c>
      <c r="E43" s="27">
        <f>D43/C43</f>
        <v>5.4345980595980592</v>
      </c>
      <c r="F43" s="17"/>
      <c r="G43" s="25">
        <f>SUM(G41:G42)</f>
        <v>18445</v>
      </c>
      <c r="H43" s="28">
        <f>(C43-G43)/C43</f>
        <v>0.20110013860013859</v>
      </c>
      <c r="J43" s="26">
        <f>J41+J42</f>
        <v>-22742.492599999987</v>
      </c>
      <c r="K43" s="29">
        <f>K39+J43</f>
        <v>13698.154599999933</v>
      </c>
      <c r="L43" s="17"/>
      <c r="M43" s="27"/>
      <c r="N43" s="27"/>
      <c r="O43" s="27"/>
      <c r="P43" s="27"/>
      <c r="S43" s="50"/>
    </row>
    <row r="44" spans="1:23" s="52" customFormat="1">
      <c r="A44" s="23"/>
      <c r="B44" s="24"/>
      <c r="C44" s="25"/>
      <c r="D44" s="26"/>
      <c r="E44" s="27"/>
      <c r="F44" s="17"/>
      <c r="G44" s="25"/>
      <c r="H44" s="28"/>
      <c r="I44" s="26"/>
      <c r="J44" s="26"/>
      <c r="K44" s="29"/>
      <c r="L44" s="17"/>
      <c r="M44" s="24"/>
      <c r="N44" s="24"/>
      <c r="O44" s="51"/>
      <c r="P44" s="51"/>
      <c r="Q44" s="24"/>
      <c r="R44" s="24"/>
      <c r="S44" s="25"/>
    </row>
    <row r="45" spans="1:23" s="52" customFormat="1">
      <c r="A45" s="23"/>
      <c r="B45" s="24"/>
      <c r="C45" s="25"/>
      <c r="D45" s="26"/>
      <c r="E45" s="27"/>
      <c r="F45" s="17"/>
      <c r="G45" s="25"/>
      <c r="H45" s="28"/>
      <c r="I45" s="26"/>
      <c r="K45" s="29"/>
      <c r="L45" s="17"/>
      <c r="O45" s="51"/>
      <c r="P45" s="51"/>
      <c r="Q45" s="24"/>
      <c r="R45" s="31" t="s">
        <v>21</v>
      </c>
      <c r="S45" s="25"/>
      <c r="U45" s="53" t="s">
        <v>107</v>
      </c>
      <c r="V45" s="53" t="s">
        <v>22</v>
      </c>
      <c r="W45" s="54" t="s">
        <v>22</v>
      </c>
    </row>
    <row r="46" spans="1:23" s="52" customFormat="1">
      <c r="A46" s="55" t="s">
        <v>23</v>
      </c>
      <c r="B46" s="56"/>
      <c r="C46" s="56">
        <f t="shared" ref="C46:D48" si="0">SUM(C5,C9,C13,C17,C21,C25,C29,C33,C37,C41)</f>
        <v>231391</v>
      </c>
      <c r="D46" s="57">
        <f t="shared" si="0"/>
        <v>993144</v>
      </c>
      <c r="E46" s="58">
        <f>D46/C46</f>
        <v>4.2920597603191135</v>
      </c>
      <c r="F46" s="17"/>
      <c r="G46" s="56">
        <f>SUM(G5,G9,G13,G17,G21,G25,G29,G33,G37,G41)</f>
        <v>210923</v>
      </c>
      <c r="H46" s="59">
        <f>(C46-G46)/C46</f>
        <v>8.8456335812542405E-2</v>
      </c>
      <c r="I46" s="57">
        <f>SUM(I5,I9,I13,I17,I21,I25,I29,I33,I37,I41)</f>
        <v>1149353.9031999998</v>
      </c>
      <c r="K46" s="29"/>
      <c r="L46" s="17"/>
      <c r="O46" s="51"/>
      <c r="P46" s="51"/>
      <c r="Q46" s="24"/>
      <c r="R46" s="31" t="s">
        <v>24</v>
      </c>
      <c r="S46" s="25"/>
      <c r="U46" s="60">
        <f>G46/(1-$N$170)</f>
        <v>225586.09625668448</v>
      </c>
      <c r="V46" s="60">
        <f>C46-U46</f>
        <v>5804.9037433155172</v>
      </c>
      <c r="W46" s="57">
        <f>(V46+V47)*E46</f>
        <v>30083.276381989039</v>
      </c>
    </row>
    <row r="47" spans="1:23" s="52" customFormat="1">
      <c r="A47" s="61"/>
      <c r="B47" s="62" t="s">
        <v>15</v>
      </c>
      <c r="C47" s="56">
        <f t="shared" si="0"/>
        <v>83848</v>
      </c>
      <c r="D47" s="57">
        <f t="shared" si="0"/>
        <v>558294</v>
      </c>
      <c r="E47" s="58">
        <f>D47/C47</f>
        <v>6.6584056864802976</v>
      </c>
      <c r="F47" s="17"/>
      <c r="G47" s="56">
        <f>SUM(G6,G10,G14,G18,G22,G26,G30,G34,G38,G42)</f>
        <v>77272</v>
      </c>
      <c r="H47" s="59">
        <f t="shared" ref="H47:H48" si="1">(C47-G47)/C47</f>
        <v>7.8427630951245109E-2</v>
      </c>
      <c r="I47" s="57">
        <f>SUM(I6,I10,I14,I18,I22,I26,I30,I34,I38,I42)</f>
        <v>415782.25140000001</v>
      </c>
      <c r="K47" s="29"/>
      <c r="L47" s="17"/>
      <c r="O47" s="51"/>
      <c r="P47" s="51"/>
      <c r="Q47" s="24"/>
      <c r="R47" s="63" t="s">
        <v>230</v>
      </c>
      <c r="S47" s="25"/>
      <c r="U47" s="60">
        <f>G47/(1-$N$170)</f>
        <v>82643.850267379676</v>
      </c>
      <c r="V47" s="60">
        <f>C47-U47</f>
        <v>1204.1497326203244</v>
      </c>
      <c r="W47" s="57"/>
    </row>
    <row r="48" spans="1:23" s="52" customFormat="1">
      <c r="A48" s="61"/>
      <c r="B48" s="62" t="s">
        <v>17</v>
      </c>
      <c r="C48" s="56">
        <f t="shared" si="0"/>
        <v>315239</v>
      </c>
      <c r="D48" s="57">
        <f t="shared" si="0"/>
        <v>1551438</v>
      </c>
      <c r="E48" s="58">
        <f>D48/C48</f>
        <v>4.9214659353696719</v>
      </c>
      <c r="F48" s="17"/>
      <c r="G48" s="56">
        <f>SUM(G7,G11,G15,G19,G23,G27,G31,G35,G39,G43)</f>
        <v>288195</v>
      </c>
      <c r="H48" s="59">
        <f t="shared" si="1"/>
        <v>8.5788877645215214E-2</v>
      </c>
      <c r="I48" s="57"/>
      <c r="K48" s="29"/>
      <c r="L48" s="17"/>
      <c r="O48" s="51"/>
      <c r="P48" s="51"/>
      <c r="Q48" s="24"/>
      <c r="R48" s="64">
        <f>V48*E48</f>
        <v>34494.817921002563</v>
      </c>
      <c r="S48" s="65" t="s">
        <v>25</v>
      </c>
      <c r="U48" s="60">
        <f>G48/(1-$N$170)</f>
        <v>308229.94652406417</v>
      </c>
      <c r="V48" s="60">
        <f>C48-U48</f>
        <v>7009.053475935827</v>
      </c>
      <c r="W48" s="57">
        <f>-SUM(W46:W47)</f>
        <v>-30083.276381989039</v>
      </c>
    </row>
    <row r="49" spans="1:19" s="41" customFormat="1" ht="5.4" customHeight="1">
      <c r="A49" s="32"/>
      <c r="B49" s="33"/>
      <c r="C49" s="34"/>
      <c r="D49" s="35"/>
      <c r="E49" s="36"/>
      <c r="F49" s="37"/>
      <c r="G49" s="34"/>
      <c r="H49" s="33"/>
      <c r="I49" s="35"/>
      <c r="J49" s="35"/>
      <c r="K49" s="38"/>
      <c r="L49" s="37"/>
      <c r="M49" s="66"/>
      <c r="N49" s="67"/>
      <c r="O49" s="67"/>
      <c r="P49" s="68"/>
    </row>
    <row r="50" spans="1:19">
      <c r="A50" s="23">
        <v>43405</v>
      </c>
      <c r="B50" s="24" t="s">
        <v>13</v>
      </c>
      <c r="C50" s="25">
        <v>39068</v>
      </c>
      <c r="D50" s="26">
        <v>169340</v>
      </c>
      <c r="E50" s="27">
        <f>D50/C50</f>
        <v>4.3344937032865776</v>
      </c>
      <c r="F50" s="17"/>
      <c r="G50" s="25">
        <v>34861</v>
      </c>
      <c r="H50" s="28">
        <f>(C50-G50)/C50</f>
        <v>0.10768403808743729</v>
      </c>
      <c r="I50" s="26">
        <f>G50*P50</f>
        <v>193537.8137</v>
      </c>
      <c r="J50" s="26">
        <f>I50-D50</f>
        <v>24197.813699999999</v>
      </c>
      <c r="L50" s="17"/>
      <c r="M50" s="27">
        <v>5.6338999999999997</v>
      </c>
      <c r="N50" s="27">
        <v>-0.11070000000000001</v>
      </c>
      <c r="O50" s="27">
        <v>2.8500000000000001E-2</v>
      </c>
      <c r="P50" s="27">
        <f>M50+N50+O50</f>
        <v>5.5517000000000003</v>
      </c>
    </row>
    <row r="51" spans="1:19">
      <c r="B51" s="24" t="s">
        <v>15</v>
      </c>
      <c r="C51" s="25">
        <v>13908</v>
      </c>
      <c r="D51" s="26">
        <v>96435</v>
      </c>
      <c r="E51" s="27">
        <f>D51/C51</f>
        <v>6.9337791199309748</v>
      </c>
      <c r="F51" s="17"/>
      <c r="G51" s="25">
        <v>14377</v>
      </c>
      <c r="H51" s="28">
        <f>(C51-G51)/C51</f>
        <v>-3.3721599079666376E-2</v>
      </c>
      <c r="I51" s="26">
        <f>G51*P51</f>
        <v>76051.454600000012</v>
      </c>
      <c r="J51" s="26">
        <f>I51-D51</f>
        <v>-20383.545399999988</v>
      </c>
      <c r="L51" s="17"/>
      <c r="M51" s="27">
        <v>5.6338999999999997</v>
      </c>
      <c r="N51" s="27">
        <v>-0.11070000000000001</v>
      </c>
      <c r="O51" s="27">
        <v>-0.2334</v>
      </c>
      <c r="P51" s="27">
        <f>M51+N51+O51</f>
        <v>5.2898000000000005</v>
      </c>
    </row>
    <row r="52" spans="1:19">
      <c r="B52" s="24" t="s">
        <v>17</v>
      </c>
      <c r="C52" s="25">
        <f>SUM(C50:C51)</f>
        <v>52976</v>
      </c>
      <c r="D52" s="26">
        <f>SUM(D50:D51)</f>
        <v>265775</v>
      </c>
      <c r="E52" s="27">
        <f>D52/C52</f>
        <v>5.0168944427665361</v>
      </c>
      <c r="F52" s="17"/>
      <c r="G52" s="25">
        <f>SUM(G50:G51)</f>
        <v>49238</v>
      </c>
      <c r="H52" s="28">
        <f>(C52-G52)/C52</f>
        <v>7.0560253699788578E-2</v>
      </c>
      <c r="J52" s="26">
        <f>J50+J51</f>
        <v>3814.2683000000106</v>
      </c>
      <c r="K52" s="29">
        <f>K43+J52</f>
        <v>17512.422899999943</v>
      </c>
      <c r="L52" s="17"/>
      <c r="M52" s="27"/>
      <c r="N52" s="27"/>
      <c r="O52" s="27"/>
      <c r="P52" s="27"/>
    </row>
    <row r="53" spans="1:19" ht="3" customHeight="1">
      <c r="A53" s="42"/>
      <c r="B53" s="43"/>
      <c r="C53" s="44"/>
      <c r="D53" s="45"/>
      <c r="E53" s="46"/>
      <c r="F53" s="17"/>
      <c r="G53" s="44"/>
      <c r="H53" s="43"/>
      <c r="I53" s="45"/>
      <c r="J53" s="45"/>
      <c r="K53" s="47"/>
      <c r="L53" s="17"/>
      <c r="M53" s="48"/>
      <c r="N53" s="46"/>
      <c r="O53" s="46"/>
      <c r="P53" s="49"/>
    </row>
    <row r="54" spans="1:19">
      <c r="A54" s="23">
        <v>43435</v>
      </c>
      <c r="B54" s="24" t="s">
        <v>13</v>
      </c>
      <c r="C54" s="25">
        <v>44532</v>
      </c>
      <c r="D54" s="26">
        <v>286615</v>
      </c>
      <c r="E54" s="27">
        <f>D54/C54</f>
        <v>6.4361582682116234</v>
      </c>
      <c r="F54" s="17"/>
      <c r="G54" s="25">
        <v>46176</v>
      </c>
      <c r="H54" s="28">
        <f>(C54-G54)/C54</f>
        <v>-3.6917272972244675E-2</v>
      </c>
      <c r="I54" s="26">
        <f>G54*P54</f>
        <v>257329.61280000003</v>
      </c>
      <c r="J54" s="26">
        <f>I54-D54</f>
        <v>-29285.387199999968</v>
      </c>
      <c r="L54" s="17"/>
      <c r="M54" s="27">
        <v>5.6550000000000002</v>
      </c>
      <c r="N54" s="27">
        <v>-0.11070000000000001</v>
      </c>
      <c r="O54" s="27">
        <v>2.8500000000000001E-2</v>
      </c>
      <c r="P54" s="27">
        <f>M54+N54+O54</f>
        <v>5.5728000000000009</v>
      </c>
      <c r="R54" s="69"/>
    </row>
    <row r="55" spans="1:19">
      <c r="B55" s="24" t="s">
        <v>15</v>
      </c>
      <c r="C55" s="25">
        <v>18479</v>
      </c>
      <c r="D55" s="26">
        <v>160784</v>
      </c>
      <c r="E55" s="27">
        <f>D55/C55</f>
        <v>8.7009037285567405</v>
      </c>
      <c r="F55" s="17"/>
      <c r="G55" s="25">
        <v>18390</v>
      </c>
      <c r="H55" s="28">
        <f>(C55-G55)/C55</f>
        <v>4.8162779371178095E-3</v>
      </c>
      <c r="I55" s="26">
        <f>G55*P55</f>
        <v>97667.451000000015</v>
      </c>
      <c r="J55" s="26">
        <f>I55-D55</f>
        <v>-63116.548999999985</v>
      </c>
      <c r="L55" s="17"/>
      <c r="M55" s="27">
        <v>5.6550000000000002</v>
      </c>
      <c r="N55" s="27">
        <v>-0.11070000000000001</v>
      </c>
      <c r="O55" s="27">
        <v>-0.2334</v>
      </c>
      <c r="P55" s="27">
        <f>M55+N55+O55</f>
        <v>5.3109000000000011</v>
      </c>
      <c r="R55" s="69"/>
    </row>
    <row r="56" spans="1:19">
      <c r="B56" s="24" t="s">
        <v>17</v>
      </c>
      <c r="C56" s="25">
        <f>SUM(C54:C55)</f>
        <v>63011</v>
      </c>
      <c r="D56" s="26">
        <f>SUM(D54:D55)</f>
        <v>447399</v>
      </c>
      <c r="E56" s="27">
        <f>D56/C56</f>
        <v>7.1003316881179472</v>
      </c>
      <c r="F56" s="17"/>
      <c r="G56" s="25">
        <f>SUM(G54:G55)</f>
        <v>64566</v>
      </c>
      <c r="H56" s="28">
        <f>(C56-G56)/C56</f>
        <v>-2.4678230785101014E-2</v>
      </c>
      <c r="J56" s="26">
        <f>J54+J55</f>
        <v>-92401.936199999953</v>
      </c>
      <c r="K56" s="29">
        <f>K52+J56</f>
        <v>-74889.513300000006</v>
      </c>
      <c r="L56" s="17"/>
      <c r="M56" s="27"/>
      <c r="N56" s="27"/>
      <c r="O56" s="27"/>
      <c r="P56" s="27"/>
      <c r="R56" s="69"/>
      <c r="S56" s="25"/>
    </row>
    <row r="57" spans="1:19" ht="3" customHeight="1">
      <c r="A57" s="42"/>
      <c r="B57" s="43"/>
      <c r="C57" s="44"/>
      <c r="D57" s="45"/>
      <c r="E57" s="46"/>
      <c r="F57" s="17"/>
      <c r="G57" s="44"/>
      <c r="H57" s="43"/>
      <c r="I57" s="45"/>
      <c r="J57" s="45"/>
      <c r="K57" s="47"/>
      <c r="L57" s="17"/>
      <c r="M57" s="48"/>
      <c r="N57" s="46"/>
      <c r="O57" s="46"/>
      <c r="P57" s="49"/>
    </row>
    <row r="58" spans="1:19">
      <c r="A58" s="12">
        <v>43466</v>
      </c>
      <c r="B58" s="13" t="s">
        <v>13</v>
      </c>
      <c r="C58" s="14">
        <v>47794</v>
      </c>
      <c r="D58" s="15">
        <v>288627</v>
      </c>
      <c r="E58" s="16">
        <f>D58/C58</f>
        <v>6.0389797882579401</v>
      </c>
      <c r="F58" s="17"/>
      <c r="G58" s="14">
        <v>45251</v>
      </c>
      <c r="H58" s="18">
        <f>(C58-G58)/C58</f>
        <v>5.320751558773068E-2</v>
      </c>
      <c r="I58" s="15">
        <f>G58*P58</f>
        <v>252174.77280000004</v>
      </c>
      <c r="J58" s="15">
        <f>I58-D58</f>
        <v>-36452.227199999965</v>
      </c>
      <c r="K58" s="19"/>
      <c r="L58" s="17"/>
      <c r="M58" s="16">
        <v>5.6550000000000002</v>
      </c>
      <c r="N58" s="16">
        <v>-0.11070000000000001</v>
      </c>
      <c r="O58" s="16">
        <v>2.8500000000000001E-2</v>
      </c>
      <c r="P58" s="16">
        <f>M58+N58+O58</f>
        <v>5.5728000000000009</v>
      </c>
    </row>
    <row r="59" spans="1:19" ht="13.95" customHeight="1">
      <c r="B59" s="24" t="s">
        <v>15</v>
      </c>
      <c r="C59" s="25">
        <v>23558</v>
      </c>
      <c r="D59" s="26">
        <v>175203</v>
      </c>
      <c r="E59" s="27">
        <f>D59/C59</f>
        <v>7.4370914339078018</v>
      </c>
      <c r="F59" s="17"/>
      <c r="G59" s="25">
        <v>21066</v>
      </c>
      <c r="H59" s="28">
        <f>(C59-G59)/C59</f>
        <v>0.10578147550725868</v>
      </c>
      <c r="I59" s="26">
        <f>G59*P59</f>
        <v>111879.41940000003</v>
      </c>
      <c r="J59" s="26">
        <f>I59-D59</f>
        <v>-63323.580599999972</v>
      </c>
      <c r="L59" s="17"/>
      <c r="M59" s="27">
        <v>5.6550000000000002</v>
      </c>
      <c r="N59" s="27">
        <v>-0.11070000000000001</v>
      </c>
      <c r="O59" s="27">
        <v>-0.2334</v>
      </c>
      <c r="P59" s="27">
        <f>M59+N59+O59</f>
        <v>5.3109000000000011</v>
      </c>
    </row>
    <row r="60" spans="1:19">
      <c r="B60" s="24" t="s">
        <v>17</v>
      </c>
      <c r="C60" s="25">
        <f>SUM(C58:C59)</f>
        <v>71352</v>
      </c>
      <c r="D60" s="26">
        <f>SUM(D58:D59)</f>
        <v>463830</v>
      </c>
      <c r="E60" s="27">
        <f>D60/C60</f>
        <v>6.5005886310124454</v>
      </c>
      <c r="F60" s="17"/>
      <c r="G60" s="25">
        <f>SUM(G58:G59)</f>
        <v>66317</v>
      </c>
      <c r="H60" s="28">
        <f>(C60-G60)/C60</f>
        <v>7.0565646372911767E-2</v>
      </c>
      <c r="J60" s="26">
        <f>J58+J59</f>
        <v>-99775.807799999937</v>
      </c>
      <c r="K60" s="29">
        <f>K56+J60</f>
        <v>-174665.32109999994</v>
      </c>
      <c r="L60" s="17"/>
      <c r="M60" s="27"/>
      <c r="N60" s="27"/>
      <c r="O60" s="27"/>
      <c r="P60" s="27"/>
    </row>
    <row r="61" spans="1:19" s="41" customFormat="1" ht="3" customHeight="1">
      <c r="A61" s="32"/>
      <c r="B61" s="33"/>
      <c r="C61" s="34"/>
      <c r="D61" s="35"/>
      <c r="E61" s="36"/>
      <c r="F61" s="37"/>
      <c r="G61" s="34"/>
      <c r="H61" s="33"/>
      <c r="I61" s="35"/>
      <c r="J61" s="35"/>
      <c r="K61" s="38"/>
      <c r="L61" s="37"/>
      <c r="M61" s="39"/>
      <c r="N61" s="36"/>
      <c r="O61" s="36"/>
      <c r="P61" s="40"/>
    </row>
    <row r="62" spans="1:19" ht="13.95" customHeight="1">
      <c r="A62" s="23">
        <v>43497</v>
      </c>
      <c r="B62" s="24" t="s">
        <v>13</v>
      </c>
      <c r="C62" s="25">
        <v>39964</v>
      </c>
      <c r="D62" s="26">
        <v>173388</v>
      </c>
      <c r="E62" s="27">
        <f>D62/C62</f>
        <v>4.3386047442698432</v>
      </c>
      <c r="F62" s="17"/>
      <c r="G62" s="25">
        <v>39075</v>
      </c>
      <c r="H62" s="28">
        <f>(C62-G62)/C62</f>
        <v>2.2245020518466621E-2</v>
      </c>
      <c r="I62" s="26">
        <f>G62*P62</f>
        <v>220906.60499999998</v>
      </c>
      <c r="J62" s="26">
        <f>I62-D62</f>
        <v>47518.604999999981</v>
      </c>
      <c r="L62" s="17"/>
      <c r="M62" s="27">
        <v>5.8244999999999996</v>
      </c>
      <c r="N62" s="27">
        <v>-0.1996</v>
      </c>
      <c r="O62" s="27">
        <v>2.8500000000000001E-2</v>
      </c>
      <c r="P62" s="27">
        <f>M62+N62+O62</f>
        <v>5.6533999999999995</v>
      </c>
    </row>
    <row r="63" spans="1:19" ht="13.95" customHeight="1">
      <c r="B63" s="24" t="s">
        <v>15</v>
      </c>
      <c r="C63" s="25">
        <v>17208</v>
      </c>
      <c r="D63" s="26">
        <v>115276</v>
      </c>
      <c r="E63" s="27">
        <f>D63/C63</f>
        <v>6.6989772198977215</v>
      </c>
      <c r="F63" s="17"/>
      <c r="G63" s="25">
        <v>17934</v>
      </c>
      <c r="H63" s="28">
        <f>(C63-G63)/C63</f>
        <v>-4.2189679218967921E-2</v>
      </c>
      <c r="I63" s="26">
        <f>G63*P63</f>
        <v>96691.160999999993</v>
      </c>
      <c r="J63" s="26">
        <f>I63-D63</f>
        <v>-18584.839000000007</v>
      </c>
      <c r="L63" s="17"/>
      <c r="M63" s="27">
        <v>5.8244999999999996</v>
      </c>
      <c r="N63" s="27">
        <v>-0.1996</v>
      </c>
      <c r="O63" s="27">
        <v>-0.2334</v>
      </c>
      <c r="P63" s="27">
        <f>M63+N63+O63</f>
        <v>5.3914999999999997</v>
      </c>
    </row>
    <row r="64" spans="1:19">
      <c r="B64" s="24" t="s">
        <v>17</v>
      </c>
      <c r="C64" s="25">
        <f>SUM(C62:C63)</f>
        <v>57172</v>
      </c>
      <c r="D64" s="26">
        <f>SUM(D62:D63)</f>
        <v>288664</v>
      </c>
      <c r="E64" s="27">
        <f>D64/C64</f>
        <v>5.0490449870566012</v>
      </c>
      <c r="F64" s="17"/>
      <c r="G64" s="25">
        <f>SUM(G62:G63)</f>
        <v>57009</v>
      </c>
      <c r="H64" s="28">
        <f>(C64-G64)/C64</f>
        <v>2.8510459665570557E-3</v>
      </c>
      <c r="J64" s="26">
        <f>J62+J63</f>
        <v>28933.765999999974</v>
      </c>
      <c r="K64" s="29">
        <f>K60+J64</f>
        <v>-145731.55509999997</v>
      </c>
      <c r="L64" s="17"/>
      <c r="M64" s="27"/>
      <c r="N64" s="27"/>
      <c r="O64" s="27"/>
      <c r="P64" s="27"/>
    </row>
    <row r="65" spans="1:16" ht="3" customHeight="1">
      <c r="A65" s="42"/>
      <c r="B65" s="43"/>
      <c r="C65" s="44"/>
      <c r="D65" s="45"/>
      <c r="E65" s="46"/>
      <c r="F65" s="17"/>
      <c r="G65" s="44"/>
      <c r="H65" s="43"/>
      <c r="I65" s="45"/>
      <c r="J65" s="45"/>
      <c r="K65" s="47"/>
      <c r="L65" s="17"/>
      <c r="M65" s="48"/>
      <c r="N65" s="46"/>
      <c r="O65" s="46"/>
      <c r="P65" s="49"/>
    </row>
    <row r="66" spans="1:16">
      <c r="A66" s="23">
        <v>43525</v>
      </c>
      <c r="B66" s="24" t="s">
        <v>13</v>
      </c>
      <c r="C66" s="25">
        <v>40449</v>
      </c>
      <c r="D66" s="26">
        <v>178913</v>
      </c>
      <c r="E66" s="27">
        <f>D66/C66</f>
        <v>4.4231748621721181</v>
      </c>
      <c r="F66" s="17"/>
      <c r="G66" s="25">
        <v>38116</v>
      </c>
      <c r="H66" s="28">
        <f>(C66-G66)/C66</f>
        <v>5.7677569284778366E-2</v>
      </c>
      <c r="I66" s="26">
        <f>G66*P66</f>
        <v>215484.9944</v>
      </c>
      <c r="J66" s="26">
        <f>I66-D66</f>
        <v>36571.994399999996</v>
      </c>
      <c r="L66" s="17"/>
      <c r="M66" s="27">
        <v>5.8244999999999996</v>
      </c>
      <c r="N66" s="27">
        <v>-0.1996</v>
      </c>
      <c r="O66" s="27">
        <v>2.8500000000000001E-2</v>
      </c>
      <c r="P66" s="27">
        <f>M66+N66+O66</f>
        <v>5.6533999999999995</v>
      </c>
    </row>
    <row r="67" spans="1:16" ht="13.95" customHeight="1">
      <c r="B67" s="24" t="s">
        <v>15</v>
      </c>
      <c r="C67" s="25">
        <v>16307</v>
      </c>
      <c r="D67" s="26">
        <v>107600</v>
      </c>
      <c r="E67" s="27">
        <f>D67/C67</f>
        <v>6.5983933280186422</v>
      </c>
      <c r="F67" s="17"/>
      <c r="G67" s="25">
        <v>16181</v>
      </c>
      <c r="H67" s="28">
        <f>(C67-G67)/C67</f>
        <v>7.7267431164530567E-3</v>
      </c>
      <c r="I67" s="26">
        <f>G67*P67</f>
        <v>87239.861499999999</v>
      </c>
      <c r="J67" s="26">
        <f>I67-D67</f>
        <v>-20360.138500000001</v>
      </c>
      <c r="L67" s="17"/>
      <c r="M67" s="27">
        <v>5.8244999999999996</v>
      </c>
      <c r="N67" s="27">
        <v>-0.1996</v>
      </c>
      <c r="O67" s="27">
        <v>-0.2334</v>
      </c>
      <c r="P67" s="27">
        <f>M67+N67+O67</f>
        <v>5.3914999999999997</v>
      </c>
    </row>
    <row r="68" spans="1:16">
      <c r="B68" s="24" t="s">
        <v>17</v>
      </c>
      <c r="C68" s="25">
        <f>SUM(C66:C67)</f>
        <v>56756</v>
      </c>
      <c r="D68" s="26">
        <f>SUM(D66:D67)</f>
        <v>286513</v>
      </c>
      <c r="E68" s="27">
        <f>D68/C68</f>
        <v>5.0481534991895129</v>
      </c>
      <c r="F68" s="17"/>
      <c r="G68" s="25">
        <f>SUM(G66:G67)</f>
        <v>54297</v>
      </c>
      <c r="H68" s="28">
        <f>(C68-G68)/C68</f>
        <v>4.3325815772781731E-2</v>
      </c>
      <c r="J68" s="26">
        <f>J66+J67</f>
        <v>16211.855899999995</v>
      </c>
      <c r="K68" s="29">
        <f>K64+J68</f>
        <v>-129519.69919999997</v>
      </c>
      <c r="L68" s="17"/>
      <c r="M68" s="27"/>
      <c r="N68" s="27"/>
      <c r="O68" s="27"/>
      <c r="P68" s="27"/>
    </row>
    <row r="69" spans="1:16" ht="3" customHeight="1">
      <c r="A69" s="42"/>
      <c r="B69" s="43"/>
      <c r="C69" s="44"/>
      <c r="D69" s="45"/>
      <c r="E69" s="46"/>
      <c r="F69" s="17"/>
      <c r="G69" s="44"/>
      <c r="H69" s="43"/>
      <c r="I69" s="45"/>
      <c r="J69" s="45"/>
      <c r="K69" s="47"/>
      <c r="L69" s="17"/>
      <c r="M69" s="48"/>
      <c r="N69" s="46"/>
      <c r="O69" s="46"/>
      <c r="P69" s="49"/>
    </row>
    <row r="70" spans="1:16">
      <c r="A70" s="23">
        <v>43556</v>
      </c>
      <c r="B70" s="24" t="s">
        <v>13</v>
      </c>
      <c r="C70" s="25">
        <v>17950</v>
      </c>
      <c r="D70" s="26">
        <v>63002</v>
      </c>
      <c r="E70" s="27">
        <f>D70/C70</f>
        <v>3.5098607242339832</v>
      </c>
      <c r="F70" s="17"/>
      <c r="G70" s="25">
        <v>18674</v>
      </c>
      <c r="H70" s="28">
        <f>(C70-G70)/C70</f>
        <v>-4.0334261838440112E-2</v>
      </c>
      <c r="I70" s="26">
        <f>G70*P70</f>
        <v>105571.59159999999</v>
      </c>
      <c r="J70" s="26">
        <f>I70-D70</f>
        <v>42569.591599999985</v>
      </c>
      <c r="L70" s="17"/>
      <c r="M70" s="27">
        <v>5.8244999999999996</v>
      </c>
      <c r="N70" s="27">
        <v>-0.1996</v>
      </c>
      <c r="O70" s="27">
        <v>2.8500000000000001E-2</v>
      </c>
      <c r="P70" s="27">
        <f>M70+N70+O70</f>
        <v>5.6533999999999995</v>
      </c>
    </row>
    <row r="71" spans="1:16" ht="13.95" customHeight="1">
      <c r="B71" s="24" t="s">
        <v>15</v>
      </c>
      <c r="C71" s="25">
        <v>6652</v>
      </c>
      <c r="D71" s="26">
        <v>42627</v>
      </c>
      <c r="E71" s="27">
        <f>D71/C71</f>
        <v>6.4081479254359595</v>
      </c>
      <c r="F71" s="17"/>
      <c r="G71" s="25">
        <v>6669</v>
      </c>
      <c r="H71" s="28">
        <f>(C71-G71)/C71</f>
        <v>-2.5556223692122671E-3</v>
      </c>
      <c r="I71" s="26">
        <f>G71*P71</f>
        <v>35955.913499999995</v>
      </c>
      <c r="J71" s="26">
        <f>I71-D71</f>
        <v>-6671.0865000000049</v>
      </c>
      <c r="L71" s="17"/>
      <c r="M71" s="27">
        <v>5.8244999999999996</v>
      </c>
      <c r="N71" s="27">
        <v>-0.1996</v>
      </c>
      <c r="O71" s="27">
        <v>-0.2334</v>
      </c>
      <c r="P71" s="27">
        <f>M71+N71+O71</f>
        <v>5.3914999999999997</v>
      </c>
    </row>
    <row r="72" spans="1:16">
      <c r="B72" s="24" t="s">
        <v>17</v>
      </c>
      <c r="C72" s="25">
        <f>SUM(C70:C71)</f>
        <v>24602</v>
      </c>
      <c r="D72" s="26">
        <f>SUM(D70:D71)</f>
        <v>105629</v>
      </c>
      <c r="E72" s="27">
        <f>D72/C72</f>
        <v>4.2935127225428831</v>
      </c>
      <c r="F72" s="17"/>
      <c r="G72" s="25">
        <f>SUM(G70:G71)</f>
        <v>25343</v>
      </c>
      <c r="H72" s="28">
        <f>(C72-G72)/C72</f>
        <v>-3.0119502479473214E-2</v>
      </c>
      <c r="J72" s="26">
        <f>J70+J71</f>
        <v>35898.50509999998</v>
      </c>
      <c r="K72" s="29">
        <f>K68+J72</f>
        <v>-93621.194099999993</v>
      </c>
      <c r="L72" s="17"/>
      <c r="M72" s="27"/>
      <c r="N72" s="27"/>
      <c r="O72" s="27"/>
      <c r="P72" s="27"/>
    </row>
    <row r="73" spans="1:16" s="41" customFormat="1" ht="3" customHeight="1">
      <c r="A73" s="32"/>
      <c r="B73" s="33"/>
      <c r="C73" s="34"/>
      <c r="D73" s="35"/>
      <c r="E73" s="36"/>
      <c r="F73" s="37"/>
      <c r="G73" s="34"/>
      <c r="H73" s="33"/>
      <c r="I73" s="35"/>
      <c r="J73" s="35"/>
      <c r="K73" s="38"/>
      <c r="L73" s="37"/>
      <c r="M73" s="39"/>
      <c r="N73" s="36"/>
      <c r="O73" s="36"/>
      <c r="P73" s="40"/>
    </row>
    <row r="74" spans="1:16">
      <c r="A74" s="23">
        <v>43586</v>
      </c>
      <c r="B74" s="24" t="s">
        <v>13</v>
      </c>
      <c r="C74" s="25">
        <v>2126</v>
      </c>
      <c r="D74" s="26">
        <v>13196</v>
      </c>
      <c r="E74" s="27">
        <f>D74/C74</f>
        <v>6.2069614299153342</v>
      </c>
      <c r="F74" s="17"/>
      <c r="G74" s="25">
        <v>2450</v>
      </c>
      <c r="H74" s="28">
        <f>(C74-G74)/C74</f>
        <v>-0.1523988711194732</v>
      </c>
      <c r="I74" s="26">
        <f>G74*P74</f>
        <v>13126.119999999999</v>
      </c>
      <c r="J74" s="26">
        <f>I74-D74</f>
        <v>-69.880000000001019</v>
      </c>
      <c r="L74" s="17"/>
      <c r="M74" s="27">
        <v>5.0693000000000001</v>
      </c>
      <c r="N74" s="27">
        <v>0.2883</v>
      </c>
      <c r="O74" s="27"/>
      <c r="P74" s="27">
        <f>M74+N74+O74</f>
        <v>5.3575999999999997</v>
      </c>
    </row>
    <row r="75" spans="1:16" ht="13.95" customHeight="1">
      <c r="B75" s="24" t="s">
        <v>15</v>
      </c>
      <c r="C75" s="25">
        <v>847</v>
      </c>
      <c r="D75" s="26">
        <v>8620</v>
      </c>
      <c r="E75" s="27">
        <f>D75/C75</f>
        <v>10.177095631641086</v>
      </c>
      <c r="F75" s="17"/>
      <c r="G75" s="25">
        <v>849</v>
      </c>
      <c r="H75" s="28">
        <f>(C75-G75)/C75</f>
        <v>-2.3612750885478157E-3</v>
      </c>
      <c r="I75" s="26">
        <f>G75*P74</f>
        <v>4548.6023999999998</v>
      </c>
      <c r="J75" s="26">
        <f>I75-D75</f>
        <v>-4071.3976000000002</v>
      </c>
      <c r="L75" s="17"/>
      <c r="M75" s="27"/>
      <c r="N75" s="27"/>
      <c r="O75" s="27"/>
      <c r="P75" s="27"/>
    </row>
    <row r="76" spans="1:16">
      <c r="B76" s="24" t="s">
        <v>17</v>
      </c>
      <c r="C76" s="25">
        <f>SUM(C74:C75)</f>
        <v>2973</v>
      </c>
      <c r="D76" s="26">
        <f>SUM(D74:D75)</f>
        <v>21816</v>
      </c>
      <c r="E76" s="27">
        <f>D76/C76</f>
        <v>7.3380423814328957</v>
      </c>
      <c r="F76" s="17"/>
      <c r="G76" s="25">
        <f>SUM(G74:G75)</f>
        <v>3299</v>
      </c>
      <c r="H76" s="28">
        <f>(C76-G76)/C76</f>
        <v>-0.1096535486041036</v>
      </c>
      <c r="J76" s="26">
        <f>J74+J75</f>
        <v>-4141.2776000000013</v>
      </c>
      <c r="K76" s="29">
        <f>K72+J76</f>
        <v>-97762.471699999995</v>
      </c>
      <c r="L76" s="17"/>
      <c r="M76" s="27"/>
      <c r="N76" s="27"/>
      <c r="O76" s="27"/>
      <c r="P76" s="27"/>
    </row>
    <row r="77" spans="1:16" ht="3" customHeight="1">
      <c r="A77" s="42"/>
      <c r="B77" s="43"/>
      <c r="C77" s="44"/>
      <c r="D77" s="45"/>
      <c r="E77" s="46"/>
      <c r="F77" s="17"/>
      <c r="G77" s="44"/>
      <c r="H77" s="43"/>
      <c r="I77" s="45"/>
      <c r="J77" s="45"/>
      <c r="K77" s="47"/>
      <c r="L77" s="17"/>
      <c r="M77" s="48"/>
      <c r="N77" s="46"/>
      <c r="O77" s="46"/>
      <c r="P77" s="49"/>
    </row>
    <row r="78" spans="1:16">
      <c r="A78" s="23">
        <v>43617</v>
      </c>
      <c r="B78" s="24" t="s">
        <v>13</v>
      </c>
      <c r="C78" s="25">
        <v>8506</v>
      </c>
      <c r="D78" s="26">
        <v>35088</v>
      </c>
      <c r="E78" s="27">
        <f>D78/C78</f>
        <v>4.1250881730543147</v>
      </c>
      <c r="F78" s="17"/>
      <c r="G78" s="25">
        <v>7004</v>
      </c>
      <c r="H78" s="28">
        <f>(C78-G78)/C78</f>
        <v>0.17658123677404186</v>
      </c>
      <c r="I78" s="26">
        <f>G78*P74</f>
        <v>37524.630399999995</v>
      </c>
      <c r="J78" s="26">
        <f>I78-D78</f>
        <v>2436.6303999999946</v>
      </c>
      <c r="L78" s="17"/>
      <c r="M78" s="27"/>
      <c r="N78" s="27"/>
      <c r="O78" s="27"/>
      <c r="P78" s="27"/>
    </row>
    <row r="79" spans="1:16" ht="13.95" customHeight="1">
      <c r="B79" s="24" t="s">
        <v>15</v>
      </c>
      <c r="C79" s="25">
        <v>1727</v>
      </c>
      <c r="D79" s="26">
        <v>10758</v>
      </c>
      <c r="E79" s="27">
        <f>D79/C79</f>
        <v>6.2292993630573248</v>
      </c>
      <c r="F79" s="17"/>
      <c r="G79" s="25">
        <v>1638</v>
      </c>
      <c r="H79" s="28">
        <f>(C79-G79)/C79</f>
        <v>5.1534452808338162E-2</v>
      </c>
      <c r="I79" s="26">
        <f>G79*P74</f>
        <v>8775.7487999999994</v>
      </c>
      <c r="J79" s="26">
        <f>I79-D79</f>
        <v>-1982.2512000000006</v>
      </c>
      <c r="L79" s="17"/>
      <c r="M79" s="27"/>
      <c r="N79" s="27"/>
      <c r="O79" s="27"/>
      <c r="P79" s="27"/>
    </row>
    <row r="80" spans="1:16">
      <c r="B80" s="24" t="s">
        <v>17</v>
      </c>
      <c r="C80" s="25">
        <f>SUM(C78:C79)</f>
        <v>10233</v>
      </c>
      <c r="D80" s="26">
        <f>SUM(D78:D79)</f>
        <v>45846</v>
      </c>
      <c r="E80" s="27">
        <f>D80/C80</f>
        <v>4.4802110817941951</v>
      </c>
      <c r="F80" s="17"/>
      <c r="G80" s="25">
        <f>SUM(G78:G79)</f>
        <v>8642</v>
      </c>
      <c r="H80" s="28">
        <f>(C80-G80)/C80</f>
        <v>0.15547737711326101</v>
      </c>
      <c r="J80" s="26">
        <f>J78+J79</f>
        <v>454.37919999999394</v>
      </c>
      <c r="K80" s="29">
        <f>K76+J80</f>
        <v>-97308.092499999999</v>
      </c>
      <c r="L80" s="17"/>
      <c r="M80" s="27"/>
      <c r="N80" s="27"/>
      <c r="O80" s="27"/>
      <c r="P80" s="27"/>
    </row>
    <row r="81" spans="1:18" ht="3" customHeight="1">
      <c r="A81" s="42"/>
      <c r="B81" s="43"/>
      <c r="C81" s="44"/>
      <c r="D81" s="45"/>
      <c r="E81" s="46"/>
      <c r="F81" s="17"/>
      <c r="G81" s="44"/>
      <c r="H81" s="43"/>
      <c r="I81" s="45"/>
      <c r="J81" s="45"/>
      <c r="K81" s="47"/>
      <c r="L81" s="17"/>
      <c r="M81" s="48"/>
      <c r="N81" s="46"/>
      <c r="O81" s="46"/>
      <c r="P81" s="49"/>
    </row>
    <row r="82" spans="1:18">
      <c r="A82" s="23">
        <v>43647</v>
      </c>
      <c r="B82" s="24" t="s">
        <v>13</v>
      </c>
      <c r="C82" s="25">
        <v>6826</v>
      </c>
      <c r="D82" s="26">
        <v>37418</v>
      </c>
      <c r="E82" s="27">
        <f>D82/C82</f>
        <v>5.4816876648110169</v>
      </c>
      <c r="F82" s="17"/>
      <c r="G82" s="25">
        <v>5697</v>
      </c>
      <c r="H82" s="28">
        <f>(C82-G82)/C82</f>
        <v>0.16539701142689717</v>
      </c>
      <c r="I82" s="26">
        <f>G82*P74</f>
        <v>30522.247199999998</v>
      </c>
      <c r="J82" s="26">
        <f>I82-D82</f>
        <v>-6895.752800000002</v>
      </c>
      <c r="L82" s="17"/>
      <c r="M82" s="27"/>
      <c r="N82" s="27"/>
      <c r="O82" s="27"/>
      <c r="P82" s="27"/>
    </row>
    <row r="83" spans="1:18" ht="13.95" customHeight="1">
      <c r="B83" s="24" t="s">
        <v>15</v>
      </c>
      <c r="C83" s="25">
        <v>1473</v>
      </c>
      <c r="D83" s="26">
        <v>8632</v>
      </c>
      <c r="E83" s="27">
        <f>D83/C83</f>
        <v>5.8601493550577057</v>
      </c>
      <c r="F83" s="17"/>
      <c r="G83" s="25">
        <v>1461</v>
      </c>
      <c r="H83" s="28">
        <f>(C83-G83)/C83</f>
        <v>8.1466395112016286E-3</v>
      </c>
      <c r="I83" s="26">
        <f>G83*P74</f>
        <v>7827.4535999999998</v>
      </c>
      <c r="J83" s="26">
        <f>I83-D83</f>
        <v>-804.54640000000018</v>
      </c>
      <c r="L83" s="17"/>
      <c r="M83" s="27"/>
      <c r="N83" s="27"/>
      <c r="O83" s="27"/>
      <c r="P83" s="27"/>
    </row>
    <row r="84" spans="1:18">
      <c r="B84" s="24" t="s">
        <v>17</v>
      </c>
      <c r="C84" s="25">
        <f>SUM(C82:C83)</f>
        <v>8299</v>
      </c>
      <c r="D84" s="26">
        <f>SUM(D82:D83)</f>
        <v>46050</v>
      </c>
      <c r="E84" s="27">
        <f>D84/C84</f>
        <v>5.5488613085913965</v>
      </c>
      <c r="F84" s="17"/>
      <c r="G84" s="25">
        <f>SUM(G82:G83)</f>
        <v>7158</v>
      </c>
      <c r="H84" s="28">
        <f>(C84-G84)/C84</f>
        <v>0.13748644414989758</v>
      </c>
      <c r="J84" s="26">
        <f>J82+J83</f>
        <v>-7700.2992000000022</v>
      </c>
      <c r="K84" s="29">
        <f>K80+J84</f>
        <v>-105008.39170000001</v>
      </c>
      <c r="L84" s="17"/>
      <c r="M84" s="27"/>
      <c r="N84" s="27"/>
      <c r="O84" s="27"/>
      <c r="P84" s="27"/>
    </row>
    <row r="85" spans="1:18" s="41" customFormat="1" ht="3" customHeight="1">
      <c r="A85" s="32"/>
      <c r="B85" s="33"/>
      <c r="C85" s="34"/>
      <c r="D85" s="35"/>
      <c r="E85" s="36"/>
      <c r="F85" s="37"/>
      <c r="G85" s="34"/>
      <c r="H85" s="33"/>
      <c r="I85" s="35"/>
      <c r="J85" s="35"/>
      <c r="K85" s="38"/>
      <c r="L85" s="37"/>
      <c r="M85" s="39"/>
      <c r="N85" s="36"/>
      <c r="O85" s="36"/>
      <c r="P85" s="40"/>
    </row>
    <row r="86" spans="1:18">
      <c r="A86" s="23">
        <v>43678</v>
      </c>
      <c r="B86" s="24" t="s">
        <v>13</v>
      </c>
      <c r="C86" s="25">
        <v>7093</v>
      </c>
      <c r="D86" s="26">
        <v>29508</v>
      </c>
      <c r="E86" s="27">
        <f>D86/C86</f>
        <v>4.1601579021570565</v>
      </c>
      <c r="F86" s="17"/>
      <c r="G86" s="25">
        <v>6150</v>
      </c>
      <c r="H86" s="28">
        <f>(C86-G86)/C86</f>
        <v>0.13294797687861271</v>
      </c>
      <c r="I86" s="26">
        <f>G86*P86</f>
        <v>30245.084999999995</v>
      </c>
      <c r="J86" s="26">
        <f>I86-D86</f>
        <v>737.08499999999549</v>
      </c>
      <c r="L86" s="17"/>
      <c r="M86" s="27">
        <v>5.0595999999999997</v>
      </c>
      <c r="N86" s="27">
        <v>-0.14169999999999999</v>
      </c>
      <c r="O86" s="27"/>
      <c r="P86" s="27">
        <f>M86+N86+O86</f>
        <v>4.9178999999999995</v>
      </c>
    </row>
    <row r="87" spans="1:18" ht="13.95" customHeight="1">
      <c r="B87" s="24" t="s">
        <v>15</v>
      </c>
      <c r="C87" s="25">
        <v>1575</v>
      </c>
      <c r="D87" s="26">
        <v>9019</v>
      </c>
      <c r="E87" s="27">
        <f>D87/C87</f>
        <v>5.7263492063492061</v>
      </c>
      <c r="F87" s="17"/>
      <c r="G87" s="25">
        <v>1463</v>
      </c>
      <c r="H87" s="28">
        <f>(C87-G87)/C87</f>
        <v>7.1111111111111111E-2</v>
      </c>
      <c r="I87" s="26">
        <f>G87*P86</f>
        <v>7194.8876999999993</v>
      </c>
      <c r="J87" s="26">
        <f>I87-D87</f>
        <v>-1824.1123000000007</v>
      </c>
      <c r="L87" s="17"/>
      <c r="M87" s="27"/>
      <c r="N87" s="27"/>
      <c r="O87" s="27"/>
      <c r="P87" s="27"/>
    </row>
    <row r="88" spans="1:18">
      <c r="B88" s="24" t="s">
        <v>17</v>
      </c>
      <c r="C88" s="25">
        <f>SUM(C86:C87)</f>
        <v>8668</v>
      </c>
      <c r="D88" s="26">
        <f>SUM(D86:D87)</f>
        <v>38527</v>
      </c>
      <c r="E88" s="27">
        <f>D88/C88</f>
        <v>4.4447392708814029</v>
      </c>
      <c r="F88" s="17"/>
      <c r="G88" s="25">
        <f>SUM(G86:G87)</f>
        <v>7613</v>
      </c>
      <c r="H88" s="28">
        <f>(C88-G88)/C88</f>
        <v>0.12171204430087679</v>
      </c>
      <c r="J88" s="26">
        <f>J86+J87</f>
        <v>-1087.0273000000052</v>
      </c>
      <c r="K88" s="29">
        <f>K84+J88</f>
        <v>-106095.41900000001</v>
      </c>
      <c r="L88" s="17"/>
      <c r="M88" s="27"/>
      <c r="N88" s="27"/>
      <c r="O88" s="27"/>
      <c r="P88" s="27"/>
    </row>
    <row r="89" spans="1:18" ht="3" customHeight="1">
      <c r="A89" s="42"/>
      <c r="B89" s="43"/>
      <c r="C89" s="44"/>
      <c r="D89" s="45"/>
      <c r="E89" s="46"/>
      <c r="F89" s="17"/>
      <c r="G89" s="44"/>
      <c r="H89" s="43"/>
      <c r="I89" s="45"/>
      <c r="J89" s="45"/>
      <c r="K89" s="47"/>
      <c r="L89" s="17"/>
      <c r="M89" s="48"/>
      <c r="N89" s="46"/>
      <c r="O89" s="46"/>
      <c r="P89" s="49"/>
    </row>
    <row r="90" spans="1:18">
      <c r="A90" s="23">
        <v>43709</v>
      </c>
      <c r="B90" s="24" t="s">
        <v>13</v>
      </c>
      <c r="C90" s="25">
        <v>7082</v>
      </c>
      <c r="D90" s="26">
        <v>25580</v>
      </c>
      <c r="E90" s="27">
        <f>D90/C90</f>
        <v>3.6119740186388025</v>
      </c>
      <c r="F90" s="17"/>
      <c r="G90" s="25">
        <v>5890</v>
      </c>
      <c r="H90" s="28">
        <f>(C90-G90)/C90</f>
        <v>0.1683140355831686</v>
      </c>
      <c r="I90" s="26">
        <f>G90*P86</f>
        <v>28966.430999999997</v>
      </c>
      <c r="J90" s="26">
        <f>I90-D90</f>
        <v>3386.4309999999969</v>
      </c>
      <c r="L90" s="17"/>
      <c r="M90" s="27"/>
      <c r="N90" s="27"/>
      <c r="O90" s="27"/>
      <c r="P90" s="27"/>
    </row>
    <row r="91" spans="1:18" ht="13.95" customHeight="1">
      <c r="B91" s="24" t="s">
        <v>15</v>
      </c>
      <c r="C91" s="25">
        <v>1031</v>
      </c>
      <c r="D91" s="26">
        <v>5927</v>
      </c>
      <c r="E91" s="27">
        <f>D91/C91</f>
        <v>5.7487875848690591</v>
      </c>
      <c r="F91" s="17"/>
      <c r="G91" s="25">
        <v>1397</v>
      </c>
      <c r="H91" s="28">
        <f>(C91-G91)/C91</f>
        <v>-0.35499515033947626</v>
      </c>
      <c r="I91" s="26">
        <f>G91*P86</f>
        <v>6870.3062999999993</v>
      </c>
      <c r="J91" s="26">
        <f>I91-D91</f>
        <v>943.30629999999928</v>
      </c>
      <c r="L91" s="17"/>
      <c r="M91" s="27"/>
      <c r="N91" s="27"/>
      <c r="O91" s="27"/>
      <c r="P91" s="27"/>
    </row>
    <row r="92" spans="1:18">
      <c r="B92" s="24" t="s">
        <v>17</v>
      </c>
      <c r="C92" s="25">
        <f>SUM(C90:C91)</f>
        <v>8113</v>
      </c>
      <c r="D92" s="26">
        <f>SUM(D90:D91)</f>
        <v>31507</v>
      </c>
      <c r="E92" s="27">
        <f>D92/C92</f>
        <v>3.8835202761000862</v>
      </c>
      <c r="F92" s="17"/>
      <c r="G92" s="25">
        <f>SUM(G90:G91)</f>
        <v>7287</v>
      </c>
      <c r="H92" s="28">
        <f>(C92-G92)/C92</f>
        <v>0.10181190681622088</v>
      </c>
      <c r="J92" s="26">
        <f>J90+J91</f>
        <v>4329.7372999999961</v>
      </c>
      <c r="K92" s="29">
        <f>K88+J92</f>
        <v>-101765.68170000002</v>
      </c>
      <c r="L92" s="17"/>
      <c r="M92" s="27"/>
      <c r="N92" s="27"/>
      <c r="O92" s="27"/>
      <c r="P92" s="27"/>
    </row>
    <row r="93" spans="1:18" ht="3" customHeight="1">
      <c r="A93" s="42"/>
      <c r="B93" s="43"/>
      <c r="C93" s="44"/>
      <c r="D93" s="45"/>
      <c r="E93" s="46"/>
      <c r="F93" s="17"/>
      <c r="G93" s="44"/>
      <c r="H93" s="43"/>
      <c r="I93" s="45"/>
      <c r="J93" s="45"/>
      <c r="K93" s="47"/>
      <c r="L93" s="17"/>
      <c r="M93" s="48"/>
      <c r="N93" s="46"/>
      <c r="O93" s="46"/>
      <c r="P93" s="49"/>
    </row>
    <row r="94" spans="1:18">
      <c r="A94" s="23">
        <v>43739</v>
      </c>
      <c r="B94" s="24" t="s">
        <v>13</v>
      </c>
      <c r="C94" s="25">
        <v>13453</v>
      </c>
      <c r="D94" s="251">
        <f>41833+6620</f>
        <v>48453</v>
      </c>
      <c r="E94" s="27">
        <f>D94/C94</f>
        <v>3.6016501895487996</v>
      </c>
      <c r="F94" s="17"/>
      <c r="G94" s="25">
        <v>10901</v>
      </c>
      <c r="H94" s="28">
        <f>(C94-G94)/C94</f>
        <v>0.18969746524938674</v>
      </c>
      <c r="I94" s="26">
        <f>G94*P86</f>
        <v>53610.027899999994</v>
      </c>
      <c r="J94" s="26">
        <f>I94-D94</f>
        <v>5157.0278999999937</v>
      </c>
      <c r="L94" s="17"/>
      <c r="M94" s="27"/>
      <c r="N94" s="27"/>
      <c r="O94" s="27"/>
      <c r="P94" s="27"/>
      <c r="R94" s="31" t="s">
        <v>218</v>
      </c>
    </row>
    <row r="95" spans="1:18" ht="13.95" customHeight="1">
      <c r="B95" s="24" t="s">
        <v>15</v>
      </c>
      <c r="C95" s="25">
        <v>4168</v>
      </c>
      <c r="D95" s="26">
        <v>23214</v>
      </c>
      <c r="E95" s="27">
        <f>D95/C95</f>
        <v>5.56957773512476</v>
      </c>
      <c r="F95" s="17"/>
      <c r="G95" s="25">
        <v>3912</v>
      </c>
      <c r="H95" s="28">
        <f>(C95-G95)/C95</f>
        <v>6.1420345489443376E-2</v>
      </c>
      <c r="I95" s="26">
        <f>G95*P86</f>
        <v>19238.824799999999</v>
      </c>
      <c r="J95" s="26">
        <f>I95-D95</f>
        <v>-3975.1752000000015</v>
      </c>
      <c r="L95" s="17"/>
      <c r="M95" s="27"/>
      <c r="N95" s="27"/>
      <c r="O95" s="27"/>
      <c r="P95" s="27"/>
    </row>
    <row r="96" spans="1:18">
      <c r="B96" s="24" t="s">
        <v>17</v>
      </c>
      <c r="C96" s="25">
        <f>SUM(C94:C95)</f>
        <v>17621</v>
      </c>
      <c r="D96" s="26">
        <f>SUM(D94:D95)</f>
        <v>71667</v>
      </c>
      <c r="E96" s="27">
        <f>D96/C96</f>
        <v>4.0671358038703822</v>
      </c>
      <c r="F96" s="17"/>
      <c r="G96" s="25">
        <f>SUM(G94:G95)</f>
        <v>14813</v>
      </c>
      <c r="H96" s="28">
        <f>(C96-G96)/C96</f>
        <v>0.15935531468134612</v>
      </c>
      <c r="J96" s="26">
        <f>J94+J95</f>
        <v>1181.8526999999922</v>
      </c>
      <c r="K96" s="29">
        <f>K92+J96</f>
        <v>-100583.82900000003</v>
      </c>
      <c r="L96" s="17"/>
      <c r="M96" s="53" t="s">
        <v>107</v>
      </c>
      <c r="N96" s="53" t="s">
        <v>22</v>
      </c>
      <c r="O96" s="27"/>
      <c r="P96" s="27"/>
    </row>
    <row r="97" spans="1:19" s="52" customFormat="1" ht="6" customHeight="1">
      <c r="A97" s="23"/>
      <c r="B97" s="24"/>
      <c r="C97" s="25"/>
      <c r="D97" s="26"/>
      <c r="E97" s="27"/>
      <c r="F97" s="17"/>
      <c r="G97" s="25"/>
      <c r="H97" s="28"/>
      <c r="I97" s="26"/>
      <c r="K97" s="29"/>
      <c r="L97" s="17"/>
      <c r="O97" s="51"/>
      <c r="P97" s="51"/>
      <c r="Q97" s="24"/>
      <c r="R97" s="24"/>
      <c r="S97" s="25"/>
    </row>
    <row r="98" spans="1:19">
      <c r="A98" s="55" t="s">
        <v>106</v>
      </c>
      <c r="B98" s="56"/>
      <c r="C98" s="56">
        <f t="shared" ref="C98:D100" si="2">SUM(C50,C54,C58,C62,C66,C70,C74,C78,C82,C86,C90,C94)</f>
        <v>274843</v>
      </c>
      <c r="D98" s="57">
        <f t="shared" si="2"/>
        <v>1349128</v>
      </c>
      <c r="E98" s="58">
        <f>D98/C98</f>
        <v>4.9087224342624696</v>
      </c>
      <c r="F98" s="17"/>
      <c r="G98" s="56">
        <f>SUM(G50,G54,G58,G62,G66,G70,G74,G78,G82,G86,G90,G94)</f>
        <v>260245</v>
      </c>
      <c r="H98" s="59">
        <f>(C98-G98)/C98</f>
        <v>5.3113959606029625E-2</v>
      </c>
      <c r="I98" s="57">
        <f>SUM(I58,I62,I66,I70,I74,I78,I82,I86,I90,I94)</f>
        <v>988132.50529999996</v>
      </c>
      <c r="J98" s="57">
        <f>E98*(N98+N99)</f>
        <v>-45262.305822083144</v>
      </c>
      <c r="K98" s="54" t="s">
        <v>22</v>
      </c>
      <c r="L98" s="17"/>
      <c r="M98" s="60">
        <f>G98/(1-$N$170)</f>
        <v>278336.89839572192</v>
      </c>
      <c r="N98" s="60">
        <f>C98-M98</f>
        <v>-3493.898395721917</v>
      </c>
      <c r="R98" s="31" t="s">
        <v>198</v>
      </c>
      <c r="S98" s="25"/>
    </row>
    <row r="99" spans="1:19">
      <c r="A99" s="61"/>
      <c r="B99" s="62" t="s">
        <v>15</v>
      </c>
      <c r="C99" s="56">
        <f t="shared" si="2"/>
        <v>106933</v>
      </c>
      <c r="D99" s="57">
        <f t="shared" si="2"/>
        <v>764095</v>
      </c>
      <c r="E99" s="58">
        <f>D99/C99</f>
        <v>7.1455490821355427</v>
      </c>
      <c r="F99" s="17"/>
      <c r="G99" s="56">
        <f>SUM(G51,G55,G59,G63,G67,G71,G75,G79,G83,G87,G91,G95)</f>
        <v>105337</v>
      </c>
      <c r="H99" s="59">
        <f t="shared" ref="H99:H100" si="3">(C99-G99)/C99</f>
        <v>1.4925233557461214E-2</v>
      </c>
      <c r="I99" s="57">
        <f>SUM(I59,I63,I67,I71,I75,I79,I83,I87,I91,I95)</f>
        <v>386222.179</v>
      </c>
      <c r="J99" s="57"/>
      <c r="L99" s="17"/>
      <c r="M99" s="60">
        <f>G99/(1-$N$170)</f>
        <v>112659.89304812833</v>
      </c>
      <c r="N99" s="60">
        <f>C99-M99</f>
        <v>-5726.8930481283314</v>
      </c>
      <c r="R99" s="63" t="s">
        <v>323</v>
      </c>
      <c r="S99" s="25"/>
    </row>
    <row r="100" spans="1:19">
      <c r="A100" s="61"/>
      <c r="B100" s="62" t="s">
        <v>17</v>
      </c>
      <c r="C100" s="56">
        <f t="shared" si="2"/>
        <v>381776</v>
      </c>
      <c r="D100" s="57">
        <f t="shared" si="2"/>
        <v>2113223</v>
      </c>
      <c r="E100" s="58">
        <f>D100/C100</f>
        <v>5.5352431792464687</v>
      </c>
      <c r="F100" s="17"/>
      <c r="G100" s="56">
        <f>SUM(G52,G56,G60,G64,G68,G72,G76,G80,G84,G88,G92,G96)</f>
        <v>365582</v>
      </c>
      <c r="H100" s="59">
        <f t="shared" si="3"/>
        <v>4.2417543271447131E-2</v>
      </c>
      <c r="I100" s="57"/>
      <c r="J100" s="57">
        <f>SUM(J98:J99)</f>
        <v>-45262.305822083144</v>
      </c>
      <c r="K100" s="70">
        <f>K96+J100</f>
        <v>-145846.13482208317</v>
      </c>
      <c r="L100" s="17"/>
      <c r="M100" s="60">
        <f>G100/(1-$N$170)</f>
        <v>390996.79144385026</v>
      </c>
      <c r="N100" s="60">
        <f>C100-M100</f>
        <v>-9220.791443850263</v>
      </c>
      <c r="O100" s="27" t="s">
        <v>131</v>
      </c>
      <c r="R100" s="64">
        <f>N100*E100</f>
        <v>-51039.322946826367</v>
      </c>
      <c r="S100" s="65" t="s">
        <v>25</v>
      </c>
    </row>
    <row r="101" spans="1:19" s="41" customFormat="1" ht="5.4" customHeight="1">
      <c r="A101" s="32"/>
      <c r="B101" s="33"/>
      <c r="C101" s="34"/>
      <c r="D101" s="35"/>
      <c r="E101" s="36"/>
      <c r="F101" s="37"/>
      <c r="G101" s="34"/>
      <c r="H101" s="33"/>
      <c r="I101" s="35"/>
      <c r="J101" s="35"/>
      <c r="K101" s="38"/>
      <c r="L101" s="37"/>
      <c r="M101" s="66"/>
      <c r="N101" s="67"/>
      <c r="O101" s="67"/>
      <c r="P101" s="68"/>
    </row>
    <row r="102" spans="1:19">
      <c r="A102" s="23">
        <v>43770</v>
      </c>
      <c r="B102" s="24" t="s">
        <v>13</v>
      </c>
      <c r="C102" s="25">
        <v>37517</v>
      </c>
      <c r="D102" s="26">
        <v>124098</v>
      </c>
      <c r="E102" s="27">
        <f>D102/C102</f>
        <v>3.3077804728523068</v>
      </c>
      <c r="F102" s="17"/>
      <c r="G102" s="25">
        <v>29031</v>
      </c>
      <c r="H102" s="28">
        <f>(C102-G102)/C102</f>
        <v>0.22619079350694352</v>
      </c>
      <c r="I102" s="26">
        <f>G102*P102</f>
        <v>139432.98990000002</v>
      </c>
      <c r="J102" s="26">
        <f>I102-D102</f>
        <v>15334.989900000015</v>
      </c>
      <c r="L102" s="17"/>
      <c r="M102" s="27">
        <v>4.7664</v>
      </c>
      <c r="N102" s="27">
        <v>3.6499999999999998E-2</v>
      </c>
      <c r="O102" s="27"/>
      <c r="P102" s="27">
        <f>M102+N102+O102</f>
        <v>4.8029000000000002</v>
      </c>
    </row>
    <row r="103" spans="1:19" ht="13.95" customHeight="1">
      <c r="B103" s="24" t="s">
        <v>15</v>
      </c>
      <c r="C103" s="25">
        <v>14918</v>
      </c>
      <c r="D103" s="26">
        <v>91294</v>
      </c>
      <c r="E103" s="27">
        <f>D103/C103</f>
        <v>6.119721142244269</v>
      </c>
      <c r="F103" s="17"/>
      <c r="G103" s="25">
        <v>13274</v>
      </c>
      <c r="H103" s="28">
        <f>(C103-G103)/C103</f>
        <v>0.11020244000536265</v>
      </c>
      <c r="I103" s="26">
        <f>G103*P102</f>
        <v>63753.694600000003</v>
      </c>
      <c r="J103" s="26">
        <f>I103-D103</f>
        <v>-27540.305399999997</v>
      </c>
      <c r="L103" s="17"/>
      <c r="M103" s="27"/>
      <c r="N103" s="27"/>
      <c r="O103" s="27"/>
      <c r="P103" s="27"/>
    </row>
    <row r="104" spans="1:19">
      <c r="B104" s="24" t="s">
        <v>17</v>
      </c>
      <c r="C104" s="25">
        <f>SUM(C102:C103)</f>
        <v>52435</v>
      </c>
      <c r="D104" s="26">
        <f>SUM(D102:D103)</f>
        <v>215392</v>
      </c>
      <c r="E104" s="27">
        <f>D104/C104</f>
        <v>4.1077905978830938</v>
      </c>
      <c r="F104" s="17"/>
      <c r="G104" s="25">
        <f>SUM(G102:G103)</f>
        <v>42305</v>
      </c>
      <c r="H104" s="28">
        <f>(C104-G104)/C104</f>
        <v>0.19319157051587679</v>
      </c>
      <c r="J104" s="26">
        <f>J102+J103</f>
        <v>-12205.315499999982</v>
      </c>
      <c r="K104" s="29">
        <f>K100+J104</f>
        <v>-158051.45032208314</v>
      </c>
      <c r="L104" s="17"/>
      <c r="M104" s="27"/>
      <c r="N104" s="27"/>
      <c r="O104" s="27"/>
      <c r="P104" s="27"/>
    </row>
    <row r="105" spans="1:19" ht="3" customHeight="1">
      <c r="A105" s="42"/>
      <c r="B105" s="43"/>
      <c r="C105" s="44"/>
      <c r="D105" s="45"/>
      <c r="E105" s="46"/>
      <c r="F105" s="71"/>
      <c r="G105" s="44"/>
      <c r="H105" s="43"/>
      <c r="I105" s="45"/>
      <c r="J105" s="45"/>
      <c r="K105" s="47"/>
      <c r="L105" s="71"/>
      <c r="M105" s="48"/>
      <c r="N105" s="46"/>
      <c r="O105" s="46"/>
      <c r="P105" s="49"/>
    </row>
    <row r="106" spans="1:19">
      <c r="A106" s="23">
        <v>43800</v>
      </c>
      <c r="B106" s="24" t="s">
        <v>13</v>
      </c>
      <c r="C106" s="25">
        <v>42985</v>
      </c>
      <c r="D106" s="26">
        <v>136704</v>
      </c>
      <c r="E106" s="27">
        <f>D106/C106</f>
        <v>3.1802721879725486</v>
      </c>
      <c r="F106" s="17"/>
      <c r="G106" s="25">
        <v>43235</v>
      </c>
      <c r="H106" s="28">
        <f>(C106-G106)/C106</f>
        <v>-5.8159823194137488E-3</v>
      </c>
      <c r="I106" s="26">
        <f>G106*P102</f>
        <v>207653.38150000002</v>
      </c>
      <c r="J106" s="26">
        <f>I106-D106</f>
        <v>70949.381500000018</v>
      </c>
      <c r="L106" s="17"/>
      <c r="M106" s="27"/>
      <c r="N106" s="27"/>
      <c r="O106" s="27"/>
      <c r="P106" s="27"/>
      <c r="R106" s="69"/>
    </row>
    <row r="107" spans="1:19" ht="13.95" customHeight="1">
      <c r="B107" s="24" t="s">
        <v>15</v>
      </c>
      <c r="C107" s="25">
        <v>18941</v>
      </c>
      <c r="D107" s="26">
        <v>108664</v>
      </c>
      <c r="E107" s="27">
        <f>D107/C107</f>
        <v>5.7369727047146402</v>
      </c>
      <c r="F107" s="17"/>
      <c r="G107" s="25">
        <v>19248</v>
      </c>
      <c r="H107" s="28">
        <f>(C107-G107)/C107</f>
        <v>-1.6208225542473999E-2</v>
      </c>
      <c r="I107" s="26">
        <f>G107*P102</f>
        <v>92446.219200000007</v>
      </c>
      <c r="J107" s="26">
        <f>I107-D107</f>
        <v>-16217.780799999993</v>
      </c>
      <c r="L107" s="17"/>
      <c r="M107" s="27"/>
      <c r="N107" s="27"/>
      <c r="O107" s="27"/>
      <c r="P107" s="27"/>
      <c r="R107" s="69"/>
    </row>
    <row r="108" spans="1:19" s="72" customFormat="1">
      <c r="A108" s="23"/>
      <c r="B108" s="24" t="s">
        <v>17</v>
      </c>
      <c r="C108" s="25">
        <f>SUM(C106:C107)</f>
        <v>61926</v>
      </c>
      <c r="D108" s="26">
        <f>SUM(D106:D107)</f>
        <v>245368</v>
      </c>
      <c r="E108" s="27">
        <f>D108/C108</f>
        <v>3.9622775570842617</v>
      </c>
      <c r="F108" s="17"/>
      <c r="G108" s="25">
        <f>SUM(G106:G107)</f>
        <v>62483</v>
      </c>
      <c r="H108" s="28">
        <f>(C108-G108)/C108</f>
        <v>-8.99460646578174E-3</v>
      </c>
      <c r="I108" s="26"/>
      <c r="J108" s="26">
        <f>J106+J107</f>
        <v>54731.600700000025</v>
      </c>
      <c r="K108" s="29">
        <f>K104+J108</f>
        <v>-103319.84962208311</v>
      </c>
      <c r="L108" s="17"/>
      <c r="M108" s="27"/>
      <c r="N108" s="27"/>
      <c r="O108" s="27"/>
      <c r="P108" s="27"/>
      <c r="Q108" s="24"/>
      <c r="R108" s="69"/>
      <c r="S108" s="25"/>
    </row>
    <row r="109" spans="1:19" ht="3" customHeight="1">
      <c r="A109" s="73"/>
      <c r="B109" s="74"/>
      <c r="C109" s="75"/>
      <c r="D109" s="76"/>
      <c r="E109" s="77"/>
      <c r="F109" s="17"/>
      <c r="G109" s="75"/>
      <c r="H109" s="78"/>
      <c r="I109" s="45"/>
      <c r="J109" s="76"/>
      <c r="K109" s="79"/>
      <c r="L109" s="17"/>
      <c r="M109" s="48"/>
      <c r="N109" s="46"/>
      <c r="O109" s="46"/>
      <c r="P109" s="49"/>
    </row>
    <row r="110" spans="1:19">
      <c r="A110" s="12">
        <v>43831</v>
      </c>
      <c r="B110" s="13" t="s">
        <v>13</v>
      </c>
      <c r="C110" s="14">
        <v>45464</v>
      </c>
      <c r="D110" s="15">
        <v>162157</v>
      </c>
      <c r="E110" s="16">
        <v>3.5667</v>
      </c>
      <c r="F110" s="17"/>
      <c r="G110" s="14">
        <v>42378</v>
      </c>
      <c r="H110" s="18">
        <f>(C110-G110)/C110</f>
        <v>6.7877881400668666E-2</v>
      </c>
      <c r="I110" s="15">
        <f>G110*P102</f>
        <v>203537.29620000001</v>
      </c>
      <c r="J110" s="15">
        <f>I110-D110</f>
        <v>41380.296200000012</v>
      </c>
      <c r="K110" s="19"/>
      <c r="L110" s="17"/>
      <c r="M110" s="16"/>
      <c r="N110" s="16"/>
      <c r="O110" s="16"/>
      <c r="P110" s="16"/>
    </row>
    <row r="111" spans="1:19" ht="13.95" customHeight="1">
      <c r="B111" s="24" t="s">
        <v>15</v>
      </c>
      <c r="C111" s="25">
        <v>20236</v>
      </c>
      <c r="D111" s="26">
        <v>114738</v>
      </c>
      <c r="E111" s="27">
        <f>D111/C111</f>
        <v>5.6699940699743037</v>
      </c>
      <c r="F111" s="17"/>
      <c r="G111" s="25">
        <v>19700</v>
      </c>
      <c r="H111" s="28">
        <f>(C111-G111)/C111</f>
        <v>2.6487448112275155E-2</v>
      </c>
      <c r="I111" s="26">
        <f>G111*P102</f>
        <v>94617.13</v>
      </c>
      <c r="J111" s="26">
        <f>I111-D111</f>
        <v>-20120.869999999995</v>
      </c>
      <c r="L111" s="17"/>
      <c r="M111" s="27"/>
      <c r="N111" s="27"/>
      <c r="O111" s="27"/>
      <c r="P111" s="27"/>
    </row>
    <row r="112" spans="1:19">
      <c r="B112" s="24" t="s">
        <v>17</v>
      </c>
      <c r="C112" s="25">
        <f>SUM(C110:C111)</f>
        <v>65700</v>
      </c>
      <c r="D112" s="26">
        <f>SUM(D110:D111)</f>
        <v>276895</v>
      </c>
      <c r="E112" s="27">
        <f>D112/C112</f>
        <v>4.2145357686453577</v>
      </c>
      <c r="F112" s="17"/>
      <c r="G112" s="25">
        <f>SUM(G110:G111)</f>
        <v>62078</v>
      </c>
      <c r="H112" s="28">
        <f>(C112-G112)/C112</f>
        <v>5.512937595129376E-2</v>
      </c>
      <c r="J112" s="26">
        <f>J110+J111</f>
        <v>21259.426200000016</v>
      </c>
      <c r="K112" s="29">
        <f>K108+J112</f>
        <v>-82060.423422083099</v>
      </c>
      <c r="L112" s="17"/>
      <c r="M112" s="27"/>
      <c r="N112" s="27"/>
      <c r="O112" s="27"/>
      <c r="P112" s="27"/>
    </row>
    <row r="113" spans="1:18" s="41" customFormat="1" ht="3" customHeight="1">
      <c r="A113" s="32"/>
      <c r="B113" s="33"/>
      <c r="C113" s="34"/>
      <c r="D113" s="35"/>
      <c r="E113" s="36"/>
      <c r="F113" s="37"/>
      <c r="G113" s="34"/>
      <c r="H113" s="33"/>
      <c r="I113" s="35"/>
      <c r="J113" s="35"/>
      <c r="K113" s="38"/>
      <c r="L113" s="37"/>
      <c r="M113" s="39"/>
      <c r="N113" s="36"/>
      <c r="O113" s="36"/>
      <c r="P113" s="40"/>
    </row>
    <row r="114" spans="1:18">
      <c r="A114" s="23">
        <v>43862</v>
      </c>
      <c r="B114" s="24" t="s">
        <v>13</v>
      </c>
      <c r="C114" s="25">
        <v>43784</v>
      </c>
      <c r="D114" s="26">
        <v>124549</v>
      </c>
      <c r="E114" s="27">
        <f>D114/C114</f>
        <v>2.8446236067970037</v>
      </c>
      <c r="F114" s="17"/>
      <c r="G114" s="25">
        <v>38041</v>
      </c>
      <c r="H114" s="28">
        <f>(C114-G114)/C114</f>
        <v>0.13116663621414215</v>
      </c>
      <c r="I114" s="26">
        <f>G114*P114</f>
        <v>171971.94869999998</v>
      </c>
      <c r="J114" s="26">
        <f>I114-D114</f>
        <v>47422.948699999979</v>
      </c>
      <c r="L114" s="17"/>
      <c r="M114" s="27">
        <v>4.4863999999999997</v>
      </c>
      <c r="N114" s="27">
        <v>3.4299999999999997E-2</v>
      </c>
      <c r="O114" s="27"/>
      <c r="P114" s="27">
        <f>M114+N114+O114</f>
        <v>4.5206999999999997</v>
      </c>
    </row>
    <row r="115" spans="1:18" ht="13.95" customHeight="1">
      <c r="B115" s="24" t="s">
        <v>15</v>
      </c>
      <c r="C115" s="25">
        <v>18969</v>
      </c>
      <c r="D115" s="26">
        <v>101404</v>
      </c>
      <c r="E115" s="27">
        <f>D115/C115</f>
        <v>5.3457746850123886</v>
      </c>
      <c r="F115" s="17"/>
      <c r="G115" s="25">
        <v>18892</v>
      </c>
      <c r="H115" s="28">
        <f>(C115-G115)/C115</f>
        <v>4.0592545732510942E-3</v>
      </c>
      <c r="I115" s="26">
        <f>G115*P114</f>
        <v>85405.064399999988</v>
      </c>
      <c r="J115" s="26">
        <f>I115-D115</f>
        <v>-15998.935600000012</v>
      </c>
      <c r="L115" s="17"/>
      <c r="M115" s="27"/>
      <c r="N115" s="27"/>
      <c r="O115" s="27"/>
      <c r="P115" s="27"/>
    </row>
    <row r="116" spans="1:18">
      <c r="B116" s="24" t="s">
        <v>17</v>
      </c>
      <c r="C116" s="25">
        <f>SUM(C114:C115)</f>
        <v>62753</v>
      </c>
      <c r="D116" s="26">
        <f>SUM(D114:D115)</f>
        <v>225953</v>
      </c>
      <c r="E116" s="27">
        <f>D116/C116</f>
        <v>3.6006724778098258</v>
      </c>
      <c r="F116" s="17"/>
      <c r="G116" s="25">
        <f>SUM(G114:G115)</f>
        <v>56933</v>
      </c>
      <c r="H116" s="28">
        <f>(C116-G116)/C116</f>
        <v>9.2744569980718047E-2</v>
      </c>
      <c r="J116" s="26">
        <f>J114+J115</f>
        <v>31424.013099999967</v>
      </c>
      <c r="K116" s="29">
        <f>K112+J116</f>
        <v>-50636.410322083131</v>
      </c>
      <c r="L116" s="17"/>
      <c r="M116" s="27"/>
      <c r="N116" s="27"/>
      <c r="O116" s="27"/>
      <c r="P116" s="27"/>
    </row>
    <row r="117" spans="1:18" ht="3" customHeight="1">
      <c r="A117" s="42"/>
      <c r="B117" s="43"/>
      <c r="C117" s="44"/>
      <c r="D117" s="45"/>
      <c r="E117" s="46"/>
      <c r="F117" s="71"/>
      <c r="G117" s="44"/>
      <c r="H117" s="43"/>
      <c r="I117" s="45"/>
      <c r="J117" s="45"/>
      <c r="K117" s="47"/>
      <c r="L117" s="71"/>
      <c r="M117" s="48"/>
      <c r="N117" s="46"/>
      <c r="O117" s="46"/>
      <c r="P117" s="49"/>
    </row>
    <row r="118" spans="1:18">
      <c r="A118" s="23">
        <v>43891</v>
      </c>
      <c r="B118" s="24" t="s">
        <v>13</v>
      </c>
      <c r="C118" s="25">
        <v>28890</v>
      </c>
      <c r="D118" s="26">
        <v>95845</v>
      </c>
      <c r="E118" s="27">
        <f>D118/C118</f>
        <v>3.3175839390792663</v>
      </c>
      <c r="F118" s="17"/>
      <c r="G118" s="25">
        <v>28863</v>
      </c>
      <c r="H118" s="28">
        <f>(C118-G118)/C118</f>
        <v>9.3457943925233649E-4</v>
      </c>
      <c r="I118" s="26">
        <f>G118*P114</f>
        <v>130480.9641</v>
      </c>
      <c r="J118" s="26">
        <f>I118-D118</f>
        <v>34635.964099999997</v>
      </c>
      <c r="L118" s="17"/>
      <c r="M118" s="27"/>
      <c r="N118" s="27"/>
      <c r="O118" s="27"/>
      <c r="P118" s="27"/>
    </row>
    <row r="119" spans="1:18" ht="13.95" customHeight="1">
      <c r="B119" s="24" t="s">
        <v>15</v>
      </c>
      <c r="C119" s="25">
        <v>14733</v>
      </c>
      <c r="D119" s="26">
        <v>79088</v>
      </c>
      <c r="E119" s="27">
        <f>D119/C119</f>
        <v>5.3680852507975292</v>
      </c>
      <c r="F119" s="17"/>
      <c r="G119" s="25">
        <v>13405</v>
      </c>
      <c r="H119" s="28">
        <f>(C119-G119)/C119</f>
        <v>9.0137785922758437E-2</v>
      </c>
      <c r="I119" s="26">
        <f>G119*P114</f>
        <v>60599.983499999995</v>
      </c>
      <c r="J119" s="26">
        <f>I119-D119</f>
        <v>-18488.016500000005</v>
      </c>
      <c r="L119" s="17"/>
      <c r="M119" s="27"/>
      <c r="N119" s="27"/>
      <c r="O119" s="27"/>
      <c r="P119" s="27"/>
    </row>
    <row r="120" spans="1:18">
      <c r="B120" s="24" t="s">
        <v>17</v>
      </c>
      <c r="C120" s="25">
        <f>SUM(C118:C119)</f>
        <v>43623</v>
      </c>
      <c r="D120" s="26">
        <f>SUM(D118:D119)</f>
        <v>174933</v>
      </c>
      <c r="E120" s="27">
        <f>D120/C120</f>
        <v>4.0101093459872086</v>
      </c>
      <c r="F120" s="17"/>
      <c r="G120" s="25">
        <f>SUM(G118:G119)</f>
        <v>42268</v>
      </c>
      <c r="H120" s="28">
        <f>(C120-G120)/C120</f>
        <v>3.1061595947092131E-2</v>
      </c>
      <c r="J120" s="26">
        <f>J118+J119</f>
        <v>16147.947599999992</v>
      </c>
      <c r="K120" s="29">
        <f>K116+J120</f>
        <v>-34488.462722083139</v>
      </c>
      <c r="L120" s="17"/>
      <c r="M120" s="27"/>
      <c r="N120" s="27"/>
      <c r="O120" s="27"/>
      <c r="P120" s="27"/>
    </row>
    <row r="121" spans="1:18" ht="3" customHeight="1">
      <c r="A121" s="42"/>
      <c r="B121" s="43"/>
      <c r="C121" s="44"/>
      <c r="D121" s="45"/>
      <c r="E121" s="46"/>
      <c r="F121" s="71"/>
      <c r="G121" s="44"/>
      <c r="H121" s="43"/>
      <c r="I121" s="45"/>
      <c r="J121" s="45"/>
      <c r="K121" s="47"/>
      <c r="L121" s="71"/>
      <c r="M121" s="48"/>
      <c r="N121" s="46"/>
      <c r="O121" s="46"/>
      <c r="P121" s="49"/>
    </row>
    <row r="122" spans="1:18">
      <c r="A122" s="23">
        <v>43922</v>
      </c>
      <c r="B122" s="24" t="s">
        <v>13</v>
      </c>
      <c r="C122" s="25">
        <v>23069</v>
      </c>
      <c r="D122" s="26">
        <v>62790</v>
      </c>
      <c r="E122" s="27">
        <f>D122/C122</f>
        <v>2.7218344965104686</v>
      </c>
      <c r="F122" s="17"/>
      <c r="G122" s="25">
        <v>19246</v>
      </c>
      <c r="H122" s="28">
        <f>(C122-G122)/C122</f>
        <v>0.16572023061251029</v>
      </c>
      <c r="I122" s="26">
        <f>G122*P114</f>
        <v>87005.392199999987</v>
      </c>
      <c r="J122" s="26">
        <f>I122-D122</f>
        <v>24215.392199999987</v>
      </c>
      <c r="L122" s="17"/>
      <c r="M122" s="27"/>
      <c r="N122" s="27"/>
      <c r="O122" s="27"/>
      <c r="P122" s="27"/>
      <c r="R122" s="69"/>
    </row>
    <row r="123" spans="1:18" ht="13.95" customHeight="1">
      <c r="B123" s="24" t="s">
        <v>15</v>
      </c>
      <c r="C123" s="25">
        <v>8076</v>
      </c>
      <c r="D123" s="26">
        <v>41456</v>
      </c>
      <c r="E123" s="27">
        <f>D123/C123</f>
        <v>5.1332342743932644</v>
      </c>
      <c r="F123" s="17"/>
      <c r="G123" s="25">
        <v>8609</v>
      </c>
      <c r="H123" s="28">
        <f>(C123-G123)/C123</f>
        <v>-6.5998018821198615E-2</v>
      </c>
      <c r="I123" s="26">
        <f>G123*P114</f>
        <v>38918.706299999998</v>
      </c>
      <c r="J123" s="26">
        <f>I123-D123</f>
        <v>-2537.293700000002</v>
      </c>
      <c r="L123" s="17"/>
      <c r="M123" s="27"/>
      <c r="N123" s="27"/>
      <c r="O123" s="27"/>
      <c r="P123" s="27"/>
      <c r="R123" s="69"/>
    </row>
    <row r="124" spans="1:18">
      <c r="B124" s="24" t="s">
        <v>17</v>
      </c>
      <c r="C124" s="25">
        <f>SUM(C122:C123)</f>
        <v>31145</v>
      </c>
      <c r="D124" s="26">
        <f>SUM(D122:D123)</f>
        <v>104246</v>
      </c>
      <c r="E124" s="27">
        <f>D124/C124</f>
        <v>3.3471183175469577</v>
      </c>
      <c r="F124" s="17"/>
      <c r="G124" s="25">
        <f>SUM(G122:G123)</f>
        <v>27855</v>
      </c>
      <c r="H124" s="28">
        <f>(C124-G124)/C124</f>
        <v>0.10563493337614384</v>
      </c>
      <c r="J124" s="26">
        <f>J122+J123</f>
        <v>21678.098499999986</v>
      </c>
      <c r="K124" s="29">
        <f>K120+J124</f>
        <v>-12810.364222083153</v>
      </c>
      <c r="L124" s="17"/>
      <c r="M124" s="27"/>
      <c r="N124" s="27"/>
      <c r="O124" s="27"/>
      <c r="P124" s="27"/>
      <c r="R124" s="69"/>
    </row>
    <row r="125" spans="1:18" ht="3" customHeight="1">
      <c r="A125" s="42"/>
      <c r="B125" s="43"/>
      <c r="C125" s="44"/>
      <c r="D125" s="45"/>
      <c r="E125" s="46"/>
      <c r="F125" s="71"/>
      <c r="G125" s="44"/>
      <c r="H125" s="43"/>
      <c r="I125" s="45"/>
      <c r="J125" s="45"/>
      <c r="K125" s="47"/>
      <c r="L125" s="71"/>
      <c r="M125" s="48"/>
      <c r="N125" s="46"/>
      <c r="O125" s="46"/>
      <c r="P125" s="49"/>
    </row>
    <row r="126" spans="1:18">
      <c r="A126" s="23">
        <v>43952</v>
      </c>
      <c r="B126" s="24" t="s">
        <v>13</v>
      </c>
      <c r="C126" s="25">
        <v>16487</v>
      </c>
      <c r="D126" s="26">
        <v>47074</v>
      </c>
      <c r="E126" s="27">
        <f>D126/C126</f>
        <v>2.8552192636622795</v>
      </c>
      <c r="F126" s="17"/>
      <c r="G126" s="25">
        <v>14604</v>
      </c>
      <c r="H126" s="28">
        <f>(C126-G126)/C126</f>
        <v>0.11421119670043064</v>
      </c>
      <c r="I126" s="26">
        <f>G126*P114</f>
        <v>66020.30279999999</v>
      </c>
      <c r="J126" s="26">
        <f>I126-D126</f>
        <v>18946.30279999999</v>
      </c>
      <c r="L126" s="17"/>
      <c r="M126" s="27"/>
      <c r="N126" s="27"/>
      <c r="O126" s="27"/>
      <c r="P126" s="27"/>
    </row>
    <row r="127" spans="1:18" ht="13.95" customHeight="1">
      <c r="B127" s="24" t="s">
        <v>15</v>
      </c>
      <c r="C127" s="25">
        <v>5041</v>
      </c>
      <c r="D127" s="26">
        <v>27286</v>
      </c>
      <c r="E127" s="27">
        <f>D127/C127</f>
        <v>5.4128149176750648</v>
      </c>
      <c r="F127" s="17"/>
      <c r="G127" s="25">
        <v>5167</v>
      </c>
      <c r="H127" s="28">
        <f>(C127-G127)/C127</f>
        <v>-2.4995040666534418E-2</v>
      </c>
      <c r="I127" s="26">
        <f>G127*P114</f>
        <v>23358.456899999997</v>
      </c>
      <c r="J127" s="26">
        <f>I127-D127</f>
        <v>-3927.5431000000026</v>
      </c>
      <c r="L127" s="17"/>
      <c r="M127" s="27"/>
      <c r="N127" s="27"/>
      <c r="O127" s="27"/>
      <c r="P127" s="27"/>
    </row>
    <row r="128" spans="1:18" ht="12" customHeight="1">
      <c r="B128" s="24" t="s">
        <v>26</v>
      </c>
      <c r="C128" s="25">
        <v>161</v>
      </c>
      <c r="D128" s="26">
        <v>871</v>
      </c>
      <c r="E128" s="27">
        <f>D128/C128</f>
        <v>5.4099378881987574</v>
      </c>
      <c r="F128" s="17"/>
      <c r="G128" s="25">
        <v>122</v>
      </c>
      <c r="H128" s="28">
        <f>(C128-G128)/C128</f>
        <v>0.24223602484472051</v>
      </c>
      <c r="I128" s="26">
        <f>G128*P128</f>
        <v>634.4</v>
      </c>
      <c r="J128" s="26">
        <f>I128-D128</f>
        <v>-236.60000000000002</v>
      </c>
      <c r="L128" s="17"/>
      <c r="M128" s="394" t="s">
        <v>132</v>
      </c>
      <c r="N128" s="396"/>
      <c r="O128" s="396"/>
      <c r="P128" s="27">
        <v>5.2</v>
      </c>
    </row>
    <row r="129" spans="1:16">
      <c r="B129" s="24" t="s">
        <v>17</v>
      </c>
      <c r="C129" s="25">
        <f>SUM(C126:C128)</f>
        <v>21689</v>
      </c>
      <c r="D129" s="26">
        <f>SUM(D126:D128)</f>
        <v>75231</v>
      </c>
      <c r="E129" s="27">
        <f>D129/C129</f>
        <v>3.4686246484393011</v>
      </c>
      <c r="F129" s="17"/>
      <c r="G129" s="25">
        <f>SUM(G126:G128)</f>
        <v>19893</v>
      </c>
      <c r="H129" s="28">
        <f>(C129-G129)/C129</f>
        <v>8.280695283323343E-2</v>
      </c>
      <c r="J129" s="26">
        <f>J126+J127+J128</f>
        <v>14782.159699999987</v>
      </c>
      <c r="K129" s="29">
        <f>K124+J129</f>
        <v>1971.795477916834</v>
      </c>
      <c r="L129" s="17"/>
      <c r="M129" s="27"/>
      <c r="N129" s="27"/>
      <c r="O129" s="27"/>
      <c r="P129" s="27"/>
    </row>
    <row r="130" spans="1:16" ht="3" customHeight="1">
      <c r="A130" s="42"/>
      <c r="B130" s="43"/>
      <c r="C130" s="44"/>
      <c r="D130" s="45"/>
      <c r="E130" s="46"/>
      <c r="F130" s="71"/>
      <c r="G130" s="44"/>
      <c r="H130" s="43"/>
      <c r="I130" s="45"/>
      <c r="J130" s="45"/>
      <c r="K130" s="47"/>
      <c r="L130" s="71"/>
      <c r="M130" s="48"/>
      <c r="N130" s="46"/>
      <c r="O130" s="46"/>
      <c r="P130" s="49"/>
    </row>
    <row r="131" spans="1:16">
      <c r="A131" s="23">
        <v>43983</v>
      </c>
      <c r="B131" s="24" t="s">
        <v>13</v>
      </c>
      <c r="C131" s="25">
        <v>9003</v>
      </c>
      <c r="D131" s="26">
        <v>30400</v>
      </c>
      <c r="E131" s="27">
        <f>D131/C131</f>
        <v>3.3766522270354327</v>
      </c>
      <c r="F131" s="17"/>
      <c r="G131" s="25">
        <v>6931</v>
      </c>
      <c r="H131" s="28">
        <f>(C131-G131)/C131</f>
        <v>0.2301455070532045</v>
      </c>
      <c r="I131" s="26">
        <f>G131*P114</f>
        <v>31332.971699999998</v>
      </c>
      <c r="J131" s="26">
        <f>I131-D131</f>
        <v>932.97169999999824</v>
      </c>
      <c r="L131" s="17"/>
      <c r="M131" s="27"/>
      <c r="N131" s="27"/>
      <c r="O131" s="27"/>
      <c r="P131" s="27"/>
    </row>
    <row r="132" spans="1:16" ht="13.95" customHeight="1">
      <c r="B132" s="24" t="s">
        <v>15</v>
      </c>
      <c r="C132" s="25">
        <v>2540</v>
      </c>
      <c r="D132" s="26">
        <v>13408</v>
      </c>
      <c r="E132" s="27">
        <f>D132/C132</f>
        <v>5.278740157480315</v>
      </c>
      <c r="F132" s="17"/>
      <c r="G132" s="25">
        <v>1880</v>
      </c>
      <c r="H132" s="28">
        <f>(C132-G132)/C132</f>
        <v>0.25984251968503935</v>
      </c>
      <c r="I132" s="26">
        <f>G132*P114</f>
        <v>8498.9159999999993</v>
      </c>
      <c r="J132" s="26">
        <f>I132-D132</f>
        <v>-4909.0840000000007</v>
      </c>
      <c r="L132" s="17"/>
      <c r="M132" s="27"/>
      <c r="N132" s="27"/>
      <c r="O132" s="27"/>
      <c r="P132" s="27"/>
    </row>
    <row r="133" spans="1:16" ht="12" customHeight="1">
      <c r="B133" s="24" t="s">
        <v>26</v>
      </c>
      <c r="C133" s="25">
        <v>35</v>
      </c>
      <c r="D133" s="26">
        <v>185</v>
      </c>
      <c r="E133" s="27">
        <f>D133/C133</f>
        <v>5.2857142857142856</v>
      </c>
      <c r="F133" s="17"/>
      <c r="G133" s="25">
        <v>11</v>
      </c>
      <c r="H133" s="28">
        <f>(C133-G133)/C133</f>
        <v>0.68571428571428572</v>
      </c>
      <c r="I133" s="26">
        <f>G133*P133</f>
        <v>57.2</v>
      </c>
      <c r="J133" s="26">
        <f>I133-D133</f>
        <v>-127.8</v>
      </c>
      <c r="L133" s="17"/>
      <c r="M133" s="394" t="s">
        <v>132</v>
      </c>
      <c r="N133" s="396"/>
      <c r="O133" s="396"/>
      <c r="P133" s="27">
        <v>5.2</v>
      </c>
    </row>
    <row r="134" spans="1:16">
      <c r="B134" s="24" t="s">
        <v>17</v>
      </c>
      <c r="C134" s="25">
        <f>SUM(C131:C133)</f>
        <v>11578</v>
      </c>
      <c r="D134" s="25">
        <f>SUM(D131:D133)</f>
        <v>43993</v>
      </c>
      <c r="E134" s="27">
        <f>D134/C134</f>
        <v>3.7997063396096045</v>
      </c>
      <c r="F134" s="17"/>
      <c r="G134" s="25">
        <f>SUM(G131:G133)</f>
        <v>8822</v>
      </c>
      <c r="H134" s="28">
        <f>(C134-G134)/C134</f>
        <v>0.23803765762653309</v>
      </c>
      <c r="J134" s="80">
        <f>SUM(J131:J133)</f>
        <v>-4103.9123000000027</v>
      </c>
      <c r="K134" s="29">
        <f>K129+J134</f>
        <v>-2132.1168220831687</v>
      </c>
      <c r="L134" s="17"/>
      <c r="M134" s="27"/>
      <c r="N134" s="27"/>
      <c r="O134" s="27"/>
      <c r="P134" s="27"/>
    </row>
    <row r="135" spans="1:16" ht="3" customHeight="1">
      <c r="A135" s="42"/>
      <c r="B135" s="43"/>
      <c r="C135" s="44"/>
      <c r="D135" s="45"/>
      <c r="E135" s="46"/>
      <c r="F135" s="17"/>
      <c r="G135" s="44"/>
      <c r="H135" s="43"/>
      <c r="I135" s="45"/>
      <c r="J135" s="45"/>
      <c r="K135" s="47"/>
      <c r="L135" s="17"/>
      <c r="M135" s="48"/>
      <c r="N135" s="46"/>
      <c r="O135" s="46"/>
      <c r="P135" s="49"/>
    </row>
    <row r="136" spans="1:16">
      <c r="A136" s="23">
        <v>44013</v>
      </c>
      <c r="B136" s="24" t="s">
        <v>13</v>
      </c>
      <c r="C136" s="25">
        <v>7026</v>
      </c>
      <c r="D136" s="26">
        <v>20947</v>
      </c>
      <c r="E136" s="27">
        <f>D136/C136</f>
        <v>2.9813549672644464</v>
      </c>
      <c r="F136" s="17"/>
      <c r="G136" s="25">
        <v>5519</v>
      </c>
      <c r="H136" s="28">
        <f>(C136-G136)/C136</f>
        <v>0.21448904070594932</v>
      </c>
      <c r="I136" s="26">
        <f>G136*P136</f>
        <v>18411.384000000002</v>
      </c>
      <c r="J136" s="26">
        <f>I136-D136</f>
        <v>-2535.6159999999982</v>
      </c>
      <c r="L136" s="17"/>
      <c r="M136" s="27">
        <v>3.9988000000000001</v>
      </c>
      <c r="N136" s="27">
        <v>-0.66279999999999994</v>
      </c>
      <c r="O136" s="27"/>
      <c r="P136" s="27">
        <f>M136+N136+O136</f>
        <v>3.3360000000000003</v>
      </c>
    </row>
    <row r="137" spans="1:16" ht="13.95" customHeight="1">
      <c r="B137" s="24" t="s">
        <v>15</v>
      </c>
      <c r="C137" s="25">
        <v>2398</v>
      </c>
      <c r="D137" s="26">
        <v>12095</v>
      </c>
      <c r="E137" s="27">
        <f>D137/C137</f>
        <v>5.0437864887406167</v>
      </c>
      <c r="F137" s="17"/>
      <c r="G137" s="25">
        <v>1511</v>
      </c>
      <c r="H137" s="28">
        <f>(C137-G137)/C137</f>
        <v>0.36989157631359465</v>
      </c>
      <c r="I137" s="26">
        <f>G137*P136</f>
        <v>5040.6960000000008</v>
      </c>
      <c r="J137" s="26">
        <f>I137-D137</f>
        <v>-7054.3039999999992</v>
      </c>
      <c r="L137" s="17"/>
      <c r="M137" s="27"/>
      <c r="N137" s="27"/>
      <c r="O137" s="27"/>
      <c r="P137" s="27"/>
    </row>
    <row r="138" spans="1:16">
      <c r="B138" s="24" t="s">
        <v>17</v>
      </c>
      <c r="C138" s="25">
        <f>SUM(C136:C137)</f>
        <v>9424</v>
      </c>
      <c r="D138" s="26">
        <f>SUM(D136:D137)</f>
        <v>33042</v>
      </c>
      <c r="E138" s="27">
        <f>D138/C138</f>
        <v>3.5061544991511036</v>
      </c>
      <c r="F138" s="17"/>
      <c r="G138" s="25">
        <f>SUM(G136:G137)</f>
        <v>7030</v>
      </c>
      <c r="H138" s="28">
        <f>(C138-G138)/C138</f>
        <v>0.25403225806451613</v>
      </c>
      <c r="J138" s="26">
        <f>J136+J137</f>
        <v>-9589.9199999999983</v>
      </c>
      <c r="K138" s="29">
        <f>K134+J138</f>
        <v>-11722.036822083166</v>
      </c>
      <c r="L138" s="17"/>
      <c r="M138" s="27"/>
      <c r="N138" s="27"/>
      <c r="O138" s="27"/>
      <c r="P138" s="27"/>
    </row>
    <row r="139" spans="1:16" s="41" customFormat="1" ht="3" customHeight="1">
      <c r="A139" s="32"/>
      <c r="B139" s="33"/>
      <c r="C139" s="34"/>
      <c r="D139" s="35"/>
      <c r="E139" s="36"/>
      <c r="F139" s="37"/>
      <c r="G139" s="34"/>
      <c r="H139" s="33"/>
      <c r="I139" s="35"/>
      <c r="J139" s="35"/>
      <c r="K139" s="38"/>
      <c r="L139" s="37"/>
      <c r="M139" s="39"/>
      <c r="N139" s="36"/>
      <c r="O139" s="36"/>
      <c r="P139" s="40"/>
    </row>
    <row r="140" spans="1:16">
      <c r="A140" s="23">
        <v>44044</v>
      </c>
      <c r="B140" s="24" t="s">
        <v>13</v>
      </c>
      <c r="C140" s="25">
        <v>7241</v>
      </c>
      <c r="D140" s="26">
        <v>23874</v>
      </c>
      <c r="E140" s="27">
        <f>D140/C140</f>
        <v>3.2970584173456703</v>
      </c>
      <c r="F140" s="17"/>
      <c r="G140" s="25">
        <v>5117</v>
      </c>
      <c r="H140" s="28">
        <f>(C140-G140)/C140</f>
        <v>0.29332965060074573</v>
      </c>
      <c r="I140" s="26">
        <f>G140*P140</f>
        <v>17419.291399999998</v>
      </c>
      <c r="J140" s="26">
        <f>I140-D140</f>
        <v>-6454.7086000000018</v>
      </c>
      <c r="L140" s="17"/>
      <c r="M140" s="27">
        <v>3.9198</v>
      </c>
      <c r="N140" s="27">
        <v>-0.51559999999999995</v>
      </c>
      <c r="O140" s="27"/>
      <c r="P140" s="27">
        <f>M140+N140+O140</f>
        <v>3.4041999999999999</v>
      </c>
    </row>
    <row r="141" spans="1:16" ht="13.95" customHeight="1">
      <c r="B141" s="24" t="s">
        <v>15</v>
      </c>
      <c r="C141" s="25">
        <v>1664</v>
      </c>
      <c r="D141" s="26">
        <v>9015</v>
      </c>
      <c r="E141" s="27">
        <f>D141/C141</f>
        <v>5.4176682692307692</v>
      </c>
      <c r="F141" s="17"/>
      <c r="G141" s="25">
        <v>1457</v>
      </c>
      <c r="H141" s="28">
        <f>(C141-G141)/C141</f>
        <v>0.12439903846153846</v>
      </c>
      <c r="I141" s="26">
        <f>G141*P140</f>
        <v>4959.9193999999998</v>
      </c>
      <c r="J141" s="26">
        <f>I141-D141</f>
        <v>-4055.0806000000002</v>
      </c>
      <c r="L141" s="17"/>
      <c r="M141" s="27"/>
      <c r="N141" s="27"/>
      <c r="O141" s="27"/>
      <c r="P141" s="27"/>
    </row>
    <row r="142" spans="1:16">
      <c r="B142" s="24" t="s">
        <v>17</v>
      </c>
      <c r="C142" s="25">
        <f>SUM(C140:C141)</f>
        <v>8905</v>
      </c>
      <c r="D142" s="26">
        <f>SUM(D140:D141)</f>
        <v>32889</v>
      </c>
      <c r="E142" s="27">
        <f>D142/C142</f>
        <v>3.6933183604716451</v>
      </c>
      <c r="F142" s="17"/>
      <c r="G142" s="25">
        <f>SUM(G140:G141)</f>
        <v>6574</v>
      </c>
      <c r="H142" s="28">
        <f>(C142-G142)/C142</f>
        <v>0.26176305446378439</v>
      </c>
      <c r="J142" s="26">
        <f>J140+J141</f>
        <v>-10509.789200000003</v>
      </c>
      <c r="K142" s="29">
        <f>K138+J142</f>
        <v>-22231.826022083169</v>
      </c>
      <c r="L142" s="17"/>
      <c r="M142" s="27"/>
      <c r="N142" s="27"/>
      <c r="O142" s="27"/>
      <c r="P142" s="27"/>
    </row>
    <row r="143" spans="1:16" ht="3" customHeight="1">
      <c r="A143" s="42"/>
      <c r="B143" s="43"/>
      <c r="C143" s="44"/>
      <c r="D143" s="45"/>
      <c r="E143" s="46"/>
      <c r="F143" s="17"/>
      <c r="G143" s="44"/>
      <c r="H143" s="43"/>
      <c r="I143" s="45"/>
      <c r="J143" s="45"/>
      <c r="K143" s="47"/>
      <c r="L143" s="17"/>
      <c r="M143" s="48"/>
      <c r="N143" s="46"/>
      <c r="O143" s="46"/>
      <c r="P143" s="49"/>
    </row>
    <row r="144" spans="1:16">
      <c r="A144" s="23">
        <v>44075</v>
      </c>
      <c r="B144" s="24" t="s">
        <v>13</v>
      </c>
      <c r="C144" s="25">
        <v>8567</v>
      </c>
      <c r="D144" s="26">
        <v>24277</v>
      </c>
      <c r="E144" s="27">
        <f>D144/C144</f>
        <v>2.8337807867398155</v>
      </c>
      <c r="F144" s="17"/>
      <c r="G144" s="25">
        <v>6310</v>
      </c>
      <c r="H144" s="28">
        <f>(C144-G144)/C144</f>
        <v>0.26345278393836813</v>
      </c>
      <c r="I144" s="26">
        <f>G144*P140</f>
        <v>21480.502</v>
      </c>
      <c r="J144" s="26">
        <f>I144-D144</f>
        <v>-2796.4979999999996</v>
      </c>
      <c r="L144" s="17"/>
      <c r="M144" s="27"/>
      <c r="N144" s="27"/>
      <c r="O144" s="27"/>
      <c r="P144" s="27"/>
    </row>
    <row r="145" spans="1:23" ht="13.95" customHeight="1">
      <c r="B145" s="24" t="s">
        <v>15</v>
      </c>
      <c r="C145" s="25">
        <v>1831</v>
      </c>
      <c r="D145" s="26">
        <v>10136</v>
      </c>
      <c r="E145" s="27">
        <f>D145/C145</f>
        <v>5.5357728017476786</v>
      </c>
      <c r="F145" s="17"/>
      <c r="G145" s="25">
        <v>1625</v>
      </c>
      <c r="H145" s="28">
        <f>(C145-G145)/C145</f>
        <v>0.11250682687056253</v>
      </c>
      <c r="I145" s="26">
        <f>G145*P140</f>
        <v>5531.8249999999998</v>
      </c>
      <c r="J145" s="26">
        <f>I145-D145</f>
        <v>-4604.1750000000002</v>
      </c>
      <c r="L145" s="17"/>
      <c r="M145" s="27"/>
      <c r="N145" s="27"/>
      <c r="O145" s="27"/>
      <c r="P145" s="27"/>
    </row>
    <row r="146" spans="1:23">
      <c r="B146" s="24" t="s">
        <v>17</v>
      </c>
      <c r="C146" s="25">
        <f>SUM(C144:C145)</f>
        <v>10398</v>
      </c>
      <c r="D146" s="26">
        <f>SUM(D144:D145)</f>
        <v>34413</v>
      </c>
      <c r="E146" s="27">
        <f>D146/C146</f>
        <v>3.3095787651471436</v>
      </c>
      <c r="F146" s="17"/>
      <c r="G146" s="25">
        <f>SUM(G144:G145)</f>
        <v>7935</v>
      </c>
      <c r="H146" s="28">
        <f>(C146-G146)/C146</f>
        <v>0.23687247547605308</v>
      </c>
      <c r="J146" s="26">
        <f>J144+J145</f>
        <v>-7400.6729999999998</v>
      </c>
      <c r="K146" s="29">
        <f>K142+J146</f>
        <v>-29632.499022083168</v>
      </c>
      <c r="L146" s="17"/>
      <c r="M146" s="27"/>
      <c r="N146" s="27"/>
      <c r="O146" s="27"/>
      <c r="P146" s="27"/>
    </row>
    <row r="147" spans="1:23" ht="3" customHeight="1">
      <c r="A147" s="42"/>
      <c r="B147" s="43"/>
      <c r="C147" s="44"/>
      <c r="D147" s="45"/>
      <c r="E147" s="46"/>
      <c r="F147" s="17"/>
      <c r="G147" s="44"/>
      <c r="H147" s="43"/>
      <c r="I147" s="45"/>
      <c r="J147" s="45"/>
      <c r="K147" s="47"/>
      <c r="L147" s="17"/>
      <c r="M147" s="48"/>
      <c r="N147" s="46"/>
      <c r="O147" s="46"/>
      <c r="P147" s="49"/>
    </row>
    <row r="148" spans="1:23">
      <c r="A148" s="23">
        <v>44105</v>
      </c>
      <c r="B148" s="24" t="s">
        <v>13</v>
      </c>
      <c r="C148" s="25">
        <v>14527</v>
      </c>
      <c r="D148" s="251">
        <f>35710+3936</f>
        <v>39646</v>
      </c>
      <c r="E148" s="27">
        <f t="shared" ref="E148:E154" si="4">D148/C148</f>
        <v>2.7291250774420046</v>
      </c>
      <c r="F148" s="17"/>
      <c r="G148" s="25">
        <v>11437</v>
      </c>
      <c r="H148" s="28">
        <f>(C148-G148)/C148</f>
        <v>0.21270737247883251</v>
      </c>
      <c r="I148" s="26">
        <f>G148*P140</f>
        <v>38933.835399999996</v>
      </c>
      <c r="J148" s="26">
        <f>I148-D148</f>
        <v>-712.1646000000037</v>
      </c>
      <c r="L148" s="17"/>
      <c r="M148" s="27"/>
      <c r="N148" s="27"/>
      <c r="O148" s="27"/>
      <c r="P148" s="27"/>
      <c r="R148" s="31" t="s">
        <v>218</v>
      </c>
    </row>
    <row r="149" spans="1:23" ht="13.95" customHeight="1">
      <c r="B149" s="24" t="s">
        <v>15</v>
      </c>
      <c r="C149" s="25">
        <v>4013</v>
      </c>
      <c r="D149" s="26">
        <v>19972</v>
      </c>
      <c r="E149" s="27">
        <f t="shared" si="4"/>
        <v>4.9768253177174184</v>
      </c>
      <c r="F149" s="17"/>
      <c r="G149" s="25">
        <v>3855</v>
      </c>
      <c r="H149" s="28">
        <f>(C149-G149)/C149</f>
        <v>3.9372040867181657E-2</v>
      </c>
      <c r="I149" s="26">
        <f>G149*P140</f>
        <v>13123.190999999999</v>
      </c>
      <c r="J149" s="26">
        <f>I149-D149</f>
        <v>-6848.8090000000011</v>
      </c>
      <c r="L149" s="17"/>
      <c r="M149" s="27"/>
      <c r="N149" s="27"/>
      <c r="O149" s="27"/>
      <c r="P149" s="27"/>
    </row>
    <row r="150" spans="1:23">
      <c r="B150" s="24" t="s">
        <v>17</v>
      </c>
      <c r="C150" s="25">
        <f>SUM(C148:C149)</f>
        <v>18540</v>
      </c>
      <c r="D150" s="26">
        <f>SUM(D148:D149)</f>
        <v>59618</v>
      </c>
      <c r="E150" s="27">
        <f t="shared" si="4"/>
        <v>3.2156418554476809</v>
      </c>
      <c r="F150" s="17"/>
      <c r="G150" s="25">
        <f>SUM(G148:G149)</f>
        <v>15292</v>
      </c>
      <c r="H150" s="28">
        <f>(C150-G150)/C150</f>
        <v>0.17518878101402374</v>
      </c>
      <c r="J150" s="26">
        <f>J148+J149</f>
        <v>-7560.9736000000048</v>
      </c>
      <c r="K150" s="29">
        <f>K146+J150</f>
        <v>-37193.472622083173</v>
      </c>
      <c r="L150" s="17"/>
      <c r="M150" s="53" t="s">
        <v>107</v>
      </c>
      <c r="N150" s="53" t="s">
        <v>22</v>
      </c>
      <c r="O150" s="27"/>
      <c r="P150" s="27"/>
    </row>
    <row r="151" spans="1:23" ht="6" customHeight="1">
      <c r="F151" s="17"/>
      <c r="H151" s="28"/>
      <c r="L151" s="17"/>
      <c r="M151" s="27"/>
      <c r="N151" s="27"/>
      <c r="O151" s="27"/>
      <c r="P151" s="27"/>
      <c r="W151" s="26"/>
    </row>
    <row r="152" spans="1:23">
      <c r="A152" s="55" t="s">
        <v>106</v>
      </c>
      <c r="B152" s="56"/>
      <c r="C152" s="56">
        <f>SUM(C102,C106,C110,C114,C118,C122,C126,C131,C136,C140,C144,C148)</f>
        <v>284560</v>
      </c>
      <c r="D152" s="57">
        <f>SUM(D102,D106,D110,D114,D118,D122,D126,D131,D136,D140,D144,D148)</f>
        <v>892361</v>
      </c>
      <c r="E152" s="58">
        <f t="shared" si="4"/>
        <v>3.1359326679786337</v>
      </c>
      <c r="F152" s="17"/>
      <c r="G152" s="56">
        <f>SUM(G102,G106,G110,G114,G118,G122,G126,G131,G136,G140,G144,G148)</f>
        <v>250712</v>
      </c>
      <c r="H152" s="59">
        <f>(C152-G152)/C152</f>
        <v>0.11894855215068878</v>
      </c>
      <c r="I152" s="57">
        <f>SUM(I102,I106,I110,I114,I118,I122,I126,I131,I136,I140,I144,I148)</f>
        <v>1133680.2598999999</v>
      </c>
      <c r="J152" s="57">
        <f>E152*(N152+N153)</f>
        <v>42831.339785149277</v>
      </c>
      <c r="K152" s="54" t="s">
        <v>22</v>
      </c>
      <c r="L152" s="17"/>
      <c r="M152" s="60">
        <f>G152/(1-$N$170)</f>
        <v>268141.17647058819</v>
      </c>
      <c r="N152" s="60">
        <f>C152-M152</f>
        <v>16418.823529411806</v>
      </c>
      <c r="R152" s="31" t="s">
        <v>27</v>
      </c>
      <c r="S152" s="25"/>
    </row>
    <row r="153" spans="1:23">
      <c r="A153" s="61"/>
      <c r="B153" s="62" t="s">
        <v>15</v>
      </c>
      <c r="C153" s="56">
        <f>SUM(C103,C107,C111,C115,C119,C123,C127:C128,C132:C133,C137,C141,C145,C149)</f>
        <v>113556</v>
      </c>
      <c r="D153" s="57">
        <f>SUM(D103,D107,D111,D115,D119,D123,D127:D128,D132:D133,D137,D141,D145,D149)</f>
        <v>629612</v>
      </c>
      <c r="E153" s="58">
        <f t="shared" si="4"/>
        <v>5.5445066751206449</v>
      </c>
      <c r="F153" s="17"/>
      <c r="G153" s="56">
        <f>SUM(G103,G107,G111,G115,G119,G123,G127:G128,G132:G133,G137,G141,G145,G149)</f>
        <v>108756</v>
      </c>
      <c r="H153" s="59">
        <f t="shared" ref="H153:H154" si="5">(C153-G153)/C153</f>
        <v>4.2269893268519494E-2</v>
      </c>
      <c r="I153" s="57">
        <f>SUM(I103,I107,I111,I115,I119,I123,I127:I128,I132:I133,I137,I141,I145,I149)</f>
        <v>496945.40230000007</v>
      </c>
      <c r="J153" s="57"/>
      <c r="L153" s="17"/>
      <c r="M153" s="60">
        <f>G153/(1-$N$170)</f>
        <v>116316.57754010694</v>
      </c>
      <c r="N153" s="60">
        <f>C153-M153</f>
        <v>-2760.5775401069404</v>
      </c>
      <c r="R153" s="69"/>
      <c r="S153" s="25"/>
    </row>
    <row r="154" spans="1:23">
      <c r="A154" s="61"/>
      <c r="B154" s="62" t="s">
        <v>17</v>
      </c>
      <c r="C154" s="56">
        <f>SUM(C104,C108,C112,C116,C120,C124,C129,C134,C138,C142,C146,C150)</f>
        <v>398116</v>
      </c>
      <c r="D154" s="57">
        <f>SUM(D104,D108,D112,D116,D120,D124,D129,D134,D138,D142,D146,D150)</f>
        <v>1521973</v>
      </c>
      <c r="E154" s="58">
        <f t="shared" si="4"/>
        <v>3.8229385405258767</v>
      </c>
      <c r="F154" s="17"/>
      <c r="G154" s="56">
        <f>SUM(G104,G108,G112,G116,G120,G124,G129,G134,G138,G142,G146,G150)</f>
        <v>359468</v>
      </c>
      <c r="H154" s="59">
        <f t="shared" si="5"/>
        <v>9.7077233771061699E-2</v>
      </c>
      <c r="I154" s="57">
        <f>SUM(I104,I108,I112,I116,I120,I124,I128,I133,I138,I142,I146,I150)</f>
        <v>691.6</v>
      </c>
      <c r="J154" s="57">
        <f>SUM(J152:J153)</f>
        <v>42831.339785149277</v>
      </c>
      <c r="K154" s="344">
        <f>K150+J154</f>
        <v>5637.8671630661047</v>
      </c>
      <c r="L154" s="17"/>
      <c r="M154" s="60">
        <f>G154/(1-$N$170)</f>
        <v>384457.75401069515</v>
      </c>
      <c r="N154" s="60">
        <f>C154-M154</f>
        <v>13658.245989304851</v>
      </c>
      <c r="R154" s="64">
        <f>N154*E154</f>
        <v>52214.634988496495</v>
      </c>
      <c r="S154" s="65" t="s">
        <v>25</v>
      </c>
    </row>
    <row r="155" spans="1:23" s="41" customFormat="1" ht="6" customHeight="1">
      <c r="A155" s="32"/>
      <c r="B155" s="33"/>
      <c r="C155" s="34"/>
      <c r="D155" s="35"/>
      <c r="E155" s="36"/>
      <c r="F155" s="37"/>
      <c r="G155" s="34"/>
      <c r="H155" s="33"/>
      <c r="I155" s="35"/>
      <c r="J155" s="35"/>
      <c r="K155" s="38"/>
      <c r="L155" s="37"/>
      <c r="M155" s="66"/>
      <c r="N155" s="67"/>
      <c r="O155" s="67"/>
      <c r="P155" s="68"/>
    </row>
    <row r="156" spans="1:23">
      <c r="A156" s="23">
        <v>44136</v>
      </c>
      <c r="B156" s="24" t="s">
        <v>13</v>
      </c>
      <c r="C156" s="25">
        <v>29545</v>
      </c>
      <c r="D156" s="26">
        <v>105289</v>
      </c>
      <c r="E156" s="27">
        <f>D156/C156</f>
        <v>3.5636825181925875</v>
      </c>
      <c r="F156" s="17"/>
      <c r="G156" s="25">
        <v>20509</v>
      </c>
      <c r="H156" s="28">
        <f>(C156-G156)/C156</f>
        <v>0.30583855136232863</v>
      </c>
      <c r="I156" s="26">
        <f>G156*P156</f>
        <v>102481.4221</v>
      </c>
      <c r="J156" s="26">
        <f>I156-D156</f>
        <v>-2807.5779000000039</v>
      </c>
      <c r="L156" s="17"/>
      <c r="M156" s="27">
        <v>5.4423000000000004</v>
      </c>
      <c r="N156" s="27">
        <v>-0.44540000000000002</v>
      </c>
      <c r="O156" s="27"/>
      <c r="P156" s="27">
        <f>M156+N156+O156</f>
        <v>4.9969000000000001</v>
      </c>
    </row>
    <row r="157" spans="1:23" ht="13.95" customHeight="1">
      <c r="B157" s="24" t="s">
        <v>15</v>
      </c>
      <c r="C157" s="25">
        <v>9674</v>
      </c>
      <c r="D157" s="26">
        <v>86553</v>
      </c>
      <c r="E157" s="27">
        <f>D157/C157</f>
        <v>8.9469712631796572</v>
      </c>
      <c r="F157" s="17"/>
      <c r="G157" s="25">
        <v>8590</v>
      </c>
      <c r="H157" s="28">
        <f>(C157-G157)/C157</f>
        <v>0.112052925366963</v>
      </c>
      <c r="I157" s="26">
        <f>G157*P156</f>
        <v>42923.370999999999</v>
      </c>
      <c r="J157" s="26">
        <f>I157-D157</f>
        <v>-43629.629000000001</v>
      </c>
      <c r="L157" s="17"/>
      <c r="M157" s="27"/>
      <c r="N157" s="27"/>
      <c r="O157" s="27"/>
      <c r="P157" s="27"/>
    </row>
    <row r="158" spans="1:23">
      <c r="B158" s="24" t="s">
        <v>17</v>
      </c>
      <c r="C158" s="25">
        <f>SUM(C156:C157)</f>
        <v>39219</v>
      </c>
      <c r="D158" s="26">
        <f>SUM(D156:D157)</f>
        <v>191842</v>
      </c>
      <c r="E158" s="27">
        <f>D158/C158</f>
        <v>4.8915576633774442</v>
      </c>
      <c r="F158" s="17"/>
      <c r="G158" s="25">
        <f>SUM(G156:G157)</f>
        <v>29099</v>
      </c>
      <c r="H158" s="28">
        <f>(C158-G158)/C158</f>
        <v>0.25803819577245724</v>
      </c>
      <c r="J158" s="26">
        <f>J156+J157</f>
        <v>-46437.206900000005</v>
      </c>
      <c r="K158" s="29">
        <f>K154+J158</f>
        <v>-40799.3397369339</v>
      </c>
      <c r="L158" s="17"/>
      <c r="M158" s="27"/>
      <c r="N158" s="27"/>
      <c r="O158" s="27"/>
      <c r="P158" s="27"/>
    </row>
    <row r="159" spans="1:23" ht="3" customHeight="1">
      <c r="A159" s="42"/>
      <c r="B159" s="43"/>
      <c r="C159" s="44"/>
      <c r="D159" s="45"/>
      <c r="E159" s="46"/>
      <c r="F159" s="17"/>
      <c r="G159" s="44"/>
      <c r="H159" s="43"/>
      <c r="I159" s="45"/>
      <c r="J159" s="45"/>
      <c r="K159" s="47"/>
      <c r="L159" s="17"/>
      <c r="M159" s="48"/>
      <c r="N159" s="46"/>
      <c r="O159" s="46"/>
      <c r="P159" s="49"/>
    </row>
    <row r="160" spans="1:23">
      <c r="A160" s="23">
        <v>44166</v>
      </c>
      <c r="B160" s="24" t="s">
        <v>13</v>
      </c>
      <c r="C160" s="25">
        <v>48493</v>
      </c>
      <c r="D160" s="26">
        <v>169717</v>
      </c>
      <c r="E160" s="27">
        <f>D160/C160</f>
        <v>3.4998247169694596</v>
      </c>
      <c r="F160" s="17"/>
      <c r="G160" s="25">
        <v>44603</v>
      </c>
      <c r="H160" s="28">
        <f>(C160-G160)/C160</f>
        <v>8.0217763388530303E-2</v>
      </c>
      <c r="I160" s="26">
        <f>G160*P156</f>
        <v>222876.73070000001</v>
      </c>
      <c r="J160" s="26">
        <f>I160-D160</f>
        <v>53159.730700000015</v>
      </c>
      <c r="L160" s="17"/>
      <c r="M160" s="27"/>
      <c r="N160" s="27"/>
      <c r="O160" s="27"/>
      <c r="P160" s="27"/>
      <c r="R160" s="69"/>
    </row>
    <row r="161" spans="1:22" ht="13.95" customHeight="1">
      <c r="B161" s="24" t="s">
        <v>15</v>
      </c>
      <c r="C161" s="25">
        <v>22609</v>
      </c>
      <c r="D161" s="26">
        <v>197225</v>
      </c>
      <c r="E161" s="27">
        <f>D161/C161</f>
        <v>8.7232960325534084</v>
      </c>
      <c r="F161" s="17"/>
      <c r="G161" s="25">
        <v>22622</v>
      </c>
      <c r="H161" s="28">
        <f>(C161-G161)/C161</f>
        <v>-5.7499225971958067E-4</v>
      </c>
      <c r="I161" s="26">
        <f>G161*P156</f>
        <v>113039.87180000001</v>
      </c>
      <c r="J161" s="26">
        <f>I161-D161</f>
        <v>-84185.128199999992</v>
      </c>
      <c r="L161" s="17"/>
      <c r="M161" s="27"/>
      <c r="N161" s="27"/>
      <c r="O161" s="27"/>
      <c r="P161" s="27"/>
      <c r="R161" s="69"/>
    </row>
    <row r="162" spans="1:22">
      <c r="B162" s="24" t="s">
        <v>17</v>
      </c>
      <c r="C162" s="25">
        <f>SUM(C160:C161)</f>
        <v>71102</v>
      </c>
      <c r="D162" s="26">
        <f>SUM(D160:D161)</f>
        <v>366942</v>
      </c>
      <c r="E162" s="27">
        <f>D162/C162</f>
        <v>5.1607831003347302</v>
      </c>
      <c r="F162" s="17"/>
      <c r="G162" s="25">
        <f>SUM(G160:G161)</f>
        <v>67225</v>
      </c>
      <c r="H162" s="28">
        <f>(C162-G162)/C162</f>
        <v>5.4527298810160052E-2</v>
      </c>
      <c r="J162" s="26">
        <f>J160+J161</f>
        <v>-31025.397499999977</v>
      </c>
      <c r="K162" s="29">
        <f>K158+J162</f>
        <v>-71824.73723693387</v>
      </c>
      <c r="L162" s="17"/>
      <c r="M162" s="27"/>
      <c r="N162" s="27"/>
      <c r="O162" s="27"/>
      <c r="P162" s="27"/>
      <c r="R162" s="69"/>
      <c r="S162" s="25"/>
    </row>
    <row r="163" spans="1:22" ht="3" customHeight="1">
      <c r="A163" s="42"/>
      <c r="B163" s="43"/>
      <c r="C163" s="44"/>
      <c r="D163" s="45"/>
      <c r="E163" s="46"/>
      <c r="F163" s="17"/>
      <c r="G163" s="44"/>
      <c r="H163" s="43"/>
      <c r="I163" s="45"/>
      <c r="J163" s="45"/>
      <c r="K163" s="47"/>
      <c r="L163" s="17"/>
      <c r="M163" s="48"/>
      <c r="N163" s="46"/>
      <c r="O163" s="46"/>
      <c r="P163" s="49"/>
    </row>
    <row r="164" spans="1:22">
      <c r="A164" s="12">
        <v>44217</v>
      </c>
      <c r="B164" s="13" t="s">
        <v>13</v>
      </c>
      <c r="C164" s="14">
        <v>52693.5</v>
      </c>
      <c r="D164" s="15">
        <v>179379</v>
      </c>
      <c r="E164" s="16">
        <f>D164/C164</f>
        <v>3.4041959634490024</v>
      </c>
      <c r="F164" s="17"/>
      <c r="G164" s="14">
        <v>49939</v>
      </c>
      <c r="H164" s="18">
        <f>(C164-G164)/C164</f>
        <v>5.2273999639424217E-2</v>
      </c>
      <c r="I164" s="15">
        <f>G164*P156</f>
        <v>249540.18910000002</v>
      </c>
      <c r="J164" s="15">
        <f>I164-D164</f>
        <v>70161.189100000018</v>
      </c>
      <c r="K164" s="19"/>
      <c r="L164" s="17"/>
      <c r="M164" s="16"/>
      <c r="N164" s="16"/>
      <c r="O164" s="16"/>
      <c r="P164" s="16"/>
    </row>
    <row r="165" spans="1:22" ht="13.95" customHeight="1">
      <c r="B165" s="24" t="s">
        <v>15</v>
      </c>
      <c r="C165" s="25">
        <v>22378</v>
      </c>
      <c r="D165" s="26">
        <v>194959</v>
      </c>
      <c r="E165" s="27">
        <f>D165/C165</f>
        <v>8.712083296094379</v>
      </c>
      <c r="F165" s="17"/>
      <c r="G165" s="25">
        <v>22055</v>
      </c>
      <c r="H165" s="28">
        <f>(C165-G165)/C165</f>
        <v>1.4433818929305568E-2</v>
      </c>
      <c r="I165" s="26">
        <f>G165*P156</f>
        <v>110206.6295</v>
      </c>
      <c r="J165" s="26">
        <f>I165-D165</f>
        <v>-84752.370500000005</v>
      </c>
      <c r="L165" s="17"/>
      <c r="M165" s="27"/>
      <c r="N165" s="27"/>
      <c r="O165" s="27"/>
      <c r="P165" s="27"/>
    </row>
    <row r="166" spans="1:22">
      <c r="B166" s="24" t="s">
        <v>17</v>
      </c>
      <c r="C166" s="25">
        <f>SUM(C164:C165)</f>
        <v>75071.5</v>
      </c>
      <c r="D166" s="26">
        <f>SUM(D164:D165)</f>
        <v>374338</v>
      </c>
      <c r="E166" s="27">
        <f>D166/C166</f>
        <v>4.9864196133019858</v>
      </c>
      <c r="F166" s="17"/>
      <c r="G166" s="25">
        <f>SUM(G164:G165)</f>
        <v>71994</v>
      </c>
      <c r="H166" s="28">
        <f>(C166-G166)/C166</f>
        <v>4.0994252146287206E-2</v>
      </c>
      <c r="J166" s="26">
        <f>J164+J165</f>
        <v>-14591.181399999987</v>
      </c>
      <c r="K166" s="29">
        <f>K162+J166</f>
        <v>-86415.918636933857</v>
      </c>
      <c r="L166" s="17"/>
      <c r="M166" s="27"/>
      <c r="N166" s="27"/>
      <c r="O166" s="27"/>
      <c r="P166" s="27"/>
    </row>
    <row r="167" spans="1:22" s="41" customFormat="1" ht="3" customHeight="1">
      <c r="A167" s="32"/>
      <c r="B167" s="33"/>
      <c r="C167" s="34"/>
      <c r="D167" s="35"/>
      <c r="E167" s="36"/>
      <c r="F167" s="37"/>
      <c r="G167" s="34"/>
      <c r="H167" s="33"/>
      <c r="I167" s="35"/>
      <c r="J167" s="35"/>
      <c r="K167" s="38"/>
      <c r="L167" s="37"/>
      <c r="M167" s="39"/>
      <c r="N167" s="36"/>
      <c r="O167" s="36"/>
      <c r="P167" s="40"/>
    </row>
    <row r="168" spans="1:22" ht="14.4">
      <c r="L168" s="17"/>
      <c r="T168" s="84"/>
      <c r="U168" s="85"/>
    </row>
    <row r="169" spans="1:22" ht="14.4">
      <c r="L169" s="17"/>
      <c r="N169" s="258" t="s">
        <v>228</v>
      </c>
      <c r="O169" s="24"/>
      <c r="T169" s="84"/>
      <c r="U169" s="85"/>
    </row>
    <row r="170" spans="1:22">
      <c r="L170" s="17"/>
      <c r="N170" s="349">
        <v>6.5000000000000002E-2</v>
      </c>
      <c r="O170" s="31" t="s">
        <v>229</v>
      </c>
      <c r="U170" s="85"/>
    </row>
    <row r="171" spans="1:22" ht="14.4">
      <c r="D171" s="25"/>
      <c r="G171" s="346" t="s">
        <v>331</v>
      </c>
      <c r="I171" s="25"/>
      <c r="L171" s="17"/>
      <c r="S171" s="23"/>
      <c r="T171" s="29"/>
      <c r="U171" s="29"/>
      <c r="V171" s="26"/>
    </row>
    <row r="172" spans="1:22" ht="14.4">
      <c r="G172" s="347" t="s">
        <v>330</v>
      </c>
      <c r="L172" s="17"/>
      <c r="T172" s="29"/>
      <c r="U172" s="143"/>
      <c r="V172" s="26"/>
    </row>
    <row r="173" spans="1:22" ht="14.4">
      <c r="G173" s="348" t="s">
        <v>332</v>
      </c>
      <c r="L173" s="17"/>
      <c r="M173" s="24"/>
      <c r="N173" s="50" t="s">
        <v>333</v>
      </c>
      <c r="O173" s="24"/>
      <c r="P173" s="29"/>
      <c r="Q173" s="85"/>
    </row>
    <row r="174" spans="1:22">
      <c r="M174" s="371">
        <v>44105</v>
      </c>
      <c r="N174" s="26">
        <v>54979</v>
      </c>
      <c r="O174" s="345">
        <v>0.05</v>
      </c>
      <c r="P174" s="29"/>
      <c r="Q174" s="85"/>
    </row>
    <row r="175" spans="1:22">
      <c r="M175" s="24"/>
      <c r="N175" s="26">
        <v>38706</v>
      </c>
      <c r="O175" s="345">
        <v>5.5E-2</v>
      </c>
      <c r="P175" s="24"/>
      <c r="Q175" s="85"/>
    </row>
    <row r="176" spans="1:22" ht="14.4">
      <c r="M176" s="24"/>
      <c r="N176" s="26">
        <v>22260</v>
      </c>
      <c r="O176" s="345">
        <v>0.06</v>
      </c>
      <c r="P176" s="84"/>
      <c r="Q176" s="85"/>
    </row>
    <row r="177" spans="13:21" ht="14.4">
      <c r="M177" s="24"/>
      <c r="N177" s="26">
        <v>13971</v>
      </c>
      <c r="O177" s="350">
        <v>6.25E-2</v>
      </c>
      <c r="P177" s="84"/>
      <c r="Q177" s="85"/>
    </row>
    <row r="178" spans="13:21">
      <c r="M178" s="24"/>
      <c r="N178" s="26">
        <v>5638</v>
      </c>
      <c r="O178" s="345">
        <v>6.5000000000000002E-2</v>
      </c>
      <c r="P178" s="372" t="s">
        <v>334</v>
      </c>
      <c r="Q178" s="351">
        <f>J154+J100</f>
        <v>-2430.9660369338671</v>
      </c>
      <c r="R178" s="31" t="s">
        <v>356</v>
      </c>
    </row>
    <row r="179" spans="13:21" ht="14.4">
      <c r="M179" s="24"/>
      <c r="N179" s="26">
        <v>-28145</v>
      </c>
      <c r="O179" s="345">
        <v>7.4999999999999997E-2</v>
      </c>
      <c r="P179" s="84"/>
      <c r="Q179" s="85"/>
    </row>
    <row r="180" spans="13:21" ht="14.4">
      <c r="T180" s="84"/>
      <c r="U180" s="85"/>
    </row>
    <row r="181" spans="13:21" ht="14.4">
      <c r="T181" s="84"/>
      <c r="U181" s="85"/>
    </row>
    <row r="182" spans="13:21" ht="14.4">
      <c r="T182" s="84"/>
      <c r="U182" s="85"/>
    </row>
    <row r="183" spans="13:21" ht="14.4">
      <c r="T183" s="84"/>
      <c r="U183" s="85"/>
    </row>
  </sheetData>
  <mergeCells count="2">
    <mergeCell ref="M128:O128"/>
    <mergeCell ref="M133:O133"/>
  </mergeCells>
  <printOptions horizontalCentered="1"/>
  <pageMargins left="0.2" right="0.2" top="0.25" bottom="0.25" header="0.2" footer="0.2"/>
  <pageSetup scale="85" fitToHeight="0" orientation="landscape" r:id="rId1"/>
  <rowBreaks count="3" manualBreakCount="3">
    <brk id="49" max="16383" man="1"/>
    <brk id="101" max="16383" man="1"/>
    <brk id="15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Rates</vt:lpstr>
      <vt:lpstr>Sched I Rate Dtrm</vt:lpstr>
      <vt:lpstr>Sched II EGC </vt:lpstr>
      <vt:lpstr>Sch III GBA</vt:lpstr>
      <vt:lpstr>BSum</vt:lpstr>
      <vt:lpstr>Metrics</vt:lpstr>
      <vt:lpstr>GBA hist</vt:lpstr>
      <vt:lpstr>GBA zero</vt:lpstr>
      <vt:lpstr>BSum!Print_Area</vt:lpstr>
      <vt:lpstr>'GBA hist'!Print_Area</vt:lpstr>
      <vt:lpstr>'GBA zero'!Print_Area</vt:lpstr>
      <vt:lpstr>Metrics!Print_Area</vt:lpstr>
      <vt:lpstr>Rates!Print_Area</vt:lpstr>
      <vt:lpstr>'Sch III GBA'!Print_Area</vt:lpstr>
      <vt:lpstr>'Sched I Rate Dtrm'!Print_Area</vt:lpstr>
      <vt:lpstr>'Sched II EGC '!Print_Area</vt:lpstr>
      <vt:lpstr>'GBA hist'!Print_Titles</vt:lpstr>
      <vt:lpstr>'GBA zero'!Print_Titles</vt:lpstr>
      <vt:lpstr>'Sch III GBA'!Print_Titles</vt:lpstr>
      <vt:lpstr>'Sched I Rate Dtrm'!Print_Titles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Shute</dc:creator>
  <cp:lastModifiedBy>Joel Shute</cp:lastModifiedBy>
  <cp:lastPrinted>2023-12-28T19:47:57Z</cp:lastPrinted>
  <dcterms:created xsi:type="dcterms:W3CDTF">2022-11-30T18:34:47Z</dcterms:created>
  <dcterms:modified xsi:type="dcterms:W3CDTF">2023-12-28T19:48:52Z</dcterms:modified>
</cp:coreProperties>
</file>