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3930 - Kentucky Frontier\Drafts\Feb 2023 Revision\Ready to File\"/>
    </mc:Choice>
  </mc:AlternateContent>
  <xr:revisionPtr revIDLastSave="0" documentId="13_ncr:1_{D7418357-AFD0-4A54-858E-F640596FFA2F}" xr6:coauthVersionLast="47" xr6:coauthVersionMax="47" xr10:uidLastSave="{00000000-0000-0000-0000-000000000000}"/>
  <bookViews>
    <workbookView xWindow="-98" yWindow="-98" windowWidth="20715" windowHeight="13276" xr2:uid="{E3CFA119-7DA2-4C62-8639-B77F4E546B5D}"/>
  </bookViews>
  <sheets>
    <sheet name="Sched I Rate Dtrm" sheetId="5" r:id="rId1"/>
    <sheet name="Sched II EGC " sheetId="8" r:id="rId2"/>
    <sheet name="Sch III GBA" sheetId="1" r:id="rId3"/>
  </sheets>
  <definedNames>
    <definedName name="_xlnm.Print_Area" localSheetId="2">'Sch III GBA'!$A$3:$P$257</definedName>
    <definedName name="_xlnm.Print_Area" localSheetId="0">'Sched I Rate Dtrm'!$A$5:$H$87</definedName>
    <definedName name="_xlnm.Print_Area" localSheetId="1">'Sched II EGC '!$A$1:$G$61</definedName>
    <definedName name="_xlnm.Print_Titles" localSheetId="2">'Sch III GBA'!$1:$2</definedName>
    <definedName name="_xlnm.Print_Titles" localSheetId="0">'Sched I Rate Dtrm'!$1:$4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92" i="1" l="1"/>
  <c r="D146" i="1"/>
  <c r="D198" i="1"/>
  <c r="D250" i="1"/>
  <c r="L40" i="8" l="1"/>
  <c r="L41" i="8"/>
  <c r="L42" i="8"/>
  <c r="D252" i="1"/>
  <c r="C252" i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D220" i="1"/>
  <c r="C220" i="1"/>
  <c r="D216" i="1"/>
  <c r="C216" i="1"/>
  <c r="D212" i="1"/>
  <c r="C212" i="1"/>
  <c r="D208" i="1"/>
  <c r="C208" i="1"/>
  <c r="D151" i="1"/>
  <c r="C151" i="1"/>
  <c r="G151" i="1"/>
  <c r="F42" i="5" l="1"/>
  <c r="P206" i="1" l="1"/>
  <c r="P218" i="1"/>
  <c r="P230" i="1"/>
  <c r="P242" i="1"/>
  <c r="J28" i="8"/>
  <c r="I28" i="8"/>
  <c r="E25" i="8"/>
  <c r="E30" i="8" s="1"/>
  <c r="J22" i="8"/>
  <c r="I22" i="8"/>
  <c r="J21" i="8"/>
  <c r="I21" i="8"/>
  <c r="J19" i="8"/>
  <c r="I19" i="8"/>
  <c r="F16" i="8"/>
  <c r="G16" i="8" s="1"/>
  <c r="J10" i="8"/>
  <c r="I10" i="8"/>
  <c r="F9" i="8"/>
  <c r="G9" i="8" s="1"/>
  <c r="H151" i="1"/>
  <c r="I211" i="1" l="1"/>
  <c r="I210" i="1"/>
  <c r="I215" i="1"/>
  <c r="I214" i="1"/>
  <c r="I207" i="1"/>
  <c r="I206" i="1"/>
  <c r="I230" i="1"/>
  <c r="I231" i="1"/>
  <c r="I239" i="1"/>
  <c r="I235" i="1"/>
  <c r="I234" i="1"/>
  <c r="I238" i="1"/>
  <c r="I222" i="1"/>
  <c r="I219" i="1"/>
  <c r="I218" i="1"/>
  <c r="I226" i="1"/>
  <c r="I223" i="1"/>
  <c r="I227" i="1"/>
  <c r="I251" i="1"/>
  <c r="I250" i="1"/>
  <c r="I247" i="1"/>
  <c r="I246" i="1"/>
  <c r="I243" i="1"/>
  <c r="I242" i="1"/>
  <c r="I23" i="8"/>
  <c r="J23" i="8"/>
  <c r="G36" i="8"/>
  <c r="C28" i="8"/>
  <c r="F32" i="8"/>
  <c r="C25" i="8"/>
  <c r="K23" i="8" l="1"/>
  <c r="J24" i="8"/>
  <c r="M42" i="8"/>
  <c r="N42" i="8" s="1"/>
  <c r="O42" i="8" s="1"/>
  <c r="M40" i="8"/>
  <c r="N40" i="8" s="1"/>
  <c r="M41" i="8"/>
  <c r="N41" i="8" s="1"/>
  <c r="O41" i="8" s="1"/>
  <c r="N43" i="8" l="1"/>
  <c r="O40" i="8"/>
  <c r="O43" i="8" s="1"/>
  <c r="K44" i="8" l="1"/>
  <c r="C44" i="8" s="1"/>
  <c r="C46" i="8" s="1"/>
  <c r="C51" i="8" s="1"/>
  <c r="C52" i="8" l="1"/>
  <c r="C50" i="8"/>
  <c r="F12" i="8" s="1"/>
  <c r="G12" i="8" s="1"/>
  <c r="F28" i="8"/>
  <c r="G28" i="8" s="1"/>
  <c r="F15" i="8"/>
  <c r="G15" i="8" s="1"/>
  <c r="C60" i="8"/>
  <c r="F19" i="8" s="1"/>
  <c r="G19" i="8" s="1"/>
  <c r="C59" i="8"/>
  <c r="C58" i="8"/>
  <c r="F20" i="8" s="1"/>
  <c r="G20" i="8" s="1"/>
  <c r="C57" i="8"/>
  <c r="F18" i="8" s="1"/>
  <c r="G18" i="8" s="1"/>
  <c r="C56" i="8"/>
  <c r="F17" i="8" s="1"/>
  <c r="G17" i="8" s="1"/>
  <c r="C54" i="8"/>
  <c r="C53" i="8"/>
  <c r="F13" i="8" s="1"/>
  <c r="G13" i="8" s="1"/>
  <c r="F21" i="8" l="1"/>
  <c r="G21" i="8" s="1"/>
  <c r="F22" i="8"/>
  <c r="G22" i="8" s="1"/>
  <c r="F11" i="8"/>
  <c r="G11" i="8" s="1"/>
  <c r="F10" i="8"/>
  <c r="G10" i="8" s="1"/>
  <c r="F23" i="8"/>
  <c r="G23" i="8" s="1"/>
  <c r="F14" i="8"/>
  <c r="G14" i="8" s="1"/>
  <c r="F24" i="8"/>
  <c r="G24" i="8" s="1"/>
  <c r="G25" i="8" l="1"/>
  <c r="G30" i="8" s="1"/>
  <c r="H25" i="8" s="1"/>
  <c r="G35" i="8" l="1"/>
  <c r="F30" i="8"/>
  <c r="H28" i="8"/>
  <c r="G37" i="8" l="1"/>
  <c r="I126" i="1"/>
  <c r="I131" i="1"/>
  <c r="C83" i="5" l="1"/>
  <c r="B82" i="5"/>
  <c r="B81" i="5"/>
  <c r="B80" i="5"/>
  <c r="B79" i="5"/>
  <c r="B78" i="5"/>
  <c r="B77" i="5"/>
  <c r="B76" i="5"/>
  <c r="B75" i="5"/>
  <c r="B74" i="5"/>
  <c r="B73" i="5"/>
  <c r="B72" i="5"/>
  <c r="B71" i="5"/>
  <c r="B61" i="5"/>
  <c r="E8" i="5" s="1"/>
  <c r="E47" i="5"/>
  <c r="D47" i="5"/>
  <c r="F47" i="5" s="1"/>
  <c r="C48" i="5"/>
  <c r="C43" i="5"/>
  <c r="G255" i="1" l="1"/>
  <c r="M255" i="1" s="1"/>
  <c r="D255" i="1"/>
  <c r="C255" i="1"/>
  <c r="G254" i="1"/>
  <c r="M254" i="1" s="1"/>
  <c r="D254" i="1"/>
  <c r="C254" i="1"/>
  <c r="G252" i="1"/>
  <c r="H251" i="1"/>
  <c r="E251" i="1"/>
  <c r="H250" i="1"/>
  <c r="E250" i="1"/>
  <c r="G248" i="1"/>
  <c r="H247" i="1"/>
  <c r="E247" i="1"/>
  <c r="H246" i="1"/>
  <c r="E246" i="1"/>
  <c r="G244" i="1"/>
  <c r="H243" i="1"/>
  <c r="E243" i="1"/>
  <c r="H242" i="1"/>
  <c r="E242" i="1"/>
  <c r="G240" i="1"/>
  <c r="H239" i="1"/>
  <c r="E239" i="1"/>
  <c r="H238" i="1"/>
  <c r="E238" i="1"/>
  <c r="G236" i="1"/>
  <c r="H235" i="1"/>
  <c r="E235" i="1"/>
  <c r="H234" i="1"/>
  <c r="E234" i="1"/>
  <c r="G232" i="1"/>
  <c r="H231" i="1"/>
  <c r="E231" i="1"/>
  <c r="H230" i="1"/>
  <c r="E230" i="1"/>
  <c r="Y228" i="1"/>
  <c r="Z228" i="1" s="1"/>
  <c r="AA228" i="1" s="1"/>
  <c r="G228" i="1"/>
  <c r="Y227" i="1"/>
  <c r="Z227" i="1" s="1"/>
  <c r="AA227" i="1" s="1"/>
  <c r="H227" i="1"/>
  <c r="E227" i="1"/>
  <c r="Y226" i="1"/>
  <c r="Z226" i="1" s="1"/>
  <c r="AA226" i="1" s="1"/>
  <c r="H226" i="1"/>
  <c r="E226" i="1"/>
  <c r="G224" i="1"/>
  <c r="H223" i="1"/>
  <c r="E223" i="1"/>
  <c r="H222" i="1"/>
  <c r="E222" i="1"/>
  <c r="G220" i="1"/>
  <c r="H219" i="1"/>
  <c r="E219" i="1"/>
  <c r="H218" i="1"/>
  <c r="E218" i="1"/>
  <c r="G216" i="1"/>
  <c r="H215" i="1"/>
  <c r="E215" i="1"/>
  <c r="H214" i="1"/>
  <c r="E214" i="1"/>
  <c r="G212" i="1"/>
  <c r="H211" i="1"/>
  <c r="E211" i="1"/>
  <c r="H210" i="1"/>
  <c r="E210" i="1"/>
  <c r="G208" i="1"/>
  <c r="H207" i="1"/>
  <c r="E207" i="1"/>
  <c r="H206" i="1"/>
  <c r="E206" i="1"/>
  <c r="G203" i="1"/>
  <c r="M203" i="1" s="1"/>
  <c r="D203" i="1"/>
  <c r="C203" i="1"/>
  <c r="G202" i="1"/>
  <c r="M202" i="1" s="1"/>
  <c r="D202" i="1"/>
  <c r="C202" i="1"/>
  <c r="G200" i="1"/>
  <c r="D200" i="1"/>
  <c r="C200" i="1"/>
  <c r="H199" i="1"/>
  <c r="E199" i="1"/>
  <c r="H198" i="1"/>
  <c r="E198" i="1"/>
  <c r="G196" i="1"/>
  <c r="D196" i="1"/>
  <c r="C196" i="1"/>
  <c r="H195" i="1"/>
  <c r="E195" i="1"/>
  <c r="H194" i="1"/>
  <c r="E194" i="1"/>
  <c r="G192" i="1"/>
  <c r="D192" i="1"/>
  <c r="C192" i="1"/>
  <c r="H191" i="1"/>
  <c r="E191" i="1"/>
  <c r="P190" i="1"/>
  <c r="H190" i="1"/>
  <c r="E190" i="1"/>
  <c r="G188" i="1"/>
  <c r="D188" i="1"/>
  <c r="C188" i="1"/>
  <c r="H187" i="1"/>
  <c r="E187" i="1"/>
  <c r="H186" i="1"/>
  <c r="E186" i="1"/>
  <c r="G184" i="1"/>
  <c r="D184" i="1"/>
  <c r="C184" i="1"/>
  <c r="H183" i="1"/>
  <c r="E183" i="1"/>
  <c r="H182" i="1"/>
  <c r="E182" i="1"/>
  <c r="G180" i="1"/>
  <c r="D180" i="1"/>
  <c r="C180" i="1"/>
  <c r="H179" i="1"/>
  <c r="E179" i="1"/>
  <c r="P178" i="1"/>
  <c r="H178" i="1"/>
  <c r="E178" i="1"/>
  <c r="G176" i="1"/>
  <c r="D176" i="1"/>
  <c r="C176" i="1"/>
  <c r="H175" i="1"/>
  <c r="E175" i="1"/>
  <c r="H174" i="1"/>
  <c r="E174" i="1"/>
  <c r="G172" i="1"/>
  <c r="D172" i="1"/>
  <c r="C172" i="1"/>
  <c r="H171" i="1"/>
  <c r="E171" i="1"/>
  <c r="H170" i="1"/>
  <c r="E170" i="1"/>
  <c r="G168" i="1"/>
  <c r="D168" i="1"/>
  <c r="C168" i="1"/>
  <c r="H167" i="1"/>
  <c r="E167" i="1"/>
  <c r="P166" i="1"/>
  <c r="H166" i="1"/>
  <c r="E166" i="1"/>
  <c r="G164" i="1"/>
  <c r="D164" i="1"/>
  <c r="C164" i="1"/>
  <c r="H163" i="1"/>
  <c r="E163" i="1"/>
  <c r="H162" i="1"/>
  <c r="E162" i="1"/>
  <c r="G160" i="1"/>
  <c r="D160" i="1"/>
  <c r="C160" i="1"/>
  <c r="H159" i="1"/>
  <c r="E159" i="1"/>
  <c r="H158" i="1"/>
  <c r="E158" i="1"/>
  <c r="G156" i="1"/>
  <c r="D156" i="1"/>
  <c r="C156" i="1"/>
  <c r="H155" i="1"/>
  <c r="E155" i="1"/>
  <c r="P154" i="1"/>
  <c r="H154" i="1"/>
  <c r="E154" i="1"/>
  <c r="M151" i="1"/>
  <c r="G150" i="1"/>
  <c r="M150" i="1" s="1"/>
  <c r="D150" i="1"/>
  <c r="C150" i="1"/>
  <c r="G148" i="1"/>
  <c r="D148" i="1"/>
  <c r="C148" i="1"/>
  <c r="H147" i="1"/>
  <c r="E147" i="1"/>
  <c r="H146" i="1"/>
  <c r="E146" i="1"/>
  <c r="G144" i="1"/>
  <c r="D144" i="1"/>
  <c r="C144" i="1"/>
  <c r="H143" i="1"/>
  <c r="E143" i="1"/>
  <c r="H142" i="1"/>
  <c r="E142" i="1"/>
  <c r="G140" i="1"/>
  <c r="D140" i="1"/>
  <c r="C140" i="1"/>
  <c r="H139" i="1"/>
  <c r="E139" i="1"/>
  <c r="P138" i="1"/>
  <c r="H138" i="1"/>
  <c r="E138" i="1"/>
  <c r="G136" i="1"/>
  <c r="D136" i="1"/>
  <c r="C136" i="1"/>
  <c r="H135" i="1"/>
  <c r="E135" i="1"/>
  <c r="P134" i="1"/>
  <c r="H134" i="1"/>
  <c r="E134" i="1"/>
  <c r="G132" i="1"/>
  <c r="D132" i="1"/>
  <c r="C132" i="1"/>
  <c r="J131" i="1"/>
  <c r="H131" i="1"/>
  <c r="E131" i="1"/>
  <c r="H130" i="1"/>
  <c r="E130" i="1"/>
  <c r="H129" i="1"/>
  <c r="E129" i="1"/>
  <c r="G127" i="1"/>
  <c r="D127" i="1"/>
  <c r="C127" i="1"/>
  <c r="J126" i="1"/>
  <c r="H126" i="1"/>
  <c r="E126" i="1"/>
  <c r="H125" i="1"/>
  <c r="E125" i="1"/>
  <c r="H124" i="1"/>
  <c r="E124" i="1"/>
  <c r="G122" i="1"/>
  <c r="D122" i="1"/>
  <c r="C122" i="1"/>
  <c r="H121" i="1"/>
  <c r="E121" i="1"/>
  <c r="H120" i="1"/>
  <c r="E120" i="1"/>
  <c r="G118" i="1"/>
  <c r="D118" i="1"/>
  <c r="C118" i="1"/>
  <c r="H117" i="1"/>
  <c r="E117" i="1"/>
  <c r="H116" i="1"/>
  <c r="E116" i="1"/>
  <c r="G114" i="1"/>
  <c r="D114" i="1"/>
  <c r="C114" i="1"/>
  <c r="H113" i="1"/>
  <c r="E113" i="1"/>
  <c r="P112" i="1"/>
  <c r="H112" i="1"/>
  <c r="E112" i="1"/>
  <c r="G110" i="1"/>
  <c r="D110" i="1"/>
  <c r="C110" i="1"/>
  <c r="H109" i="1"/>
  <c r="E109" i="1"/>
  <c r="H108" i="1"/>
  <c r="G106" i="1"/>
  <c r="D106" i="1"/>
  <c r="C106" i="1"/>
  <c r="H105" i="1"/>
  <c r="E105" i="1"/>
  <c r="H104" i="1"/>
  <c r="E104" i="1"/>
  <c r="G102" i="1"/>
  <c r="D102" i="1"/>
  <c r="C102" i="1"/>
  <c r="H101" i="1"/>
  <c r="E101" i="1"/>
  <c r="P100" i="1"/>
  <c r="H100" i="1"/>
  <c r="E100" i="1"/>
  <c r="G97" i="1"/>
  <c r="M97" i="1" s="1"/>
  <c r="D97" i="1"/>
  <c r="C97" i="1"/>
  <c r="G96" i="1"/>
  <c r="M96" i="1" s="1"/>
  <c r="D96" i="1"/>
  <c r="C96" i="1"/>
  <c r="G94" i="1"/>
  <c r="D94" i="1"/>
  <c r="C94" i="1"/>
  <c r="H93" i="1"/>
  <c r="E93" i="1"/>
  <c r="H92" i="1"/>
  <c r="E92" i="1"/>
  <c r="G90" i="1"/>
  <c r="D90" i="1"/>
  <c r="C90" i="1"/>
  <c r="H89" i="1"/>
  <c r="E89" i="1"/>
  <c r="H88" i="1"/>
  <c r="E88" i="1"/>
  <c r="G86" i="1"/>
  <c r="D86" i="1"/>
  <c r="C86" i="1"/>
  <c r="H85" i="1"/>
  <c r="E85" i="1"/>
  <c r="P84" i="1"/>
  <c r="H84" i="1"/>
  <c r="E84" i="1"/>
  <c r="G82" i="1"/>
  <c r="D82" i="1"/>
  <c r="C82" i="1"/>
  <c r="H81" i="1"/>
  <c r="E81" i="1"/>
  <c r="H80" i="1"/>
  <c r="E80" i="1"/>
  <c r="G78" i="1"/>
  <c r="D78" i="1"/>
  <c r="C78" i="1"/>
  <c r="H77" i="1"/>
  <c r="E77" i="1"/>
  <c r="H76" i="1"/>
  <c r="E76" i="1"/>
  <c r="G74" i="1"/>
  <c r="D74" i="1"/>
  <c r="C74" i="1"/>
  <c r="H73" i="1"/>
  <c r="E73" i="1"/>
  <c r="P72" i="1"/>
  <c r="H72" i="1"/>
  <c r="E72" i="1"/>
  <c r="G70" i="1"/>
  <c r="D70" i="1"/>
  <c r="C70" i="1"/>
  <c r="P69" i="1"/>
  <c r="I69" i="1" s="1"/>
  <c r="J69" i="1" s="1"/>
  <c r="H69" i="1"/>
  <c r="E69" i="1"/>
  <c r="P68" i="1"/>
  <c r="I68" i="1" s="1"/>
  <c r="J68" i="1" s="1"/>
  <c r="H68" i="1"/>
  <c r="E68" i="1"/>
  <c r="G66" i="1"/>
  <c r="D66" i="1"/>
  <c r="C66" i="1"/>
  <c r="P65" i="1"/>
  <c r="I65" i="1" s="1"/>
  <c r="J65" i="1" s="1"/>
  <c r="H65" i="1"/>
  <c r="E65" i="1"/>
  <c r="P64" i="1"/>
  <c r="I64" i="1" s="1"/>
  <c r="J64" i="1" s="1"/>
  <c r="H64" i="1"/>
  <c r="E64" i="1"/>
  <c r="G62" i="1"/>
  <c r="D62" i="1"/>
  <c r="C62" i="1"/>
  <c r="P61" i="1"/>
  <c r="I61" i="1" s="1"/>
  <c r="J61" i="1" s="1"/>
  <c r="H61" i="1"/>
  <c r="E61" i="1"/>
  <c r="P60" i="1"/>
  <c r="I60" i="1" s="1"/>
  <c r="J60" i="1" s="1"/>
  <c r="H60" i="1"/>
  <c r="E60" i="1"/>
  <c r="G58" i="1"/>
  <c r="D58" i="1"/>
  <c r="C58" i="1"/>
  <c r="P57" i="1"/>
  <c r="I57" i="1" s="1"/>
  <c r="H57" i="1"/>
  <c r="E57" i="1"/>
  <c r="P56" i="1"/>
  <c r="I56" i="1" s="1"/>
  <c r="J56" i="1" s="1"/>
  <c r="H56" i="1"/>
  <c r="E56" i="1"/>
  <c r="G54" i="1"/>
  <c r="D54" i="1"/>
  <c r="C54" i="1"/>
  <c r="P53" i="1"/>
  <c r="I53" i="1" s="1"/>
  <c r="J53" i="1" s="1"/>
  <c r="H53" i="1"/>
  <c r="E53" i="1"/>
  <c r="P52" i="1"/>
  <c r="I52" i="1" s="1"/>
  <c r="J52" i="1" s="1"/>
  <c r="H52" i="1"/>
  <c r="E52" i="1"/>
  <c r="G50" i="1"/>
  <c r="D50" i="1"/>
  <c r="C50" i="1"/>
  <c r="P49" i="1"/>
  <c r="I49" i="1" s="1"/>
  <c r="J49" i="1" s="1"/>
  <c r="H49" i="1"/>
  <c r="E49" i="1"/>
  <c r="P48" i="1"/>
  <c r="I48" i="1" s="1"/>
  <c r="J48" i="1" s="1"/>
  <c r="H48" i="1"/>
  <c r="E48" i="1"/>
  <c r="G45" i="1"/>
  <c r="U45" i="1" s="1"/>
  <c r="D45" i="1"/>
  <c r="C45" i="1"/>
  <c r="G44" i="1"/>
  <c r="U44" i="1" s="1"/>
  <c r="D44" i="1"/>
  <c r="C44" i="1"/>
  <c r="G41" i="1"/>
  <c r="D41" i="1"/>
  <c r="C41" i="1"/>
  <c r="P40" i="1"/>
  <c r="I40" i="1" s="1"/>
  <c r="J40" i="1" s="1"/>
  <c r="H40" i="1"/>
  <c r="E40" i="1"/>
  <c r="P39" i="1"/>
  <c r="I39" i="1" s="1"/>
  <c r="J39" i="1" s="1"/>
  <c r="H39" i="1"/>
  <c r="E39" i="1"/>
  <c r="G37" i="1"/>
  <c r="D37" i="1"/>
  <c r="C37" i="1"/>
  <c r="P36" i="1"/>
  <c r="I36" i="1" s="1"/>
  <c r="J36" i="1" s="1"/>
  <c r="H36" i="1"/>
  <c r="E36" i="1"/>
  <c r="P35" i="1"/>
  <c r="I35" i="1" s="1"/>
  <c r="J35" i="1" s="1"/>
  <c r="H35" i="1"/>
  <c r="E35" i="1"/>
  <c r="G33" i="1"/>
  <c r="D33" i="1"/>
  <c r="C33" i="1"/>
  <c r="P32" i="1"/>
  <c r="I32" i="1" s="1"/>
  <c r="J32" i="1" s="1"/>
  <c r="H32" i="1"/>
  <c r="E32" i="1"/>
  <c r="P31" i="1"/>
  <c r="I31" i="1" s="1"/>
  <c r="J31" i="1" s="1"/>
  <c r="H31" i="1"/>
  <c r="E31" i="1"/>
  <c r="G29" i="1"/>
  <c r="D29" i="1"/>
  <c r="C29" i="1"/>
  <c r="P28" i="1"/>
  <c r="I28" i="1" s="1"/>
  <c r="J28" i="1" s="1"/>
  <c r="H28" i="1"/>
  <c r="E28" i="1"/>
  <c r="P27" i="1"/>
  <c r="I27" i="1" s="1"/>
  <c r="J27" i="1" s="1"/>
  <c r="H27" i="1"/>
  <c r="E27" i="1"/>
  <c r="G25" i="1"/>
  <c r="D25" i="1"/>
  <c r="C25" i="1"/>
  <c r="P24" i="1"/>
  <c r="I24" i="1" s="1"/>
  <c r="J24" i="1" s="1"/>
  <c r="H24" i="1"/>
  <c r="E24" i="1"/>
  <c r="P23" i="1"/>
  <c r="I23" i="1" s="1"/>
  <c r="J23" i="1" s="1"/>
  <c r="H23" i="1"/>
  <c r="E23" i="1"/>
  <c r="G21" i="1"/>
  <c r="D21" i="1"/>
  <c r="C21" i="1"/>
  <c r="P20" i="1"/>
  <c r="I20" i="1" s="1"/>
  <c r="J20" i="1" s="1"/>
  <c r="H20" i="1"/>
  <c r="E20" i="1"/>
  <c r="P19" i="1"/>
  <c r="I19" i="1" s="1"/>
  <c r="J19" i="1" s="1"/>
  <c r="H19" i="1"/>
  <c r="E19" i="1"/>
  <c r="G17" i="1"/>
  <c r="D17" i="1"/>
  <c r="C17" i="1"/>
  <c r="H16" i="1"/>
  <c r="E16" i="1"/>
  <c r="H15" i="1"/>
  <c r="E15" i="1"/>
  <c r="G13" i="1"/>
  <c r="D13" i="1"/>
  <c r="C13" i="1"/>
  <c r="H12" i="1"/>
  <c r="E12" i="1"/>
  <c r="H11" i="1"/>
  <c r="E11" i="1"/>
  <c r="G9" i="1"/>
  <c r="D9" i="1"/>
  <c r="C9" i="1"/>
  <c r="H8" i="1"/>
  <c r="E8" i="1"/>
  <c r="P7" i="1"/>
  <c r="H7" i="1"/>
  <c r="E7" i="1"/>
  <c r="G5" i="1"/>
  <c r="D5" i="1"/>
  <c r="C5" i="1"/>
  <c r="H4" i="1"/>
  <c r="E4" i="1"/>
  <c r="P3" i="1"/>
  <c r="H3" i="1"/>
  <c r="E3" i="1"/>
  <c r="I93" i="1" l="1"/>
  <c r="J93" i="1" s="1"/>
  <c r="I92" i="1"/>
  <c r="I84" i="1"/>
  <c r="I89" i="1"/>
  <c r="J89" i="1" s="1"/>
  <c r="I88" i="1"/>
  <c r="I85" i="1"/>
  <c r="J85" i="1" s="1"/>
  <c r="I130" i="1"/>
  <c r="J130" i="1" s="1"/>
  <c r="I129" i="1"/>
  <c r="J129" i="1" s="1"/>
  <c r="I125" i="1"/>
  <c r="J125" i="1" s="1"/>
  <c r="I117" i="1"/>
  <c r="I124" i="1"/>
  <c r="I116" i="1"/>
  <c r="J116" i="1" s="1"/>
  <c r="I121" i="1"/>
  <c r="J121" i="1" s="1"/>
  <c r="I120" i="1"/>
  <c r="J120" i="1" s="1"/>
  <c r="I113" i="1"/>
  <c r="J113" i="1" s="1"/>
  <c r="I112" i="1"/>
  <c r="J112" i="1" s="1"/>
  <c r="I187" i="1"/>
  <c r="J187" i="1" s="1"/>
  <c r="I186" i="1"/>
  <c r="I178" i="1"/>
  <c r="J178" i="1" s="1"/>
  <c r="I183" i="1"/>
  <c r="J183" i="1" s="1"/>
  <c r="I179" i="1"/>
  <c r="J179" i="1" s="1"/>
  <c r="I182" i="1"/>
  <c r="J182" i="1" s="1"/>
  <c r="I15" i="1"/>
  <c r="J15" i="1" s="1"/>
  <c r="I8" i="1"/>
  <c r="J8" i="1" s="1"/>
  <c r="I7" i="1"/>
  <c r="I16" i="1"/>
  <c r="I11" i="1"/>
  <c r="J11" i="1" s="1"/>
  <c r="I12" i="1"/>
  <c r="J12" i="1" s="1"/>
  <c r="I72" i="1"/>
  <c r="J72" i="1" s="1"/>
  <c r="I81" i="1"/>
  <c r="J81" i="1" s="1"/>
  <c r="I77" i="1"/>
  <c r="J77" i="1" s="1"/>
  <c r="I76" i="1"/>
  <c r="J76" i="1" s="1"/>
  <c r="I73" i="1"/>
  <c r="I80" i="1"/>
  <c r="I139" i="1"/>
  <c r="I138" i="1"/>
  <c r="J138" i="1" s="1"/>
  <c r="I147" i="1"/>
  <c r="J147" i="1" s="1"/>
  <c r="I146" i="1"/>
  <c r="J146" i="1" s="1"/>
  <c r="I143" i="1"/>
  <c r="J143" i="1" s="1"/>
  <c r="I142" i="1"/>
  <c r="J142" i="1" s="1"/>
  <c r="I170" i="1"/>
  <c r="J170" i="1" s="1"/>
  <c r="I167" i="1"/>
  <c r="I166" i="1"/>
  <c r="J166" i="1" s="1"/>
  <c r="I175" i="1"/>
  <c r="J175" i="1" s="1"/>
  <c r="I174" i="1"/>
  <c r="J174" i="1" s="1"/>
  <c r="I171" i="1"/>
  <c r="J171" i="1" s="1"/>
  <c r="I104" i="1"/>
  <c r="I109" i="1"/>
  <c r="J109" i="1" s="1"/>
  <c r="I105" i="1"/>
  <c r="J105" i="1" s="1"/>
  <c r="I101" i="1"/>
  <c r="I100" i="1"/>
  <c r="J100" i="1" s="1"/>
  <c r="I108" i="1"/>
  <c r="J108" i="1" s="1"/>
  <c r="I163" i="1"/>
  <c r="J163" i="1" s="1"/>
  <c r="I162" i="1"/>
  <c r="J162" i="1" s="1"/>
  <c r="I159" i="1"/>
  <c r="J159" i="1" s="1"/>
  <c r="I155" i="1"/>
  <c r="J155" i="1" s="1"/>
  <c r="I154" i="1"/>
  <c r="I158" i="1"/>
  <c r="I195" i="1"/>
  <c r="J195" i="1" s="1"/>
  <c r="I194" i="1"/>
  <c r="J194" i="1" s="1"/>
  <c r="I191" i="1"/>
  <c r="I198" i="1"/>
  <c r="J198" i="1" s="1"/>
  <c r="I190" i="1"/>
  <c r="J190" i="1" s="1"/>
  <c r="I199" i="1"/>
  <c r="J199" i="1" s="1"/>
  <c r="H97" i="1"/>
  <c r="H44" i="1"/>
  <c r="H45" i="1"/>
  <c r="G152" i="1"/>
  <c r="M152" i="1" s="1"/>
  <c r="C152" i="1"/>
  <c r="J54" i="1"/>
  <c r="H150" i="1"/>
  <c r="H96" i="1"/>
  <c r="H144" i="1"/>
  <c r="D152" i="1"/>
  <c r="E156" i="1"/>
  <c r="E21" i="1"/>
  <c r="J16" i="1"/>
  <c r="H202" i="1"/>
  <c r="I3" i="1"/>
  <c r="J3" i="1" s="1"/>
  <c r="I4" i="1"/>
  <c r="J4" i="1" s="1"/>
  <c r="J7" i="1"/>
  <c r="H41" i="1"/>
  <c r="H203" i="1"/>
  <c r="H255" i="1"/>
  <c r="H254" i="1"/>
  <c r="J73" i="1"/>
  <c r="J80" i="1"/>
  <c r="J84" i="1"/>
  <c r="J92" i="1"/>
  <c r="J117" i="1"/>
  <c r="J124" i="1"/>
  <c r="J206" i="1"/>
  <c r="J207" i="1"/>
  <c r="J191" i="1"/>
  <c r="J167" i="1"/>
  <c r="J211" i="1"/>
  <c r="J210" i="1"/>
  <c r="J231" i="1"/>
  <c r="J251" i="1"/>
  <c r="J250" i="1"/>
  <c r="J215" i="1"/>
  <c r="J214" i="1"/>
  <c r="J158" i="1"/>
  <c r="J219" i="1"/>
  <c r="J218" i="1"/>
  <c r="J235" i="1"/>
  <c r="J234" i="1"/>
  <c r="J223" i="1"/>
  <c r="J222" i="1"/>
  <c r="J238" i="1"/>
  <c r="J239" i="1"/>
  <c r="I134" i="1"/>
  <c r="J134" i="1" s="1"/>
  <c r="I135" i="1"/>
  <c r="J135" i="1" s="1"/>
  <c r="J227" i="1"/>
  <c r="J226" i="1"/>
  <c r="J243" i="1"/>
  <c r="J139" i="1"/>
  <c r="J186" i="1"/>
  <c r="J247" i="1"/>
  <c r="J246" i="1"/>
  <c r="E33" i="1"/>
  <c r="E74" i="1"/>
  <c r="E96" i="1"/>
  <c r="H110" i="1"/>
  <c r="E188" i="1"/>
  <c r="H192" i="1"/>
  <c r="E25" i="1"/>
  <c r="E78" i="1"/>
  <c r="H82" i="1"/>
  <c r="H90" i="1"/>
  <c r="E110" i="1"/>
  <c r="J66" i="1"/>
  <c r="E200" i="1"/>
  <c r="E248" i="1"/>
  <c r="E255" i="1"/>
  <c r="H25" i="1"/>
  <c r="H62" i="1"/>
  <c r="H248" i="1"/>
  <c r="H216" i="1"/>
  <c r="E232" i="1"/>
  <c r="E114" i="1"/>
  <c r="E148" i="1"/>
  <c r="E184" i="1"/>
  <c r="H240" i="1"/>
  <c r="E192" i="1"/>
  <c r="E208" i="1"/>
  <c r="E236" i="1"/>
  <c r="H37" i="1"/>
  <c r="H102" i="1"/>
  <c r="E136" i="1"/>
  <c r="H140" i="1"/>
  <c r="E172" i="1"/>
  <c r="H236" i="1"/>
  <c r="H17" i="1"/>
  <c r="E90" i="1"/>
  <c r="J33" i="1"/>
  <c r="H148" i="1"/>
  <c r="H160" i="1"/>
  <c r="E202" i="1"/>
  <c r="E54" i="1"/>
  <c r="E118" i="1"/>
  <c r="H224" i="1"/>
  <c r="H13" i="1"/>
  <c r="J41" i="1"/>
  <c r="E70" i="1"/>
  <c r="E168" i="1"/>
  <c r="H188" i="1"/>
  <c r="H208" i="1"/>
  <c r="E228" i="1"/>
  <c r="E58" i="1"/>
  <c r="E254" i="1"/>
  <c r="H58" i="1"/>
  <c r="J25" i="1"/>
  <c r="J29" i="1"/>
  <c r="H78" i="1"/>
  <c r="E86" i="1"/>
  <c r="H172" i="1"/>
  <c r="E203" i="1"/>
  <c r="E220" i="1"/>
  <c r="H66" i="1"/>
  <c r="N203" i="1"/>
  <c r="H220" i="1"/>
  <c r="H21" i="1"/>
  <c r="H50" i="1"/>
  <c r="H180" i="1"/>
  <c r="H252" i="1"/>
  <c r="H94" i="1"/>
  <c r="H184" i="1"/>
  <c r="J50" i="1"/>
  <c r="H9" i="1"/>
  <c r="H122" i="1"/>
  <c r="H176" i="1"/>
  <c r="J21" i="1"/>
  <c r="H70" i="1"/>
  <c r="H114" i="1"/>
  <c r="E122" i="1"/>
  <c r="E140" i="1"/>
  <c r="H164" i="1"/>
  <c r="H196" i="1"/>
  <c r="N254" i="1"/>
  <c r="G204" i="1"/>
  <c r="M204" i="1" s="1"/>
  <c r="E224" i="1"/>
  <c r="E252" i="1"/>
  <c r="E13" i="1"/>
  <c r="D98" i="1"/>
  <c r="E97" i="1"/>
  <c r="H132" i="1"/>
  <c r="E150" i="1"/>
  <c r="D204" i="1"/>
  <c r="H212" i="1"/>
  <c r="E244" i="1"/>
  <c r="C46" i="1"/>
  <c r="E37" i="1"/>
  <c r="G98" i="1"/>
  <c r="M98" i="1" s="1"/>
  <c r="E132" i="1"/>
  <c r="N150" i="1"/>
  <c r="E160" i="1"/>
  <c r="H168" i="1"/>
  <c r="H200" i="1"/>
  <c r="D256" i="1"/>
  <c r="H33" i="1"/>
  <c r="J37" i="1"/>
  <c r="H127" i="1"/>
  <c r="N151" i="1"/>
  <c r="N202" i="1"/>
  <c r="H244" i="1"/>
  <c r="G46" i="1"/>
  <c r="U46" i="1" s="1"/>
  <c r="H29" i="1"/>
  <c r="V45" i="1"/>
  <c r="H54" i="1"/>
  <c r="E66" i="1"/>
  <c r="H86" i="1"/>
  <c r="H106" i="1"/>
  <c r="H118" i="1"/>
  <c r="E127" i="1"/>
  <c r="H228" i="1"/>
  <c r="J62" i="1"/>
  <c r="E17" i="1"/>
  <c r="E62" i="1"/>
  <c r="E94" i="1"/>
  <c r="C98" i="1"/>
  <c r="E176" i="1"/>
  <c r="V44" i="1"/>
  <c r="E45" i="1"/>
  <c r="E106" i="1"/>
  <c r="E5" i="1"/>
  <c r="D46" i="1"/>
  <c r="N97" i="1"/>
  <c r="E102" i="1"/>
  <c r="E216" i="1"/>
  <c r="E44" i="1"/>
  <c r="E9" i="1"/>
  <c r="H5" i="1"/>
  <c r="J70" i="1"/>
  <c r="N96" i="1"/>
  <c r="H136" i="1"/>
  <c r="E144" i="1"/>
  <c r="E151" i="1"/>
  <c r="C256" i="1"/>
  <c r="O34" i="8" s="1"/>
  <c r="E240" i="1"/>
  <c r="N255" i="1"/>
  <c r="E29" i="1"/>
  <c r="E41" i="1"/>
  <c r="J57" i="1"/>
  <c r="J58" i="1" s="1"/>
  <c r="E212" i="1"/>
  <c r="H232" i="1"/>
  <c r="E180" i="1"/>
  <c r="E50" i="1"/>
  <c r="H74" i="1"/>
  <c r="E82" i="1"/>
  <c r="C204" i="1"/>
  <c r="E164" i="1"/>
  <c r="E196" i="1"/>
  <c r="G256" i="1"/>
  <c r="I152" i="1"/>
  <c r="H156" i="1"/>
  <c r="J192" i="1" l="1"/>
  <c r="J9" i="1"/>
  <c r="M256" i="1"/>
  <c r="N256" i="1" s="1"/>
  <c r="C33" i="8"/>
  <c r="P34" i="8"/>
  <c r="P35" i="8" s="1"/>
  <c r="J184" i="1"/>
  <c r="J74" i="1"/>
  <c r="J180" i="1"/>
  <c r="J176" i="1"/>
  <c r="J168" i="1"/>
  <c r="J122" i="1"/>
  <c r="J17" i="1"/>
  <c r="E152" i="1"/>
  <c r="H204" i="1"/>
  <c r="H152" i="1"/>
  <c r="J5" i="1"/>
  <c r="K5" i="1" s="1"/>
  <c r="I45" i="1"/>
  <c r="J13" i="1"/>
  <c r="J208" i="1"/>
  <c r="J118" i="1"/>
  <c r="J78" i="1"/>
  <c r="J196" i="1"/>
  <c r="J94" i="1"/>
  <c r="J200" i="1"/>
  <c r="I44" i="1"/>
  <c r="H98" i="1"/>
  <c r="J86" i="1"/>
  <c r="J110" i="1"/>
  <c r="J132" i="1"/>
  <c r="I256" i="1"/>
  <c r="J164" i="1"/>
  <c r="J160" i="1"/>
  <c r="I202" i="1"/>
  <c r="J202" i="1"/>
  <c r="J204" i="1" s="1"/>
  <c r="J248" i="1"/>
  <c r="J220" i="1"/>
  <c r="J148" i="1"/>
  <c r="J101" i="1"/>
  <c r="J102" i="1" s="1"/>
  <c r="I151" i="1"/>
  <c r="J82" i="1"/>
  <c r="J154" i="1"/>
  <c r="J156" i="1" s="1"/>
  <c r="I96" i="1"/>
  <c r="J188" i="1"/>
  <c r="J228" i="1"/>
  <c r="J224" i="1"/>
  <c r="J172" i="1"/>
  <c r="J144" i="1"/>
  <c r="J127" i="1"/>
  <c r="I150" i="1"/>
  <c r="H46" i="1"/>
  <c r="J140" i="1"/>
  <c r="J114" i="1"/>
  <c r="J136" i="1"/>
  <c r="H256" i="1"/>
  <c r="J216" i="1"/>
  <c r="J240" i="1"/>
  <c r="J252" i="1"/>
  <c r="J236" i="1"/>
  <c r="W44" i="1"/>
  <c r="J212" i="1"/>
  <c r="J230" i="1"/>
  <c r="J232" i="1" s="1"/>
  <c r="I254" i="1"/>
  <c r="I255" i="1"/>
  <c r="I97" i="1"/>
  <c r="J88" i="1"/>
  <c r="J90" i="1" s="1"/>
  <c r="J104" i="1"/>
  <c r="J106" i="1" s="1"/>
  <c r="J242" i="1"/>
  <c r="J244" i="1" s="1"/>
  <c r="I203" i="1"/>
  <c r="I204" i="1"/>
  <c r="J150" i="1"/>
  <c r="J152" i="1" s="1"/>
  <c r="N152" i="1"/>
  <c r="J96" i="1"/>
  <c r="V46" i="1"/>
  <c r="J254" i="1"/>
  <c r="J256" i="1" s="1"/>
  <c r="E46" i="1"/>
  <c r="N98" i="1"/>
  <c r="E256" i="1"/>
  <c r="N204" i="1"/>
  <c r="E204" i="1"/>
  <c r="E98" i="1"/>
  <c r="K9" i="1" l="1"/>
  <c r="K13" i="1" s="1"/>
  <c r="K17" i="1" s="1"/>
  <c r="K21" i="1" s="1"/>
  <c r="K25" i="1" s="1"/>
  <c r="K29" i="1" s="1"/>
  <c r="K33" i="1" s="1"/>
  <c r="K37" i="1" s="1"/>
  <c r="K41" i="1" s="1"/>
  <c r="K50" i="1" s="1"/>
  <c r="K54" i="1" s="1"/>
  <c r="K58" i="1" s="1"/>
  <c r="K62" i="1" s="1"/>
  <c r="K66" i="1" s="1"/>
  <c r="K70" i="1" s="1"/>
  <c r="K74" i="1" s="1"/>
  <c r="K78" i="1" s="1"/>
  <c r="K82" i="1" s="1"/>
  <c r="K86" i="1" s="1"/>
  <c r="K90" i="1" s="1"/>
  <c r="K94" i="1" s="1"/>
  <c r="K98" i="1" s="1"/>
  <c r="K102" i="1" s="1"/>
  <c r="E33" i="8"/>
  <c r="G39" i="8"/>
  <c r="C57" i="5" s="1"/>
  <c r="R152" i="1"/>
  <c r="J6" i="1"/>
  <c r="K6" i="1" s="1"/>
  <c r="W46" i="1"/>
  <c r="R46" i="1"/>
  <c r="R98" i="1"/>
  <c r="R256" i="1"/>
  <c r="R204" i="1"/>
  <c r="E57" i="5" l="1"/>
  <c r="C59" i="5"/>
  <c r="E59" i="5" s="1"/>
  <c r="C58" i="5"/>
  <c r="E58" i="5" s="1"/>
  <c r="K106" i="1"/>
  <c r="K110" i="1" s="1"/>
  <c r="K114" i="1" s="1"/>
  <c r="K118" i="1" s="1"/>
  <c r="K122" i="1" s="1"/>
  <c r="K127" i="1" s="1"/>
  <c r="K132" i="1" s="1"/>
  <c r="K136" i="1" s="1"/>
  <c r="K140" i="1" s="1"/>
  <c r="K144" i="1" s="1"/>
  <c r="K148" i="1" s="1"/>
  <c r="E61" i="5" l="1"/>
  <c r="E63" i="5" s="1"/>
  <c r="K152" i="1"/>
  <c r="K156" i="1" s="1"/>
  <c r="K160" i="1" s="1"/>
  <c r="K164" i="1" s="1"/>
  <c r="K168" i="1" s="1"/>
  <c r="K172" i="1" s="1"/>
  <c r="K176" i="1" s="1"/>
  <c r="K180" i="1" s="1"/>
  <c r="K184" i="1" s="1"/>
  <c r="K188" i="1" s="1"/>
  <c r="K192" i="1" s="1"/>
  <c r="K196" i="1" s="1"/>
  <c r="K200" i="1" s="1"/>
  <c r="E10" i="5" l="1"/>
  <c r="F32" i="5"/>
  <c r="D41" i="5" s="1"/>
  <c r="F12" i="5"/>
  <c r="K204" i="1"/>
  <c r="K208" i="1" s="1"/>
  <c r="D43" i="5" l="1"/>
  <c r="D46" i="5"/>
  <c r="D48" i="5" s="1"/>
  <c r="K212" i="1"/>
  <c r="K216" i="1" s="1"/>
  <c r="K220" i="1" s="1"/>
  <c r="K224" i="1" s="1"/>
  <c r="K228" i="1" s="1"/>
  <c r="K232" i="1" s="1"/>
  <c r="K236" i="1" s="1"/>
  <c r="K240" i="1" s="1"/>
  <c r="K244" i="1" s="1"/>
  <c r="K248" i="1" s="1"/>
  <c r="K252" i="1" s="1"/>
  <c r="K256" i="1" l="1"/>
  <c r="E23" i="5" s="1"/>
  <c r="E25" i="5" l="1"/>
  <c r="F27" i="5" s="1"/>
  <c r="F33" i="5" s="1"/>
  <c r="E41" i="5" l="1"/>
  <c r="F41" i="5" s="1"/>
  <c r="F35" i="5"/>
  <c r="E46" i="5" l="1"/>
  <c r="F46" i="5" s="1"/>
  <c r="J41" i="5"/>
  <c r="E43" i="5"/>
  <c r="F43" i="5" s="1"/>
  <c r="D85" i="5"/>
  <c r="D71" i="5" l="1"/>
  <c r="E71" i="5" s="1"/>
  <c r="E48" i="5"/>
  <c r="F48" i="5" s="1"/>
  <c r="D76" i="5"/>
  <c r="E76" i="5" s="1"/>
  <c r="D74" i="5"/>
  <c r="E74" i="5" s="1"/>
  <c r="D78" i="5"/>
  <c r="E78" i="5" s="1"/>
  <c r="D72" i="5"/>
  <c r="E72" i="5" s="1"/>
  <c r="D79" i="5"/>
  <c r="E79" i="5" s="1"/>
  <c r="D82" i="5"/>
  <c r="E82" i="5" s="1"/>
  <c r="D73" i="5"/>
  <c r="E73" i="5" s="1"/>
  <c r="D80" i="5"/>
  <c r="E80" i="5" s="1"/>
  <c r="D77" i="5"/>
  <c r="E77" i="5" s="1"/>
  <c r="D75" i="5"/>
  <c r="E75" i="5" s="1"/>
  <c r="D81" i="5"/>
  <c r="E81" i="5" s="1"/>
  <c r="D83" i="5" l="1"/>
  <c r="E83" i="5"/>
  <c r="F85" i="5"/>
  <c r="F77" i="5" l="1"/>
  <c r="G77" i="5" s="1"/>
  <c r="H77" i="5" s="1"/>
  <c r="D86" i="5"/>
  <c r="F72" i="5"/>
  <c r="G72" i="5" s="1"/>
  <c r="H72" i="5" s="1"/>
  <c r="F78" i="5"/>
  <c r="G78" i="5" s="1"/>
  <c r="H78" i="5" s="1"/>
  <c r="F82" i="5"/>
  <c r="G82" i="5" s="1"/>
  <c r="H82" i="5" s="1"/>
  <c r="F81" i="5"/>
  <c r="G81" i="5" s="1"/>
  <c r="H81" i="5" s="1"/>
  <c r="F79" i="5"/>
  <c r="G79" i="5" s="1"/>
  <c r="H79" i="5" s="1"/>
  <c r="F71" i="5"/>
  <c r="F80" i="5"/>
  <c r="G80" i="5" s="1"/>
  <c r="H80" i="5" s="1"/>
  <c r="F75" i="5"/>
  <c r="G75" i="5" s="1"/>
  <c r="H75" i="5" s="1"/>
  <c r="F73" i="5"/>
  <c r="G73" i="5" s="1"/>
  <c r="H73" i="5" s="1"/>
  <c r="F76" i="5"/>
  <c r="G76" i="5" s="1"/>
  <c r="H76" i="5" s="1"/>
  <c r="F74" i="5"/>
  <c r="G74" i="5" s="1"/>
  <c r="H74" i="5" s="1"/>
  <c r="F83" i="5" l="1"/>
  <c r="G71" i="5"/>
  <c r="H71" i="5" l="1"/>
  <c r="G83" i="5"/>
  <c r="H8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</author>
    <author>S.Shute</author>
    <author>Steve Shute</author>
  </authors>
  <commentList>
    <comment ref="L16" authorId="0" shapeId="0" xr:uid="{8F0D9DE5-8FA5-4693-BEE0-6D9EBBD77FCC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0" shapeId="0" xr:uid="{F45F20AF-16A4-42B1-BFD1-8115D8D0D352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1" shapeId="0" xr:uid="{1E504089-17C7-4060-AEB7-FA286EB996E0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B56" authorId="2" shapeId="0" xr:uid="{C9D88AE4-1B5D-4A82-BBD9-7360BD4E6D1E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K56" authorId="2" shapeId="0" xr:uid="{73F38DE9-4D4A-4BA2-95E5-3504105D0E0B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BSUM, Dustin updated Dec22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Horner</author>
    <author>Steve Shute</author>
  </authors>
  <commentList>
    <comment ref="F8" authorId="0" shapeId="0" xr:uid="{B126E926-C53F-474F-8020-63BD68AB9D48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auto load rate from calc table </t>
        </r>
      </text>
    </comment>
    <comment ref="L39" authorId="0" shapeId="0" xr:uid="{549FC264-A99D-4FFA-A557-E46AA905F54C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Feb, Mar, Apr sales volumes 2022</t>
        </r>
      </text>
    </comment>
    <comment ref="I45" authorId="1" shapeId="0" xr:uid="{5F42B732-F77D-4AE3-8526-F007841AD248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SS analysis Jan18-Dec22 has TCO at -44c basis for Nov-Mar (77% of Gas Year)</t>
        </r>
      </text>
    </comment>
    <comment ref="C53" authorId="0" shapeId="0" xr:uid="{AE4F1EDB-0601-4F41-A9CF-0F0B49D11014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4" authorId="0" shapeId="0" xr:uid="{15B6988A-E20D-4A38-AC05-8615D0A9E9BA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8" authorId="0" shapeId="0" xr:uid="{E87B15AC-3443-47DE-8F95-37BE59242F56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</authors>
  <commentList>
    <comment ref="K156" authorId="0" shapeId="0" xr:uid="{31CF1194-2BBB-45A2-8F9B-9980A76AA28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88" authorId="0" shapeId="0" xr:uid="{8DC695FE-E52E-4CD3-B17D-62070E4EAA7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6" authorId="0" shapeId="0" xr:uid="{94033D4C-C3EB-435D-B700-56D52A57581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</commentList>
</comments>
</file>

<file path=xl/sharedStrings.xml><?xml version="1.0" encoding="utf-8"?>
<sst xmlns="http://schemas.openxmlformats.org/spreadsheetml/2006/main" count="518" uniqueCount="269">
  <si>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</si>
  <si>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</si>
  <si>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</si>
  <si>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</si>
  <si>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</si>
  <si>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</si>
  <si>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</si>
  <si>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</si>
  <si>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</si>
  <si>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</si>
  <si>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</si>
  <si>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</si>
  <si>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</si>
  <si>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</si>
  <si>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</si>
  <si>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</si>
  <si>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</si>
  <si>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</si>
  <si>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</si>
  <si>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</si>
  <si>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</si>
  <si>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</si>
  <si>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</si>
  <si>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</si>
  <si>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</si>
  <si>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>&lt;Total x Ave GC</t>
  </si>
  <si>
    <t>Daysboro</t>
  </si>
  <si>
    <t>reduce L&amp;U volume by unused Public credit</t>
  </si>
  <si>
    <t>TCO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</si>
  <si>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</si>
  <si>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</si>
  <si>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</si>
  <si>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</si>
  <si>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</si>
  <si>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</si>
  <si>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</si>
  <si>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Mcf</t>
  </si>
  <si>
    <t>Rate</t>
  </si>
  <si>
    <t>Cost</t>
  </si>
  <si>
    <t>N/A</t>
  </si>
  <si>
    <t>Cumberland Valley (Auxier)</t>
  </si>
  <si>
    <t>Diversified Energy (39-E,181-S)</t>
  </si>
  <si>
    <t>*</t>
  </si>
  <si>
    <t>HI-Energy</t>
  </si>
  <si>
    <t>**</t>
  </si>
  <si>
    <t>HTC (Sigma) includes $1.25/Mcf DLR trans</t>
  </si>
  <si>
    <t>Magnum Drilling, Inc.</t>
  </si>
  <si>
    <t>Nytis (Auxier)</t>
  </si>
  <si>
    <t>Quality (Belfry)</t>
  </si>
  <si>
    <t>Slone Energy</t>
  </si>
  <si>
    <t>Spirit</t>
  </si>
  <si>
    <t xml:space="preserve">Line loss 12 months ended: </t>
  </si>
  <si>
    <t>and sales of</t>
  </si>
  <si>
    <t>Amount</t>
  </si>
  <si>
    <t>Total Expected Cost of Purchases (6)</t>
  </si>
  <si>
    <t>$</t>
  </si>
  <si>
    <t>/</t>
  </si>
  <si>
    <t>Mcf Purchases (4)</t>
  </si>
  <si>
    <t>=</t>
  </si>
  <si>
    <t>$/Mcf</t>
  </si>
  <si>
    <t xml:space="preserve">   past filings lopped 3-5% off known, forecast gas costs</t>
  </si>
  <si>
    <t>Sales &amp; Purchase volumes from last whole year, used for $ /mcf calcs</t>
  </si>
  <si>
    <t>Columbia charges retail rate at Phelps &amp; GobleRobts, small load</t>
  </si>
  <si>
    <t>many smaller producers are 80% of TCO</t>
  </si>
  <si>
    <t>Columbia of KY</t>
  </si>
  <si>
    <t>Diversified</t>
  </si>
  <si>
    <t>Southern Energy</t>
  </si>
  <si>
    <t>GAS SALES VOLUMES, next period:</t>
  </si>
  <si>
    <t>(calculated on pg. 2)</t>
  </si>
  <si>
    <t>GAS PURCHASE COSTS, next period: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</si>
  <si>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</si>
  <si>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</si>
  <si>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</si>
  <si>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</si>
  <si>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</si>
  <si>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</si>
  <si>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</si>
  <si>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</si>
  <si>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</si>
  <si>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</si>
  <si>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>proposed</t>
  </si>
  <si>
    <t>current</t>
  </si>
  <si>
    <t xml:space="preserve"> change</t>
  </si>
  <si>
    <t>Large Commercial</t>
  </si>
  <si>
    <t>Purchased</t>
  </si>
  <si>
    <t>Gas Cost</t>
  </si>
  <si>
    <t>Ave 5 yrs</t>
  </si>
  <si>
    <t xml:space="preserve">                                             TOTALS</t>
  </si>
  <si>
    <t>Gas Use</t>
  </si>
  <si>
    <t>Gas</t>
  </si>
  <si>
    <t>New Rate</t>
  </si>
  <si>
    <t>Old Rate</t>
  </si>
  <si>
    <t>% of Yr</t>
  </si>
  <si>
    <t>Charge</t>
  </si>
  <si>
    <t>Total Bill</t>
  </si>
  <si>
    <t>Change $</t>
  </si>
  <si>
    <t>Change %</t>
  </si>
  <si>
    <t>Annualized Effect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</si>
  <si>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</si>
  <si>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</si>
  <si>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</si>
  <si>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</si>
  <si>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</si>
  <si>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</si>
  <si>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</si>
  <si>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</si>
  <si>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</si>
  <si>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</si>
  <si>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</si>
  <si>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</si>
  <si>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^Average Residential profile</t>
  </si>
  <si>
    <t>Based on historical data and current contracts</t>
  </si>
  <si>
    <t>Gross sales components, $ per MCF</t>
  </si>
  <si>
    <t>MCF</t>
  </si>
  <si>
    <t>per MCF of sales, next period</t>
  </si>
  <si>
    <t>per MCF of Sales</t>
  </si>
  <si>
    <t>$ / MCF</t>
  </si>
  <si>
    <t>Monthly MCF volumes are based on average Sales for last 5 years.</t>
  </si>
  <si>
    <t>rate per MCF</t>
  </si>
  <si>
    <t>L&amp;U Limit calcs</t>
  </si>
  <si>
    <t>Sales/limtr</t>
  </si>
  <si>
    <t xml:space="preserve">         Residental &amp; Commercial</t>
  </si>
  <si>
    <t>PROJECTED NEXT QUARTER</t>
  </si>
  <si>
    <t>no credit carryover</t>
  </si>
  <si>
    <t>Inclusion of Daysboro into KFG</t>
  </si>
  <si>
    <t>Dths</t>
  </si>
  <si>
    <t>Wtd Avg Btu</t>
  </si>
  <si>
    <t>Tackett</t>
  </si>
  <si>
    <t>Total Frontier less Public Gas</t>
  </si>
  <si>
    <t>former Public Gas</t>
  </si>
  <si>
    <t xml:space="preserve">Jefferson-EKM (incl Daysboro) </t>
  </si>
  <si>
    <t>at TCO 60c</t>
  </si>
  <si>
    <t>at TCO 44c</t>
  </si>
  <si>
    <t>GBA has</t>
  </si>
  <si>
    <t>NYMEX</t>
  </si>
  <si>
    <t>Est Dth</t>
  </si>
  <si>
    <t>to Schedule I</t>
  </si>
  <si>
    <t>per DTh at NYMEX</t>
  </si>
  <si>
    <t>NYMEx</t>
  </si>
  <si>
    <t>Hi Energy contract</t>
  </si>
  <si>
    <t>$4.25/Dth or 80% of FOM TCo Appal Index, whichever is greater</t>
  </si>
  <si>
    <t>$4.00/Dth or 80% of FOM TCo Appal Index, whichever is greater</t>
  </si>
  <si>
    <t>EGC per MCF Sold</t>
  </si>
  <si>
    <t>Average Expected Cost per MCF Purchased</t>
  </si>
  <si>
    <t>TCO basis</t>
  </si>
  <si>
    <t>Sched II EGC</t>
  </si>
  <si>
    <t>EGC Expected Gas Cost</t>
  </si>
  <si>
    <t>Allocation of gas costs by supplier</t>
  </si>
  <si>
    <t>Kentucky Frontier Gas, LLC - unified utility</t>
  </si>
  <si>
    <t xml:space="preserve">based on purchase of </t>
  </si>
  <si>
    <t>Adjusted cost basis by Supplier</t>
  </si>
  <si>
    <t>5 year average winter differential</t>
  </si>
  <si>
    <t>DLR (Sigma)</t>
  </si>
  <si>
    <t>tariffed utility rate</t>
  </si>
  <si>
    <t>greater of 80% TCO or $4.00 /Dth</t>
  </si>
  <si>
    <t>HTC, Spirit/Tackett contract</t>
  </si>
  <si>
    <t>greater of 80% TCO or $4.25 /Dth</t>
  </si>
  <si>
    <t>80% TCO</t>
  </si>
  <si>
    <t>TCO + $0.10</t>
  </si>
  <si>
    <t>TCO + $5.75 +15% L&amp;U</t>
  </si>
  <si>
    <t>per DTh</t>
  </si>
  <si>
    <t>TCO + $1.15 marketing</t>
  </si>
  <si>
    <t>TCo + $0.9246 (14% Fuel) + $1.05 (Commodity) + $0.20 (Demand)</t>
  </si>
  <si>
    <t>fixed contract for Blaine</t>
  </si>
  <si>
    <t>Wtd Ave</t>
  </si>
  <si>
    <t>wt av btu</t>
  </si>
  <si>
    <t>est Sales mcf</t>
  </si>
  <si>
    <t>Futures</t>
  </si>
  <si>
    <t>wtd ave futures price for next quarter</t>
  </si>
  <si>
    <t>TCO Appal Basis FofMo</t>
  </si>
  <si>
    <t xml:space="preserve">   forecast TCO FOM</t>
  </si>
  <si>
    <t>per ave basis off NYMEx</t>
  </si>
  <si>
    <t>TCO + 14% KWV L&amp;U-fuel; PL comm-demand</t>
  </si>
  <si>
    <t>NYMEx + TCoPL fuel-demand-comm, marktg</t>
  </si>
  <si>
    <t>transpt frm 8 suppliers to Auxr-BTU-Sigma</t>
  </si>
  <si>
    <t>Jefferson EKM (Public)</t>
  </si>
  <si>
    <t>Slone Egy contract</t>
  </si>
  <si>
    <t>Nytis (Sigma)</t>
  </si>
  <si>
    <t>Columbia (Goble Roberts, Peoples)</t>
  </si>
  <si>
    <t>Southern Energy (Sigma) incl $1.25/Mcf DLR trans</t>
  </si>
  <si>
    <t>CVR Cumberland Valley (Auxier)</t>
  </si>
  <si>
    <t>Magnum Drilling contract</t>
  </si>
  <si>
    <t>Southern Energy (EKU-MLG-Price)</t>
  </si>
  <si>
    <t>to Oct22</t>
  </si>
  <si>
    <t>present form thru PGA filing 22-327</t>
  </si>
  <si>
    <t>forecasts the TCO index…</t>
  </si>
  <si>
    <t>automate, so that entering the NYMEx futures price…</t>
  </si>
  <si>
    <t xml:space="preserve">  to predict the cost from each supplier</t>
  </si>
  <si>
    <t xml:space="preserve">TCo + $0.1318/Dth (1.996% Fuel) + $0.0190/Dth Commodity + $0.3417/Dth (TCo Demand) +  </t>
  </si>
  <si>
    <t>round to 2 digits for CCF rate</t>
  </si>
  <si>
    <t>Comments non-printing</t>
  </si>
  <si>
    <t>from GBA tab, Col K</t>
  </si>
  <si>
    <t>EXPECTED GAS COSTS:</t>
  </si>
  <si>
    <t>GAS SALES VOLUMES, last 12 months</t>
  </si>
  <si>
    <t>UNDER-Recovered Gas Cost to amortize</t>
  </si>
  <si>
    <t>DETERMINATION OF RATES by Class of Customer:</t>
  </si>
  <si>
    <t>Non Gas</t>
  </si>
  <si>
    <t>surcharge to amortize Gas Bal Acct</t>
  </si>
  <si>
    <t>total Gas charge, carry to Rates sheet</t>
  </si>
  <si>
    <t>current surcharge is AA+BA from last quarterly filing</t>
  </si>
  <si>
    <t>change in total volumetric rate</t>
  </si>
  <si>
    <t>EFFECT OF RATE CHANGE on Average Residential customer:</t>
  </si>
  <si>
    <t>Res'l monthly usage profile from BSUM</t>
  </si>
  <si>
    <t>from Row 40-41 above</t>
  </si>
  <si>
    <t>No credit for next period</t>
  </si>
  <si>
    <t>Purchases were within % limits</t>
  </si>
  <si>
    <t>SCHEDULE I</t>
  </si>
  <si>
    <t>GAS BALANCING ACCOUNT</t>
  </si>
  <si>
    <t>Kentucky Frontier Gas</t>
  </si>
  <si>
    <t>EXPECTED GAS COST - EGC</t>
  </si>
  <si>
    <t>amortize Balance over next year of gas sales</t>
  </si>
  <si>
    <t xml:space="preserve">  divide GBA balance / annual Sales MCF</t>
  </si>
  <si>
    <t>Total EGC</t>
  </si>
  <si>
    <t>5 year ave sales from BSUM records</t>
  </si>
  <si>
    <t>next quarter, see below</t>
  </si>
  <si>
    <t>SCHEDULE III</t>
  </si>
  <si>
    <t>EXPECTED GAS COST of sales</t>
  </si>
  <si>
    <t xml:space="preserve">   PLUS (Under) / MINUS (Over) -Recovery Bal Adjustmt</t>
  </si>
  <si>
    <t>EXPECTED GAS COST per MCF of sales</t>
  </si>
  <si>
    <t>GAS COST RECOVERY RATES:</t>
  </si>
  <si>
    <t>TOTAL Gas Cost Recovery RATE</t>
  </si>
  <si>
    <t>Adjustment</t>
  </si>
  <si>
    <t>from Schedule II</t>
  </si>
  <si>
    <t>from Schedule III</t>
  </si>
  <si>
    <t>EGC</t>
  </si>
  <si>
    <t>incl gas cost portion of Bad Debt into Purch cost</t>
  </si>
  <si>
    <t>Balance Adjmt</t>
  </si>
  <si>
    <t>per MCF</t>
  </si>
  <si>
    <t>next quarter, see below at B54</t>
  </si>
  <si>
    <t>last month of full actual figures</t>
  </si>
  <si>
    <t>L&amp;U Limiter</t>
  </si>
  <si>
    <t>applied to annual losses in Gas Year</t>
  </si>
  <si>
    <t xml:space="preserve">   only going forward; past L&amp;U not ltd</t>
  </si>
  <si>
    <t>(4)</t>
  </si>
  <si>
    <t>(5)</t>
  </si>
  <si>
    <t>^ to Sched I</t>
  </si>
  <si>
    <t>Nytis (Sigma) incl $1.25/Mcf DLR transpt</t>
  </si>
  <si>
    <t>Jefferson (Sigma) rate incl $1.25/Mcf DLR transpt</t>
  </si>
  <si>
    <t>Cumberland Valley (Sigma) incl $1.25 DLR transpt</t>
  </si>
  <si>
    <t xml:space="preserve">   this is the only section kept for new GCR calcs</t>
  </si>
  <si>
    <t>BTU among largest sources</t>
  </si>
  <si>
    <t>NYMEX index is industry std, gas futures out many months; TCO is typ lower</t>
  </si>
  <si>
    <t>^same</t>
  </si>
  <si>
    <t>Top 4 supply 87% of annual volume</t>
  </si>
  <si>
    <t>EKM Jefferson is non-regulated, 26% of volume and 40% of cost</t>
  </si>
  <si>
    <t>for the 22-327 filing, we removed forward-looking haircut for excess L&amp;U</t>
  </si>
  <si>
    <t>Gas Bal Acct, at Oct 31, 2022</t>
  </si>
  <si>
    <t>Daysboro rates not calc'd here, see Tariff sheet</t>
  </si>
  <si>
    <t>Sales volume from BSUM Billing Summary</t>
  </si>
  <si>
    <t>mcf</t>
  </si>
  <si>
    <t>EGC calc on Schedule II</t>
  </si>
  <si>
    <t>change</t>
  </si>
  <si>
    <t>Balance to amortize 12 mos</t>
  </si>
  <si>
    <t xml:space="preserve">   minimal volume</t>
  </si>
  <si>
    <t>similar model used for Pinedale NG, Wyoming PSC</t>
  </si>
  <si>
    <t>Cum O/U Recov GBA Balance</t>
  </si>
  <si>
    <t>from Tariff</t>
  </si>
  <si>
    <t>GCR = EGC + RA + AA + BA</t>
  </si>
  <si>
    <t>RA = 0, AA included in BA</t>
  </si>
  <si>
    <t>BALANCE ADJUSTMENT</t>
  </si>
  <si>
    <t xml:space="preserve">CUMULATIVE Over/(Under) RECOVERY </t>
  </si>
  <si>
    <t>from Sch II</t>
  </si>
  <si>
    <t>&lt; round Sales nrst 500</t>
  </si>
  <si>
    <t>monthly % from BSUM.xls Profile</t>
  </si>
  <si>
    <t xml:space="preserve">  for average Residential customer</t>
  </si>
  <si>
    <t>annual ave 50 mcf from BSUM Profile</t>
  </si>
  <si>
    <t>RATE DETERMINATION ILLUSTRATION</t>
  </si>
  <si>
    <t xml:space="preserve">Comments </t>
  </si>
  <si>
    <t>Ky Frontier GCR Ex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</si>
</sst>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#,##0.00000_);\(#,##0.00000\)"/>
    <numFmt numFmtId="173" formatCode="_(* #,##0.0_);_(* \(#,##0.0\);_(* &quot;-&quot;??_);_(@_)"/>
    <numFmt numFmtId="174" formatCode="#,##0.000_);\(#,##0.000\)"/>
    <numFmt numFmtId="175" formatCode="0.000000"/>
    <numFmt numFmtId="176" formatCode="0.0"/>
    <numFmt numFmtId="177" formatCode="#,##0.0000"/>
    <numFmt numFmtId="178" formatCode="&quot;$&quot;#,##0.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color indexed="8"/>
      <name val="Calibri"/>
      <family val="2"/>
      <scheme val="minor"/>
    </font>
    <font>
      <u val="double"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C00000"/>
      <name val="Calibri"/>
      <family val="2"/>
    </font>
    <font>
      <u val="double"/>
      <sz val="12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u val="double"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1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0" fontId="16" fillId="0" borderId="0" xfId="5" applyFont="1"/>
    <xf numFmtId="0" fontId="17" fillId="0" borderId="0" xfId="5" applyFont="1"/>
    <xf numFmtId="0" fontId="17" fillId="0" borderId="0" xfId="5" applyFont="1" applyAlignment="1">
      <alignment horizontal="right"/>
    </xf>
    <xf numFmtId="0" fontId="16" fillId="0" borderId="0" xfId="5" applyFont="1" applyAlignment="1">
      <alignment horizontal="left"/>
    </xf>
    <xf numFmtId="0" fontId="17" fillId="0" borderId="0" xfId="5" applyFont="1" applyAlignment="1">
      <alignment horizontal="centerContinuous"/>
    </xf>
    <xf numFmtId="0" fontId="18" fillId="0" borderId="0" xfId="5" applyFont="1"/>
    <xf numFmtId="0" fontId="17" fillId="0" borderId="0" xfId="5" applyFont="1" applyAlignment="1">
      <alignment horizontal="left"/>
    </xf>
    <xf numFmtId="37" fontId="17" fillId="9" borderId="0" xfId="5" applyNumberFormat="1" applyFont="1" applyFill="1"/>
    <xf numFmtId="0" fontId="18" fillId="10" borderId="0" xfId="5" applyFont="1" applyFill="1"/>
    <xf numFmtId="37" fontId="17" fillId="0" borderId="0" xfId="5" applyNumberFormat="1" applyFont="1"/>
    <xf numFmtId="2" fontId="17" fillId="0" borderId="0" xfId="5" applyNumberFormat="1" applyFont="1"/>
    <xf numFmtId="166" fontId="17" fillId="0" borderId="0" xfId="2" applyNumberFormat="1" applyFont="1" applyAlignment="1" applyProtection="1"/>
    <xf numFmtId="44" fontId="16" fillId="0" borderId="0" xfId="5" applyNumberFormat="1" applyFont="1"/>
    <xf numFmtId="5" fontId="17" fillId="0" borderId="0" xfId="5" applyNumberFormat="1" applyFont="1"/>
    <xf numFmtId="14" fontId="17" fillId="0" borderId="0" xfId="5" applyNumberFormat="1" applyFont="1"/>
    <xf numFmtId="0" fontId="17" fillId="2" borderId="0" xfId="5" applyFont="1" applyFill="1"/>
    <xf numFmtId="49" fontId="17" fillId="0" borderId="0" xfId="5" applyNumberFormat="1" applyFont="1"/>
    <xf numFmtId="0" fontId="17" fillId="0" borderId="0" xfId="5" quotePrefix="1" applyFont="1" applyAlignment="1">
      <alignment horizontal="right"/>
    </xf>
    <xf numFmtId="41" fontId="17" fillId="0" borderId="0" xfId="6" applyNumberFormat="1" applyFont="1"/>
    <xf numFmtId="166" fontId="19" fillId="7" borderId="11" xfId="2" applyNumberFormat="1" applyFont="1" applyFill="1" applyBorder="1" applyProtection="1"/>
    <xf numFmtId="166" fontId="17" fillId="0" borderId="13" xfId="5" applyNumberFormat="1" applyFont="1" applyBorder="1"/>
    <xf numFmtId="3" fontId="17" fillId="0" borderId="0" xfId="5" applyNumberFormat="1" applyFont="1"/>
    <xf numFmtId="3" fontId="18" fillId="10" borderId="0" xfId="5" applyNumberFormat="1" applyFont="1" applyFill="1"/>
    <xf numFmtId="44" fontId="11" fillId="0" borderId="0" xfId="2" applyFont="1"/>
    <xf numFmtId="44" fontId="19" fillId="7" borderId="0" xfId="6" applyNumberFormat="1" applyFont="1" applyFill="1"/>
    <xf numFmtId="172" fontId="17" fillId="0" borderId="0" xfId="5" applyNumberFormat="1" applyFont="1"/>
    <xf numFmtId="44" fontId="11" fillId="0" borderId="11" xfId="5" applyNumberFormat="1" applyFont="1" applyBorder="1"/>
    <xf numFmtId="44" fontId="16" fillId="0" borderId="0" xfId="2" applyFont="1" applyProtection="1"/>
    <xf numFmtId="44" fontId="16" fillId="0" borderId="0" xfId="7" applyFont="1" applyProtection="1"/>
    <xf numFmtId="2" fontId="17" fillId="0" borderId="0" xfId="7" applyNumberFormat="1" applyFont="1" applyProtection="1"/>
    <xf numFmtId="0" fontId="20" fillId="0" borderId="0" xfId="5" applyFont="1" applyAlignment="1">
      <alignment horizontal="left"/>
    </xf>
    <xf numFmtId="0" fontId="20" fillId="0" borderId="0" xfId="5" applyFont="1"/>
    <xf numFmtId="0" fontId="16" fillId="0" borderId="11" xfId="5" applyFont="1" applyBorder="1" applyAlignment="1">
      <alignment horizontal="right"/>
    </xf>
    <xf numFmtId="0" fontId="16" fillId="0" borderId="0" xfId="5" applyFont="1" applyAlignment="1">
      <alignment horizontal="right"/>
    </xf>
    <xf numFmtId="43" fontId="11" fillId="0" borderId="0" xfId="6" applyFont="1" applyFill="1"/>
    <xf numFmtId="43" fontId="11" fillId="0" borderId="0" xfId="6" applyFont="1"/>
    <xf numFmtId="44" fontId="17" fillId="0" borderId="0" xfId="7" applyFont="1"/>
    <xf numFmtId="167" fontId="18" fillId="0" borderId="0" xfId="8" applyNumberFormat="1" applyFont="1"/>
    <xf numFmtId="0" fontId="18" fillId="0" borderId="0" xfId="5" applyFont="1" applyAlignment="1">
      <alignment horizontal="left"/>
    </xf>
    <xf numFmtId="0" fontId="18" fillId="0" borderId="0" xfId="5" applyFont="1" applyAlignment="1">
      <alignment horizontal="centerContinuous"/>
    </xf>
    <xf numFmtId="1" fontId="18" fillId="0" borderId="0" xfId="5" applyNumberFormat="1" applyFont="1" applyAlignment="1">
      <alignment horizontal="centerContinuous"/>
    </xf>
    <xf numFmtId="0" fontId="21" fillId="0" borderId="0" xfId="5" applyFont="1" applyAlignment="1">
      <alignment horizontal="right"/>
    </xf>
    <xf numFmtId="0" fontId="16" fillId="0" borderId="0" xfId="5" applyFont="1" applyAlignment="1">
      <alignment horizontal="center"/>
    </xf>
    <xf numFmtId="0" fontId="21" fillId="0" borderId="0" xfId="5" applyFont="1" applyAlignment="1">
      <alignment horizontal="center"/>
    </xf>
    <xf numFmtId="1" fontId="21" fillId="0" borderId="0" xfId="5" applyNumberFormat="1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21" fillId="0" borderId="11" xfId="5" applyFont="1" applyBorder="1" applyAlignment="1">
      <alignment horizontal="right"/>
    </xf>
    <xf numFmtId="0" fontId="21" fillId="0" borderId="11" xfId="5" applyFont="1" applyBorder="1" applyAlignment="1">
      <alignment horizontal="center"/>
    </xf>
    <xf numFmtId="1" fontId="21" fillId="0" borderId="11" xfId="5" applyNumberFormat="1" applyFont="1" applyBorder="1" applyAlignment="1">
      <alignment horizontal="center"/>
    </xf>
    <xf numFmtId="0" fontId="11" fillId="0" borderId="0" xfId="5" applyFont="1" applyAlignment="1">
      <alignment horizontal="right"/>
    </xf>
    <xf numFmtId="166" fontId="11" fillId="0" borderId="0" xfId="7" applyNumberFormat="1" applyFont="1"/>
    <xf numFmtId="0" fontId="18" fillId="0" borderId="0" xfId="5" applyFont="1" applyAlignment="1">
      <alignment horizontal="right"/>
    </xf>
    <xf numFmtId="3" fontId="11" fillId="0" borderId="0" xfId="0" applyNumberFormat="1" applyFont="1"/>
    <xf numFmtId="3" fontId="11" fillId="0" borderId="0" xfId="5" applyNumberFormat="1" applyFont="1"/>
    <xf numFmtId="168" fontId="11" fillId="0" borderId="0" xfId="6" applyNumberFormat="1" applyFont="1"/>
    <xf numFmtId="37" fontId="22" fillId="0" borderId="0" xfId="5" applyNumberFormat="1" applyFont="1"/>
    <xf numFmtId="166" fontId="22" fillId="0" borderId="0" xfId="7" applyNumberFormat="1" applyFont="1" applyProtection="1"/>
    <xf numFmtId="174" fontId="23" fillId="0" borderId="0" xfId="5" applyNumberFormat="1" applyFont="1"/>
    <xf numFmtId="37" fontId="23" fillId="0" borderId="0" xfId="5" applyNumberFormat="1" applyFont="1"/>
    <xf numFmtId="175" fontId="23" fillId="0" borderId="0" xfId="5" applyNumberFormat="1" applyFont="1"/>
    <xf numFmtId="0" fontId="17" fillId="0" borderId="0" xfId="5" applyFont="1" applyAlignment="1">
      <alignment horizontal="center"/>
    </xf>
    <xf numFmtId="176" fontId="17" fillId="0" borderId="0" xfId="5" applyNumberFormat="1" applyFont="1" applyAlignment="1">
      <alignment horizontal="right"/>
    </xf>
    <xf numFmtId="43" fontId="17" fillId="0" borderId="0" xfId="6" applyFont="1"/>
    <xf numFmtId="176" fontId="17" fillId="0" borderId="11" xfId="5" applyNumberFormat="1" applyFont="1" applyBorder="1" applyAlignment="1">
      <alignment horizontal="right"/>
    </xf>
    <xf numFmtId="167" fontId="18" fillId="0" borderId="11" xfId="8" applyNumberFormat="1" applyFont="1" applyBorder="1"/>
    <xf numFmtId="43" fontId="17" fillId="0" borderId="11" xfId="6" applyFont="1" applyBorder="1"/>
    <xf numFmtId="176" fontId="16" fillId="0" borderId="0" xfId="5" applyNumberFormat="1" applyFont="1" applyAlignment="1">
      <alignment horizontal="right"/>
    </xf>
    <xf numFmtId="167" fontId="18" fillId="0" borderId="0" xfId="5" applyNumberFormat="1" applyFont="1"/>
    <xf numFmtId="167" fontId="20" fillId="0" borderId="0" xfId="8" applyNumberFormat="1" applyFont="1" applyFill="1"/>
    <xf numFmtId="44" fontId="20" fillId="0" borderId="0" xfId="2" applyFont="1"/>
    <xf numFmtId="43" fontId="16" fillId="0" borderId="0" xfId="6" applyFont="1"/>
    <xf numFmtId="5" fontId="5" fillId="0" borderId="0" xfId="0" applyNumberFormat="1" applyFont="1"/>
    <xf numFmtId="44" fontId="18" fillId="10" borderId="0" xfId="2" applyFont="1" applyFill="1"/>
    <xf numFmtId="0" fontId="6" fillId="8" borderId="0" xfId="4" applyFont="1" applyFill="1" applyProtection="1">
      <protection locked="0"/>
    </xf>
    <xf numFmtId="0" fontId="7" fillId="0" borderId="0" xfId="4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9" fontId="4" fillId="0" borderId="0" xfId="3" applyFont="1"/>
    <xf numFmtId="178" fontId="26" fillId="0" borderId="0" xfId="7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4" applyFont="1" applyProtection="1">
      <protection locked="0"/>
    </xf>
    <xf numFmtId="0" fontId="29" fillId="0" borderId="0" xfId="4" applyFont="1" applyAlignment="1" applyProtection="1">
      <alignment horizontal="center"/>
      <protection locked="0"/>
    </xf>
    <xf numFmtId="0" fontId="29" fillId="0" borderId="0" xfId="4" applyFont="1" applyAlignment="1" applyProtection="1">
      <alignment horizontal="left"/>
      <protection locked="0"/>
    </xf>
    <xf numFmtId="0" fontId="29" fillId="0" borderId="0" xfId="4" applyFont="1" applyAlignment="1">
      <alignment horizontal="left"/>
    </xf>
    <xf numFmtId="169" fontId="29" fillId="0" borderId="0" xfId="4" applyNumberFormat="1" applyFont="1" applyAlignment="1">
      <alignment horizontal="left"/>
    </xf>
    <xf numFmtId="0" fontId="29" fillId="0" borderId="11" xfId="4" applyFont="1" applyBorder="1" applyAlignment="1" applyProtection="1">
      <alignment horizontal="center"/>
      <protection locked="0"/>
    </xf>
    <xf numFmtId="0" fontId="29" fillId="0" borderId="0" xfId="4" applyFont="1" applyAlignment="1" applyProtection="1">
      <alignment horizontal="right"/>
      <protection locked="0"/>
    </xf>
    <xf numFmtId="170" fontId="29" fillId="0" borderId="0" xfId="4" applyNumberFormat="1" applyFont="1" applyAlignment="1" applyProtection="1">
      <alignment horizontal="center"/>
      <protection locked="0"/>
    </xf>
    <xf numFmtId="3" fontId="29" fillId="0" borderId="0" xfId="4" applyNumberFormat="1" applyFont="1" applyProtection="1">
      <protection locked="0"/>
    </xf>
    <xf numFmtId="44" fontId="30" fillId="0" borderId="0" xfId="4" applyNumberFormat="1" applyFont="1" applyProtection="1">
      <protection hidden="1"/>
    </xf>
    <xf numFmtId="166" fontId="29" fillId="0" borderId="0" xfId="2" applyNumberFormat="1" applyFont="1" applyProtection="1">
      <protection hidden="1"/>
    </xf>
    <xf numFmtId="0" fontId="29" fillId="2" borderId="0" xfId="4" applyFont="1" applyFill="1" applyAlignment="1" applyProtection="1">
      <alignment horizontal="center"/>
      <protection locked="0"/>
    </xf>
    <xf numFmtId="171" fontId="29" fillId="0" borderId="0" xfId="4" applyNumberFormat="1" applyFont="1" applyProtection="1">
      <protection hidden="1"/>
    </xf>
    <xf numFmtId="5" fontId="29" fillId="0" borderId="0" xfId="4" applyNumberFormat="1" applyFont="1" applyProtection="1">
      <protection hidden="1"/>
    </xf>
    <xf numFmtId="170" fontId="29" fillId="0" borderId="0" xfId="4" applyNumberFormat="1" applyFont="1" applyProtection="1">
      <protection locked="0"/>
    </xf>
    <xf numFmtId="1" fontId="29" fillId="2" borderId="0" xfId="4" applyNumberFormat="1" applyFont="1" applyFill="1" applyProtection="1">
      <protection locked="0"/>
    </xf>
    <xf numFmtId="3" fontId="29" fillId="2" borderId="0" xfId="4" applyNumberFormat="1" applyFont="1" applyFill="1" applyProtection="1">
      <protection locked="0"/>
    </xf>
    <xf numFmtId="0" fontId="29" fillId="2" borderId="0" xfId="4" applyFont="1" applyFill="1" applyProtection="1">
      <protection locked="0"/>
    </xf>
    <xf numFmtId="1" fontId="29" fillId="2" borderId="0" xfId="4" applyNumberFormat="1" applyFont="1" applyFill="1" applyAlignment="1" applyProtection="1">
      <alignment horizontal="right"/>
      <protection locked="0"/>
    </xf>
    <xf numFmtId="170" fontId="29" fillId="0" borderId="0" xfId="4" applyNumberFormat="1" applyFont="1" applyAlignment="1" applyProtection="1">
      <alignment horizontal="right"/>
      <protection locked="0"/>
    </xf>
    <xf numFmtId="3" fontId="29" fillId="2" borderId="11" xfId="4" applyNumberFormat="1" applyFont="1" applyFill="1" applyBorder="1" applyProtection="1">
      <protection locked="0"/>
    </xf>
    <xf numFmtId="0" fontId="30" fillId="0" borderId="0" xfId="4" applyFont="1" applyAlignment="1" applyProtection="1">
      <alignment horizontal="right" indent="1"/>
      <protection locked="0"/>
    </xf>
    <xf numFmtId="0" fontId="30" fillId="0" borderId="0" xfId="4" applyFont="1" applyAlignment="1" applyProtection="1">
      <alignment horizontal="right"/>
      <protection locked="0"/>
    </xf>
    <xf numFmtId="0" fontId="27" fillId="0" borderId="1" xfId="4" applyFont="1" applyBorder="1" applyProtection="1">
      <protection locked="0"/>
    </xf>
    <xf numFmtId="3" fontId="27" fillId="0" borderId="1" xfId="4" applyNumberFormat="1" applyFont="1" applyBorder="1" applyProtection="1">
      <protection hidden="1"/>
    </xf>
    <xf numFmtId="44" fontId="31" fillId="0" borderId="1" xfId="4" applyNumberFormat="1" applyFont="1" applyBorder="1" applyProtection="1">
      <protection locked="0"/>
    </xf>
    <xf numFmtId="166" fontId="27" fillId="0" borderId="1" xfId="4" applyNumberFormat="1" applyFont="1" applyBorder="1" applyProtection="1">
      <protection hidden="1"/>
    </xf>
    <xf numFmtId="44" fontId="27" fillId="2" borderId="0" xfId="4" applyNumberFormat="1" applyFont="1" applyFill="1" applyAlignment="1" applyProtection="1">
      <alignment horizontal="center"/>
      <protection locked="0"/>
    </xf>
    <xf numFmtId="0" fontId="30" fillId="0" borderId="0" xfId="4" applyFont="1" applyProtection="1">
      <protection locked="0"/>
    </xf>
    <xf numFmtId="171" fontId="29" fillId="0" borderId="0" xfId="4" applyNumberFormat="1" applyFont="1" applyProtection="1">
      <protection locked="0"/>
    </xf>
    <xf numFmtId="0" fontId="29" fillId="3" borderId="12" xfId="4" applyFont="1" applyFill="1" applyBorder="1" applyAlignment="1" applyProtection="1">
      <alignment horizontal="center"/>
      <protection locked="0"/>
    </xf>
    <xf numFmtId="0" fontId="29" fillId="3" borderId="12" xfId="4" applyFont="1" applyFill="1" applyBorder="1" applyProtection="1">
      <protection locked="0"/>
    </xf>
    <xf numFmtId="3" fontId="29" fillId="3" borderId="12" xfId="4" applyNumberFormat="1" applyFont="1" applyFill="1" applyBorder="1" applyProtection="1">
      <protection locked="0"/>
    </xf>
    <xf numFmtId="164" fontId="32" fillId="6" borderId="0" xfId="4" applyNumberFormat="1" applyFont="1" applyFill="1" applyAlignment="1" applyProtection="1">
      <alignment horizontal="center"/>
      <protection locked="0"/>
    </xf>
    <xf numFmtId="0" fontId="29" fillId="0" borderId="0" xfId="4" applyFont="1"/>
    <xf numFmtId="3" fontId="29" fillId="0" borderId="11" xfId="4" applyNumberFormat="1" applyFont="1" applyBorder="1" applyAlignment="1" applyProtection="1">
      <alignment horizontal="center"/>
      <protection locked="0"/>
    </xf>
    <xf numFmtId="167" fontId="30" fillId="0" borderId="11" xfId="4" applyNumberFormat="1" applyFont="1" applyBorder="1" applyAlignment="1" applyProtection="1">
      <alignment horizontal="center"/>
      <protection locked="0"/>
    </xf>
    <xf numFmtId="0" fontId="32" fillId="0" borderId="0" xfId="4" applyFont="1" applyAlignment="1" applyProtection="1">
      <alignment horizontal="center"/>
      <protection locked="0"/>
    </xf>
    <xf numFmtId="0" fontId="29" fillId="2" borderId="0" xfId="4" applyFont="1" applyFill="1" applyAlignment="1" applyProtection="1">
      <alignment horizontal="center"/>
      <protection hidden="1"/>
    </xf>
    <xf numFmtId="43" fontId="29" fillId="2" borderId="0" xfId="1" applyFont="1" applyFill="1" applyAlignment="1" applyProtection="1">
      <alignment horizontal="center"/>
      <protection locked="0"/>
    </xf>
    <xf numFmtId="170" fontId="29" fillId="2" borderId="0" xfId="4" applyNumberFormat="1" applyFont="1" applyFill="1" applyProtection="1">
      <protection hidden="1"/>
    </xf>
    <xf numFmtId="42" fontId="29" fillId="2" borderId="0" xfId="4" applyNumberFormat="1" applyFont="1" applyFill="1" applyProtection="1">
      <protection locked="0"/>
    </xf>
    <xf numFmtId="49" fontId="29" fillId="0" borderId="11" xfId="4" applyNumberFormat="1" applyFont="1" applyBorder="1" applyAlignment="1" applyProtection="1">
      <alignment horizontal="center"/>
      <protection locked="0"/>
    </xf>
    <xf numFmtId="0" fontId="29" fillId="0" borderId="11" xfId="4" applyFont="1" applyBorder="1" applyProtection="1">
      <protection locked="0"/>
    </xf>
    <xf numFmtId="3" fontId="29" fillId="0" borderId="11" xfId="4" applyNumberFormat="1" applyFont="1" applyBorder="1" applyProtection="1">
      <protection hidden="1"/>
    </xf>
    <xf numFmtId="49" fontId="29" fillId="0" borderId="0" xfId="4" applyNumberFormat="1" applyFont="1" applyAlignment="1" applyProtection="1">
      <alignment horizontal="center"/>
      <protection locked="0"/>
    </xf>
    <xf numFmtId="44" fontId="31" fillId="0" borderId="0" xfId="4" applyNumberFormat="1" applyFont="1" applyProtection="1">
      <protection hidden="1"/>
    </xf>
    <xf numFmtId="0" fontId="30" fillId="2" borderId="0" xfId="4" applyFont="1" applyFill="1" applyProtection="1">
      <protection locked="0"/>
    </xf>
    <xf numFmtId="49" fontId="29" fillId="3" borderId="12" xfId="4" applyNumberFormat="1" applyFont="1" applyFill="1" applyBorder="1" applyAlignment="1" applyProtection="1">
      <alignment horizontal="center"/>
      <protection locked="0"/>
    </xf>
    <xf numFmtId="42" fontId="29" fillId="3" borderId="12" xfId="4" applyNumberFormat="1" applyFont="1" applyFill="1" applyBorder="1" applyProtection="1">
      <protection hidden="1"/>
    </xf>
    <xf numFmtId="44" fontId="27" fillId="0" borderId="0" xfId="4" applyNumberFormat="1" applyFont="1" applyProtection="1">
      <protection hidden="1"/>
    </xf>
    <xf numFmtId="0" fontId="31" fillId="0" borderId="0" xfId="4" applyFont="1" applyProtection="1">
      <protection locked="0"/>
    </xf>
    <xf numFmtId="177" fontId="28" fillId="0" borderId="0" xfId="0" applyNumberFormat="1" applyFont="1" applyProtection="1">
      <protection hidden="1"/>
    </xf>
    <xf numFmtId="0" fontId="30" fillId="0" borderId="0" xfId="4" applyFont="1" applyAlignment="1" applyProtection="1">
      <alignment horizontal="left"/>
      <protection locked="0"/>
    </xf>
    <xf numFmtId="0" fontId="30" fillId="0" borderId="0" xfId="4" applyFont="1" applyAlignment="1" applyProtection="1">
      <alignment horizontal="center"/>
      <protection locked="0"/>
    </xf>
    <xf numFmtId="164" fontId="29" fillId="2" borderId="0" xfId="0" applyNumberFormat="1" applyFont="1" applyFill="1" applyAlignment="1">
      <alignment horizontal="center"/>
    </xf>
    <xf numFmtId="0" fontId="31" fillId="2" borderId="0" xfId="4" applyFont="1" applyFill="1" applyProtection="1">
      <protection locked="0"/>
    </xf>
    <xf numFmtId="0" fontId="31" fillId="0" borderId="0" xfId="4" applyFont="1" applyAlignment="1" applyProtection="1">
      <alignment horizontal="left"/>
      <protection locked="0"/>
    </xf>
    <xf numFmtId="0" fontId="33" fillId="0" borderId="0" xfId="0" applyFont="1" applyAlignment="1">
      <alignment horizontal="left"/>
    </xf>
    <xf numFmtId="167" fontId="18" fillId="0" borderId="0" xfId="4" applyNumberFormat="1" applyFont="1" applyAlignment="1" applyProtection="1">
      <alignment horizontal="center"/>
      <protection locked="0"/>
    </xf>
    <xf numFmtId="0" fontId="18" fillId="0" borderId="0" xfId="4" applyFont="1" applyProtection="1">
      <protection locked="0"/>
    </xf>
    <xf numFmtId="0" fontId="9" fillId="10" borderId="0" xfId="0" applyFont="1" applyFill="1" applyAlignment="1">
      <alignment horizontal="left"/>
    </xf>
    <xf numFmtId="0" fontId="29" fillId="10" borderId="0" xfId="4" applyFont="1" applyFill="1" applyProtection="1">
      <protection locked="0"/>
    </xf>
    <xf numFmtId="3" fontId="29" fillId="10" borderId="0" xfId="4" applyNumberFormat="1" applyFont="1" applyFill="1" applyProtection="1">
      <protection locked="0"/>
    </xf>
    <xf numFmtId="0" fontId="18" fillId="10" borderId="0" xfId="4" applyFont="1" applyFill="1" applyProtection="1">
      <protection locked="0"/>
    </xf>
    <xf numFmtId="14" fontId="18" fillId="0" borderId="0" xfId="5" applyNumberFormat="1" applyFont="1" applyAlignment="1">
      <alignment horizontal="left"/>
    </xf>
    <xf numFmtId="0" fontId="20" fillId="10" borderId="0" xfId="5" applyFont="1" applyFill="1"/>
    <xf numFmtId="0" fontId="27" fillId="0" borderId="0" xfId="5" applyFont="1"/>
    <xf numFmtId="0" fontId="29" fillId="0" borderId="0" xfId="5" applyFont="1"/>
    <xf numFmtId="0" fontId="27" fillId="0" borderId="0" xfId="5" applyFont="1" applyAlignment="1">
      <alignment horizontal="left"/>
    </xf>
    <xf numFmtId="0" fontId="30" fillId="0" borderId="0" xfId="5" applyFont="1"/>
    <xf numFmtId="0" fontId="35" fillId="0" borderId="0" xfId="5" applyFont="1" applyAlignment="1">
      <alignment horizontal="left"/>
    </xf>
    <xf numFmtId="168" fontId="29" fillId="0" borderId="0" xfId="5" applyNumberFormat="1" applyFont="1"/>
    <xf numFmtId="2" fontId="29" fillId="0" borderId="0" xfId="5" applyNumberFormat="1" applyFont="1"/>
    <xf numFmtId="43" fontId="29" fillId="0" borderId="0" xfId="5" applyNumberFormat="1" applyFont="1"/>
    <xf numFmtId="44" fontId="27" fillId="0" borderId="0" xfId="5" applyNumberFormat="1" applyFont="1"/>
    <xf numFmtId="3" fontId="29" fillId="0" borderId="0" xfId="5" applyNumberFormat="1" applyFont="1"/>
    <xf numFmtId="0" fontId="37" fillId="0" borderId="0" xfId="5" applyFont="1" applyAlignment="1">
      <alignment horizontal="left"/>
    </xf>
    <xf numFmtId="0" fontId="27" fillId="0" borderId="0" xfId="5" applyFont="1" applyAlignment="1">
      <alignment horizontal="right"/>
    </xf>
    <xf numFmtId="0" fontId="38" fillId="0" borderId="0" xfId="5" applyFont="1" applyAlignment="1">
      <alignment horizontal="right"/>
    </xf>
    <xf numFmtId="0" fontId="36" fillId="0" borderId="0" xfId="5" applyFont="1"/>
    <xf numFmtId="0" fontId="36" fillId="0" borderId="0" xfId="5" applyFont="1" applyAlignment="1">
      <alignment horizontal="center"/>
    </xf>
    <xf numFmtId="0" fontId="38" fillId="0" borderId="11" xfId="5" applyFont="1" applyBorder="1" applyAlignment="1">
      <alignment horizontal="right"/>
    </xf>
    <xf numFmtId="0" fontId="36" fillId="0" borderId="0" xfId="5" applyFont="1" applyAlignment="1">
      <alignment horizontal="right"/>
    </xf>
    <xf numFmtId="164" fontId="29" fillId="0" borderId="0" xfId="0" applyNumberFormat="1" applyFont="1" applyAlignment="1">
      <alignment horizontal="right"/>
    </xf>
    <xf numFmtId="168" fontId="39" fillId="0" borderId="0" xfId="1" applyNumberFormat="1" applyFont="1"/>
    <xf numFmtId="168" fontId="29" fillId="0" borderId="0" xfId="1" applyNumberFormat="1" applyFont="1"/>
    <xf numFmtId="165" fontId="30" fillId="0" borderId="0" xfId="2" applyNumberFormat="1" applyFont="1"/>
    <xf numFmtId="173" fontId="29" fillId="0" borderId="0" xfId="1" applyNumberFormat="1" applyFont="1"/>
    <xf numFmtId="44" fontId="29" fillId="0" borderId="0" xfId="2" applyFont="1"/>
    <xf numFmtId="17" fontId="36" fillId="0" borderId="0" xfId="5" applyNumberFormat="1" applyFont="1" applyAlignment="1">
      <alignment horizontal="left"/>
    </xf>
    <xf numFmtId="44" fontId="40" fillId="0" borderId="0" xfId="7" applyFont="1" applyProtection="1"/>
    <xf numFmtId="9" fontId="40" fillId="0" borderId="0" xfId="3" applyFont="1" applyProtection="1"/>
    <xf numFmtId="0" fontId="27" fillId="0" borderId="0" xfId="5" applyFont="1" applyAlignment="1">
      <alignment horizontal="center"/>
    </xf>
    <xf numFmtId="167" fontId="30" fillId="0" borderId="0" xfId="8" applyNumberFormat="1" applyFont="1"/>
    <xf numFmtId="44" fontId="29" fillId="0" borderId="0" xfId="7" applyFont="1"/>
    <xf numFmtId="43" fontId="29" fillId="0" borderId="0" xfId="6" applyFont="1"/>
    <xf numFmtId="43" fontId="29" fillId="0" borderId="0" xfId="1" applyFont="1"/>
    <xf numFmtId="43" fontId="29" fillId="0" borderId="0" xfId="1" applyFont="1" applyBorder="1"/>
    <xf numFmtId="43" fontId="29" fillId="0" borderId="0" xfId="6" applyFont="1" applyBorder="1"/>
    <xf numFmtId="9" fontId="30" fillId="0" borderId="0" xfId="3" applyFont="1"/>
    <xf numFmtId="44" fontId="30" fillId="0" borderId="0" xfId="5" applyNumberFormat="1" applyFont="1"/>
    <xf numFmtId="0" fontId="30" fillId="0" borderId="0" xfId="5" applyFont="1" applyAlignment="1">
      <alignment horizontal="center"/>
    </xf>
    <xf numFmtId="168" fontId="43" fillId="10" borderId="0" xfId="1" applyNumberFormat="1" applyFont="1" applyFill="1"/>
    <xf numFmtId="170" fontId="17" fillId="0" borderId="0" xfId="5" applyNumberFormat="1" applyFont="1"/>
    <xf numFmtId="17" fontId="38" fillId="0" borderId="0" xfId="5" applyNumberFormat="1" applyFont="1" applyAlignment="1">
      <alignment horizontal="right"/>
    </xf>
    <xf numFmtId="0" fontId="42" fillId="10" borderId="0" xfId="5" applyFont="1" applyFill="1"/>
    <xf numFmtId="44" fontId="16" fillId="5" borderId="0" xfId="5" applyNumberFormat="1" applyFont="1" applyFill="1"/>
    <xf numFmtId="44" fontId="11" fillId="5" borderId="0" xfId="2" applyFont="1" applyFill="1"/>
    <xf numFmtId="178" fontId="20" fillId="5" borderId="0" xfId="7" applyNumberFormat="1" applyFont="1" applyFill="1" applyProtection="1"/>
    <xf numFmtId="43" fontId="11" fillId="5" borderId="0" xfId="6" applyFont="1" applyFill="1"/>
    <xf numFmtId="43" fontId="11" fillId="7" borderId="0" xfId="6" applyFont="1" applyFill="1"/>
    <xf numFmtId="0" fontId="16" fillId="0" borderId="11" xfId="5" applyFont="1" applyBorder="1" applyAlignment="1">
      <alignment horizontal="center"/>
    </xf>
    <xf numFmtId="44" fontId="21" fillId="0" borderId="0" xfId="2" applyFont="1"/>
    <xf numFmtId="44" fontId="31" fillId="5" borderId="0" xfId="4" applyNumberFormat="1" applyFont="1" applyFill="1" applyProtection="1">
      <protection hidden="1"/>
    </xf>
    <xf numFmtId="164" fontId="2" fillId="2" borderId="0" xfId="0" applyNumberFormat="1" applyFont="1" applyFill="1"/>
    <xf numFmtId="0" fontId="27" fillId="0" borderId="0" xfId="4" applyFont="1" applyProtection="1">
      <protection locked="0"/>
    </xf>
    <xf numFmtId="0" fontId="34" fillId="0" borderId="0" xfId="0" applyFont="1"/>
    <xf numFmtId="0" fontId="27" fillId="2" borderId="11" xfId="4" applyFont="1" applyFill="1" applyBorder="1" applyAlignment="1" applyProtection="1">
      <alignment horizontal="center"/>
      <protection locked="0"/>
    </xf>
    <xf numFmtId="0" fontId="27" fillId="2" borderId="11" xfId="4" applyFont="1" applyFill="1" applyBorder="1" applyAlignment="1" applyProtection="1">
      <alignment horizontal="center" wrapText="1"/>
      <protection locked="0"/>
    </xf>
    <xf numFmtId="3" fontId="18" fillId="11" borderId="0" xfId="4" applyNumberFormat="1" applyFont="1" applyFill="1" applyProtection="1">
      <protection locked="0"/>
    </xf>
    <xf numFmtId="0" fontId="44" fillId="0" borderId="0" xfId="5" applyFont="1" applyAlignment="1">
      <alignment horizontal="left"/>
    </xf>
    <xf numFmtId="5" fontId="4" fillId="12" borderId="0" xfId="0" applyNumberFormat="1" applyFont="1" applyFill="1"/>
    <xf numFmtId="0" fontId="29" fillId="0" borderId="0" xfId="4" quotePrefix="1" applyFont="1" applyAlignment="1" applyProtection="1">
      <alignment horizontal="center"/>
      <protection locked="0"/>
    </xf>
    <xf numFmtId="42" fontId="31" fillId="5" borderId="0" xfId="4" applyNumberFormat="1" applyFont="1" applyFill="1" applyProtection="1">
      <protection hidden="1"/>
    </xf>
    <xf numFmtId="3" fontId="27" fillId="5" borderId="11" xfId="4" applyNumberFormat="1" applyFont="1" applyFill="1" applyBorder="1" applyAlignment="1" applyProtection="1">
      <alignment horizontal="center"/>
      <protection locked="0"/>
    </xf>
    <xf numFmtId="0" fontId="30" fillId="5" borderId="0" xfId="4" applyFont="1" applyFill="1" applyProtection="1">
      <protection locked="0"/>
    </xf>
    <xf numFmtId="5" fontId="3" fillId="7" borderId="0" xfId="0" applyNumberFormat="1" applyFont="1" applyFill="1"/>
    <xf numFmtId="167" fontId="3" fillId="11" borderId="0" xfId="3" applyNumberFormat="1" applyFont="1" applyFill="1"/>
    <xf numFmtId="0" fontId="5" fillId="11" borderId="0" xfId="0" applyFont="1" applyFill="1"/>
    <xf numFmtId="170" fontId="18" fillId="0" borderId="0" xfId="4" applyNumberFormat="1" applyFont="1" applyProtection="1">
      <protection locked="0"/>
    </xf>
    <xf numFmtId="170" fontId="31" fillId="2" borderId="0" xfId="4" applyNumberFormat="1" applyFont="1" applyFill="1" applyProtection="1">
      <protection locked="0"/>
    </xf>
    <xf numFmtId="171" fontId="18" fillId="0" borderId="0" xfId="4" applyNumberFormat="1" applyFont="1" applyProtection="1">
      <protection hidden="1"/>
    </xf>
    <xf numFmtId="9" fontId="18" fillId="0" borderId="0" xfId="3" applyFont="1" applyProtection="1">
      <protection locked="0"/>
    </xf>
    <xf numFmtId="9" fontId="7" fillId="0" borderId="0" xfId="3" applyFont="1" applyProtection="1">
      <protection locked="0"/>
    </xf>
    <xf numFmtId="0" fontId="6" fillId="0" borderId="0" xfId="4" applyFont="1" applyProtection="1">
      <protection locked="0"/>
    </xf>
    <xf numFmtId="0" fontId="27" fillId="2" borderId="0" xfId="4" applyFont="1" applyFill="1" applyAlignment="1" applyProtection="1">
      <alignment horizontal="center"/>
      <protection locked="0"/>
    </xf>
    <xf numFmtId="44" fontId="31" fillId="2" borderId="0" xfId="4" applyNumberFormat="1" applyFont="1" applyFill="1" applyAlignment="1" applyProtection="1">
      <alignment horizontal="center"/>
      <protection locked="0"/>
    </xf>
    <xf numFmtId="0" fontId="17" fillId="10" borderId="0" xfId="5" applyFont="1" applyFill="1"/>
    <xf numFmtId="9" fontId="18" fillId="0" borderId="0" xfId="5" applyNumberFormat="1" applyFont="1"/>
    <xf numFmtId="168" fontId="18" fillId="0" borderId="0" xfId="1" applyNumberFormat="1" applyFont="1"/>
    <xf numFmtId="44" fontId="18" fillId="0" borderId="0" xfId="2" applyFont="1"/>
    <xf numFmtId="43" fontId="18" fillId="0" borderId="0" xfId="6" applyFont="1"/>
    <xf numFmtId="0" fontId="17" fillId="0" borderId="0" xfId="5" quotePrefix="1" applyFont="1" applyAlignment="1">
      <alignment horizontal="left"/>
    </xf>
    <xf numFmtId="0" fontId="18" fillId="0" borderId="0" xfId="5" applyFont="1" applyFill="1"/>
    <xf numFmtId="168" fontId="43" fillId="0" borderId="0" xfId="1" applyNumberFormat="1" applyFont="1" applyFill="1"/>
    <xf numFmtId="0" fontId="18" fillId="5" borderId="0" xfId="5" applyFont="1" applyFill="1"/>
    <xf numFmtId="178" fontId="45" fillId="5" borderId="0" xfId="7" applyNumberFormat="1" applyFont="1" applyFill="1"/>
    <xf numFmtId="44" fontId="46" fillId="7" borderId="0" xfId="6" applyNumberFormat="1" applyFont="1" applyFill="1"/>
    <xf numFmtId="167" fontId="29" fillId="0" borderId="0" xfId="3" applyNumberFormat="1" applyFont="1"/>
    <xf numFmtId="0" fontId="29" fillId="0" borderId="0" xfId="4" applyFont="1" applyAlignment="1" applyProtection="1">
      <alignment horizontal="right"/>
      <protection locked="0"/>
    </xf>
    <xf numFmtId="0" fontId="29" fillId="0" borderId="0" xfId="4" applyFont="1" applyAlignment="1">
      <alignment horizontal="right"/>
    </xf>
    <xf numFmtId="169" fontId="29" fillId="6" borderId="11" xfId="4" applyNumberFormat="1" applyFont="1" applyFill="1" applyBorder="1" applyAlignment="1" applyProtection="1">
      <alignment horizontal="center"/>
      <protection locked="0"/>
    </xf>
    <xf numFmtId="169" fontId="29" fillId="6" borderId="11" xfId="4" applyNumberFormat="1" applyFont="1" applyFill="1" applyBorder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</cellXfs>
  <cellStyles count="9">
    <cellStyle name="Comma" xfId="1" builtinId="3"/>
    <cellStyle name="Comma 3" xfId="6" xr:uid="{6DF8B1CF-0527-48FC-BB6C-5D1BE903AABC}"/>
    <cellStyle name="Currency" xfId="2" builtinId="4"/>
    <cellStyle name="Currency 2" xfId="7" xr:uid="{9E73A240-7FC9-4AF9-98DB-853F6CE99B77}"/>
    <cellStyle name="Normal" xfId="0" builtinId="0"/>
    <cellStyle name="Normal 2" xfId="4" xr:uid="{38937792-50CF-4FF9-B44B-AA957A99E22C}"/>
    <cellStyle name="Normal 5" xfId="5" xr:uid="{FCCA2D9E-DB6E-4C92-A2D0-68E7D144403A}"/>
    <cellStyle name="Percent" xfId="3" builtinId="5"/>
    <cellStyle name="Percent 4" xfId="8" xr:uid="{757A2C85-14A9-4151-B01E-9C132551BFD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7A2B-BFA5-4E95-AF0A-5B14CCD6C2CE}">
  <dimension ref="A1:Q87"/>
  <sheetViews>
    <sheetView tabSelected="1" workbookViewId="0">
      <selection activeCell="A4" sqref="A4"/>
    </sheetView>
  </sheetViews>
  <sheetFormatPr defaultColWidth="11.73046875" defaultRowHeight="15.75"/>
  <cols>
    <col min="1" max="1" width="20.86328125" style="243" customWidth="1"/>
    <col min="2" max="2" width="21.3984375" style="95" customWidth="1"/>
    <col min="3" max="3" width="11.86328125" style="96" customWidth="1"/>
    <col min="4" max="8" width="11.86328125" style="95" customWidth="1"/>
    <col min="9" max="9" width="12.73046875" style="95" customWidth="1"/>
    <col min="10" max="10" width="11.73046875" style="95"/>
    <col min="11" max="12" width="11.73046875" style="243"/>
    <col min="13" max="13" width="13.86328125" style="243" bestFit="1" customWidth="1"/>
    <col min="14" max="14" width="12.265625" style="243" bestFit="1" customWidth="1"/>
    <col min="15" max="256" width="11.73046875" style="243"/>
    <col min="257" max="257" width="30.73046875" style="243" customWidth="1"/>
    <col min="258" max="258" width="8.265625" style="243" customWidth="1"/>
    <col min="259" max="259" width="13.3984375" style="243" customWidth="1"/>
    <col min="260" max="260" width="10.86328125" style="243" customWidth="1"/>
    <col min="261" max="261" width="12.73046875" style="243" customWidth="1"/>
    <col min="262" max="262" width="11.73046875" style="243"/>
    <col min="263" max="263" width="13.3984375" style="243" customWidth="1"/>
    <col min="264" max="264" width="12.73046875" style="243" customWidth="1"/>
    <col min="265" max="512" width="11.73046875" style="243"/>
    <col min="513" max="513" width="30.73046875" style="243" customWidth="1"/>
    <col min="514" max="514" width="8.265625" style="243" customWidth="1"/>
    <col min="515" max="515" width="13.3984375" style="243" customWidth="1"/>
    <col min="516" max="516" width="10.86328125" style="243" customWidth="1"/>
    <col min="517" max="517" width="12.73046875" style="243" customWidth="1"/>
    <col min="518" max="518" width="11.73046875" style="243"/>
    <col min="519" max="519" width="13.3984375" style="243" customWidth="1"/>
    <col min="520" max="520" width="12.73046875" style="243" customWidth="1"/>
    <col min="521" max="768" width="11.73046875" style="243"/>
    <col min="769" max="769" width="30.73046875" style="243" customWidth="1"/>
    <col min="770" max="770" width="8.265625" style="243" customWidth="1"/>
    <col min="771" max="771" width="13.3984375" style="243" customWidth="1"/>
    <col min="772" max="772" width="10.86328125" style="243" customWidth="1"/>
    <col min="773" max="773" width="12.73046875" style="243" customWidth="1"/>
    <col min="774" max="774" width="11.73046875" style="243"/>
    <col min="775" max="775" width="13.3984375" style="243" customWidth="1"/>
    <col min="776" max="776" width="12.73046875" style="243" customWidth="1"/>
    <col min="777" max="1024" width="11.73046875" style="243"/>
    <col min="1025" max="1025" width="30.73046875" style="243" customWidth="1"/>
    <col min="1026" max="1026" width="8.265625" style="243" customWidth="1"/>
    <col min="1027" max="1027" width="13.3984375" style="243" customWidth="1"/>
    <col min="1028" max="1028" width="10.86328125" style="243" customWidth="1"/>
    <col min="1029" max="1029" width="12.73046875" style="243" customWidth="1"/>
    <col min="1030" max="1030" width="11.73046875" style="243"/>
    <col min="1031" max="1031" width="13.3984375" style="243" customWidth="1"/>
    <col min="1032" max="1032" width="12.73046875" style="243" customWidth="1"/>
    <col min="1033" max="1280" width="11.73046875" style="243"/>
    <col min="1281" max="1281" width="30.73046875" style="243" customWidth="1"/>
    <col min="1282" max="1282" width="8.265625" style="243" customWidth="1"/>
    <col min="1283" max="1283" width="13.3984375" style="243" customWidth="1"/>
    <col min="1284" max="1284" width="10.86328125" style="243" customWidth="1"/>
    <col min="1285" max="1285" width="12.73046875" style="243" customWidth="1"/>
    <col min="1286" max="1286" width="11.73046875" style="243"/>
    <col min="1287" max="1287" width="13.3984375" style="243" customWidth="1"/>
    <col min="1288" max="1288" width="12.73046875" style="243" customWidth="1"/>
    <col min="1289" max="1536" width="11.73046875" style="243"/>
    <col min="1537" max="1537" width="30.73046875" style="243" customWidth="1"/>
    <col min="1538" max="1538" width="8.265625" style="243" customWidth="1"/>
    <col min="1539" max="1539" width="13.3984375" style="243" customWidth="1"/>
    <col min="1540" max="1540" width="10.86328125" style="243" customWidth="1"/>
    <col min="1541" max="1541" width="12.73046875" style="243" customWidth="1"/>
    <col min="1542" max="1542" width="11.73046875" style="243"/>
    <col min="1543" max="1543" width="13.3984375" style="243" customWidth="1"/>
    <col min="1544" max="1544" width="12.73046875" style="243" customWidth="1"/>
    <col min="1545" max="1792" width="11.73046875" style="243"/>
    <col min="1793" max="1793" width="30.73046875" style="243" customWidth="1"/>
    <col min="1794" max="1794" width="8.265625" style="243" customWidth="1"/>
    <col min="1795" max="1795" width="13.3984375" style="243" customWidth="1"/>
    <col min="1796" max="1796" width="10.86328125" style="243" customWidth="1"/>
    <col min="1797" max="1797" width="12.73046875" style="243" customWidth="1"/>
    <col min="1798" max="1798" width="11.73046875" style="243"/>
    <col min="1799" max="1799" width="13.3984375" style="243" customWidth="1"/>
    <col min="1800" max="1800" width="12.73046875" style="243" customWidth="1"/>
    <col min="1801" max="2048" width="11.73046875" style="243"/>
    <col min="2049" max="2049" width="30.73046875" style="243" customWidth="1"/>
    <col min="2050" max="2050" width="8.265625" style="243" customWidth="1"/>
    <col min="2051" max="2051" width="13.3984375" style="243" customWidth="1"/>
    <col min="2052" max="2052" width="10.86328125" style="243" customWidth="1"/>
    <col min="2053" max="2053" width="12.73046875" style="243" customWidth="1"/>
    <col min="2054" max="2054" width="11.73046875" style="243"/>
    <col min="2055" max="2055" width="13.3984375" style="243" customWidth="1"/>
    <col min="2056" max="2056" width="12.73046875" style="243" customWidth="1"/>
    <col min="2057" max="2304" width="11.73046875" style="243"/>
    <col min="2305" max="2305" width="30.73046875" style="243" customWidth="1"/>
    <col min="2306" max="2306" width="8.265625" style="243" customWidth="1"/>
    <col min="2307" max="2307" width="13.3984375" style="243" customWidth="1"/>
    <col min="2308" max="2308" width="10.86328125" style="243" customWidth="1"/>
    <col min="2309" max="2309" width="12.73046875" style="243" customWidth="1"/>
    <col min="2310" max="2310" width="11.73046875" style="243"/>
    <col min="2311" max="2311" width="13.3984375" style="243" customWidth="1"/>
    <col min="2312" max="2312" width="12.73046875" style="243" customWidth="1"/>
    <col min="2313" max="2560" width="11.73046875" style="243"/>
    <col min="2561" max="2561" width="30.73046875" style="243" customWidth="1"/>
    <col min="2562" max="2562" width="8.265625" style="243" customWidth="1"/>
    <col min="2563" max="2563" width="13.3984375" style="243" customWidth="1"/>
    <col min="2564" max="2564" width="10.86328125" style="243" customWidth="1"/>
    <col min="2565" max="2565" width="12.73046875" style="243" customWidth="1"/>
    <col min="2566" max="2566" width="11.73046875" style="243"/>
    <col min="2567" max="2567" width="13.3984375" style="243" customWidth="1"/>
    <col min="2568" max="2568" width="12.73046875" style="243" customWidth="1"/>
    <col min="2569" max="2816" width="11.73046875" style="243"/>
    <col min="2817" max="2817" width="30.73046875" style="243" customWidth="1"/>
    <col min="2818" max="2818" width="8.265625" style="243" customWidth="1"/>
    <col min="2819" max="2819" width="13.3984375" style="243" customWidth="1"/>
    <col min="2820" max="2820" width="10.86328125" style="243" customWidth="1"/>
    <col min="2821" max="2821" width="12.73046875" style="243" customWidth="1"/>
    <col min="2822" max="2822" width="11.73046875" style="243"/>
    <col min="2823" max="2823" width="13.3984375" style="243" customWidth="1"/>
    <col min="2824" max="2824" width="12.73046875" style="243" customWidth="1"/>
    <col min="2825" max="3072" width="11.73046875" style="243"/>
    <col min="3073" max="3073" width="30.73046875" style="243" customWidth="1"/>
    <col min="3074" max="3074" width="8.265625" style="243" customWidth="1"/>
    <col min="3075" max="3075" width="13.3984375" style="243" customWidth="1"/>
    <col min="3076" max="3076" width="10.86328125" style="243" customWidth="1"/>
    <col min="3077" max="3077" width="12.73046875" style="243" customWidth="1"/>
    <col min="3078" max="3078" width="11.73046875" style="243"/>
    <col min="3079" max="3079" width="13.3984375" style="243" customWidth="1"/>
    <col min="3080" max="3080" width="12.73046875" style="243" customWidth="1"/>
    <col min="3081" max="3328" width="11.73046875" style="243"/>
    <col min="3329" max="3329" width="30.73046875" style="243" customWidth="1"/>
    <col min="3330" max="3330" width="8.265625" style="243" customWidth="1"/>
    <col min="3331" max="3331" width="13.3984375" style="243" customWidth="1"/>
    <col min="3332" max="3332" width="10.86328125" style="243" customWidth="1"/>
    <col min="3333" max="3333" width="12.73046875" style="243" customWidth="1"/>
    <col min="3334" max="3334" width="11.73046875" style="243"/>
    <col min="3335" max="3335" width="13.3984375" style="243" customWidth="1"/>
    <col min="3336" max="3336" width="12.73046875" style="243" customWidth="1"/>
    <col min="3337" max="3584" width="11.73046875" style="243"/>
    <col min="3585" max="3585" width="30.73046875" style="243" customWidth="1"/>
    <col min="3586" max="3586" width="8.265625" style="243" customWidth="1"/>
    <col min="3587" max="3587" width="13.3984375" style="243" customWidth="1"/>
    <col min="3588" max="3588" width="10.86328125" style="243" customWidth="1"/>
    <col min="3589" max="3589" width="12.73046875" style="243" customWidth="1"/>
    <col min="3590" max="3590" width="11.73046875" style="243"/>
    <col min="3591" max="3591" width="13.3984375" style="243" customWidth="1"/>
    <col min="3592" max="3592" width="12.73046875" style="243" customWidth="1"/>
    <col min="3593" max="3840" width="11.73046875" style="243"/>
    <col min="3841" max="3841" width="30.73046875" style="243" customWidth="1"/>
    <col min="3842" max="3842" width="8.265625" style="243" customWidth="1"/>
    <col min="3843" max="3843" width="13.3984375" style="243" customWidth="1"/>
    <col min="3844" max="3844" width="10.86328125" style="243" customWidth="1"/>
    <col min="3845" max="3845" width="12.73046875" style="243" customWidth="1"/>
    <col min="3846" max="3846" width="11.73046875" style="243"/>
    <col min="3847" max="3847" width="13.3984375" style="243" customWidth="1"/>
    <col min="3848" max="3848" width="12.73046875" style="243" customWidth="1"/>
    <col min="3849" max="4096" width="11.73046875" style="243"/>
    <col min="4097" max="4097" width="30.73046875" style="243" customWidth="1"/>
    <col min="4098" max="4098" width="8.265625" style="243" customWidth="1"/>
    <col min="4099" max="4099" width="13.3984375" style="243" customWidth="1"/>
    <col min="4100" max="4100" width="10.86328125" style="243" customWidth="1"/>
    <col min="4101" max="4101" width="12.73046875" style="243" customWidth="1"/>
    <col min="4102" max="4102" width="11.73046875" style="243"/>
    <col min="4103" max="4103" width="13.3984375" style="243" customWidth="1"/>
    <col min="4104" max="4104" width="12.73046875" style="243" customWidth="1"/>
    <col min="4105" max="4352" width="11.73046875" style="243"/>
    <col min="4353" max="4353" width="30.73046875" style="243" customWidth="1"/>
    <col min="4354" max="4354" width="8.265625" style="243" customWidth="1"/>
    <col min="4355" max="4355" width="13.3984375" style="243" customWidth="1"/>
    <col min="4356" max="4356" width="10.86328125" style="243" customWidth="1"/>
    <col min="4357" max="4357" width="12.73046875" style="243" customWidth="1"/>
    <col min="4358" max="4358" width="11.73046875" style="243"/>
    <col min="4359" max="4359" width="13.3984375" style="243" customWidth="1"/>
    <col min="4360" max="4360" width="12.73046875" style="243" customWidth="1"/>
    <col min="4361" max="4608" width="11.73046875" style="243"/>
    <col min="4609" max="4609" width="30.73046875" style="243" customWidth="1"/>
    <col min="4610" max="4610" width="8.265625" style="243" customWidth="1"/>
    <col min="4611" max="4611" width="13.3984375" style="243" customWidth="1"/>
    <col min="4612" max="4612" width="10.86328125" style="243" customWidth="1"/>
    <col min="4613" max="4613" width="12.73046875" style="243" customWidth="1"/>
    <col min="4614" max="4614" width="11.73046875" style="243"/>
    <col min="4615" max="4615" width="13.3984375" style="243" customWidth="1"/>
    <col min="4616" max="4616" width="12.73046875" style="243" customWidth="1"/>
    <col min="4617" max="4864" width="11.73046875" style="243"/>
    <col min="4865" max="4865" width="30.73046875" style="243" customWidth="1"/>
    <col min="4866" max="4866" width="8.265625" style="243" customWidth="1"/>
    <col min="4867" max="4867" width="13.3984375" style="243" customWidth="1"/>
    <col min="4868" max="4868" width="10.86328125" style="243" customWidth="1"/>
    <col min="4869" max="4869" width="12.73046875" style="243" customWidth="1"/>
    <col min="4870" max="4870" width="11.73046875" style="243"/>
    <col min="4871" max="4871" width="13.3984375" style="243" customWidth="1"/>
    <col min="4872" max="4872" width="12.73046875" style="243" customWidth="1"/>
    <col min="4873" max="5120" width="11.73046875" style="243"/>
    <col min="5121" max="5121" width="30.73046875" style="243" customWidth="1"/>
    <col min="5122" max="5122" width="8.265625" style="243" customWidth="1"/>
    <col min="5123" max="5123" width="13.3984375" style="243" customWidth="1"/>
    <col min="5124" max="5124" width="10.86328125" style="243" customWidth="1"/>
    <col min="5125" max="5125" width="12.73046875" style="243" customWidth="1"/>
    <col min="5126" max="5126" width="11.73046875" style="243"/>
    <col min="5127" max="5127" width="13.3984375" style="243" customWidth="1"/>
    <col min="5128" max="5128" width="12.73046875" style="243" customWidth="1"/>
    <col min="5129" max="5376" width="11.73046875" style="243"/>
    <col min="5377" max="5377" width="30.73046875" style="243" customWidth="1"/>
    <col min="5378" max="5378" width="8.265625" style="243" customWidth="1"/>
    <col min="5379" max="5379" width="13.3984375" style="243" customWidth="1"/>
    <col min="5380" max="5380" width="10.86328125" style="243" customWidth="1"/>
    <col min="5381" max="5381" width="12.73046875" style="243" customWidth="1"/>
    <col min="5382" max="5382" width="11.73046875" style="243"/>
    <col min="5383" max="5383" width="13.3984375" style="243" customWidth="1"/>
    <col min="5384" max="5384" width="12.73046875" style="243" customWidth="1"/>
    <col min="5385" max="5632" width="11.73046875" style="243"/>
    <col min="5633" max="5633" width="30.73046875" style="243" customWidth="1"/>
    <col min="5634" max="5634" width="8.265625" style="243" customWidth="1"/>
    <col min="5635" max="5635" width="13.3984375" style="243" customWidth="1"/>
    <col min="5636" max="5636" width="10.86328125" style="243" customWidth="1"/>
    <col min="5637" max="5637" width="12.73046875" style="243" customWidth="1"/>
    <col min="5638" max="5638" width="11.73046875" style="243"/>
    <col min="5639" max="5639" width="13.3984375" style="243" customWidth="1"/>
    <col min="5640" max="5640" width="12.73046875" style="243" customWidth="1"/>
    <col min="5641" max="5888" width="11.73046875" style="243"/>
    <col min="5889" max="5889" width="30.73046875" style="243" customWidth="1"/>
    <col min="5890" max="5890" width="8.265625" style="243" customWidth="1"/>
    <col min="5891" max="5891" width="13.3984375" style="243" customWidth="1"/>
    <col min="5892" max="5892" width="10.86328125" style="243" customWidth="1"/>
    <col min="5893" max="5893" width="12.73046875" style="243" customWidth="1"/>
    <col min="5894" max="5894" width="11.73046875" style="243"/>
    <col min="5895" max="5895" width="13.3984375" style="243" customWidth="1"/>
    <col min="5896" max="5896" width="12.73046875" style="243" customWidth="1"/>
    <col min="5897" max="6144" width="11.73046875" style="243"/>
    <col min="6145" max="6145" width="30.73046875" style="243" customWidth="1"/>
    <col min="6146" max="6146" width="8.265625" style="243" customWidth="1"/>
    <col min="6147" max="6147" width="13.3984375" style="243" customWidth="1"/>
    <col min="6148" max="6148" width="10.86328125" style="243" customWidth="1"/>
    <col min="6149" max="6149" width="12.73046875" style="243" customWidth="1"/>
    <col min="6150" max="6150" width="11.73046875" style="243"/>
    <col min="6151" max="6151" width="13.3984375" style="243" customWidth="1"/>
    <col min="6152" max="6152" width="12.73046875" style="243" customWidth="1"/>
    <col min="6153" max="6400" width="11.73046875" style="243"/>
    <col min="6401" max="6401" width="30.73046875" style="243" customWidth="1"/>
    <col min="6402" max="6402" width="8.265625" style="243" customWidth="1"/>
    <col min="6403" max="6403" width="13.3984375" style="243" customWidth="1"/>
    <col min="6404" max="6404" width="10.86328125" style="243" customWidth="1"/>
    <col min="6405" max="6405" width="12.73046875" style="243" customWidth="1"/>
    <col min="6406" max="6406" width="11.73046875" style="243"/>
    <col min="6407" max="6407" width="13.3984375" style="243" customWidth="1"/>
    <col min="6408" max="6408" width="12.73046875" style="243" customWidth="1"/>
    <col min="6409" max="6656" width="11.73046875" style="243"/>
    <col min="6657" max="6657" width="30.73046875" style="243" customWidth="1"/>
    <col min="6658" max="6658" width="8.265625" style="243" customWidth="1"/>
    <col min="6659" max="6659" width="13.3984375" style="243" customWidth="1"/>
    <col min="6660" max="6660" width="10.86328125" style="243" customWidth="1"/>
    <col min="6661" max="6661" width="12.73046875" style="243" customWidth="1"/>
    <col min="6662" max="6662" width="11.73046875" style="243"/>
    <col min="6663" max="6663" width="13.3984375" style="243" customWidth="1"/>
    <col min="6664" max="6664" width="12.73046875" style="243" customWidth="1"/>
    <col min="6665" max="6912" width="11.73046875" style="243"/>
    <col min="6913" max="6913" width="30.73046875" style="243" customWidth="1"/>
    <col min="6914" max="6914" width="8.265625" style="243" customWidth="1"/>
    <col min="6915" max="6915" width="13.3984375" style="243" customWidth="1"/>
    <col min="6916" max="6916" width="10.86328125" style="243" customWidth="1"/>
    <col min="6917" max="6917" width="12.73046875" style="243" customWidth="1"/>
    <col min="6918" max="6918" width="11.73046875" style="243"/>
    <col min="6919" max="6919" width="13.3984375" style="243" customWidth="1"/>
    <col min="6920" max="6920" width="12.73046875" style="243" customWidth="1"/>
    <col min="6921" max="7168" width="11.73046875" style="243"/>
    <col min="7169" max="7169" width="30.73046875" style="243" customWidth="1"/>
    <col min="7170" max="7170" width="8.265625" style="243" customWidth="1"/>
    <col min="7171" max="7171" width="13.3984375" style="243" customWidth="1"/>
    <col min="7172" max="7172" width="10.86328125" style="243" customWidth="1"/>
    <col min="7173" max="7173" width="12.73046875" style="243" customWidth="1"/>
    <col min="7174" max="7174" width="11.73046875" style="243"/>
    <col min="7175" max="7175" width="13.3984375" style="243" customWidth="1"/>
    <col min="7176" max="7176" width="12.73046875" style="243" customWidth="1"/>
    <col min="7177" max="7424" width="11.73046875" style="243"/>
    <col min="7425" max="7425" width="30.73046875" style="243" customWidth="1"/>
    <col min="7426" max="7426" width="8.265625" style="243" customWidth="1"/>
    <col min="7427" max="7427" width="13.3984375" style="243" customWidth="1"/>
    <col min="7428" max="7428" width="10.86328125" style="243" customWidth="1"/>
    <col min="7429" max="7429" width="12.73046875" style="243" customWidth="1"/>
    <col min="7430" max="7430" width="11.73046875" style="243"/>
    <col min="7431" max="7431" width="13.3984375" style="243" customWidth="1"/>
    <col min="7432" max="7432" width="12.73046875" style="243" customWidth="1"/>
    <col min="7433" max="7680" width="11.73046875" style="243"/>
    <col min="7681" max="7681" width="30.73046875" style="243" customWidth="1"/>
    <col min="7682" max="7682" width="8.265625" style="243" customWidth="1"/>
    <col min="7683" max="7683" width="13.3984375" style="243" customWidth="1"/>
    <col min="7684" max="7684" width="10.86328125" style="243" customWidth="1"/>
    <col min="7685" max="7685" width="12.73046875" style="243" customWidth="1"/>
    <col min="7686" max="7686" width="11.73046875" style="243"/>
    <col min="7687" max="7687" width="13.3984375" style="243" customWidth="1"/>
    <col min="7688" max="7688" width="12.73046875" style="243" customWidth="1"/>
    <col min="7689" max="7936" width="11.73046875" style="243"/>
    <col min="7937" max="7937" width="30.73046875" style="243" customWidth="1"/>
    <col min="7938" max="7938" width="8.265625" style="243" customWidth="1"/>
    <col min="7939" max="7939" width="13.3984375" style="243" customWidth="1"/>
    <col min="7940" max="7940" width="10.86328125" style="243" customWidth="1"/>
    <col min="7941" max="7941" width="12.73046875" style="243" customWidth="1"/>
    <col min="7942" max="7942" width="11.73046875" style="243"/>
    <col min="7943" max="7943" width="13.3984375" style="243" customWidth="1"/>
    <col min="7944" max="7944" width="12.73046875" style="243" customWidth="1"/>
    <col min="7945" max="8192" width="11.73046875" style="243"/>
    <col min="8193" max="8193" width="30.73046875" style="243" customWidth="1"/>
    <col min="8194" max="8194" width="8.265625" style="243" customWidth="1"/>
    <col min="8195" max="8195" width="13.3984375" style="243" customWidth="1"/>
    <col min="8196" max="8196" width="10.86328125" style="243" customWidth="1"/>
    <col min="8197" max="8197" width="12.73046875" style="243" customWidth="1"/>
    <col min="8198" max="8198" width="11.73046875" style="243"/>
    <col min="8199" max="8199" width="13.3984375" style="243" customWidth="1"/>
    <col min="8200" max="8200" width="12.73046875" style="243" customWidth="1"/>
    <col min="8201" max="8448" width="11.73046875" style="243"/>
    <col min="8449" max="8449" width="30.73046875" style="243" customWidth="1"/>
    <col min="8450" max="8450" width="8.265625" style="243" customWidth="1"/>
    <col min="8451" max="8451" width="13.3984375" style="243" customWidth="1"/>
    <col min="8452" max="8452" width="10.86328125" style="243" customWidth="1"/>
    <col min="8453" max="8453" width="12.73046875" style="243" customWidth="1"/>
    <col min="8454" max="8454" width="11.73046875" style="243"/>
    <col min="8455" max="8455" width="13.3984375" style="243" customWidth="1"/>
    <col min="8456" max="8456" width="12.73046875" style="243" customWidth="1"/>
    <col min="8457" max="8704" width="11.73046875" style="243"/>
    <col min="8705" max="8705" width="30.73046875" style="243" customWidth="1"/>
    <col min="8706" max="8706" width="8.265625" style="243" customWidth="1"/>
    <col min="8707" max="8707" width="13.3984375" style="243" customWidth="1"/>
    <col min="8708" max="8708" width="10.86328125" style="243" customWidth="1"/>
    <col min="8709" max="8709" width="12.73046875" style="243" customWidth="1"/>
    <col min="8710" max="8710" width="11.73046875" style="243"/>
    <col min="8711" max="8711" width="13.3984375" style="243" customWidth="1"/>
    <col min="8712" max="8712" width="12.73046875" style="243" customWidth="1"/>
    <col min="8713" max="8960" width="11.73046875" style="243"/>
    <col min="8961" max="8961" width="30.73046875" style="243" customWidth="1"/>
    <col min="8962" max="8962" width="8.265625" style="243" customWidth="1"/>
    <col min="8963" max="8963" width="13.3984375" style="243" customWidth="1"/>
    <col min="8964" max="8964" width="10.86328125" style="243" customWidth="1"/>
    <col min="8965" max="8965" width="12.73046875" style="243" customWidth="1"/>
    <col min="8966" max="8966" width="11.73046875" style="243"/>
    <col min="8967" max="8967" width="13.3984375" style="243" customWidth="1"/>
    <col min="8968" max="8968" width="12.73046875" style="243" customWidth="1"/>
    <col min="8969" max="9216" width="11.73046875" style="243"/>
    <col min="9217" max="9217" width="30.73046875" style="243" customWidth="1"/>
    <col min="9218" max="9218" width="8.265625" style="243" customWidth="1"/>
    <col min="9219" max="9219" width="13.3984375" style="243" customWidth="1"/>
    <col min="9220" max="9220" width="10.86328125" style="243" customWidth="1"/>
    <col min="9221" max="9221" width="12.73046875" style="243" customWidth="1"/>
    <col min="9222" max="9222" width="11.73046875" style="243"/>
    <col min="9223" max="9223" width="13.3984375" style="243" customWidth="1"/>
    <col min="9224" max="9224" width="12.73046875" style="243" customWidth="1"/>
    <col min="9225" max="9472" width="11.73046875" style="243"/>
    <col min="9473" max="9473" width="30.73046875" style="243" customWidth="1"/>
    <col min="9474" max="9474" width="8.265625" style="243" customWidth="1"/>
    <col min="9475" max="9475" width="13.3984375" style="243" customWidth="1"/>
    <col min="9476" max="9476" width="10.86328125" style="243" customWidth="1"/>
    <col min="9477" max="9477" width="12.73046875" style="243" customWidth="1"/>
    <col min="9478" max="9478" width="11.73046875" style="243"/>
    <col min="9479" max="9479" width="13.3984375" style="243" customWidth="1"/>
    <col min="9480" max="9480" width="12.73046875" style="243" customWidth="1"/>
    <col min="9481" max="9728" width="11.73046875" style="243"/>
    <col min="9729" max="9729" width="30.73046875" style="243" customWidth="1"/>
    <col min="9730" max="9730" width="8.265625" style="243" customWidth="1"/>
    <col min="9731" max="9731" width="13.3984375" style="243" customWidth="1"/>
    <col min="9732" max="9732" width="10.86328125" style="243" customWidth="1"/>
    <col min="9733" max="9733" width="12.73046875" style="243" customWidth="1"/>
    <col min="9734" max="9734" width="11.73046875" style="243"/>
    <col min="9735" max="9735" width="13.3984375" style="243" customWidth="1"/>
    <col min="9736" max="9736" width="12.73046875" style="243" customWidth="1"/>
    <col min="9737" max="9984" width="11.73046875" style="243"/>
    <col min="9985" max="9985" width="30.73046875" style="243" customWidth="1"/>
    <col min="9986" max="9986" width="8.265625" style="243" customWidth="1"/>
    <col min="9987" max="9987" width="13.3984375" style="243" customWidth="1"/>
    <col min="9988" max="9988" width="10.86328125" style="243" customWidth="1"/>
    <col min="9989" max="9989" width="12.73046875" style="243" customWidth="1"/>
    <col min="9990" max="9990" width="11.73046875" style="243"/>
    <col min="9991" max="9991" width="13.3984375" style="243" customWidth="1"/>
    <col min="9992" max="9992" width="12.73046875" style="243" customWidth="1"/>
    <col min="9993" max="10240" width="11.73046875" style="243"/>
    <col min="10241" max="10241" width="30.73046875" style="243" customWidth="1"/>
    <col min="10242" max="10242" width="8.265625" style="243" customWidth="1"/>
    <col min="10243" max="10243" width="13.3984375" style="243" customWidth="1"/>
    <col min="10244" max="10244" width="10.86328125" style="243" customWidth="1"/>
    <col min="10245" max="10245" width="12.73046875" style="243" customWidth="1"/>
    <col min="10246" max="10246" width="11.73046875" style="243"/>
    <col min="10247" max="10247" width="13.3984375" style="243" customWidth="1"/>
    <col min="10248" max="10248" width="12.73046875" style="243" customWidth="1"/>
    <col min="10249" max="10496" width="11.73046875" style="243"/>
    <col min="10497" max="10497" width="30.73046875" style="243" customWidth="1"/>
    <col min="10498" max="10498" width="8.265625" style="243" customWidth="1"/>
    <col min="10499" max="10499" width="13.3984375" style="243" customWidth="1"/>
    <col min="10500" max="10500" width="10.86328125" style="243" customWidth="1"/>
    <col min="10501" max="10501" width="12.73046875" style="243" customWidth="1"/>
    <col min="10502" max="10502" width="11.73046875" style="243"/>
    <col min="10503" max="10503" width="13.3984375" style="243" customWidth="1"/>
    <col min="10504" max="10504" width="12.73046875" style="243" customWidth="1"/>
    <col min="10505" max="10752" width="11.73046875" style="243"/>
    <col min="10753" max="10753" width="30.73046875" style="243" customWidth="1"/>
    <col min="10754" max="10754" width="8.265625" style="243" customWidth="1"/>
    <col min="10755" max="10755" width="13.3984375" style="243" customWidth="1"/>
    <col min="10756" max="10756" width="10.86328125" style="243" customWidth="1"/>
    <col min="10757" max="10757" width="12.73046875" style="243" customWidth="1"/>
    <col min="10758" max="10758" width="11.73046875" style="243"/>
    <col min="10759" max="10759" width="13.3984375" style="243" customWidth="1"/>
    <col min="10760" max="10760" width="12.73046875" style="243" customWidth="1"/>
    <col min="10761" max="11008" width="11.73046875" style="243"/>
    <col min="11009" max="11009" width="30.73046875" style="243" customWidth="1"/>
    <col min="11010" max="11010" width="8.265625" style="243" customWidth="1"/>
    <col min="11011" max="11011" width="13.3984375" style="243" customWidth="1"/>
    <col min="11012" max="11012" width="10.86328125" style="243" customWidth="1"/>
    <col min="11013" max="11013" width="12.73046875" style="243" customWidth="1"/>
    <col min="11014" max="11014" width="11.73046875" style="243"/>
    <col min="11015" max="11015" width="13.3984375" style="243" customWidth="1"/>
    <col min="11016" max="11016" width="12.73046875" style="243" customWidth="1"/>
    <col min="11017" max="11264" width="11.73046875" style="243"/>
    <col min="11265" max="11265" width="30.73046875" style="243" customWidth="1"/>
    <col min="11266" max="11266" width="8.265625" style="243" customWidth="1"/>
    <col min="11267" max="11267" width="13.3984375" style="243" customWidth="1"/>
    <col min="11268" max="11268" width="10.86328125" style="243" customWidth="1"/>
    <col min="11269" max="11269" width="12.73046875" style="243" customWidth="1"/>
    <col min="11270" max="11270" width="11.73046875" style="243"/>
    <col min="11271" max="11271" width="13.3984375" style="243" customWidth="1"/>
    <col min="11272" max="11272" width="12.73046875" style="243" customWidth="1"/>
    <col min="11273" max="11520" width="11.73046875" style="243"/>
    <col min="11521" max="11521" width="30.73046875" style="243" customWidth="1"/>
    <col min="11522" max="11522" width="8.265625" style="243" customWidth="1"/>
    <col min="11523" max="11523" width="13.3984375" style="243" customWidth="1"/>
    <col min="11524" max="11524" width="10.86328125" style="243" customWidth="1"/>
    <col min="11525" max="11525" width="12.73046875" style="243" customWidth="1"/>
    <col min="11526" max="11526" width="11.73046875" style="243"/>
    <col min="11527" max="11527" width="13.3984375" style="243" customWidth="1"/>
    <col min="11528" max="11528" width="12.73046875" style="243" customWidth="1"/>
    <col min="11529" max="11776" width="11.73046875" style="243"/>
    <col min="11777" max="11777" width="30.73046875" style="243" customWidth="1"/>
    <col min="11778" max="11778" width="8.265625" style="243" customWidth="1"/>
    <col min="11779" max="11779" width="13.3984375" style="243" customWidth="1"/>
    <col min="11780" max="11780" width="10.86328125" style="243" customWidth="1"/>
    <col min="11781" max="11781" width="12.73046875" style="243" customWidth="1"/>
    <col min="11782" max="11782" width="11.73046875" style="243"/>
    <col min="11783" max="11783" width="13.3984375" style="243" customWidth="1"/>
    <col min="11784" max="11784" width="12.73046875" style="243" customWidth="1"/>
    <col min="11785" max="12032" width="11.73046875" style="243"/>
    <col min="12033" max="12033" width="30.73046875" style="243" customWidth="1"/>
    <col min="12034" max="12034" width="8.265625" style="243" customWidth="1"/>
    <col min="12035" max="12035" width="13.3984375" style="243" customWidth="1"/>
    <col min="12036" max="12036" width="10.86328125" style="243" customWidth="1"/>
    <col min="12037" max="12037" width="12.73046875" style="243" customWidth="1"/>
    <col min="12038" max="12038" width="11.73046875" style="243"/>
    <col min="12039" max="12039" width="13.3984375" style="243" customWidth="1"/>
    <col min="12040" max="12040" width="12.73046875" style="243" customWidth="1"/>
    <col min="12041" max="12288" width="11.73046875" style="243"/>
    <col min="12289" max="12289" width="30.73046875" style="243" customWidth="1"/>
    <col min="12290" max="12290" width="8.265625" style="243" customWidth="1"/>
    <col min="12291" max="12291" width="13.3984375" style="243" customWidth="1"/>
    <col min="12292" max="12292" width="10.86328125" style="243" customWidth="1"/>
    <col min="12293" max="12293" width="12.73046875" style="243" customWidth="1"/>
    <col min="12294" max="12294" width="11.73046875" style="243"/>
    <col min="12295" max="12295" width="13.3984375" style="243" customWidth="1"/>
    <col min="12296" max="12296" width="12.73046875" style="243" customWidth="1"/>
    <col min="12297" max="12544" width="11.73046875" style="243"/>
    <col min="12545" max="12545" width="30.73046875" style="243" customWidth="1"/>
    <col min="12546" max="12546" width="8.265625" style="243" customWidth="1"/>
    <col min="12547" max="12547" width="13.3984375" style="243" customWidth="1"/>
    <col min="12548" max="12548" width="10.86328125" style="243" customWidth="1"/>
    <col min="12549" max="12549" width="12.73046875" style="243" customWidth="1"/>
    <col min="12550" max="12550" width="11.73046875" style="243"/>
    <col min="12551" max="12551" width="13.3984375" style="243" customWidth="1"/>
    <col min="12552" max="12552" width="12.73046875" style="243" customWidth="1"/>
    <col min="12553" max="12800" width="11.73046875" style="243"/>
    <col min="12801" max="12801" width="30.73046875" style="243" customWidth="1"/>
    <col min="12802" max="12802" width="8.265625" style="243" customWidth="1"/>
    <col min="12803" max="12803" width="13.3984375" style="243" customWidth="1"/>
    <col min="12804" max="12804" width="10.86328125" style="243" customWidth="1"/>
    <col min="12805" max="12805" width="12.73046875" style="243" customWidth="1"/>
    <col min="12806" max="12806" width="11.73046875" style="243"/>
    <col min="12807" max="12807" width="13.3984375" style="243" customWidth="1"/>
    <col min="12808" max="12808" width="12.73046875" style="243" customWidth="1"/>
    <col min="12809" max="13056" width="11.73046875" style="243"/>
    <col min="13057" max="13057" width="30.73046875" style="243" customWidth="1"/>
    <col min="13058" max="13058" width="8.265625" style="243" customWidth="1"/>
    <col min="13059" max="13059" width="13.3984375" style="243" customWidth="1"/>
    <col min="13060" max="13060" width="10.86328125" style="243" customWidth="1"/>
    <col min="13061" max="13061" width="12.73046875" style="243" customWidth="1"/>
    <col min="13062" max="13062" width="11.73046875" style="243"/>
    <col min="13063" max="13063" width="13.3984375" style="243" customWidth="1"/>
    <col min="13064" max="13064" width="12.73046875" style="243" customWidth="1"/>
    <col min="13065" max="13312" width="11.73046875" style="243"/>
    <col min="13313" max="13313" width="30.73046875" style="243" customWidth="1"/>
    <col min="13314" max="13314" width="8.265625" style="243" customWidth="1"/>
    <col min="13315" max="13315" width="13.3984375" style="243" customWidth="1"/>
    <col min="13316" max="13316" width="10.86328125" style="243" customWidth="1"/>
    <col min="13317" max="13317" width="12.73046875" style="243" customWidth="1"/>
    <col min="13318" max="13318" width="11.73046875" style="243"/>
    <col min="13319" max="13319" width="13.3984375" style="243" customWidth="1"/>
    <col min="13320" max="13320" width="12.73046875" style="243" customWidth="1"/>
    <col min="13321" max="13568" width="11.73046875" style="243"/>
    <col min="13569" max="13569" width="30.73046875" style="243" customWidth="1"/>
    <col min="13570" max="13570" width="8.265625" style="243" customWidth="1"/>
    <col min="13571" max="13571" width="13.3984375" style="243" customWidth="1"/>
    <col min="13572" max="13572" width="10.86328125" style="243" customWidth="1"/>
    <col min="13573" max="13573" width="12.73046875" style="243" customWidth="1"/>
    <col min="13574" max="13574" width="11.73046875" style="243"/>
    <col min="13575" max="13575" width="13.3984375" style="243" customWidth="1"/>
    <col min="13576" max="13576" width="12.73046875" style="243" customWidth="1"/>
    <col min="13577" max="13824" width="11.73046875" style="243"/>
    <col min="13825" max="13825" width="30.73046875" style="243" customWidth="1"/>
    <col min="13826" max="13826" width="8.265625" style="243" customWidth="1"/>
    <col min="13827" max="13827" width="13.3984375" style="243" customWidth="1"/>
    <col min="13828" max="13828" width="10.86328125" style="243" customWidth="1"/>
    <col min="13829" max="13829" width="12.73046875" style="243" customWidth="1"/>
    <col min="13830" max="13830" width="11.73046875" style="243"/>
    <col min="13831" max="13831" width="13.3984375" style="243" customWidth="1"/>
    <col min="13832" max="13832" width="12.73046875" style="243" customWidth="1"/>
    <col min="13833" max="14080" width="11.73046875" style="243"/>
    <col min="14081" max="14081" width="30.73046875" style="243" customWidth="1"/>
    <col min="14082" max="14082" width="8.265625" style="243" customWidth="1"/>
    <col min="14083" max="14083" width="13.3984375" style="243" customWidth="1"/>
    <col min="14084" max="14084" width="10.86328125" style="243" customWidth="1"/>
    <col min="14085" max="14085" width="12.73046875" style="243" customWidth="1"/>
    <col min="14086" max="14086" width="11.73046875" style="243"/>
    <col min="14087" max="14087" width="13.3984375" style="243" customWidth="1"/>
    <col min="14088" max="14088" width="12.73046875" style="243" customWidth="1"/>
    <col min="14089" max="14336" width="11.73046875" style="243"/>
    <col min="14337" max="14337" width="30.73046875" style="243" customWidth="1"/>
    <col min="14338" max="14338" width="8.265625" style="243" customWidth="1"/>
    <col min="14339" max="14339" width="13.3984375" style="243" customWidth="1"/>
    <col min="14340" max="14340" width="10.86328125" style="243" customWidth="1"/>
    <col min="14341" max="14341" width="12.73046875" style="243" customWidth="1"/>
    <col min="14342" max="14342" width="11.73046875" style="243"/>
    <col min="14343" max="14343" width="13.3984375" style="243" customWidth="1"/>
    <col min="14344" max="14344" width="12.73046875" style="243" customWidth="1"/>
    <col min="14345" max="14592" width="11.73046875" style="243"/>
    <col min="14593" max="14593" width="30.73046875" style="243" customWidth="1"/>
    <col min="14594" max="14594" width="8.265625" style="243" customWidth="1"/>
    <col min="14595" max="14595" width="13.3984375" style="243" customWidth="1"/>
    <col min="14596" max="14596" width="10.86328125" style="243" customWidth="1"/>
    <col min="14597" max="14597" width="12.73046875" style="243" customWidth="1"/>
    <col min="14598" max="14598" width="11.73046875" style="243"/>
    <col min="14599" max="14599" width="13.3984375" style="243" customWidth="1"/>
    <col min="14600" max="14600" width="12.73046875" style="243" customWidth="1"/>
    <col min="14601" max="14848" width="11.73046875" style="243"/>
    <col min="14849" max="14849" width="30.73046875" style="243" customWidth="1"/>
    <col min="14850" max="14850" width="8.265625" style="243" customWidth="1"/>
    <col min="14851" max="14851" width="13.3984375" style="243" customWidth="1"/>
    <col min="14852" max="14852" width="10.86328125" style="243" customWidth="1"/>
    <col min="14853" max="14853" width="12.73046875" style="243" customWidth="1"/>
    <col min="14854" max="14854" width="11.73046875" style="243"/>
    <col min="14855" max="14855" width="13.3984375" style="243" customWidth="1"/>
    <col min="14856" max="14856" width="12.73046875" style="243" customWidth="1"/>
    <col min="14857" max="15104" width="11.73046875" style="243"/>
    <col min="15105" max="15105" width="30.73046875" style="243" customWidth="1"/>
    <col min="15106" max="15106" width="8.265625" style="243" customWidth="1"/>
    <col min="15107" max="15107" width="13.3984375" style="243" customWidth="1"/>
    <col min="15108" max="15108" width="10.86328125" style="243" customWidth="1"/>
    <col min="15109" max="15109" width="12.73046875" style="243" customWidth="1"/>
    <col min="15110" max="15110" width="11.73046875" style="243"/>
    <col min="15111" max="15111" width="13.3984375" style="243" customWidth="1"/>
    <col min="15112" max="15112" width="12.73046875" style="243" customWidth="1"/>
    <col min="15113" max="15360" width="11.73046875" style="243"/>
    <col min="15361" max="15361" width="30.73046875" style="243" customWidth="1"/>
    <col min="15362" max="15362" width="8.265625" style="243" customWidth="1"/>
    <col min="15363" max="15363" width="13.3984375" style="243" customWidth="1"/>
    <col min="15364" max="15364" width="10.86328125" style="243" customWidth="1"/>
    <col min="15365" max="15365" width="12.73046875" style="243" customWidth="1"/>
    <col min="15366" max="15366" width="11.73046875" style="243"/>
    <col min="15367" max="15367" width="13.3984375" style="243" customWidth="1"/>
    <col min="15368" max="15368" width="12.73046875" style="243" customWidth="1"/>
    <col min="15369" max="15616" width="11.73046875" style="243"/>
    <col min="15617" max="15617" width="30.73046875" style="243" customWidth="1"/>
    <col min="15618" max="15618" width="8.265625" style="243" customWidth="1"/>
    <col min="15619" max="15619" width="13.3984375" style="243" customWidth="1"/>
    <col min="15620" max="15620" width="10.86328125" style="243" customWidth="1"/>
    <col min="15621" max="15621" width="12.73046875" style="243" customWidth="1"/>
    <col min="15622" max="15622" width="11.73046875" style="243"/>
    <col min="15623" max="15623" width="13.3984375" style="243" customWidth="1"/>
    <col min="15624" max="15624" width="12.73046875" style="243" customWidth="1"/>
    <col min="15625" max="15872" width="11.73046875" style="243"/>
    <col min="15873" max="15873" width="30.73046875" style="243" customWidth="1"/>
    <col min="15874" max="15874" width="8.265625" style="243" customWidth="1"/>
    <col min="15875" max="15875" width="13.3984375" style="243" customWidth="1"/>
    <col min="15876" max="15876" width="10.86328125" style="243" customWidth="1"/>
    <col min="15877" max="15877" width="12.73046875" style="243" customWidth="1"/>
    <col min="15878" max="15878" width="11.73046875" style="243"/>
    <col min="15879" max="15879" width="13.3984375" style="243" customWidth="1"/>
    <col min="15880" max="15880" width="12.73046875" style="243" customWidth="1"/>
    <col min="15881" max="16128" width="11.73046875" style="243"/>
    <col min="16129" max="16129" width="30.73046875" style="243" customWidth="1"/>
    <col min="16130" max="16130" width="8.265625" style="243" customWidth="1"/>
    <col min="16131" max="16131" width="13.3984375" style="243" customWidth="1"/>
    <col min="16132" max="16132" width="10.86328125" style="243" customWidth="1"/>
    <col min="16133" max="16133" width="12.73046875" style="243" customWidth="1"/>
    <col min="16134" max="16134" width="11.73046875" style="243"/>
    <col min="16135" max="16135" width="13.3984375" style="243" customWidth="1"/>
    <col min="16136" max="16136" width="12.73046875" style="243" customWidth="1"/>
    <col min="16137" max="16384" width="11.73046875" style="243"/>
  </cols>
  <sheetData>
    <row r="1" spans="1:17">
      <c r="A1" s="242" t="s">
        <v>206</v>
      </c>
    </row>
    <row r="2" spans="1:17">
      <c r="A2" s="244" t="s">
        <v>148</v>
      </c>
      <c r="C2" s="98"/>
      <c r="E2" s="98"/>
      <c r="F2" s="98"/>
      <c r="G2" s="98"/>
      <c r="H2" s="98"/>
      <c r="J2" s="241" t="s">
        <v>190</v>
      </c>
    </row>
    <row r="3" spans="1:17">
      <c r="A3" s="244" t="s">
        <v>266</v>
      </c>
      <c r="B3" s="99"/>
      <c r="D3" s="132"/>
      <c r="E3" s="98"/>
      <c r="F3" s="98"/>
      <c r="G3" s="98"/>
      <c r="H3" s="98"/>
      <c r="J3" s="102" t="s">
        <v>254</v>
      </c>
    </row>
    <row r="4" spans="1:17">
      <c r="A4" s="242" t="s">
        <v>268</v>
      </c>
      <c r="J4" s="102"/>
    </row>
    <row r="5" spans="1:17">
      <c r="B5" s="100" t="s">
        <v>193</v>
      </c>
      <c r="E5" s="101">
        <v>375000</v>
      </c>
      <c r="F5" s="132" t="s">
        <v>113</v>
      </c>
      <c r="I5" s="101"/>
      <c r="J5" s="102" t="s">
        <v>213</v>
      </c>
    </row>
    <row r="6" spans="1:17">
      <c r="J6" s="313"/>
      <c r="L6" s="247"/>
    </row>
    <row r="7" spans="1:17">
      <c r="B7" s="296" t="s">
        <v>30</v>
      </c>
      <c r="D7" s="132" t="s">
        <v>222</v>
      </c>
      <c r="E7" s="104"/>
      <c r="F7" s="100"/>
      <c r="J7" s="102"/>
    </row>
    <row r="8" spans="1:17">
      <c r="B8" s="318" t="s">
        <v>67</v>
      </c>
      <c r="E8" s="103">
        <f>B61</f>
        <v>140500</v>
      </c>
      <c r="F8" s="100" t="s">
        <v>113</v>
      </c>
      <c r="G8" s="132" t="s">
        <v>68</v>
      </c>
      <c r="J8" s="102" t="s">
        <v>228</v>
      </c>
      <c r="N8" s="249"/>
    </row>
    <row r="9" spans="1:17" ht="14.1" customHeight="1">
      <c r="J9" s="102"/>
    </row>
    <row r="10" spans="1:17" ht="14.1" customHeight="1">
      <c r="B10" s="318" t="s">
        <v>69</v>
      </c>
      <c r="E10" s="105">
        <f>(E61)</f>
        <v>1277285.5</v>
      </c>
      <c r="G10" s="132" t="s">
        <v>68</v>
      </c>
      <c r="J10" s="102" t="s">
        <v>214</v>
      </c>
      <c r="Q10" s="249"/>
    </row>
    <row r="11" spans="1:17">
      <c r="J11" s="102"/>
    </row>
    <row r="12" spans="1:17">
      <c r="C12" s="96" t="s">
        <v>216</v>
      </c>
      <c r="F12" s="282">
        <f>E63</f>
        <v>9.0909999999999993</v>
      </c>
      <c r="G12" s="132" t="s">
        <v>114</v>
      </c>
      <c r="J12" s="102" t="s">
        <v>214</v>
      </c>
    </row>
    <row r="13" spans="1:17">
      <c r="D13" s="107"/>
      <c r="E13" s="100"/>
      <c r="J13" s="102"/>
    </row>
    <row r="14" spans="1:17">
      <c r="D14" s="107"/>
      <c r="E14" s="100"/>
      <c r="J14" s="102"/>
    </row>
    <row r="15" spans="1:17">
      <c r="B15" s="296" t="s">
        <v>259</v>
      </c>
      <c r="D15" s="132" t="s">
        <v>223</v>
      </c>
      <c r="J15" s="102" t="s">
        <v>229</v>
      </c>
    </row>
    <row r="16" spans="1:17" hidden="1">
      <c r="C16" s="96" t="s">
        <v>70</v>
      </c>
      <c r="F16" s="108" t="s">
        <v>71</v>
      </c>
      <c r="J16" s="109"/>
    </row>
    <row r="17" spans="2:12" hidden="1">
      <c r="C17" s="96" t="s">
        <v>72</v>
      </c>
      <c r="F17" s="95" t="s">
        <v>73</v>
      </c>
    </row>
    <row r="18" spans="2:12" hidden="1">
      <c r="C18" s="96" t="s">
        <v>74</v>
      </c>
      <c r="F18" s="110" t="s">
        <v>75</v>
      </c>
    </row>
    <row r="19" spans="2:12" hidden="1">
      <c r="C19" s="96" t="s">
        <v>76</v>
      </c>
      <c r="F19" s="95" t="s">
        <v>77</v>
      </c>
    </row>
    <row r="20" spans="2:12" hidden="1">
      <c r="C20" s="111" t="s">
        <v>78</v>
      </c>
      <c r="F20" s="95" t="s">
        <v>77</v>
      </c>
    </row>
    <row r="21" spans="2:12" hidden="1">
      <c r="C21" s="111" t="s">
        <v>79</v>
      </c>
      <c r="F21" s="95" t="s">
        <v>77</v>
      </c>
    </row>
    <row r="22" spans="2:12" hidden="1">
      <c r="E22" s="112"/>
    </row>
    <row r="23" spans="2:12">
      <c r="B23" s="318" t="s">
        <v>260</v>
      </c>
      <c r="C23" s="243"/>
      <c r="E23" s="113">
        <f>'Sch III GBA'!K256</f>
        <v>-677794.95794250281</v>
      </c>
      <c r="G23" s="240" t="s">
        <v>246</v>
      </c>
      <c r="J23" s="102" t="s">
        <v>191</v>
      </c>
    </row>
    <row r="24" spans="2:12">
      <c r="J24" s="102"/>
    </row>
    <row r="25" spans="2:12" ht="16.149999999999999" thickBot="1">
      <c r="C25" s="96" t="s">
        <v>194</v>
      </c>
      <c r="E25" s="114">
        <f>E23</f>
        <v>-677794.95794250281</v>
      </c>
      <c r="F25" s="243"/>
      <c r="G25" s="243"/>
      <c r="I25" s="243"/>
      <c r="J25" s="102" t="s">
        <v>210</v>
      </c>
    </row>
    <row r="26" spans="2:12" ht="16.149999999999999" thickTop="1">
      <c r="F26" s="115"/>
      <c r="J26" s="102"/>
    </row>
    <row r="27" spans="2:12">
      <c r="C27" s="96" t="s">
        <v>259</v>
      </c>
      <c r="F27" s="323">
        <f>-ROUND(E25/(E5),2)</f>
        <v>1.81</v>
      </c>
      <c r="G27" s="99" t="s">
        <v>252</v>
      </c>
      <c r="J27" s="102"/>
    </row>
    <row r="28" spans="2:12">
      <c r="F28" s="115"/>
      <c r="J28" s="102"/>
    </row>
    <row r="29" spans="2:12">
      <c r="F29" s="115"/>
      <c r="J29" s="102"/>
    </row>
    <row r="30" spans="2:12">
      <c r="B30" s="296" t="s">
        <v>219</v>
      </c>
      <c r="D30" s="132" t="s">
        <v>256</v>
      </c>
      <c r="E30" s="94" t="s">
        <v>257</v>
      </c>
      <c r="G30" s="99" t="s">
        <v>258</v>
      </c>
      <c r="J30" s="116"/>
    </row>
    <row r="31" spans="2:12">
      <c r="B31" s="296"/>
      <c r="D31" s="132"/>
      <c r="E31" s="94"/>
      <c r="G31" s="99"/>
      <c r="J31" s="116"/>
    </row>
    <row r="32" spans="2:12">
      <c r="C32" s="96" t="s">
        <v>218</v>
      </c>
      <c r="E32" s="104"/>
      <c r="F32" s="283">
        <f>ROUND(E63,2)</f>
        <v>9.09</v>
      </c>
      <c r="G32" s="99" t="s">
        <v>224</v>
      </c>
      <c r="J32" s="102" t="s">
        <v>189</v>
      </c>
    </row>
    <row r="33" spans="1:11">
      <c r="C33" s="96" t="s">
        <v>217</v>
      </c>
      <c r="E33" s="104"/>
      <c r="F33" s="118">
        <f>F27</f>
        <v>1.81</v>
      </c>
      <c r="G33" s="99" t="s">
        <v>226</v>
      </c>
      <c r="H33" s="119"/>
      <c r="J33" s="102" t="s">
        <v>197</v>
      </c>
    </row>
    <row r="34" spans="1:11">
      <c r="E34" s="104"/>
      <c r="F34" s="120"/>
      <c r="H34" s="119"/>
      <c r="J34" s="102" t="s">
        <v>211</v>
      </c>
    </row>
    <row r="35" spans="1:11">
      <c r="C35" s="96" t="s">
        <v>220</v>
      </c>
      <c r="E35" s="104"/>
      <c r="F35" s="121">
        <f>SUM(F32:F34)</f>
        <v>10.9</v>
      </c>
      <c r="G35" s="132" t="s">
        <v>114</v>
      </c>
      <c r="J35" s="102" t="s">
        <v>212</v>
      </c>
    </row>
    <row r="36" spans="1:11">
      <c r="E36" s="104"/>
      <c r="F36" s="122"/>
      <c r="G36" s="100"/>
      <c r="J36" s="102"/>
    </row>
    <row r="37" spans="1:11">
      <c r="E37" s="104"/>
      <c r="F37" s="123"/>
      <c r="G37" s="100"/>
      <c r="J37" s="102"/>
    </row>
    <row r="38" spans="1:11">
      <c r="A38" s="252" t="s">
        <v>195</v>
      </c>
      <c r="B38" s="96"/>
      <c r="C38" s="243"/>
      <c r="D38" s="124" t="s">
        <v>112</v>
      </c>
      <c r="E38" s="125"/>
      <c r="F38" s="94"/>
      <c r="G38" s="94"/>
      <c r="J38" s="102"/>
    </row>
    <row r="39" spans="1:11">
      <c r="B39" s="96"/>
      <c r="C39" s="287" t="s">
        <v>196</v>
      </c>
      <c r="D39" s="287" t="s">
        <v>89</v>
      </c>
      <c r="E39" s="287" t="s">
        <v>221</v>
      </c>
      <c r="F39" s="126" t="s">
        <v>17</v>
      </c>
      <c r="G39" s="243"/>
      <c r="J39" s="102"/>
    </row>
    <row r="40" spans="1:11">
      <c r="B40" s="127" t="s">
        <v>121</v>
      </c>
      <c r="G40" s="243"/>
      <c r="J40" s="102"/>
    </row>
    <row r="41" spans="1:11">
      <c r="B41" s="96" t="s">
        <v>80</v>
      </c>
      <c r="C41" s="128">
        <v>4.22</v>
      </c>
      <c r="D41" s="285">
        <f>F32</f>
        <v>9.09</v>
      </c>
      <c r="E41" s="286">
        <f>F27</f>
        <v>1.81</v>
      </c>
      <c r="F41" s="288">
        <f>SUM(C41:E41)</f>
        <v>15.12</v>
      </c>
      <c r="G41" s="132" t="s">
        <v>227</v>
      </c>
      <c r="J41" s="167">
        <f>D41+E41</f>
        <v>10.9</v>
      </c>
      <c r="K41" s="99" t="s">
        <v>198</v>
      </c>
    </row>
    <row r="42" spans="1:11">
      <c r="B42" s="96" t="s">
        <v>81</v>
      </c>
      <c r="C42" s="128">
        <v>4.22</v>
      </c>
      <c r="D42" s="128">
        <v>11.504300000000001</v>
      </c>
      <c r="E42" s="128">
        <v>0.66349999999999998</v>
      </c>
      <c r="F42" s="117">
        <f>SUM(C42:E42)</f>
        <v>16.387799999999999</v>
      </c>
      <c r="G42" s="243"/>
      <c r="J42" s="102" t="s">
        <v>199</v>
      </c>
      <c r="K42" s="245"/>
    </row>
    <row r="43" spans="1:11">
      <c r="B43" s="96" t="s">
        <v>82</v>
      </c>
      <c r="C43" s="128">
        <f>(C41-C42)</f>
        <v>0</v>
      </c>
      <c r="D43" s="129">
        <f>(D41-D42)</f>
        <v>-2.4143000000000008</v>
      </c>
      <c r="E43" s="129">
        <f>(E41-E42)</f>
        <v>1.1465000000000001</v>
      </c>
      <c r="F43" s="117">
        <f>SUM(C43:E43)</f>
        <v>-1.2678000000000007</v>
      </c>
      <c r="G43" s="243"/>
      <c r="J43" s="102" t="s">
        <v>200</v>
      </c>
    </row>
    <row r="44" spans="1:11">
      <c r="B44" s="96"/>
      <c r="C44" s="128"/>
      <c r="D44" s="129"/>
      <c r="E44" s="129"/>
      <c r="F44" s="117"/>
      <c r="G44" s="243"/>
      <c r="J44" s="102"/>
    </row>
    <row r="45" spans="1:11">
      <c r="B45" s="127" t="s">
        <v>83</v>
      </c>
      <c r="C45" s="128"/>
      <c r="D45" s="129"/>
      <c r="E45" s="129"/>
      <c r="F45" s="117"/>
      <c r="G45" s="243"/>
      <c r="J45" s="102"/>
    </row>
    <row r="46" spans="1:11">
      <c r="B46" s="96" t="s">
        <v>80</v>
      </c>
      <c r="C46" s="128">
        <v>3.4453999999999998</v>
      </c>
      <c r="D46" s="285">
        <f>D41</f>
        <v>9.09</v>
      </c>
      <c r="E46" s="286">
        <f>E41</f>
        <v>1.81</v>
      </c>
      <c r="F46" s="288">
        <f>SUM(C46:E46)</f>
        <v>14.3454</v>
      </c>
      <c r="G46" s="132" t="s">
        <v>227</v>
      </c>
      <c r="J46" s="102"/>
    </row>
    <row r="47" spans="1:11">
      <c r="B47" s="96" t="s">
        <v>81</v>
      </c>
      <c r="C47" s="128">
        <v>3.4453999999999998</v>
      </c>
      <c r="D47" s="129">
        <f>D42</f>
        <v>11.504300000000001</v>
      </c>
      <c r="E47" s="129">
        <f>E42</f>
        <v>0.66349999999999998</v>
      </c>
      <c r="F47" s="117">
        <f>SUM(C47:E47)</f>
        <v>15.613199999999999</v>
      </c>
      <c r="G47" s="243"/>
      <c r="J47" s="102"/>
    </row>
    <row r="48" spans="1:11">
      <c r="B48" s="96" t="s">
        <v>82</v>
      </c>
      <c r="C48" s="128">
        <f>(C46-C47)</f>
        <v>0</v>
      </c>
      <c r="D48" s="129">
        <f>(D46-D47)</f>
        <v>-2.4143000000000008</v>
      </c>
      <c r="E48" s="129">
        <f>(E46-E47)</f>
        <v>1.1465000000000001</v>
      </c>
      <c r="F48" s="117">
        <f>SUM(C48:E48)</f>
        <v>-1.2678000000000007</v>
      </c>
      <c r="G48" s="243"/>
      <c r="J48" s="102"/>
    </row>
    <row r="49" spans="1:15">
      <c r="B49" s="96"/>
      <c r="C49" s="128"/>
      <c r="D49" s="129"/>
      <c r="E49" s="129"/>
      <c r="F49" s="129"/>
      <c r="G49" s="129"/>
      <c r="J49" s="102" t="s">
        <v>247</v>
      </c>
    </row>
    <row r="50" spans="1:15">
      <c r="B50" s="96"/>
      <c r="C50" s="104"/>
      <c r="D50" s="104"/>
      <c r="E50" s="104"/>
      <c r="F50" s="104"/>
      <c r="G50" s="123"/>
      <c r="J50" s="102" t="s">
        <v>253</v>
      </c>
    </row>
    <row r="51" spans="1:15">
      <c r="A51" s="252" t="s">
        <v>192</v>
      </c>
      <c r="B51" s="96"/>
      <c r="C51" s="95"/>
      <c r="J51" s="102"/>
    </row>
    <row r="52" spans="1:15">
      <c r="A52" s="246"/>
      <c r="B52" s="96" t="s">
        <v>122</v>
      </c>
      <c r="C52" s="132" t="s">
        <v>111</v>
      </c>
      <c r="J52" s="102"/>
    </row>
    <row r="53" spans="1:15">
      <c r="B53" s="96"/>
      <c r="D53" s="133"/>
      <c r="E53" s="133"/>
      <c r="F53" s="133"/>
      <c r="H53" s="134"/>
      <c r="J53" s="102"/>
      <c r="K53" s="245"/>
    </row>
    <row r="54" spans="1:15">
      <c r="A54" s="254"/>
      <c r="B54" s="135" t="s">
        <v>7</v>
      </c>
      <c r="C54" s="137" t="s">
        <v>145</v>
      </c>
      <c r="E54" s="138" t="s">
        <v>84</v>
      </c>
      <c r="F54" s="137"/>
      <c r="J54" s="102"/>
      <c r="L54" s="256"/>
    </row>
    <row r="55" spans="1:15">
      <c r="A55" s="257" t="s">
        <v>0</v>
      </c>
      <c r="B55" s="141" t="s">
        <v>113</v>
      </c>
      <c r="C55" s="142" t="s">
        <v>116</v>
      </c>
      <c r="E55" s="143" t="s">
        <v>85</v>
      </c>
      <c r="F55" s="137"/>
      <c r="J55" s="102"/>
      <c r="L55" s="256"/>
    </row>
    <row r="56" spans="1:15">
      <c r="A56" s="258"/>
      <c r="B56" s="139"/>
      <c r="C56" s="139"/>
      <c r="E56" s="145"/>
      <c r="F56" s="137"/>
      <c r="J56" s="102"/>
      <c r="K56" s="319" t="s">
        <v>86</v>
      </c>
      <c r="L56" s="314" t="s">
        <v>248</v>
      </c>
    </row>
    <row r="57" spans="1:15">
      <c r="A57" s="259">
        <v>44958</v>
      </c>
      <c r="B57" s="147">
        <v>63500</v>
      </c>
      <c r="C57" s="322">
        <f>ROUND('Sched II EGC '!$G$39,3)</f>
        <v>9.0909999999999993</v>
      </c>
      <c r="E57" s="145">
        <f>B57*C57</f>
        <v>577278.5</v>
      </c>
      <c r="F57" s="149"/>
      <c r="J57" s="321" t="s">
        <v>261</v>
      </c>
      <c r="K57" s="320">
        <v>63282.3</v>
      </c>
      <c r="L57" s="315" t="s">
        <v>249</v>
      </c>
      <c r="M57" s="262"/>
      <c r="N57" s="263"/>
      <c r="O57" s="264"/>
    </row>
    <row r="58" spans="1:15">
      <c r="A58" s="259">
        <v>44986</v>
      </c>
      <c r="B58" s="147">
        <v>48500</v>
      </c>
      <c r="C58" s="172">
        <f>C57</f>
        <v>9.0909999999999993</v>
      </c>
      <c r="E58" s="145">
        <f>B58*C58</f>
        <v>440913.49999999994</v>
      </c>
      <c r="F58" s="149"/>
      <c r="J58" s="102"/>
      <c r="K58" s="320">
        <v>48369</v>
      </c>
      <c r="L58" s="261"/>
      <c r="M58" s="262"/>
      <c r="N58" s="263"/>
      <c r="O58" s="264"/>
    </row>
    <row r="59" spans="1:15">
      <c r="A59" s="259">
        <v>45017</v>
      </c>
      <c r="B59" s="147">
        <v>28500</v>
      </c>
      <c r="C59" s="172">
        <f>C57</f>
        <v>9.0909999999999993</v>
      </c>
      <c r="E59" s="145">
        <f>B59*C59</f>
        <v>259093.49999999997</v>
      </c>
      <c r="F59" s="149"/>
      <c r="J59" s="102"/>
      <c r="K59" s="320">
        <v>25770</v>
      </c>
      <c r="L59" s="261"/>
      <c r="M59" s="262"/>
      <c r="N59" s="263"/>
      <c r="O59" s="264"/>
    </row>
    <row r="60" spans="1:15">
      <c r="A60" s="265"/>
      <c r="B60" s="148"/>
      <c r="C60" s="148"/>
      <c r="E60" s="145"/>
      <c r="F60" s="140"/>
      <c r="J60" s="102" t="s">
        <v>262</v>
      </c>
      <c r="M60" s="266"/>
    </row>
    <row r="61" spans="1:15">
      <c r="A61" s="254" t="s">
        <v>87</v>
      </c>
      <c r="B61" s="150">
        <f>SUM(B57:B60)</f>
        <v>140500</v>
      </c>
      <c r="C61" s="150"/>
      <c r="E61" s="151">
        <f>SUM(E57:E60)</f>
        <v>1277285.5</v>
      </c>
      <c r="F61" s="151"/>
      <c r="J61" s="281"/>
      <c r="L61" s="267"/>
    </row>
    <row r="62" spans="1:15">
      <c r="A62" s="255"/>
      <c r="B62" s="144"/>
      <c r="C62" s="152"/>
      <c r="D62" s="153"/>
      <c r="E62" s="139"/>
      <c r="F62" s="139"/>
      <c r="G62" s="154"/>
      <c r="I62" s="139"/>
      <c r="J62" s="102"/>
    </row>
    <row r="63" spans="1:15">
      <c r="A63" s="245"/>
      <c r="C63" s="146" t="s">
        <v>146</v>
      </c>
      <c r="E63" s="284">
        <f>+E61/B61</f>
        <v>9.0909999999999993</v>
      </c>
      <c r="F63" s="132" t="s">
        <v>115</v>
      </c>
      <c r="J63" s="321" t="s">
        <v>250</v>
      </c>
      <c r="K63" s="260"/>
    </row>
    <row r="64" spans="1:15">
      <c r="A64" s="268"/>
      <c r="B64" s="99" t="s">
        <v>117</v>
      </c>
      <c r="C64" s="95"/>
      <c r="E64" s="279"/>
      <c r="H64" s="115"/>
      <c r="I64" s="115"/>
      <c r="J64" s="278"/>
      <c r="K64" s="260"/>
      <c r="L64" s="251"/>
      <c r="M64" s="248"/>
      <c r="N64" s="251"/>
      <c r="O64" s="251"/>
    </row>
    <row r="65" spans="1:14">
      <c r="A65" s="245"/>
      <c r="C65" s="95"/>
      <c r="E65" s="104"/>
      <c r="F65" s="100"/>
      <c r="I65" s="115"/>
      <c r="J65" s="278"/>
      <c r="K65" s="260"/>
      <c r="L65" s="251"/>
      <c r="M65" s="248"/>
    </row>
    <row r="66" spans="1:14">
      <c r="C66" s="95"/>
      <c r="E66" s="104"/>
      <c r="J66" s="102"/>
    </row>
    <row r="67" spans="1:14">
      <c r="A67" s="252" t="s">
        <v>201</v>
      </c>
      <c r="I67" s="99"/>
      <c r="J67" s="102"/>
    </row>
    <row r="68" spans="1:14">
      <c r="B68" s="127" t="s">
        <v>88</v>
      </c>
      <c r="C68" s="136" t="s">
        <v>88</v>
      </c>
      <c r="D68" s="136" t="s">
        <v>89</v>
      </c>
      <c r="E68" s="136" t="s">
        <v>90</v>
      </c>
      <c r="F68" s="136" t="s">
        <v>91</v>
      </c>
      <c r="G68" s="94"/>
      <c r="H68" s="94"/>
      <c r="J68" s="102"/>
      <c r="L68" s="268"/>
      <c r="M68" s="268"/>
    </row>
    <row r="69" spans="1:14">
      <c r="A69" s="268" t="s">
        <v>97</v>
      </c>
      <c r="B69" s="127" t="s">
        <v>113</v>
      </c>
      <c r="C69" s="136" t="s">
        <v>92</v>
      </c>
      <c r="D69" s="136" t="s">
        <v>93</v>
      </c>
      <c r="E69" s="136" t="s">
        <v>94</v>
      </c>
      <c r="F69" s="136" t="s">
        <v>94</v>
      </c>
      <c r="G69" s="136" t="s">
        <v>95</v>
      </c>
      <c r="H69" s="136" t="s">
        <v>96</v>
      </c>
      <c r="J69" s="102"/>
      <c r="L69" s="268"/>
      <c r="M69" s="268"/>
    </row>
    <row r="70" spans="1:14">
      <c r="A70" s="253"/>
      <c r="B70" s="155"/>
      <c r="C70" s="155"/>
      <c r="D70" s="155"/>
      <c r="E70" s="155"/>
      <c r="J70" s="102"/>
    </row>
    <row r="71" spans="1:14">
      <c r="A71" s="280" t="s">
        <v>98</v>
      </c>
      <c r="B71" s="156">
        <f t="shared" ref="B71:B82" si="0">C71*B$83</f>
        <v>10.497824468996345</v>
      </c>
      <c r="C71" s="131">
        <v>0.20995648937992692</v>
      </c>
      <c r="D71" s="130">
        <f t="shared" ref="D71:D82" si="1">B71*D$85</f>
        <v>158.72710597122474</v>
      </c>
      <c r="E71" s="130">
        <f>D71+15</f>
        <v>173.72710597122474</v>
      </c>
      <c r="F71" s="130">
        <f t="shared" ref="F71:F82" si="2">(B71*F$85)+15</f>
        <v>187.03624783301828</v>
      </c>
      <c r="G71" s="130">
        <f>E71-F71</f>
        <v>-13.309141861793535</v>
      </c>
      <c r="H71" s="131">
        <f>G71/F71</f>
        <v>-7.1158088423991669E-2</v>
      </c>
      <c r="J71" s="102" t="s">
        <v>263</v>
      </c>
      <c r="L71" s="270"/>
      <c r="M71" s="270"/>
      <c r="N71" s="324"/>
    </row>
    <row r="72" spans="1:14">
      <c r="A72" s="280" t="s">
        <v>99</v>
      </c>
      <c r="B72" s="156">
        <f t="shared" si="0"/>
        <v>9.2354220491179415</v>
      </c>
      <c r="C72" s="131">
        <v>0.18470844098235883</v>
      </c>
      <c r="D72" s="157">
        <f t="shared" si="1"/>
        <v>139.63958138266327</v>
      </c>
      <c r="E72" s="157">
        <f t="shared" ref="E72:E82" si="3">D72+15</f>
        <v>154.63958138266327</v>
      </c>
      <c r="F72" s="157">
        <f t="shared" si="2"/>
        <v>166.348249456535</v>
      </c>
      <c r="G72" s="157">
        <f t="shared" ref="G72:G82" si="4">E72-F72</f>
        <v>-11.708668073871735</v>
      </c>
      <c r="H72" s="131">
        <f t="shared" ref="H72:H83" si="5">G72/F72</f>
        <v>-7.0386482046696161E-2</v>
      </c>
      <c r="J72" s="102" t="s">
        <v>264</v>
      </c>
      <c r="L72" s="271"/>
      <c r="M72" s="271"/>
      <c r="N72" s="324"/>
    </row>
    <row r="73" spans="1:14">
      <c r="A73" s="280" t="s">
        <v>100</v>
      </c>
      <c r="B73" s="156">
        <f t="shared" si="0"/>
        <v>6.7466149308696401</v>
      </c>
      <c r="C73" s="131">
        <v>0.13493229861739281</v>
      </c>
      <c r="D73" s="157">
        <f t="shared" si="1"/>
        <v>102.00881775474896</v>
      </c>
      <c r="E73" s="157">
        <f t="shared" si="3"/>
        <v>117.00881775474896</v>
      </c>
      <c r="F73" s="157">
        <f t="shared" si="2"/>
        <v>125.56217616410548</v>
      </c>
      <c r="G73" s="157">
        <f t="shared" si="4"/>
        <v>-8.5533584093565196</v>
      </c>
      <c r="H73" s="131">
        <f t="shared" si="5"/>
        <v>-6.8120501497023853E-2</v>
      </c>
      <c r="J73" s="102"/>
      <c r="L73" s="271"/>
      <c r="M73" s="271"/>
      <c r="N73" s="324"/>
    </row>
    <row r="74" spans="1:14">
      <c r="A74" s="280" t="s">
        <v>101</v>
      </c>
      <c r="B74" s="156">
        <f t="shared" si="0"/>
        <v>3.5868821564355011</v>
      </c>
      <c r="C74" s="131">
        <v>7.1737643128710019E-2</v>
      </c>
      <c r="D74" s="157">
        <f t="shared" si="1"/>
        <v>54.233658205304771</v>
      </c>
      <c r="E74" s="157">
        <f t="shared" si="3"/>
        <v>69.233658205304778</v>
      </c>
      <c r="F74" s="157">
        <f t="shared" si="2"/>
        <v>73.781107403233705</v>
      </c>
      <c r="G74" s="157">
        <f t="shared" si="4"/>
        <v>-4.5474491979289269</v>
      </c>
      <c r="H74" s="131">
        <f t="shared" si="5"/>
        <v>-6.1634331036479126E-2</v>
      </c>
      <c r="J74" s="102"/>
      <c r="L74" s="271"/>
      <c r="M74" s="271"/>
      <c r="N74" s="324"/>
    </row>
    <row r="75" spans="1:14">
      <c r="A75" s="280" t="s">
        <v>102</v>
      </c>
      <c r="B75" s="156">
        <f t="shared" si="0"/>
        <v>1.6425750663199628</v>
      </c>
      <c r="C75" s="131">
        <v>3.2851501326399253E-2</v>
      </c>
      <c r="D75" s="157">
        <f t="shared" si="1"/>
        <v>24.835735002757836</v>
      </c>
      <c r="E75" s="157">
        <f t="shared" si="3"/>
        <v>39.835735002757836</v>
      </c>
      <c r="F75" s="157">
        <f t="shared" si="2"/>
        <v>41.918191671838287</v>
      </c>
      <c r="G75" s="157">
        <f t="shared" si="4"/>
        <v>-2.0824566690804502</v>
      </c>
      <c r="H75" s="131">
        <f t="shared" si="5"/>
        <v>-4.967906739353687E-2</v>
      </c>
      <c r="J75" s="102"/>
      <c r="M75" s="271"/>
      <c r="N75" s="324"/>
    </row>
    <row r="76" spans="1:14">
      <c r="A76" s="280" t="s">
        <v>103</v>
      </c>
      <c r="B76" s="156">
        <f t="shared" si="0"/>
        <v>0.68611439350193915</v>
      </c>
      <c r="C76" s="131">
        <v>1.3722287870038782E-2</v>
      </c>
      <c r="D76" s="157">
        <f t="shared" si="1"/>
        <v>10.374049629749319</v>
      </c>
      <c r="E76" s="157">
        <f t="shared" si="3"/>
        <v>25.374049629749319</v>
      </c>
      <c r="F76" s="157">
        <f t="shared" si="2"/>
        <v>26.243905457831076</v>
      </c>
      <c r="G76" s="157">
        <f t="shared" si="4"/>
        <v>-0.86985582808175721</v>
      </c>
      <c r="H76" s="131">
        <f t="shared" si="5"/>
        <v>-3.314506026854306E-2</v>
      </c>
      <c r="J76" s="102"/>
      <c r="M76" s="271"/>
      <c r="N76" s="324"/>
    </row>
    <row r="77" spans="1:14">
      <c r="A77" s="280" t="s">
        <v>104</v>
      </c>
      <c r="B77" s="156">
        <f t="shared" si="0"/>
        <v>0.50865170586638653</v>
      </c>
      <c r="C77" s="131">
        <v>1.017303411732773E-2</v>
      </c>
      <c r="D77" s="157">
        <f t="shared" si="1"/>
        <v>7.690813792699764</v>
      </c>
      <c r="E77" s="157">
        <f t="shared" si="3"/>
        <v>22.690813792699764</v>
      </c>
      <c r="F77" s="157">
        <f t="shared" si="2"/>
        <v>23.335682425397167</v>
      </c>
      <c r="G77" s="157">
        <f t="shared" si="4"/>
        <v>-0.64486863269740269</v>
      </c>
      <c r="H77" s="131">
        <f t="shared" si="5"/>
        <v>-2.7634445007512019E-2</v>
      </c>
      <c r="J77" s="102"/>
      <c r="M77" s="271"/>
      <c r="N77" s="324"/>
    </row>
    <row r="78" spans="1:14">
      <c r="A78" s="280" t="s">
        <v>105</v>
      </c>
      <c r="B78" s="156">
        <f t="shared" si="0"/>
        <v>0.51910542474572141</v>
      </c>
      <c r="C78" s="131">
        <v>1.0382108494914428E-2</v>
      </c>
      <c r="D78" s="157">
        <f t="shared" si="1"/>
        <v>7.8488740221553073</v>
      </c>
      <c r="E78" s="157">
        <f t="shared" si="3"/>
        <v>22.848874022155307</v>
      </c>
      <c r="F78" s="157">
        <f t="shared" si="2"/>
        <v>23.506995879647931</v>
      </c>
      <c r="G78" s="157">
        <f t="shared" si="4"/>
        <v>-0.65812185749262397</v>
      </c>
      <c r="H78" s="131">
        <f t="shared" si="5"/>
        <v>-2.7996850846535342E-2</v>
      </c>
      <c r="J78" s="102"/>
      <c r="M78" s="271"/>
      <c r="N78" s="324"/>
    </row>
    <row r="79" spans="1:14">
      <c r="A79" s="280" t="s">
        <v>106</v>
      </c>
      <c r="B79" s="156">
        <f t="shared" si="0"/>
        <v>0.58292119980101531</v>
      </c>
      <c r="C79" s="131">
        <v>1.1658423996020307E-2</v>
      </c>
      <c r="D79" s="157">
        <f t="shared" si="1"/>
        <v>8.8137685409913509</v>
      </c>
      <c r="E79" s="157">
        <f t="shared" si="3"/>
        <v>23.813768540991351</v>
      </c>
      <c r="F79" s="157">
        <f t="shared" si="2"/>
        <v>24.552796038099078</v>
      </c>
      <c r="G79" s="157">
        <f t="shared" si="4"/>
        <v>-0.73902749710772753</v>
      </c>
      <c r="H79" s="131">
        <f t="shared" si="5"/>
        <v>-3.0099524956789581E-2</v>
      </c>
      <c r="J79" s="102"/>
      <c r="M79" s="271"/>
      <c r="N79" s="324"/>
    </row>
    <row r="80" spans="1:14">
      <c r="A80" s="280" t="s">
        <v>107</v>
      </c>
      <c r="B80" s="156">
        <f t="shared" si="0"/>
        <v>1.9238718376192658</v>
      </c>
      <c r="C80" s="131">
        <v>3.8477436752385318E-2</v>
      </c>
      <c r="D80" s="157">
        <f t="shared" si="1"/>
        <v>29.088942184803297</v>
      </c>
      <c r="E80" s="157">
        <f t="shared" si="3"/>
        <v>44.088942184803301</v>
      </c>
      <c r="F80" s="157">
        <f t="shared" si="2"/>
        <v>46.528026900537</v>
      </c>
      <c r="G80" s="157">
        <f t="shared" si="4"/>
        <v>-2.4390847157336992</v>
      </c>
      <c r="H80" s="131">
        <f t="shared" si="5"/>
        <v>-5.2421838582317977E-2</v>
      </c>
      <c r="J80" s="102"/>
      <c r="L80" s="272"/>
      <c r="M80" s="271"/>
      <c r="N80" s="324"/>
    </row>
    <row r="81" spans="1:14">
      <c r="A81" s="280" t="s">
        <v>108</v>
      </c>
      <c r="B81" s="156">
        <f t="shared" si="0"/>
        <v>5.6449674603209665</v>
      </c>
      <c r="C81" s="131">
        <v>0.11289934920641932</v>
      </c>
      <c r="D81" s="157">
        <f t="shared" si="1"/>
        <v>85.351908000053015</v>
      </c>
      <c r="E81" s="157">
        <f t="shared" si="3"/>
        <v>100.35190800005302</v>
      </c>
      <c r="F81" s="157">
        <f t="shared" si="2"/>
        <v>107.50859774624793</v>
      </c>
      <c r="G81" s="157">
        <f t="shared" si="4"/>
        <v>-7.1566897461949139</v>
      </c>
      <c r="H81" s="131">
        <f t="shared" si="5"/>
        <v>-6.6568534017035705E-2</v>
      </c>
      <c r="J81" s="102"/>
      <c r="L81" s="272"/>
      <c r="M81" s="271"/>
      <c r="N81" s="324"/>
    </row>
    <row r="82" spans="1:14">
      <c r="A82" s="280" t="s">
        <v>109</v>
      </c>
      <c r="B82" s="158">
        <f t="shared" si="0"/>
        <v>8.4250493064053202</v>
      </c>
      <c r="C82" s="159">
        <v>0.16850098612810641</v>
      </c>
      <c r="D82" s="160">
        <f t="shared" si="1"/>
        <v>127.38674551284844</v>
      </c>
      <c r="E82" s="160">
        <f t="shared" si="3"/>
        <v>142.38674551284845</v>
      </c>
      <c r="F82" s="160">
        <f t="shared" si="2"/>
        <v>153.06802302350908</v>
      </c>
      <c r="G82" s="160">
        <f t="shared" si="4"/>
        <v>-10.681277510660635</v>
      </c>
      <c r="H82" s="159">
        <f t="shared" si="5"/>
        <v>-6.9781246923272422E-2</v>
      </c>
      <c r="J82" s="102"/>
      <c r="K82" s="245"/>
      <c r="L82" s="273"/>
      <c r="M82" s="274"/>
      <c r="N82" s="324"/>
    </row>
    <row r="83" spans="1:14">
      <c r="A83" s="253" t="s">
        <v>23</v>
      </c>
      <c r="B83" s="161">
        <v>50</v>
      </c>
      <c r="C83" s="162">
        <f>SUM(C71:C82)</f>
        <v>1.0000000000000002</v>
      </c>
      <c r="D83" s="106">
        <f>SUM(D71:D82)</f>
        <v>756</v>
      </c>
      <c r="E83" s="106">
        <f>SUM(E71:E82)</f>
        <v>935.99999999999977</v>
      </c>
      <c r="F83" s="106">
        <f>SUM(F71:F82)</f>
        <v>999.39</v>
      </c>
      <c r="G83" s="106">
        <f>SUM(G71:G82)</f>
        <v>-63.38999999999993</v>
      </c>
      <c r="H83" s="163">
        <f t="shared" si="5"/>
        <v>-6.3428691501816042E-2</v>
      </c>
      <c r="J83" s="102" t="s">
        <v>265</v>
      </c>
      <c r="K83" s="250"/>
      <c r="L83" s="250"/>
      <c r="M83" s="250"/>
      <c r="N83" s="275"/>
    </row>
    <row r="84" spans="1:14">
      <c r="B84" s="96"/>
      <c r="C84" s="95"/>
      <c r="J84" s="102"/>
      <c r="K84" s="269"/>
    </row>
    <row r="85" spans="1:14">
      <c r="B85" s="96"/>
      <c r="C85" s="95"/>
      <c r="D85" s="164">
        <f>F41</f>
        <v>15.12</v>
      </c>
      <c r="E85" s="136" t="s">
        <v>118</v>
      </c>
      <c r="F85" s="164">
        <f>F42</f>
        <v>16.387799999999999</v>
      </c>
      <c r="G85" s="97" t="s">
        <v>118</v>
      </c>
      <c r="J85" s="102" t="s">
        <v>203</v>
      </c>
      <c r="K85" s="276"/>
      <c r="L85" s="276"/>
      <c r="M85" s="276"/>
      <c r="N85" s="245"/>
    </row>
    <row r="86" spans="1:14">
      <c r="D86" s="316">
        <f>D85-F85</f>
        <v>-1.2677999999999994</v>
      </c>
      <c r="E86" s="317" t="s">
        <v>251</v>
      </c>
      <c r="F86" s="136"/>
      <c r="G86" s="165"/>
      <c r="H86" s="136"/>
      <c r="J86" s="102"/>
      <c r="K86" s="277"/>
      <c r="M86" s="245"/>
    </row>
    <row r="87" spans="1:14">
      <c r="C87" s="99" t="s">
        <v>110</v>
      </c>
      <c r="J87" s="102" t="s">
        <v>202</v>
      </c>
    </row>
  </sheetData>
  <phoneticPr fontId="41" type="noConversion"/>
  <pageMargins left="0.7" right="0.7" top="0.75" bottom="0.75" header="0.3" footer="0.3"/>
  <pageSetup orientation="landscape" r:id="rId1"/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DC21-E71A-4ED7-9DBE-95745B1C905C}">
  <dimension ref="A1:Q63"/>
  <sheetViews>
    <sheetView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M4" sqref="M4"/>
    </sheetView>
  </sheetViews>
  <sheetFormatPr defaultColWidth="9.1328125" defaultRowHeight="15.75"/>
  <cols>
    <col min="1" max="1" width="3" style="176" customWidth="1"/>
    <col min="2" max="2" width="34.265625" style="175" customWidth="1"/>
    <col min="3" max="6" width="13.265625" style="175" customWidth="1"/>
    <col min="7" max="7" width="14.3984375" style="175" customWidth="1"/>
    <col min="8" max="8" width="9.1328125" style="175" customWidth="1"/>
    <col min="9" max="9" width="9.1328125" style="175" bestFit="1" customWidth="1"/>
    <col min="10" max="10" width="9.1328125" style="175" customWidth="1"/>
    <col min="11" max="12" width="12.86328125" style="175" customWidth="1"/>
    <col min="13" max="13" width="10" style="175" bestFit="1" customWidth="1"/>
    <col min="14" max="15" width="11.1328125" style="175" customWidth="1"/>
    <col min="16" max="255" width="9.1328125" style="175"/>
    <col min="256" max="256" width="3.59765625" style="175" customWidth="1"/>
    <col min="257" max="257" width="19.73046875" style="175" customWidth="1"/>
    <col min="258" max="258" width="14.59765625" style="175" customWidth="1"/>
    <col min="259" max="259" width="10.86328125" style="175" customWidth="1"/>
    <col min="260" max="260" width="13" style="175" customWidth="1"/>
    <col min="261" max="261" width="12.3984375" style="175" customWidth="1"/>
    <col min="262" max="262" width="14.86328125" style="175" customWidth="1"/>
    <col min="263" max="511" width="9.1328125" style="175"/>
    <col min="512" max="512" width="3.59765625" style="175" customWidth="1"/>
    <col min="513" max="513" width="19.73046875" style="175" customWidth="1"/>
    <col min="514" max="514" width="14.59765625" style="175" customWidth="1"/>
    <col min="515" max="515" width="10.86328125" style="175" customWidth="1"/>
    <col min="516" max="516" width="13" style="175" customWidth="1"/>
    <col min="517" max="517" width="12.3984375" style="175" customWidth="1"/>
    <col min="518" max="518" width="14.86328125" style="175" customWidth="1"/>
    <col min="519" max="767" width="9.1328125" style="175"/>
    <col min="768" max="768" width="3.59765625" style="175" customWidth="1"/>
    <col min="769" max="769" width="19.73046875" style="175" customWidth="1"/>
    <col min="770" max="770" width="14.59765625" style="175" customWidth="1"/>
    <col min="771" max="771" width="10.86328125" style="175" customWidth="1"/>
    <col min="772" max="772" width="13" style="175" customWidth="1"/>
    <col min="773" max="773" width="12.3984375" style="175" customWidth="1"/>
    <col min="774" max="774" width="14.86328125" style="175" customWidth="1"/>
    <col min="775" max="1023" width="9.1328125" style="175"/>
    <col min="1024" max="1024" width="3.59765625" style="175" customWidth="1"/>
    <col min="1025" max="1025" width="19.73046875" style="175" customWidth="1"/>
    <col min="1026" max="1026" width="14.59765625" style="175" customWidth="1"/>
    <col min="1027" max="1027" width="10.86328125" style="175" customWidth="1"/>
    <col min="1028" max="1028" width="13" style="175" customWidth="1"/>
    <col min="1029" max="1029" width="12.3984375" style="175" customWidth="1"/>
    <col min="1030" max="1030" width="14.86328125" style="175" customWidth="1"/>
    <col min="1031" max="1279" width="9.1328125" style="175"/>
    <col min="1280" max="1280" width="3.59765625" style="175" customWidth="1"/>
    <col min="1281" max="1281" width="19.73046875" style="175" customWidth="1"/>
    <col min="1282" max="1282" width="14.59765625" style="175" customWidth="1"/>
    <col min="1283" max="1283" width="10.86328125" style="175" customWidth="1"/>
    <col min="1284" max="1284" width="13" style="175" customWidth="1"/>
    <col min="1285" max="1285" width="12.3984375" style="175" customWidth="1"/>
    <col min="1286" max="1286" width="14.86328125" style="175" customWidth="1"/>
    <col min="1287" max="1535" width="9.1328125" style="175"/>
    <col min="1536" max="1536" width="3.59765625" style="175" customWidth="1"/>
    <col min="1537" max="1537" width="19.73046875" style="175" customWidth="1"/>
    <col min="1538" max="1538" width="14.59765625" style="175" customWidth="1"/>
    <col min="1539" max="1539" width="10.86328125" style="175" customWidth="1"/>
    <col min="1540" max="1540" width="13" style="175" customWidth="1"/>
    <col min="1541" max="1541" width="12.3984375" style="175" customWidth="1"/>
    <col min="1542" max="1542" width="14.86328125" style="175" customWidth="1"/>
    <col min="1543" max="1791" width="9.1328125" style="175"/>
    <col min="1792" max="1792" width="3.59765625" style="175" customWidth="1"/>
    <col min="1793" max="1793" width="19.73046875" style="175" customWidth="1"/>
    <col min="1794" max="1794" width="14.59765625" style="175" customWidth="1"/>
    <col min="1795" max="1795" width="10.86328125" style="175" customWidth="1"/>
    <col min="1796" max="1796" width="13" style="175" customWidth="1"/>
    <col min="1797" max="1797" width="12.3984375" style="175" customWidth="1"/>
    <col min="1798" max="1798" width="14.86328125" style="175" customWidth="1"/>
    <col min="1799" max="2047" width="9.1328125" style="175"/>
    <col min="2048" max="2048" width="3.59765625" style="175" customWidth="1"/>
    <col min="2049" max="2049" width="19.73046875" style="175" customWidth="1"/>
    <col min="2050" max="2050" width="14.59765625" style="175" customWidth="1"/>
    <col min="2051" max="2051" width="10.86328125" style="175" customWidth="1"/>
    <col min="2052" max="2052" width="13" style="175" customWidth="1"/>
    <col min="2053" max="2053" width="12.3984375" style="175" customWidth="1"/>
    <col min="2054" max="2054" width="14.86328125" style="175" customWidth="1"/>
    <col min="2055" max="2303" width="9.1328125" style="175"/>
    <col min="2304" max="2304" width="3.59765625" style="175" customWidth="1"/>
    <col min="2305" max="2305" width="19.73046875" style="175" customWidth="1"/>
    <col min="2306" max="2306" width="14.59765625" style="175" customWidth="1"/>
    <col min="2307" max="2307" width="10.86328125" style="175" customWidth="1"/>
    <col min="2308" max="2308" width="13" style="175" customWidth="1"/>
    <col min="2309" max="2309" width="12.3984375" style="175" customWidth="1"/>
    <col min="2310" max="2310" width="14.86328125" style="175" customWidth="1"/>
    <col min="2311" max="2559" width="9.1328125" style="175"/>
    <col min="2560" max="2560" width="3.59765625" style="175" customWidth="1"/>
    <col min="2561" max="2561" width="19.73046875" style="175" customWidth="1"/>
    <col min="2562" max="2562" width="14.59765625" style="175" customWidth="1"/>
    <col min="2563" max="2563" width="10.86328125" style="175" customWidth="1"/>
    <col min="2564" max="2564" width="13" style="175" customWidth="1"/>
    <col min="2565" max="2565" width="12.3984375" style="175" customWidth="1"/>
    <col min="2566" max="2566" width="14.86328125" style="175" customWidth="1"/>
    <col min="2567" max="2815" width="9.1328125" style="175"/>
    <col min="2816" max="2816" width="3.59765625" style="175" customWidth="1"/>
    <col min="2817" max="2817" width="19.73046875" style="175" customWidth="1"/>
    <col min="2818" max="2818" width="14.59765625" style="175" customWidth="1"/>
    <col min="2819" max="2819" width="10.86328125" style="175" customWidth="1"/>
    <col min="2820" max="2820" width="13" style="175" customWidth="1"/>
    <col min="2821" max="2821" width="12.3984375" style="175" customWidth="1"/>
    <col min="2822" max="2822" width="14.86328125" style="175" customWidth="1"/>
    <col min="2823" max="3071" width="9.1328125" style="175"/>
    <col min="3072" max="3072" width="3.59765625" style="175" customWidth="1"/>
    <col min="3073" max="3073" width="19.73046875" style="175" customWidth="1"/>
    <col min="3074" max="3074" width="14.59765625" style="175" customWidth="1"/>
    <col min="3075" max="3075" width="10.86328125" style="175" customWidth="1"/>
    <col min="3076" max="3076" width="13" style="175" customWidth="1"/>
    <col min="3077" max="3077" width="12.3984375" style="175" customWidth="1"/>
    <col min="3078" max="3078" width="14.86328125" style="175" customWidth="1"/>
    <col min="3079" max="3327" width="9.1328125" style="175"/>
    <col min="3328" max="3328" width="3.59765625" style="175" customWidth="1"/>
    <col min="3329" max="3329" width="19.73046875" style="175" customWidth="1"/>
    <col min="3330" max="3330" width="14.59765625" style="175" customWidth="1"/>
    <col min="3331" max="3331" width="10.86328125" style="175" customWidth="1"/>
    <col min="3332" max="3332" width="13" style="175" customWidth="1"/>
    <col min="3333" max="3333" width="12.3984375" style="175" customWidth="1"/>
    <col min="3334" max="3334" width="14.86328125" style="175" customWidth="1"/>
    <col min="3335" max="3583" width="9.1328125" style="175"/>
    <col min="3584" max="3584" width="3.59765625" style="175" customWidth="1"/>
    <col min="3585" max="3585" width="19.73046875" style="175" customWidth="1"/>
    <col min="3586" max="3586" width="14.59765625" style="175" customWidth="1"/>
    <col min="3587" max="3587" width="10.86328125" style="175" customWidth="1"/>
    <col min="3588" max="3588" width="13" style="175" customWidth="1"/>
    <col min="3589" max="3589" width="12.3984375" style="175" customWidth="1"/>
    <col min="3590" max="3590" width="14.86328125" style="175" customWidth="1"/>
    <col min="3591" max="3839" width="9.1328125" style="175"/>
    <col min="3840" max="3840" width="3.59765625" style="175" customWidth="1"/>
    <col min="3841" max="3841" width="19.73046875" style="175" customWidth="1"/>
    <col min="3842" max="3842" width="14.59765625" style="175" customWidth="1"/>
    <col min="3843" max="3843" width="10.86328125" style="175" customWidth="1"/>
    <col min="3844" max="3844" width="13" style="175" customWidth="1"/>
    <col min="3845" max="3845" width="12.3984375" style="175" customWidth="1"/>
    <col min="3846" max="3846" width="14.86328125" style="175" customWidth="1"/>
    <col min="3847" max="4095" width="9.1328125" style="175"/>
    <col min="4096" max="4096" width="3.59765625" style="175" customWidth="1"/>
    <col min="4097" max="4097" width="19.73046875" style="175" customWidth="1"/>
    <col min="4098" max="4098" width="14.59765625" style="175" customWidth="1"/>
    <col min="4099" max="4099" width="10.86328125" style="175" customWidth="1"/>
    <col min="4100" max="4100" width="13" style="175" customWidth="1"/>
    <col min="4101" max="4101" width="12.3984375" style="175" customWidth="1"/>
    <col min="4102" max="4102" width="14.86328125" style="175" customWidth="1"/>
    <col min="4103" max="4351" width="9.1328125" style="175"/>
    <col min="4352" max="4352" width="3.59765625" style="175" customWidth="1"/>
    <col min="4353" max="4353" width="19.73046875" style="175" customWidth="1"/>
    <col min="4354" max="4354" width="14.59765625" style="175" customWidth="1"/>
    <col min="4355" max="4355" width="10.86328125" style="175" customWidth="1"/>
    <col min="4356" max="4356" width="13" style="175" customWidth="1"/>
    <col min="4357" max="4357" width="12.3984375" style="175" customWidth="1"/>
    <col min="4358" max="4358" width="14.86328125" style="175" customWidth="1"/>
    <col min="4359" max="4607" width="9.1328125" style="175"/>
    <col min="4608" max="4608" width="3.59765625" style="175" customWidth="1"/>
    <col min="4609" max="4609" width="19.73046875" style="175" customWidth="1"/>
    <col min="4610" max="4610" width="14.59765625" style="175" customWidth="1"/>
    <col min="4611" max="4611" width="10.86328125" style="175" customWidth="1"/>
    <col min="4612" max="4612" width="13" style="175" customWidth="1"/>
    <col min="4613" max="4613" width="12.3984375" style="175" customWidth="1"/>
    <col min="4614" max="4614" width="14.86328125" style="175" customWidth="1"/>
    <col min="4615" max="4863" width="9.1328125" style="175"/>
    <col min="4864" max="4864" width="3.59765625" style="175" customWidth="1"/>
    <col min="4865" max="4865" width="19.73046875" style="175" customWidth="1"/>
    <col min="4866" max="4866" width="14.59765625" style="175" customWidth="1"/>
    <col min="4867" max="4867" width="10.86328125" style="175" customWidth="1"/>
    <col min="4868" max="4868" width="13" style="175" customWidth="1"/>
    <col min="4869" max="4869" width="12.3984375" style="175" customWidth="1"/>
    <col min="4870" max="4870" width="14.86328125" style="175" customWidth="1"/>
    <col min="4871" max="5119" width="9.1328125" style="175"/>
    <col min="5120" max="5120" width="3.59765625" style="175" customWidth="1"/>
    <col min="5121" max="5121" width="19.73046875" style="175" customWidth="1"/>
    <col min="5122" max="5122" width="14.59765625" style="175" customWidth="1"/>
    <col min="5123" max="5123" width="10.86328125" style="175" customWidth="1"/>
    <col min="5124" max="5124" width="13" style="175" customWidth="1"/>
    <col min="5125" max="5125" width="12.3984375" style="175" customWidth="1"/>
    <col min="5126" max="5126" width="14.86328125" style="175" customWidth="1"/>
    <col min="5127" max="5375" width="9.1328125" style="175"/>
    <col min="5376" max="5376" width="3.59765625" style="175" customWidth="1"/>
    <col min="5377" max="5377" width="19.73046875" style="175" customWidth="1"/>
    <col min="5378" max="5378" width="14.59765625" style="175" customWidth="1"/>
    <col min="5379" max="5379" width="10.86328125" style="175" customWidth="1"/>
    <col min="5380" max="5380" width="13" style="175" customWidth="1"/>
    <col min="5381" max="5381" width="12.3984375" style="175" customWidth="1"/>
    <col min="5382" max="5382" width="14.86328125" style="175" customWidth="1"/>
    <col min="5383" max="5631" width="9.1328125" style="175"/>
    <col min="5632" max="5632" width="3.59765625" style="175" customWidth="1"/>
    <col min="5633" max="5633" width="19.73046875" style="175" customWidth="1"/>
    <col min="5634" max="5634" width="14.59765625" style="175" customWidth="1"/>
    <col min="5635" max="5635" width="10.86328125" style="175" customWidth="1"/>
    <col min="5636" max="5636" width="13" style="175" customWidth="1"/>
    <col min="5637" max="5637" width="12.3984375" style="175" customWidth="1"/>
    <col min="5638" max="5638" width="14.86328125" style="175" customWidth="1"/>
    <col min="5639" max="5887" width="9.1328125" style="175"/>
    <col min="5888" max="5888" width="3.59765625" style="175" customWidth="1"/>
    <col min="5889" max="5889" width="19.73046875" style="175" customWidth="1"/>
    <col min="5890" max="5890" width="14.59765625" style="175" customWidth="1"/>
    <col min="5891" max="5891" width="10.86328125" style="175" customWidth="1"/>
    <col min="5892" max="5892" width="13" style="175" customWidth="1"/>
    <col min="5893" max="5893" width="12.3984375" style="175" customWidth="1"/>
    <col min="5894" max="5894" width="14.86328125" style="175" customWidth="1"/>
    <col min="5895" max="6143" width="9.1328125" style="175"/>
    <col min="6144" max="6144" width="3.59765625" style="175" customWidth="1"/>
    <col min="6145" max="6145" width="19.73046875" style="175" customWidth="1"/>
    <col min="6146" max="6146" width="14.59765625" style="175" customWidth="1"/>
    <col min="6147" max="6147" width="10.86328125" style="175" customWidth="1"/>
    <col min="6148" max="6148" width="13" style="175" customWidth="1"/>
    <col min="6149" max="6149" width="12.3984375" style="175" customWidth="1"/>
    <col min="6150" max="6150" width="14.86328125" style="175" customWidth="1"/>
    <col min="6151" max="6399" width="9.1328125" style="175"/>
    <col min="6400" max="6400" width="3.59765625" style="175" customWidth="1"/>
    <col min="6401" max="6401" width="19.73046875" style="175" customWidth="1"/>
    <col min="6402" max="6402" width="14.59765625" style="175" customWidth="1"/>
    <col min="6403" max="6403" width="10.86328125" style="175" customWidth="1"/>
    <col min="6404" max="6404" width="13" style="175" customWidth="1"/>
    <col min="6405" max="6405" width="12.3984375" style="175" customWidth="1"/>
    <col min="6406" max="6406" width="14.86328125" style="175" customWidth="1"/>
    <col min="6407" max="6655" width="9.1328125" style="175"/>
    <col min="6656" max="6656" width="3.59765625" style="175" customWidth="1"/>
    <col min="6657" max="6657" width="19.73046875" style="175" customWidth="1"/>
    <col min="6658" max="6658" width="14.59765625" style="175" customWidth="1"/>
    <col min="6659" max="6659" width="10.86328125" style="175" customWidth="1"/>
    <col min="6660" max="6660" width="13" style="175" customWidth="1"/>
    <col min="6661" max="6661" width="12.3984375" style="175" customWidth="1"/>
    <col min="6662" max="6662" width="14.86328125" style="175" customWidth="1"/>
    <col min="6663" max="6911" width="9.1328125" style="175"/>
    <col min="6912" max="6912" width="3.59765625" style="175" customWidth="1"/>
    <col min="6913" max="6913" width="19.73046875" style="175" customWidth="1"/>
    <col min="6914" max="6914" width="14.59765625" style="175" customWidth="1"/>
    <col min="6915" max="6915" width="10.86328125" style="175" customWidth="1"/>
    <col min="6916" max="6916" width="13" style="175" customWidth="1"/>
    <col min="6917" max="6917" width="12.3984375" style="175" customWidth="1"/>
    <col min="6918" max="6918" width="14.86328125" style="175" customWidth="1"/>
    <col min="6919" max="7167" width="9.1328125" style="175"/>
    <col min="7168" max="7168" width="3.59765625" style="175" customWidth="1"/>
    <col min="7169" max="7169" width="19.73046875" style="175" customWidth="1"/>
    <col min="7170" max="7170" width="14.59765625" style="175" customWidth="1"/>
    <col min="7171" max="7171" width="10.86328125" style="175" customWidth="1"/>
    <col min="7172" max="7172" width="13" style="175" customWidth="1"/>
    <col min="7173" max="7173" width="12.3984375" style="175" customWidth="1"/>
    <col min="7174" max="7174" width="14.86328125" style="175" customWidth="1"/>
    <col min="7175" max="7423" width="9.1328125" style="175"/>
    <col min="7424" max="7424" width="3.59765625" style="175" customWidth="1"/>
    <col min="7425" max="7425" width="19.73046875" style="175" customWidth="1"/>
    <col min="7426" max="7426" width="14.59765625" style="175" customWidth="1"/>
    <col min="7427" max="7427" width="10.86328125" style="175" customWidth="1"/>
    <col min="7428" max="7428" width="13" style="175" customWidth="1"/>
    <col min="7429" max="7429" width="12.3984375" style="175" customWidth="1"/>
    <col min="7430" max="7430" width="14.86328125" style="175" customWidth="1"/>
    <col min="7431" max="7679" width="9.1328125" style="175"/>
    <col min="7680" max="7680" width="3.59765625" style="175" customWidth="1"/>
    <col min="7681" max="7681" width="19.73046875" style="175" customWidth="1"/>
    <col min="7682" max="7682" width="14.59765625" style="175" customWidth="1"/>
    <col min="7683" max="7683" width="10.86328125" style="175" customWidth="1"/>
    <col min="7684" max="7684" width="13" style="175" customWidth="1"/>
    <col min="7685" max="7685" width="12.3984375" style="175" customWidth="1"/>
    <col min="7686" max="7686" width="14.86328125" style="175" customWidth="1"/>
    <col min="7687" max="7935" width="9.1328125" style="175"/>
    <col min="7936" max="7936" width="3.59765625" style="175" customWidth="1"/>
    <col min="7937" max="7937" width="19.73046875" style="175" customWidth="1"/>
    <col min="7938" max="7938" width="14.59765625" style="175" customWidth="1"/>
    <col min="7939" max="7939" width="10.86328125" style="175" customWidth="1"/>
    <col min="7940" max="7940" width="13" style="175" customWidth="1"/>
    <col min="7941" max="7941" width="12.3984375" style="175" customWidth="1"/>
    <col min="7942" max="7942" width="14.86328125" style="175" customWidth="1"/>
    <col min="7943" max="8191" width="9.1328125" style="175"/>
    <col min="8192" max="8192" width="3.59765625" style="175" customWidth="1"/>
    <col min="8193" max="8193" width="19.73046875" style="175" customWidth="1"/>
    <col min="8194" max="8194" width="14.59765625" style="175" customWidth="1"/>
    <col min="8195" max="8195" width="10.86328125" style="175" customWidth="1"/>
    <col min="8196" max="8196" width="13" style="175" customWidth="1"/>
    <col min="8197" max="8197" width="12.3984375" style="175" customWidth="1"/>
    <col min="8198" max="8198" width="14.86328125" style="175" customWidth="1"/>
    <col min="8199" max="8447" width="9.1328125" style="175"/>
    <col min="8448" max="8448" width="3.59765625" style="175" customWidth="1"/>
    <col min="8449" max="8449" width="19.73046875" style="175" customWidth="1"/>
    <col min="8450" max="8450" width="14.59765625" style="175" customWidth="1"/>
    <col min="8451" max="8451" width="10.86328125" style="175" customWidth="1"/>
    <col min="8452" max="8452" width="13" style="175" customWidth="1"/>
    <col min="8453" max="8453" width="12.3984375" style="175" customWidth="1"/>
    <col min="8454" max="8454" width="14.86328125" style="175" customWidth="1"/>
    <col min="8455" max="8703" width="9.1328125" style="175"/>
    <col min="8704" max="8704" width="3.59765625" style="175" customWidth="1"/>
    <col min="8705" max="8705" width="19.73046875" style="175" customWidth="1"/>
    <col min="8706" max="8706" width="14.59765625" style="175" customWidth="1"/>
    <col min="8707" max="8707" width="10.86328125" style="175" customWidth="1"/>
    <col min="8708" max="8708" width="13" style="175" customWidth="1"/>
    <col min="8709" max="8709" width="12.3984375" style="175" customWidth="1"/>
    <col min="8710" max="8710" width="14.86328125" style="175" customWidth="1"/>
    <col min="8711" max="8959" width="9.1328125" style="175"/>
    <col min="8960" max="8960" width="3.59765625" style="175" customWidth="1"/>
    <col min="8961" max="8961" width="19.73046875" style="175" customWidth="1"/>
    <col min="8962" max="8962" width="14.59765625" style="175" customWidth="1"/>
    <col min="8963" max="8963" width="10.86328125" style="175" customWidth="1"/>
    <col min="8964" max="8964" width="13" style="175" customWidth="1"/>
    <col min="8965" max="8965" width="12.3984375" style="175" customWidth="1"/>
    <col min="8966" max="8966" width="14.86328125" style="175" customWidth="1"/>
    <col min="8967" max="9215" width="9.1328125" style="175"/>
    <col min="9216" max="9216" width="3.59765625" style="175" customWidth="1"/>
    <col min="9217" max="9217" width="19.73046875" style="175" customWidth="1"/>
    <col min="9218" max="9218" width="14.59765625" style="175" customWidth="1"/>
    <col min="9219" max="9219" width="10.86328125" style="175" customWidth="1"/>
    <col min="9220" max="9220" width="13" style="175" customWidth="1"/>
    <col min="9221" max="9221" width="12.3984375" style="175" customWidth="1"/>
    <col min="9222" max="9222" width="14.86328125" style="175" customWidth="1"/>
    <col min="9223" max="9471" width="9.1328125" style="175"/>
    <col min="9472" max="9472" width="3.59765625" style="175" customWidth="1"/>
    <col min="9473" max="9473" width="19.73046875" style="175" customWidth="1"/>
    <col min="9474" max="9474" width="14.59765625" style="175" customWidth="1"/>
    <col min="9475" max="9475" width="10.86328125" style="175" customWidth="1"/>
    <col min="9476" max="9476" width="13" style="175" customWidth="1"/>
    <col min="9477" max="9477" width="12.3984375" style="175" customWidth="1"/>
    <col min="9478" max="9478" width="14.86328125" style="175" customWidth="1"/>
    <col min="9479" max="9727" width="9.1328125" style="175"/>
    <col min="9728" max="9728" width="3.59765625" style="175" customWidth="1"/>
    <col min="9729" max="9729" width="19.73046875" style="175" customWidth="1"/>
    <col min="9730" max="9730" width="14.59765625" style="175" customWidth="1"/>
    <col min="9731" max="9731" width="10.86328125" style="175" customWidth="1"/>
    <col min="9732" max="9732" width="13" style="175" customWidth="1"/>
    <col min="9733" max="9733" width="12.3984375" style="175" customWidth="1"/>
    <col min="9734" max="9734" width="14.86328125" style="175" customWidth="1"/>
    <col min="9735" max="9983" width="9.1328125" style="175"/>
    <col min="9984" max="9984" width="3.59765625" style="175" customWidth="1"/>
    <col min="9985" max="9985" width="19.73046875" style="175" customWidth="1"/>
    <col min="9986" max="9986" width="14.59765625" style="175" customWidth="1"/>
    <col min="9987" max="9987" width="10.86328125" style="175" customWidth="1"/>
    <col min="9988" max="9988" width="13" style="175" customWidth="1"/>
    <col min="9989" max="9989" width="12.3984375" style="175" customWidth="1"/>
    <col min="9990" max="9990" width="14.86328125" style="175" customWidth="1"/>
    <col min="9991" max="10239" width="9.1328125" style="175"/>
    <col min="10240" max="10240" width="3.59765625" style="175" customWidth="1"/>
    <col min="10241" max="10241" width="19.73046875" style="175" customWidth="1"/>
    <col min="10242" max="10242" width="14.59765625" style="175" customWidth="1"/>
    <col min="10243" max="10243" width="10.86328125" style="175" customWidth="1"/>
    <col min="10244" max="10244" width="13" style="175" customWidth="1"/>
    <col min="10245" max="10245" width="12.3984375" style="175" customWidth="1"/>
    <col min="10246" max="10246" width="14.86328125" style="175" customWidth="1"/>
    <col min="10247" max="10495" width="9.1328125" style="175"/>
    <col min="10496" max="10496" width="3.59765625" style="175" customWidth="1"/>
    <col min="10497" max="10497" width="19.73046875" style="175" customWidth="1"/>
    <col min="10498" max="10498" width="14.59765625" style="175" customWidth="1"/>
    <col min="10499" max="10499" width="10.86328125" style="175" customWidth="1"/>
    <col min="10500" max="10500" width="13" style="175" customWidth="1"/>
    <col min="10501" max="10501" width="12.3984375" style="175" customWidth="1"/>
    <col min="10502" max="10502" width="14.86328125" style="175" customWidth="1"/>
    <col min="10503" max="10751" width="9.1328125" style="175"/>
    <col min="10752" max="10752" width="3.59765625" style="175" customWidth="1"/>
    <col min="10753" max="10753" width="19.73046875" style="175" customWidth="1"/>
    <col min="10754" max="10754" width="14.59765625" style="175" customWidth="1"/>
    <col min="10755" max="10755" width="10.86328125" style="175" customWidth="1"/>
    <col min="10756" max="10756" width="13" style="175" customWidth="1"/>
    <col min="10757" max="10757" width="12.3984375" style="175" customWidth="1"/>
    <col min="10758" max="10758" width="14.86328125" style="175" customWidth="1"/>
    <col min="10759" max="11007" width="9.1328125" style="175"/>
    <col min="11008" max="11008" width="3.59765625" style="175" customWidth="1"/>
    <col min="11009" max="11009" width="19.73046875" style="175" customWidth="1"/>
    <col min="11010" max="11010" width="14.59765625" style="175" customWidth="1"/>
    <col min="11011" max="11011" width="10.86328125" style="175" customWidth="1"/>
    <col min="11012" max="11012" width="13" style="175" customWidth="1"/>
    <col min="11013" max="11013" width="12.3984375" style="175" customWidth="1"/>
    <col min="11014" max="11014" width="14.86328125" style="175" customWidth="1"/>
    <col min="11015" max="11263" width="9.1328125" style="175"/>
    <col min="11264" max="11264" width="3.59765625" style="175" customWidth="1"/>
    <col min="11265" max="11265" width="19.73046875" style="175" customWidth="1"/>
    <col min="11266" max="11266" width="14.59765625" style="175" customWidth="1"/>
    <col min="11267" max="11267" width="10.86328125" style="175" customWidth="1"/>
    <col min="11268" max="11268" width="13" style="175" customWidth="1"/>
    <col min="11269" max="11269" width="12.3984375" style="175" customWidth="1"/>
    <col min="11270" max="11270" width="14.86328125" style="175" customWidth="1"/>
    <col min="11271" max="11519" width="9.1328125" style="175"/>
    <col min="11520" max="11520" width="3.59765625" style="175" customWidth="1"/>
    <col min="11521" max="11521" width="19.73046875" style="175" customWidth="1"/>
    <col min="11522" max="11522" width="14.59765625" style="175" customWidth="1"/>
    <col min="11523" max="11523" width="10.86328125" style="175" customWidth="1"/>
    <col min="11524" max="11524" width="13" style="175" customWidth="1"/>
    <col min="11525" max="11525" width="12.3984375" style="175" customWidth="1"/>
    <col min="11526" max="11526" width="14.86328125" style="175" customWidth="1"/>
    <col min="11527" max="11775" width="9.1328125" style="175"/>
    <col min="11776" max="11776" width="3.59765625" style="175" customWidth="1"/>
    <col min="11777" max="11777" width="19.73046875" style="175" customWidth="1"/>
    <col min="11778" max="11778" width="14.59765625" style="175" customWidth="1"/>
    <col min="11779" max="11779" width="10.86328125" style="175" customWidth="1"/>
    <col min="11780" max="11780" width="13" style="175" customWidth="1"/>
    <col min="11781" max="11781" width="12.3984375" style="175" customWidth="1"/>
    <col min="11782" max="11782" width="14.86328125" style="175" customWidth="1"/>
    <col min="11783" max="12031" width="9.1328125" style="175"/>
    <col min="12032" max="12032" width="3.59765625" style="175" customWidth="1"/>
    <col min="12033" max="12033" width="19.73046875" style="175" customWidth="1"/>
    <col min="12034" max="12034" width="14.59765625" style="175" customWidth="1"/>
    <col min="12035" max="12035" width="10.86328125" style="175" customWidth="1"/>
    <col min="12036" max="12036" width="13" style="175" customWidth="1"/>
    <col min="12037" max="12037" width="12.3984375" style="175" customWidth="1"/>
    <col min="12038" max="12038" width="14.86328125" style="175" customWidth="1"/>
    <col min="12039" max="12287" width="9.1328125" style="175"/>
    <col min="12288" max="12288" width="3.59765625" style="175" customWidth="1"/>
    <col min="12289" max="12289" width="19.73046875" style="175" customWidth="1"/>
    <col min="12290" max="12290" width="14.59765625" style="175" customWidth="1"/>
    <col min="12291" max="12291" width="10.86328125" style="175" customWidth="1"/>
    <col min="12292" max="12292" width="13" style="175" customWidth="1"/>
    <col min="12293" max="12293" width="12.3984375" style="175" customWidth="1"/>
    <col min="12294" max="12294" width="14.86328125" style="175" customWidth="1"/>
    <col min="12295" max="12543" width="9.1328125" style="175"/>
    <col min="12544" max="12544" width="3.59765625" style="175" customWidth="1"/>
    <col min="12545" max="12545" width="19.73046875" style="175" customWidth="1"/>
    <col min="12546" max="12546" width="14.59765625" style="175" customWidth="1"/>
    <col min="12547" max="12547" width="10.86328125" style="175" customWidth="1"/>
    <col min="12548" max="12548" width="13" style="175" customWidth="1"/>
    <col min="12549" max="12549" width="12.3984375" style="175" customWidth="1"/>
    <col min="12550" max="12550" width="14.86328125" style="175" customWidth="1"/>
    <col min="12551" max="12799" width="9.1328125" style="175"/>
    <col min="12800" max="12800" width="3.59765625" style="175" customWidth="1"/>
    <col min="12801" max="12801" width="19.73046875" style="175" customWidth="1"/>
    <col min="12802" max="12802" width="14.59765625" style="175" customWidth="1"/>
    <col min="12803" max="12803" width="10.86328125" style="175" customWidth="1"/>
    <col min="12804" max="12804" width="13" style="175" customWidth="1"/>
    <col min="12805" max="12805" width="12.3984375" style="175" customWidth="1"/>
    <col min="12806" max="12806" width="14.86328125" style="175" customWidth="1"/>
    <col min="12807" max="13055" width="9.1328125" style="175"/>
    <col min="13056" max="13056" width="3.59765625" style="175" customWidth="1"/>
    <col min="13057" max="13057" width="19.73046875" style="175" customWidth="1"/>
    <col min="13058" max="13058" width="14.59765625" style="175" customWidth="1"/>
    <col min="13059" max="13059" width="10.86328125" style="175" customWidth="1"/>
    <col min="13060" max="13060" width="13" style="175" customWidth="1"/>
    <col min="13061" max="13061" width="12.3984375" style="175" customWidth="1"/>
    <col min="13062" max="13062" width="14.86328125" style="175" customWidth="1"/>
    <col min="13063" max="13311" width="9.1328125" style="175"/>
    <col min="13312" max="13312" width="3.59765625" style="175" customWidth="1"/>
    <col min="13313" max="13313" width="19.73046875" style="175" customWidth="1"/>
    <col min="13314" max="13314" width="14.59765625" style="175" customWidth="1"/>
    <col min="13315" max="13315" width="10.86328125" style="175" customWidth="1"/>
    <col min="13316" max="13316" width="13" style="175" customWidth="1"/>
    <col min="13317" max="13317" width="12.3984375" style="175" customWidth="1"/>
    <col min="13318" max="13318" width="14.86328125" style="175" customWidth="1"/>
    <col min="13319" max="13567" width="9.1328125" style="175"/>
    <col min="13568" max="13568" width="3.59765625" style="175" customWidth="1"/>
    <col min="13569" max="13569" width="19.73046875" style="175" customWidth="1"/>
    <col min="13570" max="13570" width="14.59765625" style="175" customWidth="1"/>
    <col min="13571" max="13571" width="10.86328125" style="175" customWidth="1"/>
    <col min="13572" max="13572" width="13" style="175" customWidth="1"/>
    <col min="13573" max="13573" width="12.3984375" style="175" customWidth="1"/>
    <col min="13574" max="13574" width="14.86328125" style="175" customWidth="1"/>
    <col min="13575" max="13823" width="9.1328125" style="175"/>
    <col min="13824" max="13824" width="3.59765625" style="175" customWidth="1"/>
    <col min="13825" max="13825" width="19.73046875" style="175" customWidth="1"/>
    <col min="13826" max="13826" width="14.59765625" style="175" customWidth="1"/>
    <col min="13827" max="13827" width="10.86328125" style="175" customWidth="1"/>
    <col min="13828" max="13828" width="13" style="175" customWidth="1"/>
    <col min="13829" max="13829" width="12.3984375" style="175" customWidth="1"/>
    <col min="13830" max="13830" width="14.86328125" style="175" customWidth="1"/>
    <col min="13831" max="14079" width="9.1328125" style="175"/>
    <col min="14080" max="14080" width="3.59765625" style="175" customWidth="1"/>
    <col min="14081" max="14081" width="19.73046875" style="175" customWidth="1"/>
    <col min="14082" max="14082" width="14.59765625" style="175" customWidth="1"/>
    <col min="14083" max="14083" width="10.86328125" style="175" customWidth="1"/>
    <col min="14084" max="14084" width="13" style="175" customWidth="1"/>
    <col min="14085" max="14085" width="12.3984375" style="175" customWidth="1"/>
    <col min="14086" max="14086" width="14.86328125" style="175" customWidth="1"/>
    <col min="14087" max="14335" width="9.1328125" style="175"/>
    <col min="14336" max="14336" width="3.59765625" style="175" customWidth="1"/>
    <col min="14337" max="14337" width="19.73046875" style="175" customWidth="1"/>
    <col min="14338" max="14338" width="14.59765625" style="175" customWidth="1"/>
    <col min="14339" max="14339" width="10.86328125" style="175" customWidth="1"/>
    <col min="14340" max="14340" width="13" style="175" customWidth="1"/>
    <col min="14341" max="14341" width="12.3984375" style="175" customWidth="1"/>
    <col min="14342" max="14342" width="14.86328125" style="175" customWidth="1"/>
    <col min="14343" max="14591" width="9.1328125" style="175"/>
    <col min="14592" max="14592" width="3.59765625" style="175" customWidth="1"/>
    <col min="14593" max="14593" width="19.73046875" style="175" customWidth="1"/>
    <col min="14594" max="14594" width="14.59765625" style="175" customWidth="1"/>
    <col min="14595" max="14595" width="10.86328125" style="175" customWidth="1"/>
    <col min="14596" max="14596" width="13" style="175" customWidth="1"/>
    <col min="14597" max="14597" width="12.3984375" style="175" customWidth="1"/>
    <col min="14598" max="14598" width="14.86328125" style="175" customWidth="1"/>
    <col min="14599" max="14847" width="9.1328125" style="175"/>
    <col min="14848" max="14848" width="3.59765625" style="175" customWidth="1"/>
    <col min="14849" max="14849" width="19.73046875" style="175" customWidth="1"/>
    <col min="14850" max="14850" width="14.59765625" style="175" customWidth="1"/>
    <col min="14851" max="14851" width="10.86328125" style="175" customWidth="1"/>
    <col min="14852" max="14852" width="13" style="175" customWidth="1"/>
    <col min="14853" max="14853" width="12.3984375" style="175" customWidth="1"/>
    <col min="14854" max="14854" width="14.86328125" style="175" customWidth="1"/>
    <col min="14855" max="15103" width="9.1328125" style="175"/>
    <col min="15104" max="15104" width="3.59765625" style="175" customWidth="1"/>
    <col min="15105" max="15105" width="19.73046875" style="175" customWidth="1"/>
    <col min="15106" max="15106" width="14.59765625" style="175" customWidth="1"/>
    <col min="15107" max="15107" width="10.86328125" style="175" customWidth="1"/>
    <col min="15108" max="15108" width="13" style="175" customWidth="1"/>
    <col min="15109" max="15109" width="12.3984375" style="175" customWidth="1"/>
    <col min="15110" max="15110" width="14.86328125" style="175" customWidth="1"/>
    <col min="15111" max="15359" width="9.1328125" style="175"/>
    <col min="15360" max="15360" width="3.59765625" style="175" customWidth="1"/>
    <col min="15361" max="15361" width="19.73046875" style="175" customWidth="1"/>
    <col min="15362" max="15362" width="14.59765625" style="175" customWidth="1"/>
    <col min="15363" max="15363" width="10.86328125" style="175" customWidth="1"/>
    <col min="15364" max="15364" width="13" style="175" customWidth="1"/>
    <col min="15365" max="15365" width="12.3984375" style="175" customWidth="1"/>
    <col min="15366" max="15366" width="14.86328125" style="175" customWidth="1"/>
    <col min="15367" max="15615" width="9.1328125" style="175"/>
    <col min="15616" max="15616" width="3.59765625" style="175" customWidth="1"/>
    <col min="15617" max="15617" width="19.73046875" style="175" customWidth="1"/>
    <col min="15618" max="15618" width="14.59765625" style="175" customWidth="1"/>
    <col min="15619" max="15619" width="10.86328125" style="175" customWidth="1"/>
    <col min="15620" max="15620" width="13" style="175" customWidth="1"/>
    <col min="15621" max="15621" width="12.3984375" style="175" customWidth="1"/>
    <col min="15622" max="15622" width="14.86328125" style="175" customWidth="1"/>
    <col min="15623" max="15871" width="9.1328125" style="175"/>
    <col min="15872" max="15872" width="3.59765625" style="175" customWidth="1"/>
    <col min="15873" max="15873" width="19.73046875" style="175" customWidth="1"/>
    <col min="15874" max="15874" width="14.59765625" style="175" customWidth="1"/>
    <col min="15875" max="15875" width="10.86328125" style="175" customWidth="1"/>
    <col min="15876" max="15876" width="13" style="175" customWidth="1"/>
    <col min="15877" max="15877" width="12.3984375" style="175" customWidth="1"/>
    <col min="15878" max="15878" width="14.86328125" style="175" customWidth="1"/>
    <col min="15879" max="16127" width="9.1328125" style="175"/>
    <col min="16128" max="16128" width="3.59765625" style="175" customWidth="1"/>
    <col min="16129" max="16129" width="19.73046875" style="175" customWidth="1"/>
    <col min="16130" max="16130" width="14.59765625" style="175" customWidth="1"/>
    <col min="16131" max="16131" width="10.86328125" style="175" customWidth="1"/>
    <col min="16132" max="16132" width="13" style="175" customWidth="1"/>
    <col min="16133" max="16133" width="12.3984375" style="175" customWidth="1"/>
    <col min="16134" max="16134" width="14.86328125" style="175" customWidth="1"/>
    <col min="16135" max="16384" width="9.1328125" style="175"/>
  </cols>
  <sheetData>
    <row r="1" spans="1:15">
      <c r="A1" s="291" t="s">
        <v>29</v>
      </c>
      <c r="B1" s="292"/>
      <c r="C1" s="174"/>
      <c r="D1" s="174"/>
      <c r="E1" s="174"/>
      <c r="F1" s="174"/>
      <c r="G1" s="174"/>
      <c r="H1" s="174"/>
      <c r="I1" s="174"/>
    </row>
    <row r="2" spans="1:15">
      <c r="A2" s="291" t="s">
        <v>148</v>
      </c>
      <c r="B2" s="174"/>
      <c r="C2" s="292"/>
      <c r="D2" s="292"/>
      <c r="E2" s="292"/>
      <c r="F2" s="292"/>
      <c r="G2" s="292"/>
      <c r="H2" s="173"/>
      <c r="I2" s="173"/>
    </row>
    <row r="3" spans="1:15">
      <c r="A3" s="291" t="s">
        <v>209</v>
      </c>
      <c r="B3" s="292"/>
      <c r="C3" s="292"/>
      <c r="D3" s="292"/>
      <c r="E3" s="292"/>
      <c r="F3" s="292"/>
      <c r="G3" s="292"/>
      <c r="H3" s="173"/>
      <c r="I3" s="173"/>
      <c r="M3" s="241" t="s">
        <v>267</v>
      </c>
    </row>
    <row r="4" spans="1:15">
      <c r="A4" s="291"/>
      <c r="B4" s="292"/>
      <c r="C4" s="292"/>
      <c r="D4" s="292"/>
      <c r="E4" s="292"/>
      <c r="F4" s="292"/>
      <c r="G4" s="292"/>
      <c r="H4" s="173"/>
      <c r="I4" s="173"/>
      <c r="M4" s="236" t="s">
        <v>184</v>
      </c>
    </row>
    <row r="5" spans="1:15">
      <c r="B5" s="233" t="s">
        <v>147</v>
      </c>
      <c r="C5" s="173"/>
      <c r="D5" s="173"/>
      <c r="E5" s="173"/>
      <c r="F5" s="173"/>
      <c r="G5" s="173"/>
      <c r="H5" s="173"/>
      <c r="I5" s="173"/>
      <c r="M5" s="236" t="s">
        <v>239</v>
      </c>
    </row>
    <row r="6" spans="1:15">
      <c r="B6" s="177" t="s">
        <v>31</v>
      </c>
      <c r="C6" s="178"/>
      <c r="D6" s="327">
        <v>44865</v>
      </c>
      <c r="E6" s="328"/>
      <c r="F6" s="179"/>
      <c r="M6" s="237"/>
    </row>
    <row r="7" spans="1:15">
      <c r="B7" s="176"/>
      <c r="C7" s="176"/>
      <c r="D7" s="176"/>
      <c r="E7" s="298" t="s">
        <v>233</v>
      </c>
      <c r="F7" s="298" t="s">
        <v>234</v>
      </c>
      <c r="G7" s="176" t="s">
        <v>32</v>
      </c>
      <c r="M7" s="237"/>
    </row>
    <row r="8" spans="1:15" s="176" customFormat="1">
      <c r="A8" s="180"/>
      <c r="B8" s="293" t="s">
        <v>33</v>
      </c>
      <c r="C8" s="293" t="s">
        <v>34</v>
      </c>
      <c r="D8" s="294" t="s">
        <v>35</v>
      </c>
      <c r="E8" s="293" t="s">
        <v>36</v>
      </c>
      <c r="F8" s="293" t="s">
        <v>37</v>
      </c>
      <c r="G8" s="293" t="s">
        <v>38</v>
      </c>
      <c r="M8" s="237"/>
    </row>
    <row r="9" spans="1:15">
      <c r="B9" s="175" t="s">
        <v>178</v>
      </c>
      <c r="C9" s="181"/>
      <c r="D9" s="182" t="s">
        <v>39</v>
      </c>
      <c r="E9" s="183">
        <v>10483</v>
      </c>
      <c r="F9" s="184">
        <f>C49</f>
        <v>10.9841</v>
      </c>
      <c r="G9" s="185">
        <f t="shared" ref="G9:G24" si="0">E9*F9</f>
        <v>115146.32029999999</v>
      </c>
      <c r="I9" s="186" t="s">
        <v>125</v>
      </c>
      <c r="J9" s="186" t="s">
        <v>36</v>
      </c>
      <c r="K9" s="186" t="s">
        <v>126</v>
      </c>
      <c r="L9" s="182"/>
      <c r="M9" s="239" t="s">
        <v>243</v>
      </c>
      <c r="N9" s="187"/>
      <c r="O9" s="188"/>
    </row>
    <row r="10" spans="1:15">
      <c r="B10" s="175" t="s">
        <v>40</v>
      </c>
      <c r="D10" s="189">
        <v>1.1000000000000001</v>
      </c>
      <c r="E10" s="183">
        <v>105183</v>
      </c>
      <c r="F10" s="184">
        <f>(C52)*D10</f>
        <v>5.9835599999999998</v>
      </c>
      <c r="G10" s="185">
        <f t="shared" si="0"/>
        <v>629368.79148000001</v>
      </c>
      <c r="I10" s="190">
        <f>D10*E10</f>
        <v>115701.3</v>
      </c>
      <c r="J10" s="191">
        <f>E10</f>
        <v>105183</v>
      </c>
      <c r="K10" s="192"/>
      <c r="L10" s="189"/>
      <c r="M10" s="168"/>
      <c r="N10" s="169"/>
      <c r="O10" s="188"/>
    </row>
    <row r="11" spans="1:15">
      <c r="B11" s="175" t="s">
        <v>238</v>
      </c>
      <c r="D11" s="189">
        <v>1.1000000000000001</v>
      </c>
      <c r="E11" s="183">
        <v>3050</v>
      </c>
      <c r="F11" s="184">
        <f>((C52)*D11)+C61</f>
        <v>7.2335599999999998</v>
      </c>
      <c r="G11" s="185">
        <f t="shared" si="0"/>
        <v>22062.358</v>
      </c>
      <c r="I11" s="190"/>
      <c r="J11" s="192"/>
      <c r="K11" s="192"/>
      <c r="L11" s="189"/>
      <c r="M11" s="237"/>
      <c r="N11" s="187"/>
      <c r="O11" s="188"/>
    </row>
    <row r="12" spans="1:15">
      <c r="B12" s="175" t="s">
        <v>41</v>
      </c>
      <c r="D12" s="189">
        <v>1</v>
      </c>
      <c r="E12" s="183">
        <v>49</v>
      </c>
      <c r="F12" s="184">
        <f>(C50)*D12</f>
        <v>6.8701999999999988</v>
      </c>
      <c r="G12" s="185">
        <f>E12*F12</f>
        <v>336.63979999999992</v>
      </c>
      <c r="I12" s="190"/>
      <c r="J12" s="192"/>
      <c r="K12" s="192"/>
      <c r="L12" s="189"/>
      <c r="M12" s="237"/>
      <c r="N12" s="187"/>
      <c r="O12" s="188"/>
    </row>
    <row r="13" spans="1:15" s="176" customFormat="1">
      <c r="A13" s="176" t="s">
        <v>42</v>
      </c>
      <c r="B13" s="175" t="s">
        <v>43</v>
      </c>
      <c r="C13" s="175"/>
      <c r="D13" s="189">
        <v>1.0031000000000001</v>
      </c>
      <c r="E13" s="183">
        <v>8987</v>
      </c>
      <c r="F13" s="184">
        <f>C53*D13</f>
        <v>4.2631750000000004</v>
      </c>
      <c r="G13" s="185">
        <f t="shared" si="0"/>
        <v>38313.153725000004</v>
      </c>
      <c r="I13" s="193"/>
      <c r="J13" s="192"/>
      <c r="K13" s="192"/>
      <c r="L13" s="189"/>
      <c r="M13" s="237"/>
      <c r="N13" s="187"/>
      <c r="O13" s="188"/>
    </row>
    <row r="14" spans="1:15">
      <c r="A14" s="176" t="s">
        <v>44</v>
      </c>
      <c r="B14" s="175" t="s">
        <v>45</v>
      </c>
      <c r="D14" s="189">
        <v>1.0758000000000001</v>
      </c>
      <c r="E14" s="183">
        <v>5574</v>
      </c>
      <c r="F14" s="184">
        <f>((C54)*D14)+C61</f>
        <v>5.5532000000000004</v>
      </c>
      <c r="G14" s="185">
        <f t="shared" si="0"/>
        <v>30953.536800000002</v>
      </c>
      <c r="I14" s="190"/>
      <c r="J14" s="192"/>
      <c r="K14" s="192"/>
      <c r="L14" s="189"/>
      <c r="M14" s="237"/>
      <c r="N14" s="187"/>
      <c r="O14" s="188"/>
    </row>
    <row r="15" spans="1:15">
      <c r="B15" s="175" t="s">
        <v>237</v>
      </c>
      <c r="D15" s="194">
        <v>1.1183700000000001</v>
      </c>
      <c r="E15" s="183">
        <v>620</v>
      </c>
      <c r="F15" s="184">
        <f>((C51)*D15)+C61</f>
        <v>14.021226215</v>
      </c>
      <c r="G15" s="185">
        <f>E15*F15</f>
        <v>8693.1602533000005</v>
      </c>
      <c r="I15" s="190"/>
      <c r="J15" s="192"/>
      <c r="K15" s="192"/>
      <c r="L15" s="194"/>
      <c r="M15" s="237"/>
      <c r="N15" s="187"/>
      <c r="O15" s="188"/>
    </row>
    <row r="16" spans="1:15">
      <c r="B16" s="175" t="s">
        <v>46</v>
      </c>
      <c r="D16" s="182" t="s">
        <v>39</v>
      </c>
      <c r="E16" s="183">
        <v>3559</v>
      </c>
      <c r="F16" s="184">
        <f>C55</f>
        <v>10.5</v>
      </c>
      <c r="G16" s="185">
        <f t="shared" si="0"/>
        <v>37369.5</v>
      </c>
      <c r="I16" s="190"/>
      <c r="J16" s="192"/>
      <c r="K16" s="192"/>
      <c r="L16" s="182"/>
      <c r="M16" s="237"/>
      <c r="N16" s="187"/>
      <c r="O16" s="188"/>
    </row>
    <row r="17" spans="1:15">
      <c r="B17" s="175" t="s">
        <v>47</v>
      </c>
      <c r="D17" s="189">
        <v>1.0962000000000001</v>
      </c>
      <c r="E17" s="183">
        <v>6581</v>
      </c>
      <c r="F17" s="184">
        <f>C56*D17</f>
        <v>5.4042659999999998</v>
      </c>
      <c r="G17" s="185">
        <f t="shared" si="0"/>
        <v>35565.474545999998</v>
      </c>
      <c r="I17" s="190"/>
      <c r="J17" s="192"/>
      <c r="K17" s="192"/>
      <c r="L17" s="189"/>
      <c r="M17" s="237"/>
      <c r="N17" s="187"/>
      <c r="O17" s="188"/>
    </row>
    <row r="18" spans="1:15">
      <c r="B18" s="175" t="s">
        <v>236</v>
      </c>
      <c r="D18" s="189">
        <v>1.0962000000000001</v>
      </c>
      <c r="E18" s="183">
        <v>4624</v>
      </c>
      <c r="F18" s="184">
        <f>(C57*D18)+1.25</f>
        <v>5.5734127999999998</v>
      </c>
      <c r="G18" s="185">
        <f t="shared" si="0"/>
        <v>25771.460787199998</v>
      </c>
      <c r="I18" s="190"/>
      <c r="J18" s="192"/>
      <c r="K18" s="192"/>
      <c r="L18" s="189"/>
      <c r="M18" s="237"/>
      <c r="N18" s="187"/>
      <c r="O18" s="188"/>
    </row>
    <row r="19" spans="1:15">
      <c r="B19" s="175" t="s">
        <v>48</v>
      </c>
      <c r="D19" s="189">
        <v>1.1999</v>
      </c>
      <c r="E19" s="183">
        <v>39268</v>
      </c>
      <c r="F19" s="184">
        <f>C60*D19</f>
        <v>6.0354969999999994</v>
      </c>
      <c r="G19" s="185">
        <f t="shared" si="0"/>
        <v>237001.89619599999</v>
      </c>
      <c r="I19" s="191">
        <f>D19*E19</f>
        <v>47117.673199999997</v>
      </c>
      <c r="J19" s="191">
        <f>E19</f>
        <v>39268</v>
      </c>
      <c r="K19" s="192"/>
      <c r="L19" s="189"/>
      <c r="M19" s="168"/>
      <c r="N19" s="187"/>
      <c r="O19" s="188"/>
    </row>
    <row r="20" spans="1:15">
      <c r="A20" s="176" t="s">
        <v>44</v>
      </c>
      <c r="B20" s="175" t="s">
        <v>49</v>
      </c>
      <c r="D20" s="189">
        <v>1.0713999999999999</v>
      </c>
      <c r="E20" s="183">
        <v>5395</v>
      </c>
      <c r="F20" s="184">
        <f>C58*D20</f>
        <v>4.2256015999999992</v>
      </c>
      <c r="G20" s="185">
        <f t="shared" si="0"/>
        <v>22797.120631999995</v>
      </c>
      <c r="I20" s="191"/>
      <c r="J20" s="192"/>
      <c r="K20" s="192"/>
      <c r="L20" s="189"/>
      <c r="M20" s="237"/>
      <c r="N20" s="187"/>
      <c r="O20" s="188"/>
    </row>
    <row r="21" spans="1:15">
      <c r="B21" s="175" t="s">
        <v>182</v>
      </c>
      <c r="D21" s="189">
        <v>1.2065999999999999</v>
      </c>
      <c r="E21" s="183">
        <v>61330</v>
      </c>
      <c r="F21" s="184">
        <f>C59*D21</f>
        <v>7.3361279999999995</v>
      </c>
      <c r="G21" s="185">
        <f t="shared" si="0"/>
        <v>449924.73023999995</v>
      </c>
      <c r="I21" s="191">
        <f t="shared" ref="I21:I22" si="1">D21*E21</f>
        <v>74000.777999999991</v>
      </c>
      <c r="J21" s="191">
        <f t="shared" ref="J21:J22" si="2">E21</f>
        <v>61330</v>
      </c>
      <c r="K21" s="192"/>
      <c r="L21" s="189"/>
      <c r="M21" s="168"/>
      <c r="N21" s="187"/>
      <c r="O21" s="188"/>
    </row>
    <row r="22" spans="1:15" ht="12.75" customHeight="1">
      <c r="B22" s="175" t="s">
        <v>179</v>
      </c>
      <c r="D22" s="189">
        <v>1.2065999999999999</v>
      </c>
      <c r="E22" s="183">
        <v>44719</v>
      </c>
      <c r="F22" s="184">
        <f>(C59*D22)+1.25</f>
        <v>8.5861279999999987</v>
      </c>
      <c r="G22" s="185">
        <f>E22*F22</f>
        <v>383963.05803199991</v>
      </c>
      <c r="I22" s="195">
        <f t="shared" si="1"/>
        <v>53957.945399999997</v>
      </c>
      <c r="J22" s="195">
        <f t="shared" si="2"/>
        <v>44719</v>
      </c>
      <c r="K22" s="192"/>
      <c r="L22" s="189"/>
      <c r="M22" s="168"/>
      <c r="N22" s="307" t="s">
        <v>242</v>
      </c>
      <c r="O22" s="188"/>
    </row>
    <row r="23" spans="1:15">
      <c r="A23" s="176" t="s">
        <v>44</v>
      </c>
      <c r="B23" s="175" t="s">
        <v>50</v>
      </c>
      <c r="D23" s="189">
        <v>1.1177999999999999</v>
      </c>
      <c r="E23" s="183">
        <v>2664</v>
      </c>
      <c r="F23" s="184">
        <f>C54*D23</f>
        <v>4.4711999999999996</v>
      </c>
      <c r="G23" s="185">
        <f>E23*F23</f>
        <v>11911.2768</v>
      </c>
      <c r="I23" s="191">
        <f>SUM(I10:I22)+I28</f>
        <v>409190.71220000007</v>
      </c>
      <c r="J23" s="191">
        <f>SUM(J10:J22)+J28</f>
        <v>356380</v>
      </c>
      <c r="K23" s="306">
        <f>I23/J23</f>
        <v>1.1481865205679334</v>
      </c>
      <c r="L23" s="305" t="s">
        <v>240</v>
      </c>
      <c r="M23" s="237"/>
      <c r="N23" s="187"/>
      <c r="O23" s="188"/>
    </row>
    <row r="24" spans="1:15">
      <c r="A24" s="176" t="s">
        <v>44</v>
      </c>
      <c r="B24" s="175" t="s">
        <v>127</v>
      </c>
      <c r="D24" s="189">
        <v>1.0745</v>
      </c>
      <c r="E24" s="183">
        <v>0</v>
      </c>
      <c r="F24" s="184">
        <f>C54*D24</f>
        <v>4.298</v>
      </c>
      <c r="G24" s="185">
        <f t="shared" si="0"/>
        <v>0</v>
      </c>
      <c r="J24" s="308">
        <f>J23/E30</f>
        <v>0.87355318825588402</v>
      </c>
      <c r="L24" s="189"/>
      <c r="M24" s="238"/>
      <c r="N24" s="187"/>
      <c r="O24" s="188"/>
    </row>
    <row r="25" spans="1:15">
      <c r="B25" s="196" t="s">
        <v>128</v>
      </c>
      <c r="C25" s="309">
        <f>E25/E30</f>
        <v>0.74046856845913633</v>
      </c>
      <c r="D25" s="189"/>
      <c r="E25" s="183">
        <f>SUM(E9:E24)</f>
        <v>302086</v>
      </c>
      <c r="F25" s="184"/>
      <c r="G25" s="185">
        <f>SUM(G9:G24)</f>
        <v>2049178.4775915002</v>
      </c>
      <c r="H25" s="309">
        <f>G25/G30</f>
        <v>0.6024522085263383</v>
      </c>
      <c r="L25" s="189"/>
      <c r="M25" s="238"/>
      <c r="N25" s="187"/>
      <c r="O25" s="188"/>
    </row>
    <row r="26" spans="1:15">
      <c r="C26" s="310"/>
      <c r="D26" s="189"/>
      <c r="E26" s="183"/>
      <c r="F26" s="184"/>
      <c r="G26" s="188"/>
      <c r="H26" s="310"/>
      <c r="L26" s="189"/>
      <c r="M26" s="238"/>
      <c r="N26" s="187"/>
      <c r="O26" s="188"/>
    </row>
    <row r="27" spans="1:15">
      <c r="B27" s="197" t="s">
        <v>129</v>
      </c>
      <c r="C27" s="310"/>
      <c r="D27" s="189"/>
      <c r="E27" s="183"/>
      <c r="F27" s="184"/>
      <c r="G27" s="188"/>
      <c r="H27" s="310"/>
      <c r="L27" s="189"/>
      <c r="M27" s="238"/>
      <c r="N27" s="187"/>
      <c r="O27" s="188"/>
    </row>
    <row r="28" spans="1:15">
      <c r="B28" s="175" t="s">
        <v>130</v>
      </c>
      <c r="C28" s="309">
        <f>E28/E30</f>
        <v>0.25953143154086372</v>
      </c>
      <c r="D28" s="194">
        <v>1.1183700000000001</v>
      </c>
      <c r="E28" s="183">
        <v>105880</v>
      </c>
      <c r="F28" s="184">
        <f>(C51)*D28</f>
        <v>12.771226215</v>
      </c>
      <c r="G28" s="188">
        <f>E28*F28</f>
        <v>1352217.4316442001</v>
      </c>
      <c r="H28" s="309">
        <f>G28/G30</f>
        <v>0.3975477914736617</v>
      </c>
      <c r="I28" s="191">
        <f>D28*E28</f>
        <v>118413.01560000001</v>
      </c>
      <c r="J28" s="191">
        <f>E28</f>
        <v>105880</v>
      </c>
      <c r="K28" s="192"/>
      <c r="L28" s="194"/>
      <c r="M28" s="168"/>
      <c r="N28" s="170" t="s">
        <v>244</v>
      </c>
      <c r="O28" s="188"/>
    </row>
    <row r="29" spans="1:15">
      <c r="D29" s="189"/>
      <c r="E29" s="183"/>
      <c r="F29" s="184"/>
      <c r="G29" s="188"/>
      <c r="L29" s="189"/>
      <c r="M29" s="238"/>
      <c r="N29" s="187"/>
      <c r="O29" s="188"/>
    </row>
    <row r="30" spans="1:15" ht="16.149999999999999" thickBot="1">
      <c r="B30" s="198" t="s">
        <v>23</v>
      </c>
      <c r="C30" s="198"/>
      <c r="D30" s="198"/>
      <c r="E30" s="199">
        <f>SUM(E25:E28)</f>
        <v>407966</v>
      </c>
      <c r="F30" s="200">
        <f>G30/E30</f>
        <v>8.337449466954844</v>
      </c>
      <c r="G30" s="201">
        <f>SUM(G25:G28)</f>
        <v>3401395.9092357</v>
      </c>
      <c r="I30" s="202">
        <v>8.4700000000000006</v>
      </c>
      <c r="J30" s="203" t="s">
        <v>131</v>
      </c>
      <c r="M30" s="238"/>
      <c r="N30" s="204"/>
      <c r="O30" s="188"/>
    </row>
    <row r="31" spans="1:15" ht="16.149999999999999" thickBot="1">
      <c r="A31" s="205"/>
      <c r="B31" s="206"/>
      <c r="C31" s="206"/>
      <c r="D31" s="206"/>
      <c r="E31" s="207"/>
      <c r="F31" s="206"/>
      <c r="G31" s="207"/>
      <c r="I31" s="202">
        <v>8.59</v>
      </c>
      <c r="J31" s="203" t="s">
        <v>132</v>
      </c>
      <c r="M31" s="239" t="s">
        <v>245</v>
      </c>
    </row>
    <row r="32" spans="1:15">
      <c r="B32" s="181" t="s">
        <v>51</v>
      </c>
      <c r="C32" s="208">
        <v>44864</v>
      </c>
      <c r="D32" s="175" t="s">
        <v>149</v>
      </c>
      <c r="E32" s="209"/>
      <c r="F32" s="210">
        <f>E30</f>
        <v>407966</v>
      </c>
      <c r="G32" s="175" t="s">
        <v>113</v>
      </c>
      <c r="M32" s="239" t="s">
        <v>60</v>
      </c>
    </row>
    <row r="33" spans="1:17">
      <c r="A33" s="325" t="s">
        <v>52</v>
      </c>
      <c r="B33" s="326"/>
      <c r="C33" s="300">
        <f>'Sch III GBA'!$G$256</f>
        <v>374155</v>
      </c>
      <c r="D33" s="177" t="s">
        <v>113</v>
      </c>
      <c r="E33" s="211">
        <f>(F32-C33)/F32</f>
        <v>8.2877004456253706E-2</v>
      </c>
      <c r="F33" s="176" t="s">
        <v>6</v>
      </c>
      <c r="M33" s="239" t="s">
        <v>61</v>
      </c>
    </row>
    <row r="34" spans="1:17">
      <c r="B34" s="176"/>
      <c r="C34" s="176"/>
      <c r="D34" s="176"/>
      <c r="E34" s="176"/>
      <c r="F34" s="212"/>
      <c r="G34" s="212" t="s">
        <v>53</v>
      </c>
      <c r="M34" s="239" t="s">
        <v>133</v>
      </c>
      <c r="O34" s="295">
        <f>'Sch III GBA'!$C$256</f>
        <v>407965.68999999994</v>
      </c>
      <c r="P34" s="295">
        <f>'Sch III GBA'!$G$256</f>
        <v>374155</v>
      </c>
      <c r="Q34" s="235"/>
    </row>
    <row r="35" spans="1:17">
      <c r="B35" s="175" t="s">
        <v>54</v>
      </c>
      <c r="D35" s="203"/>
      <c r="F35" s="176"/>
      <c r="G35" s="299">
        <f>G30</f>
        <v>3401395.9092357</v>
      </c>
      <c r="M35" s="239"/>
      <c r="O35" s="235"/>
      <c r="P35" s="234">
        <f>(O34-P34)/O34</f>
        <v>8.2876307564001148E-2</v>
      </c>
      <c r="Q35" s="235" t="s">
        <v>183</v>
      </c>
    </row>
    <row r="36" spans="1:17" ht="12.75" customHeight="1">
      <c r="A36" s="217" t="s">
        <v>56</v>
      </c>
      <c r="B36" s="218" t="s">
        <v>57</v>
      </c>
      <c r="C36" s="218"/>
      <c r="D36" s="218"/>
      <c r="E36" s="218"/>
      <c r="F36" s="180" t="s">
        <v>36</v>
      </c>
      <c r="G36" s="219">
        <f>E30</f>
        <v>407966</v>
      </c>
      <c r="M36" s="237"/>
    </row>
    <row r="37" spans="1:17">
      <c r="A37" s="220" t="s">
        <v>58</v>
      </c>
      <c r="B37" s="175" t="s">
        <v>143</v>
      </c>
      <c r="F37" s="176" t="s">
        <v>59</v>
      </c>
      <c r="G37" s="184">
        <f>G35/G36</f>
        <v>8.337449466954844</v>
      </c>
      <c r="M37" s="237"/>
    </row>
    <row r="38" spans="1:17">
      <c r="A38" s="220"/>
      <c r="L38" s="236" t="s">
        <v>241</v>
      </c>
      <c r="M38" s="237"/>
    </row>
    <row r="39" spans="1:17" ht="16.149999999999999" thickBot="1">
      <c r="A39" s="220"/>
      <c r="B39" s="175" t="s">
        <v>142</v>
      </c>
      <c r="D39" s="301" t="s">
        <v>136</v>
      </c>
      <c r="F39" s="176" t="s">
        <v>59</v>
      </c>
      <c r="G39" s="289">
        <f>G35/C33</f>
        <v>9.0908738603939536</v>
      </c>
      <c r="J39" s="231" t="s">
        <v>167</v>
      </c>
      <c r="K39" s="311" t="s">
        <v>134</v>
      </c>
      <c r="L39" s="186" t="s">
        <v>166</v>
      </c>
      <c r="M39" s="213" t="s">
        <v>165</v>
      </c>
      <c r="N39" s="186" t="s">
        <v>135</v>
      </c>
      <c r="O39" s="186" t="s">
        <v>55</v>
      </c>
    </row>
    <row r="40" spans="1:17" ht="16.149999999999999" thickBot="1">
      <c r="A40" s="223"/>
      <c r="B40" s="206"/>
      <c r="C40" s="206"/>
      <c r="D40" s="206"/>
      <c r="E40" s="206"/>
      <c r="F40" s="205"/>
      <c r="G40" s="224"/>
      <c r="J40" s="230">
        <v>44958</v>
      </c>
      <c r="K40" s="214">
        <v>5.7110000000000003</v>
      </c>
      <c r="L40" s="191">
        <f>'Sched I Rate Dtrm'!B57</f>
        <v>63500</v>
      </c>
      <c r="M40" s="215">
        <f>K23</f>
        <v>1.1481865205679334</v>
      </c>
      <c r="N40" s="191">
        <f>L40*M40</f>
        <v>72909.844056063768</v>
      </c>
      <c r="O40" s="216">
        <f>K40*N40</f>
        <v>416388.11940418021</v>
      </c>
    </row>
    <row r="41" spans="1:17">
      <c r="C41" s="225"/>
      <c r="J41" s="230">
        <v>44986</v>
      </c>
      <c r="K41" s="214">
        <v>5.2229999999999999</v>
      </c>
      <c r="L41" s="191">
        <f>'Sched I Rate Dtrm'!B58</f>
        <v>48500</v>
      </c>
      <c r="M41" s="215">
        <f>K23</f>
        <v>1.1481865205679334</v>
      </c>
      <c r="N41" s="191">
        <f t="shared" ref="N41:N42" si="3">L41*M41</f>
        <v>55687.046247544771</v>
      </c>
      <c r="O41" s="216">
        <f t="shared" ref="O41:O42" si="4">K41*N41</f>
        <v>290853.44255092635</v>
      </c>
    </row>
    <row r="42" spans="1:17">
      <c r="A42" s="177"/>
      <c r="B42" s="232" t="s">
        <v>150</v>
      </c>
      <c r="C42" s="229" t="s">
        <v>160</v>
      </c>
      <c r="J42" s="230">
        <v>45017</v>
      </c>
      <c r="K42" s="214">
        <v>4.8600000000000003</v>
      </c>
      <c r="L42" s="191">
        <f>'Sched I Rate Dtrm'!B59</f>
        <v>28500</v>
      </c>
      <c r="M42" s="215">
        <f>K23</f>
        <v>1.1481865205679334</v>
      </c>
      <c r="N42" s="191">
        <f t="shared" si="3"/>
        <v>32723.315836186102</v>
      </c>
      <c r="O42" s="216">
        <f t="shared" si="4"/>
        <v>159035.31496386445</v>
      </c>
    </row>
    <row r="43" spans="1:17">
      <c r="A43" s="177"/>
      <c r="B43" s="232"/>
      <c r="C43" s="229"/>
      <c r="J43" s="192"/>
      <c r="K43" s="186"/>
      <c r="L43" s="191"/>
      <c r="M43" s="192"/>
      <c r="N43" s="191">
        <f>SUM(N40:N42)</f>
        <v>161320.20613979464</v>
      </c>
      <c r="O43" s="216">
        <f>SUM(O40:O42)</f>
        <v>866276.87691897107</v>
      </c>
    </row>
    <row r="44" spans="1:17">
      <c r="B44" s="175" t="s">
        <v>138</v>
      </c>
      <c r="C44" s="221">
        <f>ROUND(K44,3)</f>
        <v>5.37</v>
      </c>
      <c r="E44" s="203" t="s">
        <v>168</v>
      </c>
      <c r="J44" s="192" t="s">
        <v>164</v>
      </c>
      <c r="K44" s="312">
        <f>O43/N43</f>
        <v>5.3699217081850543</v>
      </c>
      <c r="L44" s="222" t="s">
        <v>137</v>
      </c>
      <c r="M44" s="192"/>
      <c r="N44" s="192"/>
      <c r="O44" s="192"/>
    </row>
    <row r="45" spans="1:17">
      <c r="B45" s="175" t="s">
        <v>169</v>
      </c>
      <c r="C45" s="184">
        <v>-0.44</v>
      </c>
      <c r="D45" s="203"/>
      <c r="E45" s="203" t="s">
        <v>151</v>
      </c>
      <c r="I45" s="226" t="s">
        <v>144</v>
      </c>
      <c r="M45" s="236" t="s">
        <v>186</v>
      </c>
    </row>
    <row r="46" spans="1:17">
      <c r="B46" s="175" t="s">
        <v>170</v>
      </c>
      <c r="C46" s="221">
        <f>+C44+C45</f>
        <v>4.93</v>
      </c>
      <c r="D46" s="203"/>
      <c r="E46" s="203" t="s">
        <v>171</v>
      </c>
      <c r="I46" s="203"/>
      <c r="M46" s="236" t="s">
        <v>185</v>
      </c>
    </row>
    <row r="47" spans="1:17">
      <c r="C47" s="221"/>
      <c r="D47" s="203"/>
      <c r="I47" s="203"/>
      <c r="M47" s="236" t="s">
        <v>187</v>
      </c>
    </row>
    <row r="48" spans="1:17">
      <c r="C48" s="221"/>
      <c r="M48" s="236"/>
    </row>
    <row r="49" spans="1:13">
      <c r="B49" s="175" t="s">
        <v>64</v>
      </c>
      <c r="C49" s="184">
        <v>10.9841</v>
      </c>
      <c r="E49" s="203" t="s">
        <v>153</v>
      </c>
      <c r="M49" s="236" t="s">
        <v>62</v>
      </c>
    </row>
    <row r="50" spans="1:13">
      <c r="B50" s="175" t="s">
        <v>65</v>
      </c>
      <c r="C50" s="184">
        <f>(C46*1.14)+1.05+0.2</f>
        <v>6.8701999999999988</v>
      </c>
      <c r="E50" s="203" t="s">
        <v>172</v>
      </c>
      <c r="I50" s="203" t="s">
        <v>162</v>
      </c>
    </row>
    <row r="51" spans="1:13">
      <c r="B51" s="175" t="s">
        <v>175</v>
      </c>
      <c r="C51" s="184">
        <f>(C46*1.15)+5.75</f>
        <v>11.419499999999999</v>
      </c>
      <c r="E51" s="203" t="s">
        <v>159</v>
      </c>
      <c r="I51" s="203"/>
    </row>
    <row r="52" spans="1:13">
      <c r="B52" s="175" t="s">
        <v>180</v>
      </c>
      <c r="C52" s="184">
        <f>(C46*1.02)+0.342+0.019+0.05</f>
        <v>5.4395999999999995</v>
      </c>
      <c r="E52" s="203" t="s">
        <v>173</v>
      </c>
      <c r="I52" s="228" t="s">
        <v>188</v>
      </c>
    </row>
    <row r="53" spans="1:13">
      <c r="B53" s="175" t="s">
        <v>139</v>
      </c>
      <c r="C53" s="184">
        <f>IF((C46*0.8)&gt;4.25,C46*0.8,4.25)</f>
        <v>4.25</v>
      </c>
      <c r="E53" s="203" t="s">
        <v>156</v>
      </c>
      <c r="H53" s="176" t="s">
        <v>42</v>
      </c>
      <c r="I53" s="203" t="s">
        <v>140</v>
      </c>
      <c r="J53" s="227"/>
    </row>
    <row r="54" spans="1:13">
      <c r="B54" s="175" t="s">
        <v>155</v>
      </c>
      <c r="C54" s="184">
        <f>IF((C46*0.8)&gt;4,C46*0.8,4)</f>
        <v>4</v>
      </c>
      <c r="E54" s="203" t="s">
        <v>154</v>
      </c>
      <c r="H54" s="176" t="s">
        <v>44</v>
      </c>
      <c r="I54" s="203" t="s">
        <v>141</v>
      </c>
      <c r="J54" s="227"/>
    </row>
    <row r="55" spans="1:13">
      <c r="B55" s="175" t="s">
        <v>181</v>
      </c>
      <c r="C55" s="184">
        <v>10.5</v>
      </c>
      <c r="E55" s="203" t="s">
        <v>163</v>
      </c>
      <c r="I55" s="176"/>
      <c r="M55" s="236"/>
    </row>
    <row r="56" spans="1:13">
      <c r="B56" s="175" t="s">
        <v>47</v>
      </c>
      <c r="C56" s="184">
        <f>C46</f>
        <v>4.93</v>
      </c>
      <c r="E56" s="203" t="s">
        <v>28</v>
      </c>
      <c r="I56" s="176"/>
      <c r="M56" s="236"/>
    </row>
    <row r="57" spans="1:13">
      <c r="B57" s="175" t="s">
        <v>177</v>
      </c>
      <c r="C57" s="184">
        <f>C46*0.8</f>
        <v>3.944</v>
      </c>
      <c r="D57" s="227"/>
      <c r="E57" s="203" t="s">
        <v>157</v>
      </c>
      <c r="I57" s="176"/>
      <c r="M57" s="236" t="s">
        <v>63</v>
      </c>
    </row>
    <row r="58" spans="1:13">
      <c r="B58" s="175" t="s">
        <v>176</v>
      </c>
      <c r="C58" s="184">
        <f>C46*0.8</f>
        <v>3.944</v>
      </c>
      <c r="E58" s="203" t="s">
        <v>154</v>
      </c>
      <c r="H58" s="176" t="s">
        <v>44</v>
      </c>
      <c r="I58" s="203" t="s">
        <v>141</v>
      </c>
    </row>
    <row r="59" spans="1:13">
      <c r="B59" s="175" t="s">
        <v>66</v>
      </c>
      <c r="C59" s="184">
        <f>C46+1.15</f>
        <v>6.08</v>
      </c>
      <c r="E59" s="203" t="s">
        <v>161</v>
      </c>
      <c r="I59" s="176"/>
    </row>
    <row r="60" spans="1:13">
      <c r="B60" s="175" t="s">
        <v>48</v>
      </c>
      <c r="C60" s="184">
        <f>C46+0.1</f>
        <v>5.0299999999999994</v>
      </c>
      <c r="E60" s="203" t="s">
        <v>158</v>
      </c>
      <c r="I60" s="176"/>
    </row>
    <row r="61" spans="1:13">
      <c r="B61" s="175" t="s">
        <v>152</v>
      </c>
      <c r="C61" s="184">
        <v>1.25</v>
      </c>
      <c r="E61" s="203" t="s">
        <v>174</v>
      </c>
      <c r="I61" s="176"/>
    </row>
    <row r="62" spans="1:13">
      <c r="A62" s="175"/>
      <c r="I62" s="176"/>
    </row>
    <row r="63" spans="1:13">
      <c r="A63" s="175"/>
      <c r="I63" s="176"/>
    </row>
  </sheetData>
  <sheetProtection selectLockedCells="1"/>
  <mergeCells count="2">
    <mergeCell ref="A33:B33"/>
    <mergeCell ref="D6:E6"/>
  </mergeCells>
  <printOptions horizontalCentered="1"/>
  <pageMargins left="0.2" right="0.2" top="0.25" bottom="0.25" header="0.5" footer="0.5"/>
  <pageSetup scale="97" orientation="portrait" r:id="rId1"/>
  <headerFooter alignWithMargins="0">
    <oddHeader>&amp;RAPPENDIX B
Page 3</oddHeader>
    <oddFooter>&amp;R&amp;"-,Italic"&amp;9Rev Dec22</oddFooter>
  </headerFooter>
  <rowBreaks count="1" manualBreakCount="1">
    <brk id="4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87EB-C3F6-4A2A-A3DD-50F61E30FDAB}">
  <dimension ref="A1:AB277"/>
  <sheetViews>
    <sheetView zoomScaleNormal="100" workbookViewId="0">
      <pane xSplit="2" ySplit="2" topLeftCell="C243" activePane="bottomRight" state="frozen"/>
      <selection pane="topRight" activeCell="C1" sqref="C1"/>
      <selection pane="bottomLeft" activeCell="A3" sqref="A3"/>
      <selection pane="bottomRight" activeCell="A259" sqref="A259:XFD273"/>
    </sheetView>
  </sheetViews>
  <sheetFormatPr defaultColWidth="8.86328125" defaultRowHeight="13.15"/>
  <cols>
    <col min="1" max="1" width="9.73046875" style="23" bestFit="1" customWidth="1"/>
    <col min="2" max="2" width="8.265625" style="24" bestFit="1" customWidth="1"/>
    <col min="3" max="3" width="8.86328125" style="25"/>
    <col min="4" max="4" width="11.86328125" style="26" customWidth="1"/>
    <col min="5" max="5" width="9.265625" style="27" bestFit="1" customWidth="1"/>
    <col min="6" max="6" width="1.1328125" style="26" customWidth="1"/>
    <col min="7" max="7" width="8.86328125" style="25"/>
    <col min="8" max="8" width="7.265625" style="24" bestFit="1" customWidth="1"/>
    <col min="9" max="9" width="11.86328125" style="26" customWidth="1"/>
    <col min="10" max="10" width="11.59765625" style="26" customWidth="1"/>
    <col min="11" max="11" width="11.59765625" style="29" customWidth="1"/>
    <col min="12" max="12" width="1.1328125" style="26" customWidth="1"/>
    <col min="13" max="16" width="9.265625" style="51" customWidth="1"/>
    <col min="17" max="17" width="8.86328125" style="24"/>
    <col min="18" max="18" width="10.1328125" style="24" customWidth="1"/>
    <col min="19" max="19" width="8.86328125" style="24"/>
    <col min="20" max="20" width="11.73046875" style="24" bestFit="1" customWidth="1"/>
    <col min="21" max="21" width="9.59765625" style="24" bestFit="1" customWidth="1"/>
    <col min="22" max="24" width="8.86328125" style="24"/>
    <col min="25" max="25" width="12" style="24" bestFit="1" customWidth="1"/>
    <col min="26" max="27" width="11" style="24" bestFit="1" customWidth="1"/>
    <col min="28" max="16384" width="8.86328125" style="24"/>
  </cols>
  <sheetData>
    <row r="1" spans="1:18" s="2" customFormat="1" ht="13.9" customHeight="1">
      <c r="A1" s="290" t="s">
        <v>208</v>
      </c>
      <c r="B1" s="290"/>
      <c r="C1" s="290"/>
      <c r="D1" s="290" t="s">
        <v>215</v>
      </c>
      <c r="E1" s="290"/>
      <c r="F1" s="290"/>
      <c r="G1" s="290"/>
      <c r="H1" s="290" t="s">
        <v>207</v>
      </c>
      <c r="I1" s="290"/>
      <c r="J1" s="290"/>
      <c r="K1" s="290"/>
      <c r="L1" s="290"/>
      <c r="M1" s="290"/>
      <c r="N1" s="290"/>
      <c r="O1" s="290"/>
      <c r="P1" s="290"/>
      <c r="Q1" s="1"/>
      <c r="R1" s="1"/>
    </row>
    <row r="2" spans="1:18" s="11" customFormat="1" ht="40.1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255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41" t="s">
        <v>190</v>
      </c>
    </row>
    <row r="3" spans="1:18" s="21" customFormat="1">
      <c r="A3" s="12">
        <v>43101</v>
      </c>
      <c r="B3" s="13" t="s">
        <v>13</v>
      </c>
      <c r="C3" s="14">
        <v>65406</v>
      </c>
      <c r="D3" s="15">
        <v>291131</v>
      </c>
      <c r="E3" s="16">
        <f>D3/C3</f>
        <v>4.4511359814084335</v>
      </c>
      <c r="F3" s="17"/>
      <c r="G3" s="14">
        <v>62719</v>
      </c>
      <c r="H3" s="18">
        <f>(C3-G3)/C3</f>
        <v>4.1081857933522918E-2</v>
      </c>
      <c r="I3" s="15">
        <f>G3*P3</f>
        <v>342671.52839999995</v>
      </c>
      <c r="J3" s="15">
        <f>I3-D3</f>
        <v>51540.528399999952</v>
      </c>
      <c r="K3" s="19"/>
      <c r="L3" s="17"/>
      <c r="M3" s="20">
        <v>5.4635999999999996</v>
      </c>
      <c r="N3" s="16">
        <v>0</v>
      </c>
      <c r="O3" s="16">
        <v>0</v>
      </c>
      <c r="P3" s="16">
        <f>M3+N3+O3</f>
        <v>5.4635999999999996</v>
      </c>
      <c r="R3" s="22" t="s">
        <v>14</v>
      </c>
    </row>
    <row r="4" spans="1:18" s="21" customFormat="1">
      <c r="A4" s="23"/>
      <c r="B4" s="24" t="s">
        <v>15</v>
      </c>
      <c r="C4" s="25">
        <v>29404</v>
      </c>
      <c r="D4" s="26">
        <v>196402</v>
      </c>
      <c r="E4" s="27">
        <f>D4/C4</f>
        <v>6.679431369881649</v>
      </c>
      <c r="F4" s="17"/>
      <c r="G4" s="25">
        <v>27814</v>
      </c>
      <c r="H4" s="28">
        <f>(C4-G4)/C4</f>
        <v>5.4074275608760713E-2</v>
      </c>
      <c r="I4" s="26">
        <f>G4*P3</f>
        <v>151964.5704</v>
      </c>
      <c r="J4" s="26">
        <f>I4-D4</f>
        <v>-44437.429600000003</v>
      </c>
      <c r="K4" s="29"/>
      <c r="L4" s="17"/>
      <c r="M4" s="30"/>
      <c r="N4" s="27"/>
      <c r="O4" s="27"/>
      <c r="P4" s="27"/>
      <c r="R4" s="22" t="s">
        <v>16</v>
      </c>
    </row>
    <row r="5" spans="1:18">
      <c r="B5" s="24" t="s">
        <v>17</v>
      </c>
      <c r="C5" s="25">
        <f>SUM(C3:C4)</f>
        <v>94810</v>
      </c>
      <c r="D5" s="26">
        <f>SUM(D3:D4)</f>
        <v>487533</v>
      </c>
      <c r="E5" s="27">
        <f>D5/C5</f>
        <v>5.1422107372640014</v>
      </c>
      <c r="F5" s="17"/>
      <c r="G5" s="25">
        <f>SUM(G3:G4)</f>
        <v>90533</v>
      </c>
      <c r="H5" s="28">
        <f>(C5-G5)/C5</f>
        <v>4.5111275181942835E-2</v>
      </c>
      <c r="J5" s="26">
        <f>J3+J4</f>
        <v>7103.0987999999488</v>
      </c>
      <c r="K5" s="29">
        <f>K1+J5</f>
        <v>7103.0987999999488</v>
      </c>
      <c r="L5" s="17"/>
      <c r="M5" s="27"/>
      <c r="N5" s="27"/>
      <c r="O5" s="27"/>
      <c r="P5" s="27"/>
      <c r="R5" s="31" t="s">
        <v>18</v>
      </c>
    </row>
    <row r="6" spans="1:18" s="41" customFormat="1" ht="3" customHeight="1">
      <c r="A6" s="32"/>
      <c r="B6" s="33"/>
      <c r="C6" s="34"/>
      <c r="D6" s="35"/>
      <c r="E6" s="36"/>
      <c r="F6" s="37"/>
      <c r="G6" s="34"/>
      <c r="H6" s="33"/>
      <c r="I6" s="35"/>
      <c r="J6" s="35">
        <f>J4+J5</f>
        <v>-37334.330800000054</v>
      </c>
      <c r="K6" s="38" t="e">
        <f>K2+J6</f>
        <v>#VALUE!</v>
      </c>
      <c r="L6" s="37"/>
      <c r="M6" s="39"/>
      <c r="N6" s="36"/>
      <c r="O6" s="36"/>
      <c r="P6" s="40"/>
    </row>
    <row r="7" spans="1:18">
      <c r="A7" s="23">
        <v>43132</v>
      </c>
      <c r="B7" s="24" t="s">
        <v>13</v>
      </c>
      <c r="C7" s="25">
        <v>35323</v>
      </c>
      <c r="D7" s="26">
        <v>179044</v>
      </c>
      <c r="E7" s="27">
        <f>D7/C7</f>
        <v>5.0687653936528605</v>
      </c>
      <c r="F7" s="17"/>
      <c r="G7" s="25">
        <v>38306</v>
      </c>
      <c r="H7" s="28">
        <f>(C7-G7)/C7</f>
        <v>-8.4449225716954956E-2</v>
      </c>
      <c r="I7" s="26">
        <f>G7*P7</f>
        <v>206205.02859999999</v>
      </c>
      <c r="J7" s="26">
        <f>I7-D7</f>
        <v>27161.028599999991</v>
      </c>
      <c r="L7" s="17"/>
      <c r="M7" s="27">
        <v>5.3830999999999998</v>
      </c>
      <c r="N7" s="27">
        <v>0</v>
      </c>
      <c r="O7" s="27">
        <v>0</v>
      </c>
      <c r="P7" s="27">
        <f>M7+N7+O7</f>
        <v>5.3830999999999998</v>
      </c>
    </row>
    <row r="8" spans="1:18">
      <c r="B8" s="24" t="s">
        <v>15</v>
      </c>
      <c r="C8" s="25">
        <v>15049</v>
      </c>
      <c r="D8" s="26">
        <v>107182</v>
      </c>
      <c r="E8" s="27">
        <f>D8/C8</f>
        <v>7.1222008106850954</v>
      </c>
      <c r="F8" s="17"/>
      <c r="G8" s="25">
        <v>13430</v>
      </c>
      <c r="H8" s="28">
        <f>(C8-G8)/C8</f>
        <v>0.10758189912951027</v>
      </c>
      <c r="I8" s="26">
        <f>G8*P7</f>
        <v>72295.032999999996</v>
      </c>
      <c r="J8" s="26">
        <f>I8-D8</f>
        <v>-34886.967000000004</v>
      </c>
      <c r="L8" s="17"/>
      <c r="M8" s="27"/>
      <c r="N8" s="27"/>
      <c r="O8" s="27"/>
      <c r="P8" s="27"/>
    </row>
    <row r="9" spans="1:18">
      <c r="B9" s="24" t="s">
        <v>17</v>
      </c>
      <c r="C9" s="25">
        <f>SUM(C7:C8)</f>
        <v>50372</v>
      </c>
      <c r="D9" s="26">
        <f>SUM(D7:D8)</f>
        <v>286226</v>
      </c>
      <c r="E9" s="27">
        <f>D9/C9</f>
        <v>5.6822441038672276</v>
      </c>
      <c r="F9" s="17"/>
      <c r="G9" s="25">
        <f>SUM(G7:G8)</f>
        <v>51736</v>
      </c>
      <c r="H9" s="28">
        <f>(C9-G9)/C9</f>
        <v>-2.7078535694433414E-2</v>
      </c>
      <c r="J9" s="26">
        <f>J7+J8</f>
        <v>-7725.9384000000136</v>
      </c>
      <c r="K9" s="29">
        <f>K5+J9</f>
        <v>-622.83960000006482</v>
      </c>
      <c r="L9" s="17"/>
      <c r="M9" s="27"/>
      <c r="N9" s="27"/>
      <c r="O9" s="27"/>
      <c r="P9" s="27"/>
    </row>
    <row r="10" spans="1:18" ht="3" customHeight="1">
      <c r="A10" s="42"/>
      <c r="B10" s="43"/>
      <c r="C10" s="44"/>
      <c r="D10" s="45"/>
      <c r="E10" s="46"/>
      <c r="F10" s="17"/>
      <c r="G10" s="44"/>
      <c r="H10" s="43"/>
      <c r="I10" s="45"/>
      <c r="J10" s="45"/>
      <c r="K10" s="47"/>
      <c r="L10" s="17"/>
      <c r="M10" s="48"/>
      <c r="N10" s="46"/>
      <c r="O10" s="46"/>
      <c r="P10" s="49"/>
    </row>
    <row r="11" spans="1:18">
      <c r="A11" s="23">
        <v>43160</v>
      </c>
      <c r="B11" s="24" t="s">
        <v>13</v>
      </c>
      <c r="C11" s="25">
        <v>41090</v>
      </c>
      <c r="D11" s="26">
        <v>167635</v>
      </c>
      <c r="E11" s="27">
        <f>D11/C11</f>
        <v>4.079703090776345</v>
      </c>
      <c r="F11" s="17"/>
      <c r="G11" s="25">
        <v>35545</v>
      </c>
      <c r="H11" s="28">
        <f>(C11-G11)/C11</f>
        <v>0.13494767583353615</v>
      </c>
      <c r="I11" s="26">
        <f>G11*P7</f>
        <v>191342.28949999998</v>
      </c>
      <c r="J11" s="26">
        <f>I11-D11</f>
        <v>23707.289499999984</v>
      </c>
      <c r="L11" s="17"/>
      <c r="M11" s="27"/>
      <c r="N11" s="27"/>
      <c r="O11" s="27"/>
      <c r="P11" s="27"/>
    </row>
    <row r="12" spans="1:18">
      <c r="B12" s="24" t="s">
        <v>15</v>
      </c>
      <c r="C12" s="25">
        <v>16557</v>
      </c>
      <c r="D12" s="26">
        <v>104730</v>
      </c>
      <c r="E12" s="27">
        <f>D12/C12</f>
        <v>6.3254212719695593</v>
      </c>
      <c r="F12" s="17"/>
      <c r="G12" s="25">
        <v>15864</v>
      </c>
      <c r="H12" s="28">
        <f>(C12-G12)/C12</f>
        <v>4.1855408588512409E-2</v>
      </c>
      <c r="I12" s="26">
        <f>G12*P7</f>
        <v>85397.498399999997</v>
      </c>
      <c r="J12" s="26">
        <f>I12-D12</f>
        <v>-19332.501600000003</v>
      </c>
      <c r="L12" s="17"/>
      <c r="M12" s="27"/>
      <c r="N12" s="27"/>
      <c r="O12" s="27"/>
      <c r="P12" s="27"/>
    </row>
    <row r="13" spans="1:18">
      <c r="B13" s="24" t="s">
        <v>17</v>
      </c>
      <c r="C13" s="25">
        <f>SUM(C11:C12)</f>
        <v>57647</v>
      </c>
      <c r="D13" s="26">
        <f>SUM(D11:D12)</f>
        <v>272365</v>
      </c>
      <c r="E13" s="27">
        <f>D13/C13</f>
        <v>4.7247038007181636</v>
      </c>
      <c r="F13" s="17"/>
      <c r="G13" s="25">
        <f>SUM(G11:G12)</f>
        <v>51409</v>
      </c>
      <c r="H13" s="28">
        <f>(C13-G13)/C13</f>
        <v>0.10821031450032093</v>
      </c>
      <c r="J13" s="26">
        <f>J11+J12</f>
        <v>4374.7878999999812</v>
      </c>
      <c r="K13" s="29">
        <f>K9+J13</f>
        <v>3751.9482999999163</v>
      </c>
      <c r="L13" s="17"/>
      <c r="M13" s="27"/>
      <c r="N13" s="27"/>
      <c r="O13" s="27"/>
      <c r="P13" s="27"/>
    </row>
    <row r="14" spans="1:18" ht="3" customHeight="1">
      <c r="A14" s="42"/>
      <c r="B14" s="43"/>
      <c r="C14" s="44"/>
      <c r="D14" s="45"/>
      <c r="E14" s="46"/>
      <c r="F14" s="17"/>
      <c r="G14" s="44"/>
      <c r="H14" s="43"/>
      <c r="I14" s="45"/>
      <c r="J14" s="45"/>
      <c r="K14" s="47"/>
      <c r="L14" s="17"/>
      <c r="M14" s="48"/>
      <c r="N14" s="46"/>
      <c r="O14" s="46"/>
      <c r="P14" s="49"/>
    </row>
    <row r="15" spans="1:18">
      <c r="A15" s="23">
        <v>43191</v>
      </c>
      <c r="B15" s="24" t="s">
        <v>13</v>
      </c>
      <c r="C15" s="25">
        <v>25637</v>
      </c>
      <c r="D15" s="26">
        <v>97922</v>
      </c>
      <c r="E15" s="27">
        <f>D15/C15</f>
        <v>3.8195576705542771</v>
      </c>
      <c r="F15" s="17"/>
      <c r="G15" s="25">
        <v>20974</v>
      </c>
      <c r="H15" s="28">
        <f>(C15-G15)/C15</f>
        <v>0.18188555603229706</v>
      </c>
      <c r="I15" s="26">
        <f>G15*P7</f>
        <v>112905.1394</v>
      </c>
      <c r="J15" s="26">
        <f>I15-D15</f>
        <v>14983.1394</v>
      </c>
      <c r="L15" s="17"/>
      <c r="M15" s="27"/>
      <c r="N15" s="27"/>
      <c r="O15" s="27"/>
      <c r="P15" s="27"/>
    </row>
    <row r="16" spans="1:18">
      <c r="B16" s="24" t="s">
        <v>15</v>
      </c>
      <c r="C16" s="25">
        <v>7345</v>
      </c>
      <c r="D16" s="26">
        <v>47233</v>
      </c>
      <c r="E16" s="27">
        <f>D16/C16</f>
        <v>6.4306330837304291</v>
      </c>
      <c r="F16" s="17"/>
      <c r="G16" s="25">
        <v>2025</v>
      </c>
      <c r="H16" s="28">
        <f>(C16-G16)/C16</f>
        <v>0.72430224642614027</v>
      </c>
      <c r="I16" s="26">
        <f>G16*P7</f>
        <v>10900.7775</v>
      </c>
      <c r="J16" s="26">
        <f>I16-D16</f>
        <v>-36332.222500000003</v>
      </c>
      <c r="L16" s="17"/>
      <c r="M16" s="27"/>
      <c r="N16" s="27"/>
      <c r="O16" s="27"/>
      <c r="P16" s="27"/>
    </row>
    <row r="17" spans="1:18">
      <c r="B17" s="24" t="s">
        <v>17</v>
      </c>
      <c r="C17" s="25">
        <f>SUM(C15:C16)</f>
        <v>32982</v>
      </c>
      <c r="D17" s="26">
        <f>SUM(D15:D16)</f>
        <v>145155</v>
      </c>
      <c r="E17" s="27">
        <f>D17/C17</f>
        <v>4.4010369292341274</v>
      </c>
      <c r="F17" s="17"/>
      <c r="G17" s="25">
        <f>SUM(G15:G16)</f>
        <v>22999</v>
      </c>
      <c r="H17" s="28">
        <f>(C17-G17)/C17</f>
        <v>0.30268024983324238</v>
      </c>
      <c r="J17" s="26">
        <f>J15+J16</f>
        <v>-21349.083100000003</v>
      </c>
      <c r="K17" s="29">
        <f>K13+J17</f>
        <v>-17597.134800000087</v>
      </c>
      <c r="L17" s="17"/>
      <c r="M17" s="27"/>
      <c r="N17" s="27"/>
      <c r="O17" s="27"/>
      <c r="P17" s="27"/>
    </row>
    <row r="18" spans="1:18" s="41" customFormat="1" ht="3" customHeight="1">
      <c r="A18" s="32"/>
      <c r="B18" s="33"/>
      <c r="C18" s="34"/>
      <c r="D18" s="35"/>
      <c r="E18" s="36"/>
      <c r="F18" s="37"/>
      <c r="G18" s="34"/>
      <c r="H18" s="33"/>
      <c r="I18" s="35"/>
      <c r="J18" s="35"/>
      <c r="K18" s="38"/>
      <c r="L18" s="37"/>
      <c r="M18" s="39"/>
      <c r="N18" s="36"/>
      <c r="O18" s="36"/>
      <c r="P18" s="40"/>
    </row>
    <row r="19" spans="1:18">
      <c r="A19" s="23">
        <v>43221</v>
      </c>
      <c r="B19" s="24" t="s">
        <v>13</v>
      </c>
      <c r="C19" s="25">
        <v>10288</v>
      </c>
      <c r="D19" s="26">
        <v>41743</v>
      </c>
      <c r="E19" s="27">
        <f>D19/C19</f>
        <v>4.0574455676516328</v>
      </c>
      <c r="F19" s="17"/>
      <c r="G19" s="25">
        <v>12480</v>
      </c>
      <c r="H19" s="28">
        <f>(C19-G19)/C19</f>
        <v>-0.2130637636080871</v>
      </c>
      <c r="I19" s="26">
        <f>G19*P19</f>
        <v>67536.767999999996</v>
      </c>
      <c r="J19" s="26">
        <f>I19-D19</f>
        <v>25793.767999999996</v>
      </c>
      <c r="L19" s="17"/>
      <c r="M19" s="27">
        <v>5.3830999999999998</v>
      </c>
      <c r="N19" s="27">
        <v>0</v>
      </c>
      <c r="O19" s="27">
        <v>2.8500000000000001E-2</v>
      </c>
      <c r="P19" s="27">
        <f>M19+N19+O19</f>
        <v>5.4116</v>
      </c>
    </row>
    <row r="20" spans="1:18">
      <c r="B20" s="24" t="s">
        <v>15</v>
      </c>
      <c r="C20" s="25">
        <v>3940</v>
      </c>
      <c r="D20" s="26">
        <v>25821</v>
      </c>
      <c r="E20" s="27">
        <f>D20/C20</f>
        <v>6.5535532994923855</v>
      </c>
      <c r="F20" s="17"/>
      <c r="G20" s="25">
        <v>7620</v>
      </c>
      <c r="H20" s="28">
        <f>(C20-G20)/C20</f>
        <v>-0.93401015228426398</v>
      </c>
      <c r="I20" s="26">
        <f>G20*P20</f>
        <v>39240.714</v>
      </c>
      <c r="J20" s="26">
        <f>I20-D20</f>
        <v>13419.714</v>
      </c>
      <c r="L20" s="17"/>
      <c r="M20" s="27">
        <v>5.3830999999999998</v>
      </c>
      <c r="N20" s="27">
        <v>0</v>
      </c>
      <c r="O20" s="27">
        <v>-0.2334</v>
      </c>
      <c r="P20" s="27">
        <f>M20+N20+O20</f>
        <v>5.1497000000000002</v>
      </c>
    </row>
    <row r="21" spans="1:18">
      <c r="B21" s="24" t="s">
        <v>17</v>
      </c>
      <c r="C21" s="25">
        <f>SUM(C19:C20)</f>
        <v>14228</v>
      </c>
      <c r="D21" s="26">
        <f>SUM(D19:D20)</f>
        <v>67564</v>
      </c>
      <c r="E21" s="27">
        <f>D21/C21</f>
        <v>4.7486646050042172</v>
      </c>
      <c r="F21" s="17"/>
      <c r="G21" s="25">
        <f>SUM(G19:G20)</f>
        <v>20100</v>
      </c>
      <c r="H21" s="28">
        <f>(C21-G21)/C21</f>
        <v>-0.41270733764408207</v>
      </c>
      <c r="J21" s="26">
        <f>J19+J20</f>
        <v>39213.481999999996</v>
      </c>
      <c r="K21" s="29">
        <f>K17+J21</f>
        <v>21616.347199999909</v>
      </c>
      <c r="L21" s="17"/>
      <c r="M21" s="27"/>
      <c r="N21" s="27"/>
      <c r="O21" s="27"/>
      <c r="P21" s="27"/>
    </row>
    <row r="22" spans="1:18" ht="3" customHeight="1">
      <c r="A22" s="42"/>
      <c r="B22" s="43"/>
      <c r="C22" s="44"/>
      <c r="D22" s="45"/>
      <c r="E22" s="46"/>
      <c r="F22" s="17"/>
      <c r="G22" s="44"/>
      <c r="H22" s="43"/>
      <c r="I22" s="45"/>
      <c r="J22" s="45"/>
      <c r="K22" s="47"/>
      <c r="L22" s="17"/>
      <c r="M22" s="48"/>
      <c r="N22" s="46"/>
      <c r="O22" s="46"/>
      <c r="P22" s="49"/>
    </row>
    <row r="23" spans="1:18">
      <c r="A23" s="23">
        <v>43252</v>
      </c>
      <c r="B23" s="24" t="s">
        <v>13</v>
      </c>
      <c r="C23" s="25">
        <v>8163</v>
      </c>
      <c r="D23" s="26">
        <v>27226</v>
      </c>
      <c r="E23" s="27">
        <f>D23/C23</f>
        <v>3.3352933970354037</v>
      </c>
      <c r="F23" s="17"/>
      <c r="G23" s="25">
        <v>6373</v>
      </c>
      <c r="H23" s="28">
        <f>(C23-G23)/C23</f>
        <v>0.21928212666911676</v>
      </c>
      <c r="I23" s="26">
        <f>G23*P23</f>
        <v>34488.126799999998</v>
      </c>
      <c r="J23" s="26">
        <f>I23-D23</f>
        <v>7262.1267999999982</v>
      </c>
      <c r="L23" s="17"/>
      <c r="M23" s="27">
        <v>5.3830999999999998</v>
      </c>
      <c r="N23" s="27">
        <v>0</v>
      </c>
      <c r="O23" s="27">
        <v>2.8500000000000001E-2</v>
      </c>
      <c r="P23" s="27">
        <f>M23+N23+O23</f>
        <v>5.4116</v>
      </c>
    </row>
    <row r="24" spans="1:18">
      <c r="B24" s="24" t="s">
        <v>15</v>
      </c>
      <c r="C24" s="25">
        <v>1827</v>
      </c>
      <c r="D24" s="26">
        <v>12055</v>
      </c>
      <c r="E24" s="27">
        <f>D24/C24</f>
        <v>6.5982484948002194</v>
      </c>
      <c r="F24" s="17"/>
      <c r="G24" s="25">
        <v>1664</v>
      </c>
      <c r="H24" s="28">
        <f>(C24-G24)/C24</f>
        <v>8.9217296113847835E-2</v>
      </c>
      <c r="I24" s="26">
        <f>G24*P24</f>
        <v>8569.1008000000002</v>
      </c>
      <c r="J24" s="26">
        <f>I24-D24</f>
        <v>-3485.8991999999998</v>
      </c>
      <c r="L24" s="17"/>
      <c r="M24" s="27">
        <v>5.3830999999999998</v>
      </c>
      <c r="N24" s="27">
        <v>0</v>
      </c>
      <c r="O24" s="27">
        <v>-0.2334</v>
      </c>
      <c r="P24" s="27">
        <f>M24+N24+O24</f>
        <v>5.1497000000000002</v>
      </c>
    </row>
    <row r="25" spans="1:18">
      <c r="B25" s="24" t="s">
        <v>17</v>
      </c>
      <c r="C25" s="25">
        <f>SUM(C23:C24)</f>
        <v>9990</v>
      </c>
      <c r="D25" s="26">
        <f>SUM(D23:D24)</f>
        <v>39281</v>
      </c>
      <c r="E25" s="27">
        <f>D25/C25</f>
        <v>3.9320320320320321</v>
      </c>
      <c r="F25" s="17"/>
      <c r="G25" s="25">
        <f>SUM(G23:G24)</f>
        <v>8037</v>
      </c>
      <c r="H25" s="28">
        <f>(C25-G25)/C25</f>
        <v>0.1954954954954955</v>
      </c>
      <c r="J25" s="26">
        <f>J23+J24</f>
        <v>3776.2275999999983</v>
      </c>
      <c r="K25" s="29">
        <f>K21+J25</f>
        <v>25392.574799999908</v>
      </c>
      <c r="L25" s="17"/>
      <c r="M25" s="27"/>
      <c r="N25" s="27"/>
      <c r="O25" s="27"/>
      <c r="P25" s="27"/>
    </row>
    <row r="26" spans="1:18" ht="3" customHeight="1">
      <c r="A26" s="42"/>
      <c r="B26" s="43"/>
      <c r="C26" s="44"/>
      <c r="D26" s="45"/>
      <c r="E26" s="46"/>
      <c r="F26" s="17"/>
      <c r="G26" s="44"/>
      <c r="H26" s="43"/>
      <c r="I26" s="45"/>
      <c r="J26" s="45"/>
      <c r="K26" s="47"/>
      <c r="L26" s="17"/>
      <c r="M26" s="48"/>
      <c r="N26" s="46"/>
      <c r="O26" s="46"/>
      <c r="P26" s="49"/>
    </row>
    <row r="27" spans="1:18">
      <c r="A27" s="23">
        <v>43282</v>
      </c>
      <c r="B27" s="24" t="s">
        <v>13</v>
      </c>
      <c r="C27" s="25">
        <v>8324</v>
      </c>
      <c r="D27" s="26">
        <v>30123</v>
      </c>
      <c r="E27" s="27">
        <f>D27/C27</f>
        <v>3.6188130706391157</v>
      </c>
      <c r="F27" s="17"/>
      <c r="G27" s="25">
        <v>5553</v>
      </c>
      <c r="H27" s="28">
        <f>(C27-G27)/C27</f>
        <v>0.33289283998077845</v>
      </c>
      <c r="I27" s="26">
        <f>G27*P27</f>
        <v>30050.614799999999</v>
      </c>
      <c r="J27" s="26">
        <f>I27-D27</f>
        <v>-72.385200000000623</v>
      </c>
      <c r="L27" s="17"/>
      <c r="M27" s="27">
        <v>5.3830999999999998</v>
      </c>
      <c r="N27" s="27">
        <v>0</v>
      </c>
      <c r="O27" s="27">
        <v>2.8500000000000001E-2</v>
      </c>
      <c r="P27" s="27">
        <f>M27+N27+O27</f>
        <v>5.4116</v>
      </c>
    </row>
    <row r="28" spans="1:18">
      <c r="B28" s="24" t="s">
        <v>15</v>
      </c>
      <c r="C28" s="25">
        <v>1610</v>
      </c>
      <c r="D28" s="26">
        <v>10911</v>
      </c>
      <c r="E28" s="27">
        <f>D28/C28</f>
        <v>6.777018633540373</v>
      </c>
      <c r="F28" s="17"/>
      <c r="G28" s="25">
        <v>1481</v>
      </c>
      <c r="H28" s="28">
        <f>(C28-G28)/C28</f>
        <v>8.0124223602484473E-2</v>
      </c>
      <c r="I28" s="26">
        <f>G28*P28</f>
        <v>7626.7057000000004</v>
      </c>
      <c r="J28" s="26">
        <f>I28-D28</f>
        <v>-3284.2942999999996</v>
      </c>
      <c r="L28" s="17"/>
      <c r="M28" s="27">
        <v>5.3830999999999998</v>
      </c>
      <c r="N28" s="27">
        <v>0</v>
      </c>
      <c r="O28" s="27">
        <v>-0.2334</v>
      </c>
      <c r="P28" s="27">
        <f>M28+N28+O28</f>
        <v>5.1497000000000002</v>
      </c>
    </row>
    <row r="29" spans="1:18">
      <c r="B29" s="24" t="s">
        <v>17</v>
      </c>
      <c r="C29" s="25">
        <f>SUM(C27:C28)</f>
        <v>9934</v>
      </c>
      <c r="D29" s="26">
        <f>SUM(D27:D28)</f>
        <v>41034</v>
      </c>
      <c r="E29" s="27">
        <f>D29/C29</f>
        <v>4.1306623716529094</v>
      </c>
      <c r="F29" s="17"/>
      <c r="G29" s="25">
        <f>SUM(G27:G28)</f>
        <v>7034</v>
      </c>
      <c r="H29" s="28">
        <f>(C29-G29)/C29</f>
        <v>0.29192671632776324</v>
      </c>
      <c r="J29" s="26">
        <f>J27+J28</f>
        <v>-3356.6795000000002</v>
      </c>
      <c r="K29" s="29">
        <f>K25+J29</f>
        <v>22035.895299999909</v>
      </c>
      <c r="L29" s="17"/>
      <c r="M29" s="27"/>
      <c r="N29" s="27"/>
      <c r="O29" s="27"/>
      <c r="P29" s="27"/>
    </row>
    <row r="30" spans="1:18" s="41" customFormat="1" ht="3" customHeight="1">
      <c r="A30" s="32"/>
      <c r="B30" s="33"/>
      <c r="C30" s="34"/>
      <c r="D30" s="35"/>
      <c r="E30" s="36"/>
      <c r="F30" s="37"/>
      <c r="G30" s="34"/>
      <c r="H30" s="33"/>
      <c r="I30" s="35"/>
      <c r="J30" s="35"/>
      <c r="K30" s="38"/>
      <c r="L30" s="37"/>
      <c r="M30" s="39"/>
      <c r="N30" s="36"/>
      <c r="O30" s="36"/>
      <c r="P30" s="40"/>
    </row>
    <row r="31" spans="1:18">
      <c r="A31" s="23">
        <v>43313</v>
      </c>
      <c r="B31" s="24" t="s">
        <v>13</v>
      </c>
      <c r="C31" s="25">
        <v>9466</v>
      </c>
      <c r="D31" s="26">
        <v>29433</v>
      </c>
      <c r="E31" s="27">
        <f>D31/C31</f>
        <v>3.1093386858229453</v>
      </c>
      <c r="F31" s="17"/>
      <c r="G31" s="25">
        <v>7314</v>
      </c>
      <c r="H31" s="28">
        <f>(C31-G31)/C31</f>
        <v>0.22733995351785338</v>
      </c>
      <c r="I31" s="26">
        <f>G31*P31</f>
        <v>42160.090200000006</v>
      </c>
      <c r="J31" s="26">
        <f>I31-D31</f>
        <v>12727.090200000006</v>
      </c>
      <c r="L31" s="17"/>
      <c r="M31" s="27">
        <v>5.6550000000000002</v>
      </c>
      <c r="N31" s="27">
        <v>8.0799999999999997E-2</v>
      </c>
      <c r="O31" s="27">
        <v>2.8500000000000001E-2</v>
      </c>
      <c r="P31" s="27">
        <f>M31+N31+O31</f>
        <v>5.7643000000000004</v>
      </c>
      <c r="R31" s="31" t="s">
        <v>19</v>
      </c>
    </row>
    <row r="32" spans="1:18">
      <c r="B32" s="24" t="s">
        <v>15</v>
      </c>
      <c r="C32" s="25">
        <v>1595</v>
      </c>
      <c r="D32" s="26">
        <v>10463</v>
      </c>
      <c r="E32" s="27">
        <f>D32/C32</f>
        <v>6.5598746081504702</v>
      </c>
      <c r="F32" s="17"/>
      <c r="G32" s="25">
        <v>1404</v>
      </c>
      <c r="H32" s="28">
        <f>(C32-G32)/C32</f>
        <v>0.11974921630094044</v>
      </c>
      <c r="I32" s="26">
        <f>G32*P32</f>
        <v>7725.3696000000009</v>
      </c>
      <c r="J32" s="26">
        <f>I32-D32</f>
        <v>-2737.6303999999991</v>
      </c>
      <c r="L32" s="17"/>
      <c r="M32" s="27">
        <v>5.6550000000000002</v>
      </c>
      <c r="N32" s="27">
        <v>8.0799999999999997E-2</v>
      </c>
      <c r="O32" s="27">
        <v>-0.2334</v>
      </c>
      <c r="P32" s="27">
        <f>M32+N32+O32</f>
        <v>5.5024000000000006</v>
      </c>
      <c r="R32" s="31" t="s">
        <v>20</v>
      </c>
    </row>
    <row r="33" spans="1:23">
      <c r="B33" s="24" t="s">
        <v>17</v>
      </c>
      <c r="C33" s="25">
        <f>SUM(C31:C32)</f>
        <v>11061</v>
      </c>
      <c r="D33" s="26">
        <f>SUM(D31:D32)</f>
        <v>39896</v>
      </c>
      <c r="E33" s="27">
        <f>D33/C33</f>
        <v>3.6069071512521473</v>
      </c>
      <c r="F33" s="17"/>
      <c r="G33" s="25">
        <f>SUM(G31:G32)</f>
        <v>8718</v>
      </c>
      <c r="H33" s="28">
        <f>(C33-G33)/C33</f>
        <v>0.21182533224844047</v>
      </c>
      <c r="J33" s="26">
        <f>J31+J32</f>
        <v>9989.4598000000078</v>
      </c>
      <c r="K33" s="29">
        <f>K29+J33</f>
        <v>32025.355099999917</v>
      </c>
      <c r="L33" s="17"/>
      <c r="M33" s="27"/>
      <c r="N33" s="27"/>
      <c r="O33" s="27"/>
      <c r="P33" s="27"/>
    </row>
    <row r="34" spans="1:23" ht="3" customHeight="1">
      <c r="A34" s="42"/>
      <c r="B34" s="43"/>
      <c r="C34" s="44"/>
      <c r="D34" s="45"/>
      <c r="E34" s="46"/>
      <c r="F34" s="17"/>
      <c r="G34" s="44"/>
      <c r="H34" s="43"/>
      <c r="I34" s="45"/>
      <c r="J34" s="45"/>
      <c r="K34" s="47"/>
      <c r="L34" s="17"/>
      <c r="M34" s="48"/>
      <c r="N34" s="46"/>
      <c r="O34" s="46"/>
      <c r="P34" s="49"/>
    </row>
    <row r="35" spans="1:23">
      <c r="A35" s="23">
        <v>43344</v>
      </c>
      <c r="B35" s="24" t="s">
        <v>13</v>
      </c>
      <c r="C35" s="25">
        <v>9582</v>
      </c>
      <c r="D35" s="26">
        <v>36682</v>
      </c>
      <c r="E35" s="27">
        <f>D35/C35</f>
        <v>3.8282195783761219</v>
      </c>
      <c r="F35" s="17"/>
      <c r="G35" s="25">
        <v>7643</v>
      </c>
      <c r="H35" s="28">
        <f>(C35-G35)/C35</f>
        <v>0.2023585890210812</v>
      </c>
      <c r="I35" s="26">
        <f>G35*P35</f>
        <v>43049.197500000002</v>
      </c>
      <c r="J35" s="26">
        <f>I35-D35</f>
        <v>6367.197500000002</v>
      </c>
      <c r="L35" s="17"/>
      <c r="M35" s="27">
        <v>5.5232000000000001</v>
      </c>
      <c r="N35" s="27">
        <v>8.0799999999999997E-2</v>
      </c>
      <c r="O35" s="27">
        <v>2.8500000000000001E-2</v>
      </c>
      <c r="P35" s="27">
        <f>M35+N35+O35</f>
        <v>5.6325000000000003</v>
      </c>
    </row>
    <row r="36" spans="1:23">
      <c r="B36" s="24" t="s">
        <v>15</v>
      </c>
      <c r="C36" s="25">
        <v>1545</v>
      </c>
      <c r="D36" s="26">
        <v>10228</v>
      </c>
      <c r="E36" s="27">
        <f>D36/C36</f>
        <v>6.6200647249190938</v>
      </c>
      <c r="F36" s="17"/>
      <c r="G36" s="25">
        <v>1541</v>
      </c>
      <c r="H36" s="28">
        <f>(C36-G36)/C36</f>
        <v>2.5889967637540453E-3</v>
      </c>
      <c r="I36" s="26">
        <f>G36*P36</f>
        <v>8276.0946000000004</v>
      </c>
      <c r="J36" s="26">
        <f>I36-D36</f>
        <v>-1951.9053999999996</v>
      </c>
      <c r="L36" s="17"/>
      <c r="M36" s="27">
        <v>5.5232000000000001</v>
      </c>
      <c r="N36" s="27">
        <v>8.0799999999999997E-2</v>
      </c>
      <c r="O36" s="27">
        <v>-0.2334</v>
      </c>
      <c r="P36" s="27">
        <f>M36+N36+O36</f>
        <v>5.3706000000000005</v>
      </c>
    </row>
    <row r="37" spans="1:23">
      <c r="B37" s="24" t="s">
        <v>17</v>
      </c>
      <c r="C37" s="25">
        <f>SUM(C35:C36)</f>
        <v>11127</v>
      </c>
      <c r="D37" s="26">
        <f>SUM(D35:D36)</f>
        <v>46910</v>
      </c>
      <c r="E37" s="27">
        <f>D37/C37</f>
        <v>4.2158713040352298</v>
      </c>
      <c r="F37" s="17"/>
      <c r="G37" s="25">
        <f>SUM(G35:G36)</f>
        <v>9184</v>
      </c>
      <c r="H37" s="28">
        <f>(C37-G37)/C37</f>
        <v>0.17462029298103712</v>
      </c>
      <c r="J37" s="26">
        <f>J35+J36</f>
        <v>4415.2921000000024</v>
      </c>
      <c r="K37" s="29">
        <f>K33+J37</f>
        <v>36440.647199999919</v>
      </c>
      <c r="L37" s="17"/>
      <c r="M37" s="27"/>
      <c r="N37" s="27"/>
      <c r="O37" s="27"/>
      <c r="P37" s="27"/>
    </row>
    <row r="38" spans="1:23" ht="3" customHeight="1">
      <c r="A38" s="42"/>
      <c r="B38" s="43"/>
      <c r="C38" s="44"/>
      <c r="D38" s="45"/>
      <c r="E38" s="46"/>
      <c r="F38" s="17"/>
      <c r="G38" s="44"/>
      <c r="H38" s="43"/>
      <c r="I38" s="45"/>
      <c r="J38" s="45"/>
      <c r="K38" s="47"/>
      <c r="L38" s="17"/>
      <c r="M38" s="48"/>
      <c r="N38" s="46"/>
      <c r="O38" s="46"/>
      <c r="P38" s="49"/>
    </row>
    <row r="39" spans="1:23">
      <c r="A39" s="23">
        <v>43374</v>
      </c>
      <c r="B39" s="24" t="s">
        <v>13</v>
      </c>
      <c r="C39" s="25">
        <v>18112</v>
      </c>
      <c r="D39" s="297">
        <f>81714+4000</f>
        <v>85714</v>
      </c>
      <c r="E39" s="27">
        <f>D39/C39</f>
        <v>4.7324425795053005</v>
      </c>
      <c r="F39" s="17"/>
      <c r="G39" s="25">
        <v>14016</v>
      </c>
      <c r="H39" s="28">
        <f>(C39-G39)/C39</f>
        <v>0.22614840989399293</v>
      </c>
      <c r="I39" s="26">
        <f>G39*P39</f>
        <v>78945.12000000001</v>
      </c>
      <c r="J39" s="26">
        <f>I39-D39</f>
        <v>-6768.8799999999901</v>
      </c>
      <c r="L39" s="17"/>
      <c r="M39" s="27">
        <v>5.5232000000000001</v>
      </c>
      <c r="N39" s="27">
        <v>8.0799999999999997E-2</v>
      </c>
      <c r="O39" s="27">
        <v>2.8500000000000001E-2</v>
      </c>
      <c r="P39" s="27">
        <f>M39+N39+O39</f>
        <v>5.6325000000000003</v>
      </c>
      <c r="R39" s="31" t="s">
        <v>225</v>
      </c>
      <c r="S39" s="50"/>
    </row>
    <row r="40" spans="1:23">
      <c r="B40" s="24" t="s">
        <v>15</v>
      </c>
      <c r="C40" s="25">
        <v>4976</v>
      </c>
      <c r="D40" s="26">
        <v>33269</v>
      </c>
      <c r="E40" s="27">
        <f>D40/C40</f>
        <v>6.685892282958199</v>
      </c>
      <c r="F40" s="17"/>
      <c r="G40" s="25">
        <v>4429</v>
      </c>
      <c r="H40" s="28">
        <f>(C40-G40)/C40</f>
        <v>0.10992765273311897</v>
      </c>
      <c r="I40" s="26">
        <f>G40*P40</f>
        <v>23786.387400000003</v>
      </c>
      <c r="J40" s="26">
        <f>I40-D40</f>
        <v>-9482.6125999999967</v>
      </c>
      <c r="L40" s="17"/>
      <c r="M40" s="27">
        <v>5.5232000000000001</v>
      </c>
      <c r="N40" s="27">
        <v>8.0799999999999997E-2</v>
      </c>
      <c r="O40" s="27">
        <v>-0.2334</v>
      </c>
      <c r="P40" s="27">
        <f>M40+N40+O40</f>
        <v>5.3706000000000005</v>
      </c>
      <c r="S40" s="50"/>
    </row>
    <row r="41" spans="1:23">
      <c r="B41" s="24" t="s">
        <v>17</v>
      </c>
      <c r="C41" s="25">
        <f>SUM(C39:C40)</f>
        <v>23088</v>
      </c>
      <c r="D41" s="26">
        <f>SUM(D39:D40)</f>
        <v>118983</v>
      </c>
      <c r="E41" s="27">
        <f>D41/C41</f>
        <v>5.1534563409563408</v>
      </c>
      <c r="F41" s="17"/>
      <c r="G41" s="25">
        <f>SUM(G39:G40)</f>
        <v>18445</v>
      </c>
      <c r="H41" s="28">
        <f>(C41-G41)/C41</f>
        <v>0.20110013860013859</v>
      </c>
      <c r="J41" s="26">
        <f>J39+J40</f>
        <v>-16251.492599999987</v>
      </c>
      <c r="K41" s="29">
        <f>K37+J41</f>
        <v>20189.154599999933</v>
      </c>
      <c r="L41" s="17"/>
      <c r="M41" s="27"/>
      <c r="N41" s="27"/>
      <c r="O41" s="27"/>
      <c r="P41" s="27"/>
      <c r="S41" s="50"/>
    </row>
    <row r="42" spans="1:23" s="52" customFormat="1">
      <c r="A42" s="23"/>
      <c r="B42" s="24"/>
      <c r="C42" s="25"/>
      <c r="D42" s="26"/>
      <c r="E42" s="27"/>
      <c r="F42" s="17"/>
      <c r="G42" s="25"/>
      <c r="H42" s="28"/>
      <c r="I42" s="26"/>
      <c r="J42" s="26"/>
      <c r="K42" s="29"/>
      <c r="L42" s="17"/>
      <c r="M42" s="24"/>
      <c r="N42" s="24"/>
      <c r="O42" s="51"/>
      <c r="P42" s="51"/>
      <c r="Q42" s="24"/>
      <c r="R42" s="24"/>
      <c r="S42" s="25"/>
    </row>
    <row r="43" spans="1:23" s="52" customFormat="1">
      <c r="A43" s="23"/>
      <c r="B43" s="24"/>
      <c r="C43" s="25"/>
      <c r="D43" s="26"/>
      <c r="E43" s="27"/>
      <c r="F43" s="17"/>
      <c r="G43" s="25"/>
      <c r="H43" s="28"/>
      <c r="I43" s="26"/>
      <c r="K43" s="29"/>
      <c r="L43" s="17"/>
      <c r="O43" s="51"/>
      <c r="P43" s="51"/>
      <c r="Q43" s="24"/>
      <c r="R43" s="31" t="s">
        <v>21</v>
      </c>
      <c r="S43" s="25"/>
      <c r="U43" s="53" t="s">
        <v>120</v>
      </c>
      <c r="V43" s="53" t="s">
        <v>22</v>
      </c>
      <c r="W43" s="54" t="s">
        <v>22</v>
      </c>
    </row>
    <row r="44" spans="1:23" s="52" customFormat="1">
      <c r="A44" s="55" t="s">
        <v>23</v>
      </c>
      <c r="B44" s="56"/>
      <c r="C44" s="56">
        <f t="shared" ref="C44:D46" si="0">SUM(C3,C7,C11,C15,C19,C23,C27,C31,C35,C39)</f>
        <v>231391</v>
      </c>
      <c r="D44" s="57">
        <f t="shared" si="0"/>
        <v>986653</v>
      </c>
      <c r="E44" s="58">
        <f>D44/C44</f>
        <v>4.264007675320129</v>
      </c>
      <c r="F44" s="17"/>
      <c r="G44" s="56">
        <f>SUM(G3,G7,G11,G15,G19,G23,G27,G31,G35,G39)</f>
        <v>210923</v>
      </c>
      <c r="H44" s="59">
        <f>(C44-G44)/C44</f>
        <v>8.8456335812542405E-2</v>
      </c>
      <c r="I44" s="57">
        <f>SUM(I3,I7,I11,I15,I19,I23,I27,I31,I35,I39)</f>
        <v>1149353.9031999998</v>
      </c>
      <c r="K44" s="29"/>
      <c r="L44" s="17"/>
      <c r="O44" s="51"/>
      <c r="P44" s="51"/>
      <c r="Q44" s="24"/>
      <c r="R44" s="31" t="s">
        <v>24</v>
      </c>
      <c r="S44" s="25"/>
      <c r="U44" s="60">
        <f>G44/(1-$R$260)</f>
        <v>228024.86486486485</v>
      </c>
      <c r="V44" s="60">
        <f>C44-U44</f>
        <v>3366.1351351351477</v>
      </c>
      <c r="W44" s="57">
        <f>(V44+V45)*E44</f>
        <v>15678.06476144808</v>
      </c>
    </row>
    <row r="45" spans="1:23" s="52" customFormat="1">
      <c r="A45" s="61"/>
      <c r="B45" s="62" t="s">
        <v>15</v>
      </c>
      <c r="C45" s="56">
        <f t="shared" si="0"/>
        <v>83848</v>
      </c>
      <c r="D45" s="57">
        <f t="shared" si="0"/>
        <v>558294</v>
      </c>
      <c r="E45" s="58">
        <f>D45/C45</f>
        <v>6.6584056864802976</v>
      </c>
      <c r="F45" s="17"/>
      <c r="G45" s="56">
        <f>SUM(G4,G8,G12,G16,G20,G24,G28,G32,G36,G40)</f>
        <v>77272</v>
      </c>
      <c r="H45" s="59">
        <f t="shared" ref="H45:H46" si="1">(C45-G45)/C45</f>
        <v>7.8427630951245109E-2</v>
      </c>
      <c r="I45" s="57">
        <f>SUM(I4,I8,I12,I16,I20,I24,I28,I32,I36,I40)</f>
        <v>415782.25140000001</v>
      </c>
      <c r="K45" s="29"/>
      <c r="L45" s="17"/>
      <c r="O45" s="51"/>
      <c r="P45" s="51"/>
      <c r="Q45" s="24"/>
      <c r="R45" s="63" t="s">
        <v>232</v>
      </c>
      <c r="S45" s="25"/>
      <c r="U45" s="60">
        <f>G45/(1-$R$260)</f>
        <v>83537.297297297293</v>
      </c>
      <c r="V45" s="60">
        <f>C45-U45</f>
        <v>310.70270270270703</v>
      </c>
      <c r="W45" s="57"/>
    </row>
    <row r="46" spans="1:23" s="52" customFormat="1">
      <c r="A46" s="61"/>
      <c r="B46" s="62" t="s">
        <v>17</v>
      </c>
      <c r="C46" s="56">
        <f t="shared" si="0"/>
        <v>315239</v>
      </c>
      <c r="D46" s="57">
        <f t="shared" si="0"/>
        <v>1544947</v>
      </c>
      <c r="E46" s="58">
        <f>D46/C46</f>
        <v>4.9008752089684338</v>
      </c>
      <c r="F46" s="17"/>
      <c r="G46" s="56">
        <f>SUM(G5,G9,G13,G17,G21,G25,G29,G33,G37,G41)</f>
        <v>288195</v>
      </c>
      <c r="H46" s="59">
        <f t="shared" si="1"/>
        <v>8.5788877645215214E-2</v>
      </c>
      <c r="I46" s="57"/>
      <c r="K46" s="29"/>
      <c r="L46" s="17"/>
      <c r="O46" s="51"/>
      <c r="P46" s="51"/>
      <c r="Q46" s="24"/>
      <c r="R46" s="64">
        <f>V46*E46</f>
        <v>18019.723406856712</v>
      </c>
      <c r="S46" s="65" t="s">
        <v>25</v>
      </c>
      <c r="U46" s="60">
        <f>G46/(1-$R$260)</f>
        <v>311562.16216216213</v>
      </c>
      <c r="V46" s="60">
        <f>C46-U46</f>
        <v>3676.8378378378693</v>
      </c>
      <c r="W46" s="57">
        <f>-SUM(W44:W45)</f>
        <v>-15678.06476144808</v>
      </c>
    </row>
    <row r="47" spans="1:23" s="41" customFormat="1" ht="5.45" customHeight="1">
      <c r="A47" s="32"/>
      <c r="B47" s="33"/>
      <c r="C47" s="34"/>
      <c r="D47" s="35"/>
      <c r="E47" s="36"/>
      <c r="F47" s="37"/>
      <c r="G47" s="34"/>
      <c r="H47" s="33"/>
      <c r="I47" s="35"/>
      <c r="J47" s="35"/>
      <c r="K47" s="38"/>
      <c r="L47" s="37"/>
      <c r="M47" s="66"/>
      <c r="N47" s="67"/>
      <c r="O47" s="67"/>
      <c r="P47" s="68"/>
    </row>
    <row r="48" spans="1:23">
      <c r="A48" s="23">
        <v>43405</v>
      </c>
      <c r="B48" s="24" t="s">
        <v>13</v>
      </c>
      <c r="C48" s="25">
        <v>39068</v>
      </c>
      <c r="D48" s="26">
        <v>169340</v>
      </c>
      <c r="E48" s="27">
        <f>D48/C48</f>
        <v>4.3344937032865776</v>
      </c>
      <c r="F48" s="17"/>
      <c r="G48" s="25">
        <v>34861</v>
      </c>
      <c r="H48" s="28">
        <f>(C48-G48)/C48</f>
        <v>0.10768403808743729</v>
      </c>
      <c r="I48" s="26">
        <f>G48*P48</f>
        <v>193537.8137</v>
      </c>
      <c r="J48" s="26">
        <f>I48-D48</f>
        <v>24197.813699999999</v>
      </c>
      <c r="L48" s="17"/>
      <c r="M48" s="27">
        <v>5.6338999999999997</v>
      </c>
      <c r="N48" s="27">
        <v>-0.11070000000000001</v>
      </c>
      <c r="O48" s="27">
        <v>2.8500000000000001E-2</v>
      </c>
      <c r="P48" s="27">
        <f>M48+N48+O48</f>
        <v>5.5517000000000003</v>
      </c>
    </row>
    <row r="49" spans="1:19">
      <c r="B49" s="24" t="s">
        <v>15</v>
      </c>
      <c r="C49" s="25">
        <v>13908</v>
      </c>
      <c r="D49" s="26">
        <v>96435</v>
      </c>
      <c r="E49" s="27">
        <f>D49/C49</f>
        <v>6.9337791199309748</v>
      </c>
      <c r="F49" s="17"/>
      <c r="G49" s="25">
        <v>14377</v>
      </c>
      <c r="H49" s="28">
        <f>(C49-G49)/C49</f>
        <v>-3.3721599079666376E-2</v>
      </c>
      <c r="I49" s="26">
        <f>G49*P49</f>
        <v>76051.454600000012</v>
      </c>
      <c r="J49" s="26">
        <f>I49-D49</f>
        <v>-20383.545399999988</v>
      </c>
      <c r="L49" s="17"/>
      <c r="M49" s="27">
        <v>5.6338999999999997</v>
      </c>
      <c r="N49" s="27">
        <v>-0.11070000000000001</v>
      </c>
      <c r="O49" s="27">
        <v>-0.2334</v>
      </c>
      <c r="P49" s="27">
        <f>M49+N49+O49</f>
        <v>5.2898000000000005</v>
      </c>
    </row>
    <row r="50" spans="1:19">
      <c r="B50" s="24" t="s">
        <v>17</v>
      </c>
      <c r="C50" s="25">
        <f>SUM(C48:C49)</f>
        <v>52976</v>
      </c>
      <c r="D50" s="26">
        <f>SUM(D48:D49)</f>
        <v>265775</v>
      </c>
      <c r="E50" s="27">
        <f>D50/C50</f>
        <v>5.0168944427665361</v>
      </c>
      <c r="F50" s="17"/>
      <c r="G50" s="25">
        <f>SUM(G48:G49)</f>
        <v>49238</v>
      </c>
      <c r="H50" s="28">
        <f>(C50-G50)/C50</f>
        <v>7.0560253699788578E-2</v>
      </c>
      <c r="J50" s="26">
        <f>J48+J49</f>
        <v>3814.2683000000106</v>
      </c>
      <c r="K50" s="29">
        <f>K41+J50</f>
        <v>24003.422899999943</v>
      </c>
      <c r="L50" s="17"/>
      <c r="M50" s="27"/>
      <c r="N50" s="27"/>
      <c r="O50" s="27"/>
      <c r="P50" s="27"/>
    </row>
    <row r="51" spans="1:19" ht="3" customHeight="1">
      <c r="A51" s="42"/>
      <c r="B51" s="43"/>
      <c r="C51" s="44"/>
      <c r="D51" s="45"/>
      <c r="E51" s="46"/>
      <c r="F51" s="17"/>
      <c r="G51" s="44"/>
      <c r="H51" s="43"/>
      <c r="I51" s="45"/>
      <c r="J51" s="45"/>
      <c r="K51" s="47"/>
      <c r="L51" s="17"/>
      <c r="M51" s="48"/>
      <c r="N51" s="46"/>
      <c r="O51" s="46"/>
      <c r="P51" s="49"/>
    </row>
    <row r="52" spans="1:19">
      <c r="A52" s="23">
        <v>43435</v>
      </c>
      <c r="B52" s="24" t="s">
        <v>13</v>
      </c>
      <c r="C52" s="25">
        <v>44532</v>
      </c>
      <c r="D52" s="26">
        <v>286615</v>
      </c>
      <c r="E52" s="27">
        <f>D52/C52</f>
        <v>6.4361582682116234</v>
      </c>
      <c r="F52" s="17"/>
      <c r="G52" s="25">
        <v>46176</v>
      </c>
      <c r="H52" s="28">
        <f>(C52-G52)/C52</f>
        <v>-3.6917272972244675E-2</v>
      </c>
      <c r="I52" s="26">
        <f>G52*P52</f>
        <v>257329.61280000003</v>
      </c>
      <c r="J52" s="26">
        <f>I52-D52</f>
        <v>-29285.387199999968</v>
      </c>
      <c r="L52" s="17"/>
      <c r="M52" s="27">
        <v>5.6550000000000002</v>
      </c>
      <c r="N52" s="27">
        <v>-0.11070000000000001</v>
      </c>
      <c r="O52" s="27">
        <v>2.8500000000000001E-2</v>
      </c>
      <c r="P52" s="27">
        <f>M52+N52+O52</f>
        <v>5.5728000000000009</v>
      </c>
      <c r="R52" s="69"/>
    </row>
    <row r="53" spans="1:19">
      <c r="B53" s="24" t="s">
        <v>15</v>
      </c>
      <c r="C53" s="25">
        <v>18479</v>
      </c>
      <c r="D53" s="26">
        <v>160784</v>
      </c>
      <c r="E53" s="27">
        <f>D53/C53</f>
        <v>8.7009037285567405</v>
      </c>
      <c r="F53" s="17"/>
      <c r="G53" s="25">
        <v>18390</v>
      </c>
      <c r="H53" s="28">
        <f>(C53-G53)/C53</f>
        <v>4.8162779371178095E-3</v>
      </c>
      <c r="I53" s="26">
        <f>G53*P53</f>
        <v>97667.451000000015</v>
      </c>
      <c r="J53" s="26">
        <f>I53-D53</f>
        <v>-63116.548999999985</v>
      </c>
      <c r="L53" s="17"/>
      <c r="M53" s="27">
        <v>5.6550000000000002</v>
      </c>
      <c r="N53" s="27">
        <v>-0.11070000000000001</v>
      </c>
      <c r="O53" s="27">
        <v>-0.2334</v>
      </c>
      <c r="P53" s="27">
        <f>M53+N53+O53</f>
        <v>5.3109000000000011</v>
      </c>
      <c r="R53" s="69"/>
    </row>
    <row r="54" spans="1:19">
      <c r="B54" s="24" t="s">
        <v>17</v>
      </c>
      <c r="C54" s="25">
        <f>SUM(C52:C53)</f>
        <v>63011</v>
      </c>
      <c r="D54" s="26">
        <f>SUM(D52:D53)</f>
        <v>447399</v>
      </c>
      <c r="E54" s="27">
        <f>D54/C54</f>
        <v>7.1003316881179472</v>
      </c>
      <c r="F54" s="17"/>
      <c r="G54" s="25">
        <f>SUM(G52:G53)</f>
        <v>64566</v>
      </c>
      <c r="H54" s="28">
        <f>(C54-G54)/C54</f>
        <v>-2.4678230785101014E-2</v>
      </c>
      <c r="J54" s="26">
        <f>J52+J53</f>
        <v>-92401.936199999953</v>
      </c>
      <c r="K54" s="29">
        <f>K50+J54</f>
        <v>-68398.513300000006</v>
      </c>
      <c r="L54" s="17"/>
      <c r="M54" s="27"/>
      <c r="N54" s="27"/>
      <c r="O54" s="27"/>
      <c r="P54" s="27"/>
      <c r="R54" s="69"/>
      <c r="S54" s="25"/>
    </row>
    <row r="55" spans="1:19" ht="3" customHeight="1">
      <c r="A55" s="42"/>
      <c r="B55" s="43"/>
      <c r="C55" s="44"/>
      <c r="D55" s="45"/>
      <c r="E55" s="46"/>
      <c r="F55" s="17"/>
      <c r="G55" s="44"/>
      <c r="H55" s="43"/>
      <c r="I55" s="45"/>
      <c r="J55" s="45"/>
      <c r="K55" s="47"/>
      <c r="L55" s="17"/>
      <c r="M55" s="48"/>
      <c r="N55" s="46"/>
      <c r="O55" s="46"/>
      <c r="P55" s="49"/>
    </row>
    <row r="56" spans="1:19">
      <c r="A56" s="12">
        <v>43466</v>
      </c>
      <c r="B56" s="13" t="s">
        <v>13</v>
      </c>
      <c r="C56" s="14">
        <v>47794</v>
      </c>
      <c r="D56" s="15">
        <v>288627</v>
      </c>
      <c r="E56" s="16">
        <f>D56/C56</f>
        <v>6.0389797882579401</v>
      </c>
      <c r="F56" s="17"/>
      <c r="G56" s="14">
        <v>45251</v>
      </c>
      <c r="H56" s="18">
        <f>(C56-G56)/C56</f>
        <v>5.320751558773068E-2</v>
      </c>
      <c r="I56" s="15">
        <f>G56*P56</f>
        <v>252174.77280000004</v>
      </c>
      <c r="J56" s="15">
        <f>I56-D56</f>
        <v>-36452.227199999965</v>
      </c>
      <c r="K56" s="19"/>
      <c r="L56" s="17"/>
      <c r="M56" s="16">
        <v>5.6550000000000002</v>
      </c>
      <c r="N56" s="16">
        <v>-0.11070000000000001</v>
      </c>
      <c r="O56" s="16">
        <v>2.8500000000000001E-2</v>
      </c>
      <c r="P56" s="16">
        <f>M56+N56+O56</f>
        <v>5.5728000000000009</v>
      </c>
    </row>
    <row r="57" spans="1:19" ht="14.1" customHeight="1">
      <c r="B57" s="24" t="s">
        <v>15</v>
      </c>
      <c r="C57" s="25">
        <v>23558</v>
      </c>
      <c r="D57" s="26">
        <v>175203</v>
      </c>
      <c r="E57" s="27">
        <f>D57/C57</f>
        <v>7.4370914339078018</v>
      </c>
      <c r="F57" s="17"/>
      <c r="G57" s="25">
        <v>21066</v>
      </c>
      <c r="H57" s="28">
        <f>(C57-G57)/C57</f>
        <v>0.10578147550725868</v>
      </c>
      <c r="I57" s="26">
        <f>G57*P57</f>
        <v>111879.41940000003</v>
      </c>
      <c r="J57" s="26">
        <f>I57-D57</f>
        <v>-63323.580599999972</v>
      </c>
      <c r="L57" s="17"/>
      <c r="M57" s="27">
        <v>5.6550000000000002</v>
      </c>
      <c r="N57" s="27">
        <v>-0.11070000000000001</v>
      </c>
      <c r="O57" s="27">
        <v>-0.2334</v>
      </c>
      <c r="P57" s="27">
        <f>M57+N57+O57</f>
        <v>5.3109000000000011</v>
      </c>
    </row>
    <row r="58" spans="1:19">
      <c r="B58" s="24" t="s">
        <v>17</v>
      </c>
      <c r="C58" s="25">
        <f>SUM(C56:C57)</f>
        <v>71352</v>
      </c>
      <c r="D58" s="26">
        <f>SUM(D56:D57)</f>
        <v>463830</v>
      </c>
      <c r="E58" s="27">
        <f>D58/C58</f>
        <v>6.5005886310124454</v>
      </c>
      <c r="F58" s="17"/>
      <c r="G58" s="25">
        <f>SUM(G56:G57)</f>
        <v>66317</v>
      </c>
      <c r="H58" s="28">
        <f>(C58-G58)/C58</f>
        <v>7.0565646372911767E-2</v>
      </c>
      <c r="J58" s="26">
        <f>J56+J57</f>
        <v>-99775.807799999937</v>
      </c>
      <c r="K58" s="29">
        <f>K54+J58</f>
        <v>-168174.32109999994</v>
      </c>
      <c r="L58" s="17"/>
      <c r="M58" s="27"/>
      <c r="N58" s="27"/>
      <c r="O58" s="27"/>
      <c r="P58" s="27"/>
    </row>
    <row r="59" spans="1:19" s="41" customFormat="1" ht="3" customHeight="1">
      <c r="A59" s="32"/>
      <c r="B59" s="33"/>
      <c r="C59" s="34"/>
      <c r="D59" s="35"/>
      <c r="E59" s="36"/>
      <c r="F59" s="37"/>
      <c r="G59" s="34"/>
      <c r="H59" s="33"/>
      <c r="I59" s="35"/>
      <c r="J59" s="35"/>
      <c r="K59" s="38"/>
      <c r="L59" s="37"/>
      <c r="M59" s="39"/>
      <c r="N59" s="36"/>
      <c r="O59" s="36"/>
      <c r="P59" s="40"/>
    </row>
    <row r="60" spans="1:19" ht="14.1" customHeight="1">
      <c r="A60" s="23">
        <v>43497</v>
      </c>
      <c r="B60" s="24" t="s">
        <v>13</v>
      </c>
      <c r="C60" s="25">
        <v>39964</v>
      </c>
      <c r="D60" s="26">
        <v>173388</v>
      </c>
      <c r="E60" s="27">
        <f>D60/C60</f>
        <v>4.3386047442698432</v>
      </c>
      <c r="F60" s="17"/>
      <c r="G60" s="25">
        <v>39075</v>
      </c>
      <c r="H60" s="28">
        <f>(C60-G60)/C60</f>
        <v>2.2245020518466621E-2</v>
      </c>
      <c r="I60" s="26">
        <f>G60*P60</f>
        <v>220906.60499999998</v>
      </c>
      <c r="J60" s="26">
        <f>I60-D60</f>
        <v>47518.604999999981</v>
      </c>
      <c r="L60" s="17"/>
      <c r="M60" s="27">
        <v>5.8244999999999996</v>
      </c>
      <c r="N60" s="27">
        <v>-0.1996</v>
      </c>
      <c r="O60" s="27">
        <v>2.8500000000000001E-2</v>
      </c>
      <c r="P60" s="27">
        <f>M60+N60+O60</f>
        <v>5.6533999999999995</v>
      </c>
    </row>
    <row r="61" spans="1:19" ht="14.1" customHeight="1">
      <c r="B61" s="24" t="s">
        <v>15</v>
      </c>
      <c r="C61" s="25">
        <v>17208</v>
      </c>
      <c r="D61" s="26">
        <v>115276</v>
      </c>
      <c r="E61" s="27">
        <f>D61/C61</f>
        <v>6.6989772198977215</v>
      </c>
      <c r="F61" s="17"/>
      <c r="G61" s="25">
        <v>17934</v>
      </c>
      <c r="H61" s="28">
        <f>(C61-G61)/C61</f>
        <v>-4.2189679218967921E-2</v>
      </c>
      <c r="I61" s="26">
        <f>G61*P61</f>
        <v>96691.160999999993</v>
      </c>
      <c r="J61" s="26">
        <f>I61-D61</f>
        <v>-18584.839000000007</v>
      </c>
      <c r="L61" s="17"/>
      <c r="M61" s="27">
        <v>5.8244999999999996</v>
      </c>
      <c r="N61" s="27">
        <v>-0.1996</v>
      </c>
      <c r="O61" s="27">
        <v>-0.2334</v>
      </c>
      <c r="P61" s="27">
        <f>M61+N61+O61</f>
        <v>5.3914999999999997</v>
      </c>
    </row>
    <row r="62" spans="1:19">
      <c r="B62" s="24" t="s">
        <v>17</v>
      </c>
      <c r="C62" s="25">
        <f>SUM(C60:C61)</f>
        <v>57172</v>
      </c>
      <c r="D62" s="26">
        <f>SUM(D60:D61)</f>
        <v>288664</v>
      </c>
      <c r="E62" s="27">
        <f>D62/C62</f>
        <v>5.0490449870566012</v>
      </c>
      <c r="F62" s="17"/>
      <c r="G62" s="25">
        <f>SUM(G60:G61)</f>
        <v>57009</v>
      </c>
      <c r="H62" s="28">
        <f>(C62-G62)/C62</f>
        <v>2.8510459665570557E-3</v>
      </c>
      <c r="J62" s="26">
        <f>J60+J61</f>
        <v>28933.765999999974</v>
      </c>
      <c r="K62" s="29">
        <f>K58+J62</f>
        <v>-139240.55509999997</v>
      </c>
      <c r="L62" s="17"/>
      <c r="M62" s="27"/>
      <c r="N62" s="27"/>
      <c r="O62" s="27"/>
      <c r="P62" s="27"/>
    </row>
    <row r="63" spans="1:19" ht="3" customHeight="1">
      <c r="A63" s="42"/>
      <c r="B63" s="43"/>
      <c r="C63" s="44"/>
      <c r="D63" s="45"/>
      <c r="E63" s="46"/>
      <c r="F63" s="17"/>
      <c r="G63" s="44"/>
      <c r="H63" s="43"/>
      <c r="I63" s="45"/>
      <c r="J63" s="45"/>
      <c r="K63" s="47"/>
      <c r="L63" s="17"/>
      <c r="M63" s="48"/>
      <c r="N63" s="46"/>
      <c r="O63" s="46"/>
      <c r="P63" s="49"/>
    </row>
    <row r="64" spans="1:19">
      <c r="A64" s="23">
        <v>43525</v>
      </c>
      <c r="B64" s="24" t="s">
        <v>13</v>
      </c>
      <c r="C64" s="25">
        <v>40449</v>
      </c>
      <c r="D64" s="26">
        <v>178913</v>
      </c>
      <c r="E64" s="27">
        <f>D64/C64</f>
        <v>4.4231748621721181</v>
      </c>
      <c r="F64" s="17"/>
      <c r="G64" s="25">
        <v>38116</v>
      </c>
      <c r="H64" s="28">
        <f>(C64-G64)/C64</f>
        <v>5.7677569284778366E-2</v>
      </c>
      <c r="I64" s="26">
        <f>G64*P64</f>
        <v>215484.9944</v>
      </c>
      <c r="J64" s="26">
        <f>I64-D64</f>
        <v>36571.994399999996</v>
      </c>
      <c r="L64" s="17"/>
      <c r="M64" s="27">
        <v>5.8244999999999996</v>
      </c>
      <c r="N64" s="27">
        <v>-0.1996</v>
      </c>
      <c r="O64" s="27">
        <v>2.8500000000000001E-2</v>
      </c>
      <c r="P64" s="27">
        <f>M64+N64+O64</f>
        <v>5.6533999999999995</v>
      </c>
    </row>
    <row r="65" spans="1:16" ht="14.1" customHeight="1">
      <c r="B65" s="24" t="s">
        <v>15</v>
      </c>
      <c r="C65" s="25">
        <v>16307</v>
      </c>
      <c r="D65" s="26">
        <v>107600</v>
      </c>
      <c r="E65" s="27">
        <f>D65/C65</f>
        <v>6.5983933280186422</v>
      </c>
      <c r="F65" s="17"/>
      <c r="G65" s="25">
        <v>16181</v>
      </c>
      <c r="H65" s="28">
        <f>(C65-G65)/C65</f>
        <v>7.7267431164530567E-3</v>
      </c>
      <c r="I65" s="26">
        <f>G65*P65</f>
        <v>87239.861499999999</v>
      </c>
      <c r="J65" s="26">
        <f>I65-D65</f>
        <v>-20360.138500000001</v>
      </c>
      <c r="L65" s="17"/>
      <c r="M65" s="27">
        <v>5.8244999999999996</v>
      </c>
      <c r="N65" s="27">
        <v>-0.1996</v>
      </c>
      <c r="O65" s="27">
        <v>-0.2334</v>
      </c>
      <c r="P65" s="27">
        <f>M65+N65+O65</f>
        <v>5.3914999999999997</v>
      </c>
    </row>
    <row r="66" spans="1:16">
      <c r="B66" s="24" t="s">
        <v>17</v>
      </c>
      <c r="C66" s="25">
        <f>SUM(C64:C65)</f>
        <v>56756</v>
      </c>
      <c r="D66" s="26">
        <f>SUM(D64:D65)</f>
        <v>286513</v>
      </c>
      <c r="E66" s="27">
        <f>D66/C66</f>
        <v>5.0481534991895129</v>
      </c>
      <c r="F66" s="17"/>
      <c r="G66" s="25">
        <f>SUM(G64:G65)</f>
        <v>54297</v>
      </c>
      <c r="H66" s="28">
        <f>(C66-G66)/C66</f>
        <v>4.3325815772781731E-2</v>
      </c>
      <c r="J66" s="26">
        <f>J64+J65</f>
        <v>16211.855899999995</v>
      </c>
      <c r="K66" s="29">
        <f>K62+J66</f>
        <v>-123028.69919999997</v>
      </c>
      <c r="L66" s="17"/>
      <c r="M66" s="27"/>
      <c r="N66" s="27"/>
      <c r="O66" s="27"/>
      <c r="P66" s="27"/>
    </row>
    <row r="67" spans="1:16" ht="3" customHeight="1">
      <c r="A67" s="42"/>
      <c r="B67" s="43"/>
      <c r="C67" s="44"/>
      <c r="D67" s="45"/>
      <c r="E67" s="46"/>
      <c r="F67" s="17"/>
      <c r="G67" s="44"/>
      <c r="H67" s="43"/>
      <c r="I67" s="45"/>
      <c r="J67" s="45"/>
      <c r="K67" s="47"/>
      <c r="L67" s="17"/>
      <c r="M67" s="48"/>
      <c r="N67" s="46"/>
      <c r="O67" s="46"/>
      <c r="P67" s="49"/>
    </row>
    <row r="68" spans="1:16">
      <c r="A68" s="23">
        <v>43556</v>
      </c>
      <c r="B68" s="24" t="s">
        <v>13</v>
      </c>
      <c r="C68" s="25">
        <v>17950</v>
      </c>
      <c r="D68" s="26">
        <v>63002</v>
      </c>
      <c r="E68" s="27">
        <f>D68/C68</f>
        <v>3.5098607242339832</v>
      </c>
      <c r="F68" s="17"/>
      <c r="G68" s="25">
        <v>18674</v>
      </c>
      <c r="H68" s="28">
        <f>(C68-G68)/C68</f>
        <v>-4.0334261838440112E-2</v>
      </c>
      <c r="I68" s="26">
        <f>G68*P68</f>
        <v>105571.59159999999</v>
      </c>
      <c r="J68" s="26">
        <f>I68-D68</f>
        <v>42569.591599999985</v>
      </c>
      <c r="L68" s="17"/>
      <c r="M68" s="27">
        <v>5.8244999999999996</v>
      </c>
      <c r="N68" s="27">
        <v>-0.1996</v>
      </c>
      <c r="O68" s="27">
        <v>2.8500000000000001E-2</v>
      </c>
      <c r="P68" s="27">
        <f>M68+N68+O68</f>
        <v>5.6533999999999995</v>
      </c>
    </row>
    <row r="69" spans="1:16" ht="14.1" customHeight="1">
      <c r="B69" s="24" t="s">
        <v>15</v>
      </c>
      <c r="C69" s="25">
        <v>6652</v>
      </c>
      <c r="D69" s="26">
        <v>42627</v>
      </c>
      <c r="E69" s="27">
        <f>D69/C69</f>
        <v>6.4081479254359595</v>
      </c>
      <c r="F69" s="17"/>
      <c r="G69" s="25">
        <v>6669</v>
      </c>
      <c r="H69" s="28">
        <f>(C69-G69)/C69</f>
        <v>-2.5556223692122671E-3</v>
      </c>
      <c r="I69" s="26">
        <f>G69*P69</f>
        <v>35955.913499999995</v>
      </c>
      <c r="J69" s="26">
        <f>I69-D69</f>
        <v>-6671.0865000000049</v>
      </c>
      <c r="L69" s="17"/>
      <c r="M69" s="27">
        <v>5.8244999999999996</v>
      </c>
      <c r="N69" s="27">
        <v>-0.1996</v>
      </c>
      <c r="O69" s="27">
        <v>-0.2334</v>
      </c>
      <c r="P69" s="27">
        <f>M69+N69+O69</f>
        <v>5.3914999999999997</v>
      </c>
    </row>
    <row r="70" spans="1:16">
      <c r="B70" s="24" t="s">
        <v>17</v>
      </c>
      <c r="C70" s="25">
        <f>SUM(C68:C69)</f>
        <v>24602</v>
      </c>
      <c r="D70" s="26">
        <f>SUM(D68:D69)</f>
        <v>105629</v>
      </c>
      <c r="E70" s="27">
        <f>D70/C70</f>
        <v>4.2935127225428831</v>
      </c>
      <c r="F70" s="17"/>
      <c r="G70" s="25">
        <f>SUM(G68:G69)</f>
        <v>25343</v>
      </c>
      <c r="H70" s="28">
        <f>(C70-G70)/C70</f>
        <v>-3.0119502479473214E-2</v>
      </c>
      <c r="J70" s="26">
        <f>J68+J69</f>
        <v>35898.50509999998</v>
      </c>
      <c r="K70" s="29">
        <f>K66+J70</f>
        <v>-87130.194099999993</v>
      </c>
      <c r="L70" s="17"/>
      <c r="M70" s="27"/>
      <c r="N70" s="27"/>
      <c r="O70" s="27"/>
      <c r="P70" s="27"/>
    </row>
    <row r="71" spans="1:16" s="41" customFormat="1" ht="3" customHeight="1">
      <c r="A71" s="32"/>
      <c r="B71" s="33"/>
      <c r="C71" s="34"/>
      <c r="D71" s="35"/>
      <c r="E71" s="36"/>
      <c r="F71" s="37"/>
      <c r="G71" s="34"/>
      <c r="H71" s="33"/>
      <c r="I71" s="35"/>
      <c r="J71" s="35"/>
      <c r="K71" s="38"/>
      <c r="L71" s="37"/>
      <c r="M71" s="39"/>
      <c r="N71" s="36"/>
      <c r="O71" s="36"/>
      <c r="P71" s="40"/>
    </row>
    <row r="72" spans="1:16">
      <c r="A72" s="23">
        <v>43586</v>
      </c>
      <c r="B72" s="24" t="s">
        <v>13</v>
      </c>
      <c r="C72" s="25">
        <v>2126</v>
      </c>
      <c r="D72" s="26">
        <v>13196</v>
      </c>
      <c r="E72" s="27">
        <f>D72/C72</f>
        <v>6.2069614299153342</v>
      </c>
      <c r="F72" s="17"/>
      <c r="G72" s="25">
        <v>2450</v>
      </c>
      <c r="H72" s="28">
        <f>(C72-G72)/C72</f>
        <v>-0.1523988711194732</v>
      </c>
      <c r="I72" s="26">
        <f>G72*P72</f>
        <v>13126.119999999999</v>
      </c>
      <c r="J72" s="26">
        <f>I72-D72</f>
        <v>-69.880000000001019</v>
      </c>
      <c r="L72" s="17"/>
      <c r="M72" s="27">
        <v>5.0693000000000001</v>
      </c>
      <c r="N72" s="27">
        <v>0.2883</v>
      </c>
      <c r="O72" s="27"/>
      <c r="P72" s="27">
        <f>M72+N72+O72</f>
        <v>5.3575999999999997</v>
      </c>
    </row>
    <row r="73" spans="1:16" ht="14.1" customHeight="1">
      <c r="B73" s="24" t="s">
        <v>15</v>
      </c>
      <c r="C73" s="25">
        <v>847</v>
      </c>
      <c r="D73" s="26">
        <v>8620</v>
      </c>
      <c r="E73" s="27">
        <f>D73/C73</f>
        <v>10.177095631641086</v>
      </c>
      <c r="F73" s="17"/>
      <c r="G73" s="25">
        <v>849</v>
      </c>
      <c r="H73" s="28">
        <f>(C73-G73)/C73</f>
        <v>-2.3612750885478157E-3</v>
      </c>
      <c r="I73" s="26">
        <f>G73*P72</f>
        <v>4548.6023999999998</v>
      </c>
      <c r="J73" s="26">
        <f>I73-D73</f>
        <v>-4071.3976000000002</v>
      </c>
      <c r="L73" s="17"/>
      <c r="M73" s="27"/>
      <c r="N73" s="27"/>
      <c r="O73" s="27"/>
      <c r="P73" s="27"/>
    </row>
    <row r="74" spans="1:16">
      <c r="B74" s="24" t="s">
        <v>17</v>
      </c>
      <c r="C74" s="25">
        <f>SUM(C72:C73)</f>
        <v>2973</v>
      </c>
      <c r="D74" s="26">
        <f>SUM(D72:D73)</f>
        <v>21816</v>
      </c>
      <c r="E74" s="27">
        <f>D74/C74</f>
        <v>7.3380423814328957</v>
      </c>
      <c r="F74" s="17"/>
      <c r="G74" s="25">
        <f>SUM(G72:G73)</f>
        <v>3299</v>
      </c>
      <c r="H74" s="28">
        <f>(C74-G74)/C74</f>
        <v>-0.1096535486041036</v>
      </c>
      <c r="J74" s="26">
        <f>J72+J73</f>
        <v>-4141.2776000000013</v>
      </c>
      <c r="K74" s="29">
        <f>K70+J74</f>
        <v>-91271.471699999995</v>
      </c>
      <c r="L74" s="17"/>
      <c r="M74" s="27"/>
      <c r="N74" s="27"/>
      <c r="O74" s="27"/>
      <c r="P74" s="27"/>
    </row>
    <row r="75" spans="1:16" ht="3" customHeight="1">
      <c r="A75" s="42"/>
      <c r="B75" s="43"/>
      <c r="C75" s="44"/>
      <c r="D75" s="45"/>
      <c r="E75" s="46"/>
      <c r="F75" s="17"/>
      <c r="G75" s="44"/>
      <c r="H75" s="43"/>
      <c r="I75" s="45"/>
      <c r="J75" s="45"/>
      <c r="K75" s="47"/>
      <c r="L75" s="17"/>
      <c r="M75" s="48"/>
      <c r="N75" s="46"/>
      <c r="O75" s="46"/>
      <c r="P75" s="49"/>
    </row>
    <row r="76" spans="1:16">
      <c r="A76" s="23">
        <v>43617</v>
      </c>
      <c r="B76" s="24" t="s">
        <v>13</v>
      </c>
      <c r="C76" s="25">
        <v>8506</v>
      </c>
      <c r="D76" s="26">
        <v>35088</v>
      </c>
      <c r="E76" s="27">
        <f>D76/C76</f>
        <v>4.1250881730543147</v>
      </c>
      <c r="F76" s="17"/>
      <c r="G76" s="25">
        <v>7004</v>
      </c>
      <c r="H76" s="28">
        <f>(C76-G76)/C76</f>
        <v>0.17658123677404186</v>
      </c>
      <c r="I76" s="26">
        <f>G76*P72</f>
        <v>37524.630399999995</v>
      </c>
      <c r="J76" s="26">
        <f>I76-D76</f>
        <v>2436.6303999999946</v>
      </c>
      <c r="L76" s="17"/>
      <c r="M76" s="27"/>
      <c r="N76" s="27"/>
      <c r="O76" s="27"/>
      <c r="P76" s="27"/>
    </row>
    <row r="77" spans="1:16" ht="14.1" customHeight="1">
      <c r="B77" s="24" t="s">
        <v>15</v>
      </c>
      <c r="C77" s="25">
        <v>1727</v>
      </c>
      <c r="D77" s="26">
        <v>10758</v>
      </c>
      <c r="E77" s="27">
        <f>D77/C77</f>
        <v>6.2292993630573248</v>
      </c>
      <c r="F77" s="17"/>
      <c r="G77" s="25">
        <v>1638</v>
      </c>
      <c r="H77" s="28">
        <f>(C77-G77)/C77</f>
        <v>5.1534452808338162E-2</v>
      </c>
      <c r="I77" s="26">
        <f>G77*P72</f>
        <v>8775.7487999999994</v>
      </c>
      <c r="J77" s="26">
        <f>I77-D77</f>
        <v>-1982.2512000000006</v>
      </c>
      <c r="L77" s="17"/>
      <c r="M77" s="27"/>
      <c r="N77" s="27"/>
      <c r="O77" s="27"/>
      <c r="P77" s="27"/>
    </row>
    <row r="78" spans="1:16">
      <c r="B78" s="24" t="s">
        <v>17</v>
      </c>
      <c r="C78" s="25">
        <f>SUM(C76:C77)</f>
        <v>10233</v>
      </c>
      <c r="D78" s="26">
        <f>SUM(D76:D77)</f>
        <v>45846</v>
      </c>
      <c r="E78" s="27">
        <f>D78/C78</f>
        <v>4.4802110817941951</v>
      </c>
      <c r="F78" s="17"/>
      <c r="G78" s="25">
        <f>SUM(G76:G77)</f>
        <v>8642</v>
      </c>
      <c r="H78" s="28">
        <f>(C78-G78)/C78</f>
        <v>0.15547737711326101</v>
      </c>
      <c r="J78" s="26">
        <f>J76+J77</f>
        <v>454.37919999999394</v>
      </c>
      <c r="K78" s="29">
        <f>K74+J78</f>
        <v>-90817.092499999999</v>
      </c>
      <c r="L78" s="17"/>
      <c r="M78" s="27"/>
      <c r="N78" s="27"/>
      <c r="O78" s="27"/>
      <c r="P78" s="27"/>
    </row>
    <row r="79" spans="1:16" ht="3" customHeight="1">
      <c r="A79" s="42"/>
      <c r="B79" s="43"/>
      <c r="C79" s="44"/>
      <c r="D79" s="45"/>
      <c r="E79" s="46"/>
      <c r="F79" s="17"/>
      <c r="G79" s="44"/>
      <c r="H79" s="43"/>
      <c r="I79" s="45"/>
      <c r="J79" s="45"/>
      <c r="K79" s="47"/>
      <c r="L79" s="17"/>
      <c r="M79" s="48"/>
      <c r="N79" s="46"/>
      <c r="O79" s="46"/>
      <c r="P79" s="49"/>
    </row>
    <row r="80" spans="1:16">
      <c r="A80" s="23">
        <v>43647</v>
      </c>
      <c r="B80" s="24" t="s">
        <v>13</v>
      </c>
      <c r="C80" s="25">
        <v>6826</v>
      </c>
      <c r="D80" s="26">
        <v>37418</v>
      </c>
      <c r="E80" s="27">
        <f>D80/C80</f>
        <v>5.4816876648110169</v>
      </c>
      <c r="F80" s="17"/>
      <c r="G80" s="25">
        <v>5697</v>
      </c>
      <c r="H80" s="28">
        <f>(C80-G80)/C80</f>
        <v>0.16539701142689717</v>
      </c>
      <c r="I80" s="26">
        <f>G80*P72</f>
        <v>30522.247199999998</v>
      </c>
      <c r="J80" s="26">
        <f>I80-D80</f>
        <v>-6895.752800000002</v>
      </c>
      <c r="L80" s="17"/>
      <c r="M80" s="27"/>
      <c r="N80" s="27"/>
      <c r="O80" s="27"/>
      <c r="P80" s="27"/>
    </row>
    <row r="81" spans="1:19" ht="14.1" customHeight="1">
      <c r="B81" s="24" t="s">
        <v>15</v>
      </c>
      <c r="C81" s="25">
        <v>1473</v>
      </c>
      <c r="D81" s="26">
        <v>8632</v>
      </c>
      <c r="E81" s="27">
        <f>D81/C81</f>
        <v>5.8601493550577057</v>
      </c>
      <c r="F81" s="17"/>
      <c r="G81" s="25">
        <v>1461</v>
      </c>
      <c r="H81" s="28">
        <f>(C81-G81)/C81</f>
        <v>8.1466395112016286E-3</v>
      </c>
      <c r="I81" s="26">
        <f>G81*P72</f>
        <v>7827.4535999999998</v>
      </c>
      <c r="J81" s="26">
        <f>I81-D81</f>
        <v>-804.54640000000018</v>
      </c>
      <c r="L81" s="17"/>
      <c r="M81" s="27"/>
      <c r="N81" s="27"/>
      <c r="O81" s="27"/>
      <c r="P81" s="27"/>
    </row>
    <row r="82" spans="1:19">
      <c r="B82" s="24" t="s">
        <v>17</v>
      </c>
      <c r="C82" s="25">
        <f>SUM(C80:C81)</f>
        <v>8299</v>
      </c>
      <c r="D82" s="26">
        <f>SUM(D80:D81)</f>
        <v>46050</v>
      </c>
      <c r="E82" s="27">
        <f>D82/C82</f>
        <v>5.5488613085913965</v>
      </c>
      <c r="F82" s="17"/>
      <c r="G82" s="25">
        <f>SUM(G80:G81)</f>
        <v>7158</v>
      </c>
      <c r="H82" s="28">
        <f>(C82-G82)/C82</f>
        <v>0.13748644414989758</v>
      </c>
      <c r="J82" s="26">
        <f>J80+J81</f>
        <v>-7700.2992000000022</v>
      </c>
      <c r="K82" s="29">
        <f>K78+J82</f>
        <v>-98517.391700000007</v>
      </c>
      <c r="L82" s="17"/>
      <c r="M82" s="27"/>
      <c r="N82" s="27"/>
      <c r="O82" s="27"/>
      <c r="P82" s="27"/>
    </row>
    <row r="83" spans="1:19" s="41" customFormat="1" ht="3" customHeight="1">
      <c r="A83" s="32"/>
      <c r="B83" s="33"/>
      <c r="C83" s="34"/>
      <c r="D83" s="35"/>
      <c r="E83" s="36"/>
      <c r="F83" s="37"/>
      <c r="G83" s="34"/>
      <c r="H83" s="33"/>
      <c r="I83" s="35"/>
      <c r="J83" s="35"/>
      <c r="K83" s="38"/>
      <c r="L83" s="37"/>
      <c r="M83" s="39"/>
      <c r="N83" s="36"/>
      <c r="O83" s="36"/>
      <c r="P83" s="40"/>
    </row>
    <row r="84" spans="1:19">
      <c r="A84" s="23">
        <v>43678</v>
      </c>
      <c r="B84" s="24" t="s">
        <v>13</v>
      </c>
      <c r="C84" s="25">
        <v>7093</v>
      </c>
      <c r="D84" s="26">
        <v>29508</v>
      </c>
      <c r="E84" s="27">
        <f>D84/C84</f>
        <v>4.1601579021570565</v>
      </c>
      <c r="F84" s="17"/>
      <c r="G84" s="25">
        <v>6150</v>
      </c>
      <c r="H84" s="28">
        <f>(C84-G84)/C84</f>
        <v>0.13294797687861271</v>
      </c>
      <c r="I84" s="26">
        <f>G84*P84</f>
        <v>30245.084999999995</v>
      </c>
      <c r="J84" s="26">
        <f>I84-D84</f>
        <v>737.08499999999549</v>
      </c>
      <c r="L84" s="17"/>
      <c r="M84" s="27">
        <v>5.0595999999999997</v>
      </c>
      <c r="N84" s="27">
        <v>-0.14169999999999999</v>
      </c>
      <c r="O84" s="27"/>
      <c r="P84" s="27">
        <f>M84+N84+O84</f>
        <v>4.9178999999999995</v>
      </c>
    </row>
    <row r="85" spans="1:19" ht="14.1" customHeight="1">
      <c r="B85" s="24" t="s">
        <v>15</v>
      </c>
      <c r="C85" s="25">
        <v>1575</v>
      </c>
      <c r="D85" s="26">
        <v>9019</v>
      </c>
      <c r="E85" s="27">
        <f>D85/C85</f>
        <v>5.7263492063492061</v>
      </c>
      <c r="F85" s="17"/>
      <c r="G85" s="25">
        <v>1463</v>
      </c>
      <c r="H85" s="28">
        <f>(C85-G85)/C85</f>
        <v>7.1111111111111111E-2</v>
      </c>
      <c r="I85" s="26">
        <f>G85*P84</f>
        <v>7194.8876999999993</v>
      </c>
      <c r="J85" s="26">
        <f>I85-D85</f>
        <v>-1824.1123000000007</v>
      </c>
      <c r="L85" s="17"/>
      <c r="M85" s="27"/>
      <c r="N85" s="27"/>
      <c r="O85" s="27"/>
      <c r="P85" s="27"/>
    </row>
    <row r="86" spans="1:19">
      <c r="B86" s="24" t="s">
        <v>17</v>
      </c>
      <c r="C86" s="25">
        <f>SUM(C84:C85)</f>
        <v>8668</v>
      </c>
      <c r="D86" s="26">
        <f>SUM(D84:D85)</f>
        <v>38527</v>
      </c>
      <c r="E86" s="27">
        <f>D86/C86</f>
        <v>4.4447392708814029</v>
      </c>
      <c r="F86" s="17"/>
      <c r="G86" s="25">
        <f>SUM(G84:G85)</f>
        <v>7613</v>
      </c>
      <c r="H86" s="28">
        <f>(C86-G86)/C86</f>
        <v>0.12171204430087679</v>
      </c>
      <c r="J86" s="26">
        <f>J84+J85</f>
        <v>-1087.0273000000052</v>
      </c>
      <c r="K86" s="29">
        <f>K82+J86</f>
        <v>-99604.419000000009</v>
      </c>
      <c r="L86" s="17"/>
      <c r="M86" s="27"/>
      <c r="N86" s="27"/>
      <c r="O86" s="27"/>
      <c r="P86" s="27"/>
    </row>
    <row r="87" spans="1:19" ht="3" customHeight="1">
      <c r="A87" s="42"/>
      <c r="B87" s="43"/>
      <c r="C87" s="44"/>
      <c r="D87" s="45"/>
      <c r="E87" s="46"/>
      <c r="F87" s="17"/>
      <c r="G87" s="44"/>
      <c r="H87" s="43"/>
      <c r="I87" s="45"/>
      <c r="J87" s="45"/>
      <c r="K87" s="47"/>
      <c r="L87" s="17"/>
      <c r="M87" s="48"/>
      <c r="N87" s="46"/>
      <c r="O87" s="46"/>
      <c r="P87" s="49"/>
    </row>
    <row r="88" spans="1:19">
      <c r="A88" s="23">
        <v>43709</v>
      </c>
      <c r="B88" s="24" t="s">
        <v>13</v>
      </c>
      <c r="C88" s="25">
        <v>7082</v>
      </c>
      <c r="D88" s="26">
        <v>25580</v>
      </c>
      <c r="E88" s="27">
        <f>D88/C88</f>
        <v>3.6119740186388025</v>
      </c>
      <c r="F88" s="17"/>
      <c r="G88" s="25">
        <v>5890</v>
      </c>
      <c r="H88" s="28">
        <f>(C88-G88)/C88</f>
        <v>0.1683140355831686</v>
      </c>
      <c r="I88" s="26">
        <f>G88*P84</f>
        <v>28966.430999999997</v>
      </c>
      <c r="J88" s="26">
        <f>I88-D88</f>
        <v>3386.4309999999969</v>
      </c>
      <c r="L88" s="17"/>
      <c r="M88" s="27"/>
      <c r="N88" s="27"/>
      <c r="O88" s="27"/>
      <c r="P88" s="27"/>
    </row>
    <row r="89" spans="1:19" ht="14.1" customHeight="1">
      <c r="B89" s="24" t="s">
        <v>15</v>
      </c>
      <c r="C89" s="25">
        <v>1031</v>
      </c>
      <c r="D89" s="26">
        <v>5927</v>
      </c>
      <c r="E89" s="27">
        <f>D89/C89</f>
        <v>5.7487875848690591</v>
      </c>
      <c r="F89" s="17"/>
      <c r="G89" s="25">
        <v>1397</v>
      </c>
      <c r="H89" s="28">
        <f>(C89-G89)/C89</f>
        <v>-0.35499515033947626</v>
      </c>
      <c r="I89" s="26">
        <f>G89*P84</f>
        <v>6870.3062999999993</v>
      </c>
      <c r="J89" s="26">
        <f>I89-D89</f>
        <v>943.30629999999928</v>
      </c>
      <c r="L89" s="17"/>
      <c r="M89" s="27"/>
      <c r="N89" s="27"/>
      <c r="O89" s="27"/>
      <c r="P89" s="27"/>
    </row>
    <row r="90" spans="1:19">
      <c r="B90" s="24" t="s">
        <v>17</v>
      </c>
      <c r="C90" s="25">
        <f>SUM(C88:C89)</f>
        <v>8113</v>
      </c>
      <c r="D90" s="26">
        <f>SUM(D88:D89)</f>
        <v>31507</v>
      </c>
      <c r="E90" s="27">
        <f>D90/C90</f>
        <v>3.8835202761000862</v>
      </c>
      <c r="F90" s="17"/>
      <c r="G90" s="25">
        <f>SUM(G88:G89)</f>
        <v>7287</v>
      </c>
      <c r="H90" s="28">
        <f>(C90-G90)/C90</f>
        <v>0.10181190681622088</v>
      </c>
      <c r="J90" s="26">
        <f>J88+J89</f>
        <v>4329.7372999999961</v>
      </c>
      <c r="K90" s="29">
        <f>K86+J90</f>
        <v>-95274.681700000016</v>
      </c>
      <c r="L90" s="17"/>
      <c r="M90" s="27"/>
      <c r="N90" s="27"/>
      <c r="O90" s="27"/>
      <c r="P90" s="27"/>
    </row>
    <row r="91" spans="1:19" ht="3" customHeight="1">
      <c r="A91" s="42"/>
      <c r="B91" s="43"/>
      <c r="C91" s="44"/>
      <c r="D91" s="45"/>
      <c r="E91" s="46"/>
      <c r="F91" s="17"/>
      <c r="G91" s="44"/>
      <c r="H91" s="43"/>
      <c r="I91" s="45"/>
      <c r="J91" s="45"/>
      <c r="K91" s="47"/>
      <c r="L91" s="17"/>
      <c r="M91" s="48"/>
      <c r="N91" s="46"/>
      <c r="O91" s="46"/>
      <c r="P91" s="49"/>
    </row>
    <row r="92" spans="1:19">
      <c r="A92" s="23">
        <v>43739</v>
      </c>
      <c r="B92" s="24" t="s">
        <v>13</v>
      </c>
      <c r="C92" s="25">
        <v>13453</v>
      </c>
      <c r="D92" s="297">
        <f>41833+5500</f>
        <v>47333</v>
      </c>
      <c r="E92" s="27">
        <f>D92/C92</f>
        <v>3.5183973834832378</v>
      </c>
      <c r="F92" s="17"/>
      <c r="G92" s="25">
        <v>10901</v>
      </c>
      <c r="H92" s="28">
        <f>(C92-G92)/C92</f>
        <v>0.18969746524938674</v>
      </c>
      <c r="I92" s="26">
        <f>G92*P84</f>
        <v>53610.027899999994</v>
      </c>
      <c r="J92" s="26">
        <f>I92-D92</f>
        <v>6277.0278999999937</v>
      </c>
      <c r="L92" s="17"/>
      <c r="M92" s="27"/>
      <c r="N92" s="27"/>
      <c r="O92" s="27"/>
      <c r="P92" s="27"/>
      <c r="R92" s="31" t="s">
        <v>225</v>
      </c>
    </row>
    <row r="93" spans="1:19" ht="14.1" customHeight="1">
      <c r="B93" s="24" t="s">
        <v>15</v>
      </c>
      <c r="C93" s="25">
        <v>4168</v>
      </c>
      <c r="D93" s="26">
        <v>23214</v>
      </c>
      <c r="E93" s="27">
        <f>D93/C93</f>
        <v>5.56957773512476</v>
      </c>
      <c r="F93" s="17"/>
      <c r="G93" s="25">
        <v>3912</v>
      </c>
      <c r="H93" s="28">
        <f>(C93-G93)/C93</f>
        <v>6.1420345489443376E-2</v>
      </c>
      <c r="I93" s="26">
        <f>G93*P84</f>
        <v>19238.824799999999</v>
      </c>
      <c r="J93" s="26">
        <f>I93-D93</f>
        <v>-3975.1752000000015</v>
      </c>
      <c r="L93" s="17"/>
      <c r="M93" s="27"/>
      <c r="N93" s="27"/>
      <c r="O93" s="27"/>
      <c r="P93" s="27"/>
    </row>
    <row r="94" spans="1:19">
      <c r="B94" s="24" t="s">
        <v>17</v>
      </c>
      <c r="C94" s="25">
        <f>SUM(C92:C93)</f>
        <v>17621</v>
      </c>
      <c r="D94" s="26">
        <f>SUM(D92:D93)</f>
        <v>70547</v>
      </c>
      <c r="E94" s="27">
        <f>D94/C94</f>
        <v>4.0035752794960562</v>
      </c>
      <c r="F94" s="17"/>
      <c r="G94" s="25">
        <f>SUM(G92:G93)</f>
        <v>14813</v>
      </c>
      <c r="H94" s="28">
        <f>(C94-G94)/C94</f>
        <v>0.15935531468134612</v>
      </c>
      <c r="J94" s="26">
        <f>J92+J93</f>
        <v>2301.8526999999922</v>
      </c>
      <c r="K94" s="29">
        <f>K90+J94</f>
        <v>-92972.829000000027</v>
      </c>
      <c r="L94" s="17"/>
      <c r="M94" s="53" t="s">
        <v>120</v>
      </c>
      <c r="N94" s="53" t="s">
        <v>22</v>
      </c>
      <c r="O94" s="27"/>
      <c r="P94" s="27"/>
    </row>
    <row r="95" spans="1:19" s="52" customFormat="1" ht="6" customHeight="1">
      <c r="A95" s="23"/>
      <c r="B95" s="24"/>
      <c r="C95" s="25"/>
      <c r="D95" s="26"/>
      <c r="E95" s="27"/>
      <c r="F95" s="17"/>
      <c r="G95" s="25"/>
      <c r="H95" s="28"/>
      <c r="I95" s="26"/>
      <c r="K95" s="29"/>
      <c r="L95" s="17"/>
      <c r="O95" s="51"/>
      <c r="P95" s="51"/>
      <c r="Q95" s="24"/>
      <c r="R95" s="24"/>
      <c r="S95" s="25"/>
    </row>
    <row r="96" spans="1:19">
      <c r="A96" s="55" t="s">
        <v>119</v>
      </c>
      <c r="B96" s="56"/>
      <c r="C96" s="56">
        <f t="shared" ref="C96:D98" si="2">SUM(C48,C52,C56,C60,C64,C68,C72,C76,C80,C84,C88,C92)</f>
        <v>274843</v>
      </c>
      <c r="D96" s="57">
        <f t="shared" si="2"/>
        <v>1348008</v>
      </c>
      <c r="E96" s="58">
        <f>D96/C96</f>
        <v>4.9046473805045059</v>
      </c>
      <c r="F96" s="17"/>
      <c r="G96" s="56">
        <f>SUM(G48,G52,G56,G60,G64,G68,G72,G76,G80,G84,G88,G92)</f>
        <v>260245</v>
      </c>
      <c r="H96" s="59">
        <f>(C96-G96)/C96</f>
        <v>5.3113959606029625E-2</v>
      </c>
      <c r="I96" s="57">
        <f>SUM(I56,I60,I64,I68,I72,I76,I80,I84,I88,I92)</f>
        <v>988132.50529999996</v>
      </c>
      <c r="J96" s="57">
        <f>E96*(N96+N97)</f>
        <v>-65956.637508725908</v>
      </c>
      <c r="K96" s="54" t="s">
        <v>22</v>
      </c>
      <c r="L96" s="17"/>
      <c r="M96" s="60">
        <f>G96/(1-$R$260)</f>
        <v>281345.94594594592</v>
      </c>
      <c r="N96" s="60">
        <f>C96-M96</f>
        <v>-6502.9459459459176</v>
      </c>
      <c r="R96" s="31" t="s">
        <v>205</v>
      </c>
      <c r="S96" s="25"/>
    </row>
    <row r="97" spans="1:19">
      <c r="A97" s="61"/>
      <c r="B97" s="62" t="s">
        <v>15</v>
      </c>
      <c r="C97" s="56">
        <f t="shared" si="2"/>
        <v>106933</v>
      </c>
      <c r="D97" s="57">
        <f t="shared" si="2"/>
        <v>764095</v>
      </c>
      <c r="E97" s="58">
        <f>D97/C97</f>
        <v>7.1455490821355427</v>
      </c>
      <c r="F97" s="17"/>
      <c r="G97" s="56">
        <f>SUM(G49,G53,G57,G61,G65,G69,G73,G77,G81,G85,G89,G93)</f>
        <v>105337</v>
      </c>
      <c r="H97" s="59">
        <f t="shared" ref="H97:H98" si="3">(C97-G97)/C97</f>
        <v>1.4925233557461214E-2</v>
      </c>
      <c r="I97" s="57">
        <f>SUM(I57,I61,I65,I69,I73,I77,I81,I85,I89,I93)</f>
        <v>386222.179</v>
      </c>
      <c r="J97" s="57"/>
      <c r="L97" s="17"/>
      <c r="M97" s="60">
        <f>G97/(1-$R$260)</f>
        <v>113877.83783783783</v>
      </c>
      <c r="N97" s="60">
        <f>C97-M97</f>
        <v>-6944.8378378378256</v>
      </c>
      <c r="R97" s="63" t="s">
        <v>204</v>
      </c>
      <c r="S97" s="25"/>
    </row>
    <row r="98" spans="1:19">
      <c r="A98" s="61"/>
      <c r="B98" s="62" t="s">
        <v>17</v>
      </c>
      <c r="C98" s="56">
        <f t="shared" si="2"/>
        <v>381776</v>
      </c>
      <c r="D98" s="57">
        <f t="shared" si="2"/>
        <v>2112103</v>
      </c>
      <c r="E98" s="58">
        <f>D98/C98</f>
        <v>5.5323095218138381</v>
      </c>
      <c r="F98" s="17"/>
      <c r="G98" s="56">
        <f>SUM(G50,G54,G58,G62,G66,G70,G74,G78,G82,G86,G90,G94)</f>
        <v>365582</v>
      </c>
      <c r="H98" s="59">
        <f t="shared" si="3"/>
        <v>4.2417543271447131E-2</v>
      </c>
      <c r="I98" s="57"/>
      <c r="J98" s="57">
        <v>0</v>
      </c>
      <c r="K98" s="70">
        <f>K94+J98</f>
        <v>-92972.829000000027</v>
      </c>
      <c r="L98" s="17"/>
      <c r="M98" s="60">
        <f>G98/(1-$R$260)</f>
        <v>395223.78378378379</v>
      </c>
      <c r="N98" s="60">
        <f>C98-M98</f>
        <v>-13447.783783783787</v>
      </c>
      <c r="O98" s="27" t="s">
        <v>123</v>
      </c>
      <c r="R98" s="64">
        <f>N98*E98</f>
        <v>-74397.302274320769</v>
      </c>
      <c r="S98" s="65" t="s">
        <v>25</v>
      </c>
    </row>
    <row r="99" spans="1:19" s="41" customFormat="1" ht="5.45" customHeight="1">
      <c r="A99" s="32"/>
      <c r="B99" s="33"/>
      <c r="C99" s="34"/>
      <c r="D99" s="35"/>
      <c r="E99" s="36"/>
      <c r="F99" s="37"/>
      <c r="G99" s="34"/>
      <c r="H99" s="33"/>
      <c r="I99" s="35"/>
      <c r="J99" s="35"/>
      <c r="K99" s="38"/>
      <c r="L99" s="37"/>
      <c r="M99" s="66"/>
      <c r="N99" s="67"/>
      <c r="O99" s="67"/>
      <c r="P99" s="68"/>
    </row>
    <row r="100" spans="1:19">
      <c r="A100" s="23">
        <v>43770</v>
      </c>
      <c r="B100" s="24" t="s">
        <v>13</v>
      </c>
      <c r="C100" s="25">
        <v>37517</v>
      </c>
      <c r="D100" s="26">
        <v>124098</v>
      </c>
      <c r="E100" s="27">
        <f>D100/C100</f>
        <v>3.3077804728523068</v>
      </c>
      <c r="F100" s="17"/>
      <c r="G100" s="25">
        <v>29031</v>
      </c>
      <c r="H100" s="28">
        <f>(C100-G100)/C100</f>
        <v>0.22619079350694352</v>
      </c>
      <c r="I100" s="26">
        <f>G100*P100</f>
        <v>139432.98990000002</v>
      </c>
      <c r="J100" s="26">
        <f>I100-D100</f>
        <v>15334.989900000015</v>
      </c>
      <c r="L100" s="17"/>
      <c r="M100" s="27">
        <v>4.7664</v>
      </c>
      <c r="N100" s="27">
        <v>3.6499999999999998E-2</v>
      </c>
      <c r="O100" s="27"/>
      <c r="P100" s="27">
        <f>M100+N100+O100</f>
        <v>4.8029000000000002</v>
      </c>
    </row>
    <row r="101" spans="1:19" ht="14.1" customHeight="1">
      <c r="B101" s="24" t="s">
        <v>15</v>
      </c>
      <c r="C101" s="25">
        <v>14918</v>
      </c>
      <c r="D101" s="26">
        <v>91294</v>
      </c>
      <c r="E101" s="27">
        <f>D101/C101</f>
        <v>6.119721142244269</v>
      </c>
      <c r="F101" s="17"/>
      <c r="G101" s="25">
        <v>13274</v>
      </c>
      <c r="H101" s="28">
        <f>(C101-G101)/C101</f>
        <v>0.11020244000536265</v>
      </c>
      <c r="I101" s="26">
        <f>G101*P100</f>
        <v>63753.694600000003</v>
      </c>
      <c r="J101" s="26">
        <f>I101-D101</f>
        <v>-27540.305399999997</v>
      </c>
      <c r="L101" s="17"/>
      <c r="M101" s="27"/>
      <c r="N101" s="27"/>
      <c r="O101" s="27"/>
      <c r="P101" s="27"/>
    </row>
    <row r="102" spans="1:19">
      <c r="B102" s="24" t="s">
        <v>17</v>
      </c>
      <c r="C102" s="25">
        <f>SUM(C100:C101)</f>
        <v>52435</v>
      </c>
      <c r="D102" s="26">
        <f>SUM(D100:D101)</f>
        <v>215392</v>
      </c>
      <c r="E102" s="27">
        <f>D102/C102</f>
        <v>4.1077905978830938</v>
      </c>
      <c r="F102" s="17"/>
      <c r="G102" s="25">
        <f>SUM(G100:G101)</f>
        <v>42305</v>
      </c>
      <c r="H102" s="28">
        <f>(C102-G102)/C102</f>
        <v>0.19319157051587679</v>
      </c>
      <c r="J102" s="26">
        <f>J100+J101</f>
        <v>-12205.315499999982</v>
      </c>
      <c r="K102" s="29">
        <f>K98+J102</f>
        <v>-105178.14450000001</v>
      </c>
      <c r="L102" s="17"/>
      <c r="M102" s="27"/>
      <c r="N102" s="27"/>
      <c r="O102" s="27"/>
      <c r="P102" s="27"/>
    </row>
    <row r="103" spans="1:19" ht="3" customHeight="1">
      <c r="A103" s="42"/>
      <c r="B103" s="43"/>
      <c r="C103" s="44"/>
      <c r="D103" s="45"/>
      <c r="E103" s="46"/>
      <c r="F103" s="71"/>
      <c r="G103" s="44"/>
      <c r="H103" s="43"/>
      <c r="I103" s="45"/>
      <c r="J103" s="45"/>
      <c r="K103" s="47"/>
      <c r="L103" s="71"/>
      <c r="M103" s="48"/>
      <c r="N103" s="46"/>
      <c r="O103" s="46"/>
      <c r="P103" s="49"/>
    </row>
    <row r="104" spans="1:19">
      <c r="A104" s="23">
        <v>43800</v>
      </c>
      <c r="B104" s="24" t="s">
        <v>13</v>
      </c>
      <c r="C104" s="25">
        <v>42985</v>
      </c>
      <c r="D104" s="26">
        <v>136704</v>
      </c>
      <c r="E104" s="27">
        <f>D104/C104</f>
        <v>3.1802721879725486</v>
      </c>
      <c r="F104" s="17"/>
      <c r="G104" s="25">
        <v>43235</v>
      </c>
      <c r="H104" s="28">
        <f>(C104-G104)/C104</f>
        <v>-5.8159823194137488E-3</v>
      </c>
      <c r="I104" s="26">
        <f>G104*P100</f>
        <v>207653.38150000002</v>
      </c>
      <c r="J104" s="26">
        <f>I104-D104</f>
        <v>70949.381500000018</v>
      </c>
      <c r="L104" s="17"/>
      <c r="M104" s="27"/>
      <c r="N104" s="27"/>
      <c r="O104" s="27"/>
      <c r="P104" s="27"/>
      <c r="R104" s="69"/>
    </row>
    <row r="105" spans="1:19" ht="14.1" customHeight="1">
      <c r="B105" s="24" t="s">
        <v>15</v>
      </c>
      <c r="C105" s="25">
        <v>18941</v>
      </c>
      <c r="D105" s="26">
        <v>108664</v>
      </c>
      <c r="E105" s="27">
        <f>D105/C105</f>
        <v>5.7369727047146402</v>
      </c>
      <c r="F105" s="17"/>
      <c r="G105" s="25">
        <v>19248</v>
      </c>
      <c r="H105" s="28">
        <f>(C105-G105)/C105</f>
        <v>-1.6208225542473999E-2</v>
      </c>
      <c r="I105" s="26">
        <f>G105*P100</f>
        <v>92446.219200000007</v>
      </c>
      <c r="J105" s="26">
        <f>I105-D105</f>
        <v>-16217.780799999993</v>
      </c>
      <c r="L105" s="17"/>
      <c r="M105" s="27"/>
      <c r="N105" s="27"/>
      <c r="O105" s="27"/>
      <c r="P105" s="27"/>
      <c r="R105" s="69"/>
    </row>
    <row r="106" spans="1:19" s="72" customFormat="1">
      <c r="A106" s="23"/>
      <c r="B106" s="24" t="s">
        <v>17</v>
      </c>
      <c r="C106" s="25">
        <f>SUM(C104:C105)</f>
        <v>61926</v>
      </c>
      <c r="D106" s="26">
        <f>SUM(D104:D105)</f>
        <v>245368</v>
      </c>
      <c r="E106" s="27">
        <f>D106/C106</f>
        <v>3.9622775570842617</v>
      </c>
      <c r="F106" s="17"/>
      <c r="G106" s="25">
        <f>SUM(G104:G105)</f>
        <v>62483</v>
      </c>
      <c r="H106" s="28">
        <f>(C106-G106)/C106</f>
        <v>-8.99460646578174E-3</v>
      </c>
      <c r="I106" s="26"/>
      <c r="J106" s="26">
        <f>J104+J105</f>
        <v>54731.600700000025</v>
      </c>
      <c r="K106" s="29">
        <f>K102+J106</f>
        <v>-50446.543799999985</v>
      </c>
      <c r="L106" s="17"/>
      <c r="M106" s="27"/>
      <c r="N106" s="27"/>
      <c r="O106" s="27"/>
      <c r="P106" s="27"/>
      <c r="Q106" s="24"/>
      <c r="R106" s="69"/>
      <c r="S106" s="25"/>
    </row>
    <row r="107" spans="1:19" ht="3" customHeight="1">
      <c r="A107" s="73"/>
      <c r="B107" s="74"/>
      <c r="C107" s="75"/>
      <c r="D107" s="76"/>
      <c r="E107" s="77"/>
      <c r="F107" s="17"/>
      <c r="G107" s="75"/>
      <c r="H107" s="78"/>
      <c r="I107" s="45"/>
      <c r="J107" s="76"/>
      <c r="K107" s="79"/>
      <c r="L107" s="17"/>
      <c r="M107" s="48"/>
      <c r="N107" s="46"/>
      <c r="O107" s="46"/>
      <c r="P107" s="49"/>
    </row>
    <row r="108" spans="1:19">
      <c r="A108" s="12">
        <v>43831</v>
      </c>
      <c r="B108" s="13" t="s">
        <v>13</v>
      </c>
      <c r="C108" s="14">
        <v>45464</v>
      </c>
      <c r="D108" s="15">
        <v>162157</v>
      </c>
      <c r="E108" s="16">
        <v>3.5667</v>
      </c>
      <c r="F108" s="17"/>
      <c r="G108" s="14">
        <v>42378</v>
      </c>
      <c r="H108" s="18">
        <f>(C108-G108)/C108</f>
        <v>6.7877881400668666E-2</v>
      </c>
      <c r="I108" s="15">
        <f>G108*P100</f>
        <v>203537.29620000001</v>
      </c>
      <c r="J108" s="15">
        <f>I108-D108</f>
        <v>41380.296200000012</v>
      </c>
      <c r="K108" s="19"/>
      <c r="L108" s="17"/>
      <c r="M108" s="16"/>
      <c r="N108" s="16"/>
      <c r="O108" s="16"/>
      <c r="P108" s="16"/>
    </row>
    <row r="109" spans="1:19" ht="14.1" customHeight="1">
      <c r="B109" s="24" t="s">
        <v>15</v>
      </c>
      <c r="C109" s="25">
        <v>20236</v>
      </c>
      <c r="D109" s="26">
        <v>114738</v>
      </c>
      <c r="E109" s="27">
        <f>D109/C109</f>
        <v>5.6699940699743037</v>
      </c>
      <c r="F109" s="17"/>
      <c r="G109" s="25">
        <v>19700</v>
      </c>
      <c r="H109" s="28">
        <f>(C109-G109)/C109</f>
        <v>2.6487448112275155E-2</v>
      </c>
      <c r="I109" s="26">
        <f>G109*P100</f>
        <v>94617.13</v>
      </c>
      <c r="J109" s="26">
        <f>I109-D109</f>
        <v>-20120.869999999995</v>
      </c>
      <c r="L109" s="17"/>
      <c r="M109" s="27"/>
      <c r="N109" s="27"/>
      <c r="O109" s="27"/>
      <c r="P109" s="27"/>
    </row>
    <row r="110" spans="1:19">
      <c r="B110" s="24" t="s">
        <v>17</v>
      </c>
      <c r="C110" s="25">
        <f>SUM(C108:C109)</f>
        <v>65700</v>
      </c>
      <c r="D110" s="26">
        <f>SUM(D108:D109)</f>
        <v>276895</v>
      </c>
      <c r="E110" s="27">
        <f>D110/C110</f>
        <v>4.2145357686453577</v>
      </c>
      <c r="F110" s="17"/>
      <c r="G110" s="25">
        <f>SUM(G108:G109)</f>
        <v>62078</v>
      </c>
      <c r="H110" s="28">
        <f>(C110-G110)/C110</f>
        <v>5.512937595129376E-2</v>
      </c>
      <c r="J110" s="26">
        <f>J108+J109</f>
        <v>21259.426200000016</v>
      </c>
      <c r="K110" s="29">
        <f>K106+J110</f>
        <v>-29187.117599999969</v>
      </c>
      <c r="L110" s="17"/>
      <c r="M110" s="27"/>
      <c r="N110" s="27"/>
      <c r="O110" s="27"/>
      <c r="P110" s="27"/>
    </row>
    <row r="111" spans="1:19" s="41" customFormat="1" ht="3" customHeight="1">
      <c r="A111" s="32"/>
      <c r="B111" s="33"/>
      <c r="C111" s="34"/>
      <c r="D111" s="35"/>
      <c r="E111" s="36"/>
      <c r="F111" s="37"/>
      <c r="G111" s="34"/>
      <c r="H111" s="33"/>
      <c r="I111" s="35"/>
      <c r="J111" s="35"/>
      <c r="K111" s="38"/>
      <c r="L111" s="37"/>
      <c r="M111" s="39"/>
      <c r="N111" s="36"/>
      <c r="O111" s="36"/>
      <c r="P111" s="40"/>
    </row>
    <row r="112" spans="1:19">
      <c r="A112" s="23">
        <v>43862</v>
      </c>
      <c r="B112" s="24" t="s">
        <v>13</v>
      </c>
      <c r="C112" s="25">
        <v>43784</v>
      </c>
      <c r="D112" s="26">
        <v>124549</v>
      </c>
      <c r="E112" s="27">
        <f>D112/C112</f>
        <v>2.8446236067970037</v>
      </c>
      <c r="F112" s="17"/>
      <c r="G112" s="25">
        <v>38041</v>
      </c>
      <c r="H112" s="28">
        <f>(C112-G112)/C112</f>
        <v>0.13116663621414215</v>
      </c>
      <c r="I112" s="26">
        <f>G112*P112</f>
        <v>171971.94869999998</v>
      </c>
      <c r="J112" s="26">
        <f>I112-D112</f>
        <v>47422.948699999979</v>
      </c>
      <c r="L112" s="17"/>
      <c r="M112" s="27">
        <v>4.4863999999999997</v>
      </c>
      <c r="N112" s="27">
        <v>3.4299999999999997E-2</v>
      </c>
      <c r="O112" s="27"/>
      <c r="P112" s="27">
        <f>M112+N112+O112</f>
        <v>4.5206999999999997</v>
      </c>
    </row>
    <row r="113" spans="1:18" ht="14.1" customHeight="1">
      <c r="B113" s="24" t="s">
        <v>15</v>
      </c>
      <c r="C113" s="25">
        <v>18969</v>
      </c>
      <c r="D113" s="26">
        <v>101404</v>
      </c>
      <c r="E113" s="27">
        <f>D113/C113</f>
        <v>5.3457746850123886</v>
      </c>
      <c r="F113" s="17"/>
      <c r="G113" s="25">
        <v>18892</v>
      </c>
      <c r="H113" s="28">
        <f>(C113-G113)/C113</f>
        <v>4.0592545732510942E-3</v>
      </c>
      <c r="I113" s="26">
        <f>G113*P112</f>
        <v>85405.064399999988</v>
      </c>
      <c r="J113" s="26">
        <f>I113-D113</f>
        <v>-15998.935600000012</v>
      </c>
      <c r="L113" s="17"/>
      <c r="M113" s="27"/>
      <c r="N113" s="27"/>
      <c r="O113" s="27"/>
      <c r="P113" s="27"/>
    </row>
    <row r="114" spans="1:18">
      <c r="B114" s="24" t="s">
        <v>17</v>
      </c>
      <c r="C114" s="25">
        <f>SUM(C112:C113)</f>
        <v>62753</v>
      </c>
      <c r="D114" s="26">
        <f>SUM(D112:D113)</f>
        <v>225953</v>
      </c>
      <c r="E114" s="27">
        <f>D114/C114</f>
        <v>3.6006724778098258</v>
      </c>
      <c r="F114" s="17"/>
      <c r="G114" s="25">
        <f>SUM(G112:G113)</f>
        <v>56933</v>
      </c>
      <c r="H114" s="28">
        <f>(C114-G114)/C114</f>
        <v>9.2744569980718047E-2</v>
      </c>
      <c r="J114" s="26">
        <f>J112+J113</f>
        <v>31424.013099999967</v>
      </c>
      <c r="K114" s="29">
        <f>K110+J114</f>
        <v>2236.8954999999987</v>
      </c>
      <c r="L114" s="17"/>
      <c r="M114" s="27"/>
      <c r="N114" s="27"/>
      <c r="O114" s="27"/>
      <c r="P114" s="27"/>
    </row>
    <row r="115" spans="1:18" ht="3" customHeight="1">
      <c r="A115" s="42"/>
      <c r="B115" s="43"/>
      <c r="C115" s="44"/>
      <c r="D115" s="45"/>
      <c r="E115" s="46"/>
      <c r="F115" s="71"/>
      <c r="G115" s="44"/>
      <c r="H115" s="43"/>
      <c r="I115" s="45"/>
      <c r="J115" s="45"/>
      <c r="K115" s="47"/>
      <c r="L115" s="71"/>
      <c r="M115" s="48"/>
      <c r="N115" s="46"/>
      <c r="O115" s="46"/>
      <c r="P115" s="49"/>
    </row>
    <row r="116" spans="1:18">
      <c r="A116" s="23">
        <v>43891</v>
      </c>
      <c r="B116" s="24" t="s">
        <v>13</v>
      </c>
      <c r="C116" s="25">
        <v>28890</v>
      </c>
      <c r="D116" s="26">
        <v>95845</v>
      </c>
      <c r="E116" s="27">
        <f>D116/C116</f>
        <v>3.3175839390792663</v>
      </c>
      <c r="F116" s="17"/>
      <c r="G116" s="25">
        <v>28863</v>
      </c>
      <c r="H116" s="28">
        <f>(C116-G116)/C116</f>
        <v>9.3457943925233649E-4</v>
      </c>
      <c r="I116" s="26">
        <f>G116*P112</f>
        <v>130480.9641</v>
      </c>
      <c r="J116" s="26">
        <f>I116-D116</f>
        <v>34635.964099999997</v>
      </c>
      <c r="L116" s="17"/>
      <c r="M116" s="27"/>
      <c r="N116" s="27"/>
      <c r="O116" s="27"/>
      <c r="P116" s="27"/>
    </row>
    <row r="117" spans="1:18" ht="14.1" customHeight="1">
      <c r="B117" s="24" t="s">
        <v>15</v>
      </c>
      <c r="C117" s="25">
        <v>14733</v>
      </c>
      <c r="D117" s="26">
        <v>79088</v>
      </c>
      <c r="E117" s="27">
        <f>D117/C117</f>
        <v>5.3680852507975292</v>
      </c>
      <c r="F117" s="17"/>
      <c r="G117" s="25">
        <v>13405</v>
      </c>
      <c r="H117" s="28">
        <f>(C117-G117)/C117</f>
        <v>9.0137785922758437E-2</v>
      </c>
      <c r="I117" s="26">
        <f>G117*P112</f>
        <v>60599.983499999995</v>
      </c>
      <c r="J117" s="26">
        <f>I117-D117</f>
        <v>-18488.016500000005</v>
      </c>
      <c r="L117" s="17"/>
      <c r="M117" s="27"/>
      <c r="N117" s="27"/>
      <c r="O117" s="27"/>
      <c r="P117" s="27"/>
    </row>
    <row r="118" spans="1:18">
      <c r="B118" s="24" t="s">
        <v>17</v>
      </c>
      <c r="C118" s="25">
        <f>SUM(C116:C117)</f>
        <v>43623</v>
      </c>
      <c r="D118" s="26">
        <f>SUM(D116:D117)</f>
        <v>174933</v>
      </c>
      <c r="E118" s="27">
        <f>D118/C118</f>
        <v>4.0101093459872086</v>
      </c>
      <c r="F118" s="17"/>
      <c r="G118" s="25">
        <f>SUM(G116:G117)</f>
        <v>42268</v>
      </c>
      <c r="H118" s="28">
        <f>(C118-G118)/C118</f>
        <v>3.1061595947092131E-2</v>
      </c>
      <c r="J118" s="26">
        <f>J116+J117</f>
        <v>16147.947599999992</v>
      </c>
      <c r="K118" s="29">
        <f>K114+J118</f>
        <v>18384.843099999991</v>
      </c>
      <c r="L118" s="17"/>
      <c r="M118" s="27"/>
      <c r="N118" s="27"/>
      <c r="O118" s="27"/>
      <c r="P118" s="27"/>
    </row>
    <row r="119" spans="1:18" ht="3" customHeight="1">
      <c r="A119" s="42"/>
      <c r="B119" s="43"/>
      <c r="C119" s="44"/>
      <c r="D119" s="45"/>
      <c r="E119" s="46"/>
      <c r="F119" s="71"/>
      <c r="G119" s="44"/>
      <c r="H119" s="43"/>
      <c r="I119" s="45"/>
      <c r="J119" s="45"/>
      <c r="K119" s="47"/>
      <c r="L119" s="71"/>
      <c r="M119" s="48"/>
      <c r="N119" s="46"/>
      <c r="O119" s="46"/>
      <c r="P119" s="49"/>
    </row>
    <row r="120" spans="1:18">
      <c r="A120" s="23">
        <v>43922</v>
      </c>
      <c r="B120" s="24" t="s">
        <v>13</v>
      </c>
      <c r="C120" s="25">
        <v>23069</v>
      </c>
      <c r="D120" s="26">
        <v>62790</v>
      </c>
      <c r="E120" s="27">
        <f>D120/C120</f>
        <v>2.7218344965104686</v>
      </c>
      <c r="F120" s="17"/>
      <c r="G120" s="25">
        <v>19246</v>
      </c>
      <c r="H120" s="28">
        <f>(C120-G120)/C120</f>
        <v>0.16572023061251029</v>
      </c>
      <c r="I120" s="26">
        <f>G120*P112</f>
        <v>87005.392199999987</v>
      </c>
      <c r="J120" s="26">
        <f>I120-D120</f>
        <v>24215.392199999987</v>
      </c>
      <c r="L120" s="17"/>
      <c r="M120" s="27"/>
      <c r="N120" s="27"/>
      <c r="O120" s="27"/>
      <c r="P120" s="27"/>
      <c r="R120" s="69"/>
    </row>
    <row r="121" spans="1:18" ht="14.1" customHeight="1">
      <c r="B121" s="24" t="s">
        <v>15</v>
      </c>
      <c r="C121" s="25">
        <v>8076</v>
      </c>
      <c r="D121" s="26">
        <v>41456</v>
      </c>
      <c r="E121" s="27">
        <f>D121/C121</f>
        <v>5.1332342743932644</v>
      </c>
      <c r="F121" s="17"/>
      <c r="G121" s="25">
        <v>8609</v>
      </c>
      <c r="H121" s="28">
        <f>(C121-G121)/C121</f>
        <v>-6.5998018821198615E-2</v>
      </c>
      <c r="I121" s="26">
        <f>G121*P112</f>
        <v>38918.706299999998</v>
      </c>
      <c r="J121" s="26">
        <f>I121-D121</f>
        <v>-2537.293700000002</v>
      </c>
      <c r="L121" s="17"/>
      <c r="M121" s="27"/>
      <c r="N121" s="27"/>
      <c r="O121" s="27"/>
      <c r="P121" s="27"/>
      <c r="R121" s="69"/>
    </row>
    <row r="122" spans="1:18">
      <c r="B122" s="24" t="s">
        <v>17</v>
      </c>
      <c r="C122" s="25">
        <f>SUM(C120:C121)</f>
        <v>31145</v>
      </c>
      <c r="D122" s="26">
        <f>SUM(D120:D121)</f>
        <v>104246</v>
      </c>
      <c r="E122" s="27">
        <f>D122/C122</f>
        <v>3.3471183175469577</v>
      </c>
      <c r="F122" s="17"/>
      <c r="G122" s="25">
        <f>SUM(G120:G121)</f>
        <v>27855</v>
      </c>
      <c r="H122" s="28">
        <f>(C122-G122)/C122</f>
        <v>0.10563493337614384</v>
      </c>
      <c r="J122" s="26">
        <f>J120+J121</f>
        <v>21678.098499999986</v>
      </c>
      <c r="K122" s="29">
        <f>K118+J122</f>
        <v>40062.941599999976</v>
      </c>
      <c r="L122" s="17"/>
      <c r="M122" s="27"/>
      <c r="N122" s="27"/>
      <c r="O122" s="27"/>
      <c r="P122" s="27"/>
      <c r="R122" s="69"/>
    </row>
    <row r="123" spans="1:18" ht="3" customHeight="1">
      <c r="A123" s="42"/>
      <c r="B123" s="43"/>
      <c r="C123" s="44"/>
      <c r="D123" s="45"/>
      <c r="E123" s="46"/>
      <c r="F123" s="71"/>
      <c r="G123" s="44"/>
      <c r="H123" s="43"/>
      <c r="I123" s="45"/>
      <c r="J123" s="45"/>
      <c r="K123" s="47"/>
      <c r="L123" s="71"/>
      <c r="M123" s="48"/>
      <c r="N123" s="46"/>
      <c r="O123" s="46"/>
      <c r="P123" s="49"/>
    </row>
    <row r="124" spans="1:18">
      <c r="A124" s="23">
        <v>43952</v>
      </c>
      <c r="B124" s="24" t="s">
        <v>13</v>
      </c>
      <c r="C124" s="25">
        <v>16487</v>
      </c>
      <c r="D124" s="26">
        <v>47074</v>
      </c>
      <c r="E124" s="27">
        <f>D124/C124</f>
        <v>2.8552192636622795</v>
      </c>
      <c r="F124" s="17"/>
      <c r="G124" s="25">
        <v>14604</v>
      </c>
      <c r="H124" s="28">
        <f>(C124-G124)/C124</f>
        <v>0.11421119670043064</v>
      </c>
      <c r="I124" s="26">
        <f>G124*P112</f>
        <v>66020.30279999999</v>
      </c>
      <c r="J124" s="26">
        <f>I124-D124</f>
        <v>18946.30279999999</v>
      </c>
      <c r="L124" s="17"/>
      <c r="M124" s="27"/>
      <c r="N124" s="27"/>
      <c r="O124" s="27"/>
      <c r="P124" s="27"/>
    </row>
    <row r="125" spans="1:18" ht="14.1" customHeight="1">
      <c r="B125" s="24" t="s">
        <v>15</v>
      </c>
      <c r="C125" s="25">
        <v>5041</v>
      </c>
      <c r="D125" s="26">
        <v>27286</v>
      </c>
      <c r="E125" s="27">
        <f>D125/C125</f>
        <v>5.4128149176750648</v>
      </c>
      <c r="F125" s="17"/>
      <c r="G125" s="25">
        <v>5167</v>
      </c>
      <c r="H125" s="28">
        <f>(C125-G125)/C125</f>
        <v>-2.4995040666534418E-2</v>
      </c>
      <c r="I125" s="26">
        <f>G125*P112</f>
        <v>23358.456899999997</v>
      </c>
      <c r="J125" s="26">
        <f>I125-D125</f>
        <v>-3927.5431000000026</v>
      </c>
      <c r="L125" s="17"/>
      <c r="M125" s="27"/>
      <c r="N125" s="27"/>
      <c r="O125" s="27"/>
      <c r="P125" s="27"/>
    </row>
    <row r="126" spans="1:18" ht="12" customHeight="1">
      <c r="B126" s="24" t="s">
        <v>26</v>
      </c>
      <c r="C126" s="25">
        <v>161</v>
      </c>
      <c r="D126" s="26">
        <v>871</v>
      </c>
      <c r="E126" s="27">
        <f>D126/C126</f>
        <v>5.4099378881987574</v>
      </c>
      <c r="F126" s="17"/>
      <c r="G126" s="25">
        <v>122</v>
      </c>
      <c r="H126" s="28">
        <f>(C126-G126)/C126</f>
        <v>0.24223602484472051</v>
      </c>
      <c r="I126" s="26">
        <f>G126*P126</f>
        <v>634.4</v>
      </c>
      <c r="J126" s="26">
        <f>I126-D126</f>
        <v>-236.60000000000002</v>
      </c>
      <c r="L126" s="17"/>
      <c r="M126" s="329" t="s">
        <v>124</v>
      </c>
      <c r="N126" s="330"/>
      <c r="O126" s="330"/>
      <c r="P126" s="27">
        <v>5.2</v>
      </c>
    </row>
    <row r="127" spans="1:18">
      <c r="B127" s="24" t="s">
        <v>17</v>
      </c>
      <c r="C127" s="25">
        <f>SUM(C124:C126)</f>
        <v>21689</v>
      </c>
      <c r="D127" s="26">
        <f>SUM(D124:D126)</f>
        <v>75231</v>
      </c>
      <c r="E127" s="27">
        <f>D127/C127</f>
        <v>3.4686246484393011</v>
      </c>
      <c r="F127" s="17"/>
      <c r="G127" s="25">
        <f>SUM(G124:G126)</f>
        <v>19893</v>
      </c>
      <c r="H127" s="28">
        <f>(C127-G127)/C127</f>
        <v>8.280695283323343E-2</v>
      </c>
      <c r="J127" s="26">
        <f>J124+J125+J126</f>
        <v>14782.159699999987</v>
      </c>
      <c r="K127" s="29">
        <f>K122+J127</f>
        <v>54845.101299999966</v>
      </c>
      <c r="L127" s="17"/>
      <c r="M127" s="27"/>
      <c r="N127" s="27"/>
      <c r="O127" s="27"/>
      <c r="P127" s="27"/>
    </row>
    <row r="128" spans="1:18" ht="3" customHeight="1">
      <c r="A128" s="42"/>
      <c r="B128" s="43"/>
      <c r="C128" s="44"/>
      <c r="D128" s="45"/>
      <c r="E128" s="46"/>
      <c r="F128" s="71"/>
      <c r="G128" s="44"/>
      <c r="H128" s="43"/>
      <c r="I128" s="45"/>
      <c r="J128" s="45"/>
      <c r="K128" s="47"/>
      <c r="L128" s="71"/>
      <c r="M128" s="48"/>
      <c r="N128" s="46"/>
      <c r="O128" s="46"/>
      <c r="P128" s="49"/>
    </row>
    <row r="129" spans="1:16">
      <c r="A129" s="23">
        <v>43983</v>
      </c>
      <c r="B129" s="24" t="s">
        <v>13</v>
      </c>
      <c r="C129" s="25">
        <v>9003</v>
      </c>
      <c r="D129" s="26">
        <v>30400</v>
      </c>
      <c r="E129" s="27">
        <f>D129/C129</f>
        <v>3.3766522270354327</v>
      </c>
      <c r="F129" s="17"/>
      <c r="G129" s="25">
        <v>6931</v>
      </c>
      <c r="H129" s="28">
        <f>(C129-G129)/C129</f>
        <v>0.2301455070532045</v>
      </c>
      <c r="I129" s="26">
        <f>G129*P112</f>
        <v>31332.971699999998</v>
      </c>
      <c r="J129" s="26">
        <f>I129-D129</f>
        <v>932.97169999999824</v>
      </c>
      <c r="L129" s="17"/>
      <c r="M129" s="27"/>
      <c r="N129" s="27"/>
      <c r="O129" s="27"/>
      <c r="P129" s="27"/>
    </row>
    <row r="130" spans="1:16" ht="14.1" customHeight="1">
      <c r="B130" s="24" t="s">
        <v>15</v>
      </c>
      <c r="C130" s="25">
        <v>2540</v>
      </c>
      <c r="D130" s="26">
        <v>13408</v>
      </c>
      <c r="E130" s="27">
        <f>D130/C130</f>
        <v>5.278740157480315</v>
      </c>
      <c r="F130" s="17"/>
      <c r="G130" s="25">
        <v>1880</v>
      </c>
      <c r="H130" s="28">
        <f>(C130-G130)/C130</f>
        <v>0.25984251968503935</v>
      </c>
      <c r="I130" s="26">
        <f>G130*P112</f>
        <v>8498.9159999999993</v>
      </c>
      <c r="J130" s="26">
        <f>I130-D130</f>
        <v>-4909.0840000000007</v>
      </c>
      <c r="L130" s="17"/>
      <c r="M130" s="27"/>
      <c r="N130" s="27"/>
      <c r="O130" s="27"/>
      <c r="P130" s="27"/>
    </row>
    <row r="131" spans="1:16" ht="12" customHeight="1">
      <c r="B131" s="24" t="s">
        <v>26</v>
      </c>
      <c r="C131" s="25">
        <v>35</v>
      </c>
      <c r="D131" s="26">
        <v>185</v>
      </c>
      <c r="E131" s="27">
        <f>D131/C131</f>
        <v>5.2857142857142856</v>
      </c>
      <c r="F131" s="17"/>
      <c r="G131" s="25">
        <v>11</v>
      </c>
      <c r="H131" s="28">
        <f>(C131-G131)/C131</f>
        <v>0.68571428571428572</v>
      </c>
      <c r="I131" s="26">
        <f>G131*P131</f>
        <v>57.2</v>
      </c>
      <c r="J131" s="26">
        <f>I131-D131</f>
        <v>-127.8</v>
      </c>
      <c r="L131" s="17"/>
      <c r="M131" s="329" t="s">
        <v>124</v>
      </c>
      <c r="N131" s="330"/>
      <c r="O131" s="330"/>
      <c r="P131" s="27">
        <v>5.2</v>
      </c>
    </row>
    <row r="132" spans="1:16">
      <c r="B132" s="24" t="s">
        <v>17</v>
      </c>
      <c r="C132" s="25">
        <f>SUM(C129:C131)</f>
        <v>11578</v>
      </c>
      <c r="D132" s="25">
        <f>SUM(D129:D131)</f>
        <v>43993</v>
      </c>
      <c r="E132" s="27">
        <f>D132/C132</f>
        <v>3.7997063396096045</v>
      </c>
      <c r="F132" s="17"/>
      <c r="G132" s="25">
        <f>SUM(G129:G131)</f>
        <v>8822</v>
      </c>
      <c r="H132" s="28">
        <f>(C132-G132)/C132</f>
        <v>0.23803765762653309</v>
      </c>
      <c r="J132" s="80">
        <f>SUM(J129:J131)</f>
        <v>-4103.9123000000027</v>
      </c>
      <c r="K132" s="29">
        <f>K127+J132</f>
        <v>50741.188999999962</v>
      </c>
      <c r="L132" s="17"/>
      <c r="M132" s="27"/>
      <c r="N132" s="27"/>
      <c r="O132" s="27"/>
      <c r="P132" s="27"/>
    </row>
    <row r="133" spans="1:16" ht="3" customHeight="1">
      <c r="A133" s="42"/>
      <c r="B133" s="43"/>
      <c r="C133" s="44"/>
      <c r="D133" s="45"/>
      <c r="E133" s="46"/>
      <c r="F133" s="17"/>
      <c r="G133" s="44"/>
      <c r="H133" s="43"/>
      <c r="I133" s="45"/>
      <c r="J133" s="45"/>
      <c r="K133" s="47"/>
      <c r="L133" s="17"/>
      <c r="M133" s="48"/>
      <c r="N133" s="46"/>
      <c r="O133" s="46"/>
      <c r="P133" s="49"/>
    </row>
    <row r="134" spans="1:16">
      <c r="A134" s="23">
        <v>44013</v>
      </c>
      <c r="B134" s="24" t="s">
        <v>13</v>
      </c>
      <c r="C134" s="25">
        <v>7026</v>
      </c>
      <c r="D134" s="26">
        <v>20947</v>
      </c>
      <c r="E134" s="27">
        <f>D134/C134</f>
        <v>2.9813549672644464</v>
      </c>
      <c r="F134" s="17"/>
      <c r="G134" s="25">
        <v>5519</v>
      </c>
      <c r="H134" s="28">
        <f>(C134-G134)/C134</f>
        <v>0.21448904070594932</v>
      </c>
      <c r="I134" s="26">
        <f>G134*P134</f>
        <v>18411.384000000002</v>
      </c>
      <c r="J134" s="26">
        <f>I134-D134</f>
        <v>-2535.6159999999982</v>
      </c>
      <c r="L134" s="17"/>
      <c r="M134" s="27">
        <v>3.9988000000000001</v>
      </c>
      <c r="N134" s="27">
        <v>-0.66279999999999994</v>
      </c>
      <c r="O134" s="27"/>
      <c r="P134" s="27">
        <f>M134+N134+O134</f>
        <v>3.3360000000000003</v>
      </c>
    </row>
    <row r="135" spans="1:16" ht="14.1" customHeight="1">
      <c r="B135" s="24" t="s">
        <v>15</v>
      </c>
      <c r="C135" s="25">
        <v>2398</v>
      </c>
      <c r="D135" s="26">
        <v>12095</v>
      </c>
      <c r="E135" s="27">
        <f>D135/C135</f>
        <v>5.0437864887406167</v>
      </c>
      <c r="F135" s="17"/>
      <c r="G135" s="25">
        <v>1511</v>
      </c>
      <c r="H135" s="28">
        <f>(C135-G135)/C135</f>
        <v>0.36989157631359465</v>
      </c>
      <c r="I135" s="26">
        <f>G135*P134</f>
        <v>5040.6960000000008</v>
      </c>
      <c r="J135" s="26">
        <f>I135-D135</f>
        <v>-7054.3039999999992</v>
      </c>
      <c r="L135" s="17"/>
      <c r="M135" s="27"/>
      <c r="N135" s="27"/>
      <c r="O135" s="27"/>
      <c r="P135" s="27"/>
    </row>
    <row r="136" spans="1:16">
      <c r="B136" s="24" t="s">
        <v>17</v>
      </c>
      <c r="C136" s="25">
        <f>SUM(C134:C135)</f>
        <v>9424</v>
      </c>
      <c r="D136" s="26">
        <f>SUM(D134:D135)</f>
        <v>33042</v>
      </c>
      <c r="E136" s="27">
        <f>D136/C136</f>
        <v>3.5061544991511036</v>
      </c>
      <c r="F136" s="17"/>
      <c r="G136" s="25">
        <f>SUM(G134:G135)</f>
        <v>7030</v>
      </c>
      <c r="H136" s="28">
        <f>(C136-G136)/C136</f>
        <v>0.25403225806451613</v>
      </c>
      <c r="J136" s="26">
        <f>J134+J135</f>
        <v>-9589.9199999999983</v>
      </c>
      <c r="K136" s="29">
        <f>K132+J136</f>
        <v>41151.268999999964</v>
      </c>
      <c r="L136" s="17"/>
      <c r="M136" s="27"/>
      <c r="N136" s="27"/>
      <c r="O136" s="27"/>
      <c r="P136" s="27"/>
    </row>
    <row r="137" spans="1:16" s="41" customFormat="1" ht="3" customHeight="1">
      <c r="A137" s="32"/>
      <c r="B137" s="33"/>
      <c r="C137" s="34"/>
      <c r="D137" s="35"/>
      <c r="E137" s="36"/>
      <c r="F137" s="37"/>
      <c r="G137" s="34"/>
      <c r="H137" s="33"/>
      <c r="I137" s="35"/>
      <c r="J137" s="35"/>
      <c r="K137" s="38"/>
      <c r="L137" s="37"/>
      <c r="M137" s="39"/>
      <c r="N137" s="36"/>
      <c r="O137" s="36"/>
      <c r="P137" s="40"/>
    </row>
    <row r="138" spans="1:16">
      <c r="A138" s="23">
        <v>44044</v>
      </c>
      <c r="B138" s="24" t="s">
        <v>13</v>
      </c>
      <c r="C138" s="25">
        <v>7241</v>
      </c>
      <c r="D138" s="26">
        <v>23874</v>
      </c>
      <c r="E138" s="27">
        <f>D138/C138</f>
        <v>3.2970584173456703</v>
      </c>
      <c r="F138" s="17"/>
      <c r="G138" s="25">
        <v>5117</v>
      </c>
      <c r="H138" s="28">
        <f>(C138-G138)/C138</f>
        <v>0.29332965060074573</v>
      </c>
      <c r="I138" s="26">
        <f>G138*P138</f>
        <v>17419.291399999998</v>
      </c>
      <c r="J138" s="26">
        <f>I138-D138</f>
        <v>-6454.7086000000018</v>
      </c>
      <c r="L138" s="17"/>
      <c r="M138" s="27">
        <v>3.9198</v>
      </c>
      <c r="N138" s="27">
        <v>-0.51559999999999995</v>
      </c>
      <c r="O138" s="27"/>
      <c r="P138" s="27">
        <f>M138+N138+O138</f>
        <v>3.4041999999999999</v>
      </c>
    </row>
    <row r="139" spans="1:16" ht="14.1" customHeight="1">
      <c r="B139" s="24" t="s">
        <v>15</v>
      </c>
      <c r="C139" s="25">
        <v>1664</v>
      </c>
      <c r="D139" s="26">
        <v>9015</v>
      </c>
      <c r="E139" s="27">
        <f>D139/C139</f>
        <v>5.4176682692307692</v>
      </c>
      <c r="F139" s="17"/>
      <c r="G139" s="25">
        <v>1457</v>
      </c>
      <c r="H139" s="28">
        <f>(C139-G139)/C139</f>
        <v>0.12439903846153846</v>
      </c>
      <c r="I139" s="26">
        <f>G139*P138</f>
        <v>4959.9193999999998</v>
      </c>
      <c r="J139" s="26">
        <f>I139-D139</f>
        <v>-4055.0806000000002</v>
      </c>
      <c r="L139" s="17"/>
      <c r="M139" s="27"/>
      <c r="N139" s="27"/>
      <c r="O139" s="27"/>
      <c r="P139" s="27"/>
    </row>
    <row r="140" spans="1:16">
      <c r="B140" s="24" t="s">
        <v>17</v>
      </c>
      <c r="C140" s="25">
        <f>SUM(C138:C139)</f>
        <v>8905</v>
      </c>
      <c r="D140" s="26">
        <f>SUM(D138:D139)</f>
        <v>32889</v>
      </c>
      <c r="E140" s="27">
        <f>D140/C140</f>
        <v>3.6933183604716451</v>
      </c>
      <c r="F140" s="17"/>
      <c r="G140" s="25">
        <f>SUM(G138:G139)</f>
        <v>6574</v>
      </c>
      <c r="H140" s="28">
        <f>(C140-G140)/C140</f>
        <v>0.26176305446378439</v>
      </c>
      <c r="J140" s="26">
        <f>J138+J139</f>
        <v>-10509.789200000003</v>
      </c>
      <c r="K140" s="29">
        <f>K136+J140</f>
        <v>30641.479799999961</v>
      </c>
      <c r="L140" s="17"/>
      <c r="M140" s="27"/>
      <c r="N140" s="27"/>
      <c r="O140" s="27"/>
      <c r="P140" s="27"/>
    </row>
    <row r="141" spans="1:16" ht="3" customHeight="1">
      <c r="A141" s="42"/>
      <c r="B141" s="43"/>
      <c r="C141" s="44"/>
      <c r="D141" s="45"/>
      <c r="E141" s="46"/>
      <c r="F141" s="17"/>
      <c r="G141" s="44"/>
      <c r="H141" s="43"/>
      <c r="I141" s="45"/>
      <c r="J141" s="45"/>
      <c r="K141" s="47"/>
      <c r="L141" s="17"/>
      <c r="M141" s="48"/>
      <c r="N141" s="46"/>
      <c r="O141" s="46"/>
      <c r="P141" s="49"/>
    </row>
    <row r="142" spans="1:16">
      <c r="A142" s="23">
        <v>44075</v>
      </c>
      <c r="B142" s="24" t="s">
        <v>13</v>
      </c>
      <c r="C142" s="25">
        <v>8567</v>
      </c>
      <c r="D142" s="26">
        <v>24277</v>
      </c>
      <c r="E142" s="27">
        <f>D142/C142</f>
        <v>2.8337807867398155</v>
      </c>
      <c r="F142" s="17"/>
      <c r="G142" s="25">
        <v>6310</v>
      </c>
      <c r="H142" s="28">
        <f>(C142-G142)/C142</f>
        <v>0.26345278393836813</v>
      </c>
      <c r="I142" s="26">
        <f>G142*P138</f>
        <v>21480.502</v>
      </c>
      <c r="J142" s="26">
        <f>I142-D142</f>
        <v>-2796.4979999999996</v>
      </c>
      <c r="L142" s="17"/>
      <c r="M142" s="27"/>
      <c r="N142" s="27"/>
      <c r="O142" s="27"/>
      <c r="P142" s="27"/>
    </row>
    <row r="143" spans="1:16" ht="14.1" customHeight="1">
      <c r="B143" s="24" t="s">
        <v>15</v>
      </c>
      <c r="C143" s="25">
        <v>1831</v>
      </c>
      <c r="D143" s="26">
        <v>10136</v>
      </c>
      <c r="E143" s="27">
        <f>D143/C143</f>
        <v>5.5357728017476786</v>
      </c>
      <c r="F143" s="17"/>
      <c r="G143" s="25">
        <v>1625</v>
      </c>
      <c r="H143" s="28">
        <f>(C143-G143)/C143</f>
        <v>0.11250682687056253</v>
      </c>
      <c r="I143" s="26">
        <f>G143*P138</f>
        <v>5531.8249999999998</v>
      </c>
      <c r="J143" s="26">
        <f>I143-D143</f>
        <v>-4604.1750000000002</v>
      </c>
      <c r="L143" s="17"/>
      <c r="M143" s="27"/>
      <c r="N143" s="27"/>
      <c r="O143" s="27"/>
      <c r="P143" s="27"/>
    </row>
    <row r="144" spans="1:16">
      <c r="B144" s="24" t="s">
        <v>17</v>
      </c>
      <c r="C144" s="25">
        <f>SUM(C142:C143)</f>
        <v>10398</v>
      </c>
      <c r="D144" s="26">
        <f>SUM(D142:D143)</f>
        <v>34413</v>
      </c>
      <c r="E144" s="27">
        <f>D144/C144</f>
        <v>3.3095787651471436</v>
      </c>
      <c r="F144" s="17"/>
      <c r="G144" s="25">
        <f>SUM(G142:G143)</f>
        <v>7935</v>
      </c>
      <c r="H144" s="28">
        <f>(C144-G144)/C144</f>
        <v>0.23687247547605308</v>
      </c>
      <c r="J144" s="26">
        <f>J142+J143</f>
        <v>-7400.6729999999998</v>
      </c>
      <c r="K144" s="29">
        <f>K140+J144</f>
        <v>23240.806799999962</v>
      </c>
      <c r="L144" s="17"/>
      <c r="M144" s="27"/>
      <c r="N144" s="27"/>
      <c r="O144" s="27"/>
      <c r="P144" s="27"/>
    </row>
    <row r="145" spans="1:23" ht="3" customHeight="1">
      <c r="A145" s="42"/>
      <c r="B145" s="43"/>
      <c r="C145" s="44"/>
      <c r="D145" s="45"/>
      <c r="E145" s="46"/>
      <c r="F145" s="17"/>
      <c r="G145" s="44"/>
      <c r="H145" s="43"/>
      <c r="I145" s="45"/>
      <c r="J145" s="45"/>
      <c r="K145" s="47"/>
      <c r="L145" s="17"/>
      <c r="M145" s="48"/>
      <c r="N145" s="46"/>
      <c r="O145" s="46"/>
      <c r="P145" s="49"/>
    </row>
    <row r="146" spans="1:23">
      <c r="A146" s="23">
        <v>44105</v>
      </c>
      <c r="B146" s="24" t="s">
        <v>13</v>
      </c>
      <c r="C146" s="25">
        <v>14527</v>
      </c>
      <c r="D146" s="297">
        <f>35710+4403</f>
        <v>40113</v>
      </c>
      <c r="E146" s="27">
        <f t="shared" ref="E146:E152" si="4">D146/C146</f>
        <v>2.7612721139946306</v>
      </c>
      <c r="F146" s="17"/>
      <c r="G146" s="25">
        <v>11437</v>
      </c>
      <c r="H146" s="28">
        <f>(C146-G146)/C146</f>
        <v>0.21270737247883251</v>
      </c>
      <c r="I146" s="26">
        <f>G146*P138</f>
        <v>38933.835399999996</v>
      </c>
      <c r="J146" s="26">
        <f>I146-D146</f>
        <v>-1179.1646000000037</v>
      </c>
      <c r="L146" s="17"/>
      <c r="M146" s="27"/>
      <c r="N146" s="27"/>
      <c r="O146" s="27"/>
      <c r="P146" s="27"/>
      <c r="R146" s="31" t="s">
        <v>225</v>
      </c>
    </row>
    <row r="147" spans="1:23" ht="14.1" customHeight="1">
      <c r="B147" s="24" t="s">
        <v>15</v>
      </c>
      <c r="C147" s="25">
        <v>4013</v>
      </c>
      <c r="D147" s="26">
        <v>19972</v>
      </c>
      <c r="E147" s="27">
        <f t="shared" si="4"/>
        <v>4.9768253177174184</v>
      </c>
      <c r="F147" s="17"/>
      <c r="G147" s="25">
        <v>3855</v>
      </c>
      <c r="H147" s="28">
        <f>(C147-G147)/C147</f>
        <v>3.9372040867181657E-2</v>
      </c>
      <c r="I147" s="26">
        <f>G147*P138</f>
        <v>13123.190999999999</v>
      </c>
      <c r="J147" s="26">
        <f>I147-D147</f>
        <v>-6848.8090000000011</v>
      </c>
      <c r="L147" s="17"/>
      <c r="M147" s="27"/>
      <c r="N147" s="27"/>
      <c r="O147" s="27"/>
      <c r="P147" s="27"/>
    </row>
    <row r="148" spans="1:23">
      <c r="B148" s="24" t="s">
        <v>17</v>
      </c>
      <c r="C148" s="25">
        <f>SUM(C146:C147)</f>
        <v>18540</v>
      </c>
      <c r="D148" s="26">
        <f>SUM(D146:D147)</f>
        <v>60085</v>
      </c>
      <c r="E148" s="27">
        <f t="shared" si="4"/>
        <v>3.2408306364617046</v>
      </c>
      <c r="F148" s="17"/>
      <c r="G148" s="25">
        <f>SUM(G146:G147)</f>
        <v>15292</v>
      </c>
      <c r="H148" s="28">
        <f>(C148-G148)/C148</f>
        <v>0.17518878101402374</v>
      </c>
      <c r="J148" s="26">
        <f>J146+J147</f>
        <v>-8027.9736000000048</v>
      </c>
      <c r="K148" s="29">
        <f>K144+J148</f>
        <v>15212.833199999957</v>
      </c>
      <c r="L148" s="17"/>
      <c r="M148" s="53" t="s">
        <v>120</v>
      </c>
      <c r="N148" s="53" t="s">
        <v>22</v>
      </c>
      <c r="O148" s="27"/>
      <c r="P148" s="27"/>
    </row>
    <row r="149" spans="1:23" ht="6" customHeight="1">
      <c r="F149" s="17"/>
      <c r="H149" s="28"/>
      <c r="L149" s="17"/>
      <c r="M149" s="27"/>
      <c r="N149" s="27"/>
      <c r="O149" s="27"/>
      <c r="P149" s="27"/>
      <c r="W149" s="26"/>
    </row>
    <row r="150" spans="1:23">
      <c r="A150" s="55" t="s">
        <v>119</v>
      </c>
      <c r="B150" s="56"/>
      <c r="C150" s="56">
        <f>SUM(C100,C104,C108,C112,C116,C120,C124,C129,C134,C138,C142,C146)</f>
        <v>284560</v>
      </c>
      <c r="D150" s="57">
        <f>SUM(D100,D104,D108,D112,D116,D120,D124,D129,D134,D138,D142,D146)</f>
        <v>892828</v>
      </c>
      <c r="E150" s="58">
        <f t="shared" si="4"/>
        <v>3.137573798144504</v>
      </c>
      <c r="F150" s="17"/>
      <c r="G150" s="56">
        <f>SUM(G100,G104,G108,G112,G116,G120,G124,G129,G134,G138,G142,G146)</f>
        <v>250712</v>
      </c>
      <c r="H150" s="59">
        <f>(C150-G150)/C150</f>
        <v>0.11894855215068878</v>
      </c>
      <c r="I150" s="57">
        <f>SUM(I100,I104,I108,I112,I116,I120,I124,I129,I134,I138,I142,I146)</f>
        <v>1133680.2598999999</v>
      </c>
      <c r="J150" s="57">
        <f>E150*(N150+N151)</f>
        <v>29813.056631385396</v>
      </c>
      <c r="K150" s="54" t="s">
        <v>22</v>
      </c>
      <c r="L150" s="17"/>
      <c r="M150" s="60">
        <f>G150/(1-$R$260)</f>
        <v>271040</v>
      </c>
      <c r="N150" s="60">
        <f>C150-M150</f>
        <v>13520</v>
      </c>
      <c r="R150" s="31" t="s">
        <v>27</v>
      </c>
      <c r="S150" s="25"/>
    </row>
    <row r="151" spans="1:23">
      <c r="A151" s="61"/>
      <c r="B151" s="62" t="s">
        <v>15</v>
      </c>
      <c r="C151" s="56">
        <f>SUM(C101,C105,C109,C113,C117,C121,C125:C126,C130:C131,C135,C139,C143,C147)</f>
        <v>113556</v>
      </c>
      <c r="D151" s="57">
        <f>SUM(D101,D105,D109,D113,D117,D121,D125:D126,D130:D131,D135,D139,D143,D147)</f>
        <v>629612</v>
      </c>
      <c r="E151" s="58">
        <f t="shared" si="4"/>
        <v>5.5445066751206449</v>
      </c>
      <c r="F151" s="17"/>
      <c r="G151" s="56">
        <f>SUM(G101,G105,G109,G113,G117,G121,G125:G126,G130:G131,G135,G139,G143,G147)</f>
        <v>108756</v>
      </c>
      <c r="H151" s="59">
        <f t="shared" ref="H151:H152" si="5">(C151-G151)/C151</f>
        <v>4.2269893268519494E-2</v>
      </c>
      <c r="I151" s="57">
        <f>SUM(I101,I105,I109,I113,I117,I121,I125:I126,I130:I131,I135,I139,I143,I147)</f>
        <v>496945.40230000007</v>
      </c>
      <c r="J151" s="57"/>
      <c r="L151" s="17"/>
      <c r="M151" s="60">
        <f>G151/(1-$R$260)</f>
        <v>117574.05405405405</v>
      </c>
      <c r="N151" s="60">
        <f>C151-M151</f>
        <v>-4018.0540540540533</v>
      </c>
      <c r="R151" s="69"/>
      <c r="S151" s="25"/>
    </row>
    <row r="152" spans="1:23">
      <c r="A152" s="61"/>
      <c r="B152" s="62" t="s">
        <v>17</v>
      </c>
      <c r="C152" s="56">
        <f>SUM(C102,C106,C110,C114,C118,C122,C127,C132,C136,C140,C144,C148)</f>
        <v>398116</v>
      </c>
      <c r="D152" s="57">
        <f>SUM(D102,D106,D110,D114,D118,D122,D127,D132,D136,D140,D144,D148)</f>
        <v>1522440</v>
      </c>
      <c r="E152" s="58">
        <f t="shared" si="4"/>
        <v>3.8241115654733795</v>
      </c>
      <c r="F152" s="17"/>
      <c r="G152" s="56">
        <f>SUM(G102,G106,G110,G114,G118,G122,G127,G132,G136,G140,G144,G148)</f>
        <v>359468</v>
      </c>
      <c r="H152" s="59">
        <f t="shared" si="5"/>
        <v>9.7077233771061699E-2</v>
      </c>
      <c r="I152" s="57">
        <f>SUM(I102,I106,I110,I114,I118,I122,I126,I131,I136,I140,I144,I148)</f>
        <v>691.6</v>
      </c>
      <c r="J152" s="57">
        <f>SUM(J150:J151)</f>
        <v>29813.056631385396</v>
      </c>
      <c r="K152" s="70">
        <f>K148+J152</f>
        <v>45025.889831385357</v>
      </c>
      <c r="L152" s="17"/>
      <c r="M152" s="60">
        <f>G152/(1-$R$260)</f>
        <v>388614.05405405402</v>
      </c>
      <c r="N152" s="60">
        <f>C152-M152</f>
        <v>9501.9459459459758</v>
      </c>
      <c r="R152" s="64">
        <f>N152*E152</f>
        <v>36336.501386394899</v>
      </c>
      <c r="S152" s="65" t="s">
        <v>25</v>
      </c>
    </row>
    <row r="153" spans="1:23" s="41" customFormat="1" ht="6" customHeight="1">
      <c r="A153" s="32"/>
      <c r="B153" s="33"/>
      <c r="C153" s="34"/>
      <c r="D153" s="35"/>
      <c r="E153" s="36"/>
      <c r="F153" s="37"/>
      <c r="G153" s="34"/>
      <c r="H153" s="33"/>
      <c r="I153" s="35"/>
      <c r="J153" s="35"/>
      <c r="K153" s="38"/>
      <c r="L153" s="37"/>
      <c r="M153" s="66"/>
      <c r="N153" s="67"/>
      <c r="O153" s="67"/>
      <c r="P153" s="68"/>
    </row>
    <row r="154" spans="1:23">
      <c r="A154" s="23">
        <v>44136</v>
      </c>
      <c r="B154" s="24" t="s">
        <v>13</v>
      </c>
      <c r="C154" s="25">
        <v>29545</v>
      </c>
      <c r="D154" s="26">
        <v>105289</v>
      </c>
      <c r="E154" s="27">
        <f>D154/C154</f>
        <v>3.5636825181925875</v>
      </c>
      <c r="F154" s="17"/>
      <c r="G154" s="25">
        <v>20509</v>
      </c>
      <c r="H154" s="28">
        <f>(C154-G154)/C154</f>
        <v>0.30583855136232863</v>
      </c>
      <c r="I154" s="26">
        <f>G154*P154</f>
        <v>102481.4221</v>
      </c>
      <c r="J154" s="26">
        <f>I154-D154</f>
        <v>-2807.5779000000039</v>
      </c>
      <c r="L154" s="17"/>
      <c r="M154" s="27">
        <v>5.4423000000000004</v>
      </c>
      <c r="N154" s="27">
        <v>-0.44540000000000002</v>
      </c>
      <c r="O154" s="27"/>
      <c r="P154" s="27">
        <f>M154+N154+O154</f>
        <v>4.9969000000000001</v>
      </c>
    </row>
    <row r="155" spans="1:23" ht="14.1" customHeight="1">
      <c r="B155" s="24" t="s">
        <v>15</v>
      </c>
      <c r="C155" s="25">
        <v>9674</v>
      </c>
      <c r="D155" s="26">
        <v>86553</v>
      </c>
      <c r="E155" s="27">
        <f>D155/C155</f>
        <v>8.9469712631796572</v>
      </c>
      <c r="F155" s="17"/>
      <c r="G155" s="25">
        <v>8590</v>
      </c>
      <c r="H155" s="28">
        <f>(C155-G155)/C155</f>
        <v>0.112052925366963</v>
      </c>
      <c r="I155" s="26">
        <f>G155*P154</f>
        <v>42923.370999999999</v>
      </c>
      <c r="J155" s="26">
        <f>I155-D155</f>
        <v>-43629.629000000001</v>
      </c>
      <c r="L155" s="17"/>
      <c r="M155" s="27"/>
      <c r="N155" s="27"/>
      <c r="O155" s="27"/>
      <c r="P155" s="27"/>
    </row>
    <row r="156" spans="1:23">
      <c r="B156" s="24" t="s">
        <v>17</v>
      </c>
      <c r="C156" s="25">
        <f>SUM(C154:C155)</f>
        <v>39219</v>
      </c>
      <c r="D156" s="26">
        <f>SUM(D154:D155)</f>
        <v>191842</v>
      </c>
      <c r="E156" s="27">
        <f>D156/C156</f>
        <v>4.8915576633774442</v>
      </c>
      <c r="F156" s="17"/>
      <c r="G156" s="25">
        <f>SUM(G154:G155)</f>
        <v>29099</v>
      </c>
      <c r="H156" s="28">
        <f>(C156-G156)/C156</f>
        <v>0.25803819577245724</v>
      </c>
      <c r="J156" s="26">
        <f>J154+J155</f>
        <v>-46437.206900000005</v>
      </c>
      <c r="K156" s="29">
        <f>K152+J156</f>
        <v>-1411.3170686146477</v>
      </c>
      <c r="L156" s="17"/>
      <c r="M156" s="27"/>
      <c r="N156" s="27"/>
      <c r="O156" s="27"/>
      <c r="P156" s="27"/>
    </row>
    <row r="157" spans="1:23" ht="3" customHeight="1">
      <c r="A157" s="42"/>
      <c r="B157" s="43"/>
      <c r="C157" s="44"/>
      <c r="D157" s="45"/>
      <c r="E157" s="46"/>
      <c r="F157" s="17"/>
      <c r="G157" s="44"/>
      <c r="H157" s="43"/>
      <c r="I157" s="45"/>
      <c r="J157" s="45"/>
      <c r="K157" s="47"/>
      <c r="L157" s="17"/>
      <c r="M157" s="48"/>
      <c r="N157" s="46"/>
      <c r="O157" s="46"/>
      <c r="P157" s="49"/>
    </row>
    <row r="158" spans="1:23">
      <c r="A158" s="23">
        <v>44166</v>
      </c>
      <c r="B158" s="24" t="s">
        <v>13</v>
      </c>
      <c r="C158" s="25">
        <v>48493</v>
      </c>
      <c r="D158" s="26">
        <v>169717</v>
      </c>
      <c r="E158" s="27">
        <f>D158/C158</f>
        <v>3.4998247169694596</v>
      </c>
      <c r="F158" s="17"/>
      <c r="G158" s="25">
        <v>44603</v>
      </c>
      <c r="H158" s="28">
        <f>(C158-G158)/C158</f>
        <v>8.0217763388530303E-2</v>
      </c>
      <c r="I158" s="26">
        <f>G158*P154</f>
        <v>222876.73070000001</v>
      </c>
      <c r="J158" s="26">
        <f>I158-D158</f>
        <v>53159.730700000015</v>
      </c>
      <c r="L158" s="17"/>
      <c r="M158" s="27"/>
      <c r="N158" s="27"/>
      <c r="O158" s="27"/>
      <c r="P158" s="27"/>
      <c r="R158" s="69"/>
    </row>
    <row r="159" spans="1:23" ht="14.1" customHeight="1">
      <c r="B159" s="24" t="s">
        <v>15</v>
      </c>
      <c r="C159" s="25">
        <v>22609</v>
      </c>
      <c r="D159" s="26">
        <v>197225</v>
      </c>
      <c r="E159" s="27">
        <f>D159/C159</f>
        <v>8.7232960325534084</v>
      </c>
      <c r="F159" s="17"/>
      <c r="G159" s="25">
        <v>22622</v>
      </c>
      <c r="H159" s="28">
        <f>(C159-G159)/C159</f>
        <v>-5.7499225971958067E-4</v>
      </c>
      <c r="I159" s="26">
        <f>G159*P154</f>
        <v>113039.87180000001</v>
      </c>
      <c r="J159" s="26">
        <f>I159-D159</f>
        <v>-84185.128199999992</v>
      </c>
      <c r="L159" s="17"/>
      <c r="M159" s="27"/>
      <c r="N159" s="27"/>
      <c r="O159" s="27"/>
      <c r="P159" s="27"/>
      <c r="R159" s="69"/>
    </row>
    <row r="160" spans="1:23">
      <c r="B160" s="24" t="s">
        <v>17</v>
      </c>
      <c r="C160" s="25">
        <f>SUM(C158:C159)</f>
        <v>71102</v>
      </c>
      <c r="D160" s="26">
        <f>SUM(D158:D159)</f>
        <v>366942</v>
      </c>
      <c r="E160" s="27">
        <f>D160/C160</f>
        <v>5.1607831003347302</v>
      </c>
      <c r="F160" s="17"/>
      <c r="G160" s="25">
        <f>SUM(G158:G159)</f>
        <v>67225</v>
      </c>
      <c r="H160" s="28">
        <f>(C160-G160)/C160</f>
        <v>5.4527298810160052E-2</v>
      </c>
      <c r="J160" s="26">
        <f>J158+J159</f>
        <v>-31025.397499999977</v>
      </c>
      <c r="K160" s="29">
        <f>K156+J160</f>
        <v>-32436.714568614625</v>
      </c>
      <c r="L160" s="17"/>
      <c r="M160" s="27"/>
      <c r="N160" s="27"/>
      <c r="O160" s="27"/>
      <c r="P160" s="27"/>
      <c r="R160" s="69"/>
      <c r="S160" s="25"/>
    </row>
    <row r="161" spans="1:19" ht="3" customHeight="1">
      <c r="A161" s="42"/>
      <c r="B161" s="43"/>
      <c r="C161" s="44"/>
      <c r="D161" s="45"/>
      <c r="E161" s="46"/>
      <c r="F161" s="17"/>
      <c r="G161" s="44"/>
      <c r="H161" s="43"/>
      <c r="I161" s="45"/>
      <c r="J161" s="45"/>
      <c r="K161" s="47"/>
      <c r="L161" s="17"/>
      <c r="M161" s="48"/>
      <c r="N161" s="46"/>
      <c r="O161" s="46"/>
      <c r="P161" s="49"/>
    </row>
    <row r="162" spans="1:19">
      <c r="A162" s="12">
        <v>44217</v>
      </c>
      <c r="B162" s="13" t="s">
        <v>13</v>
      </c>
      <c r="C162" s="14">
        <v>52693.5</v>
      </c>
      <c r="D162" s="15">
        <v>179379</v>
      </c>
      <c r="E162" s="16">
        <f>D162/C162</f>
        <v>3.4041959634490024</v>
      </c>
      <c r="F162" s="17"/>
      <c r="G162" s="14">
        <v>49939</v>
      </c>
      <c r="H162" s="18">
        <f>(C162-G162)/C162</f>
        <v>5.2273999639424217E-2</v>
      </c>
      <c r="I162" s="15">
        <f>G162*P154</f>
        <v>249540.18910000002</v>
      </c>
      <c r="J162" s="15">
        <f>I162-D162</f>
        <v>70161.189100000018</v>
      </c>
      <c r="K162" s="19"/>
      <c r="L162" s="17"/>
      <c r="M162" s="16"/>
      <c r="N162" s="16"/>
      <c r="O162" s="16"/>
      <c r="P162" s="16"/>
    </row>
    <row r="163" spans="1:19" ht="14.1" customHeight="1">
      <c r="B163" s="24" t="s">
        <v>15</v>
      </c>
      <c r="C163" s="25">
        <v>22378</v>
      </c>
      <c r="D163" s="26">
        <v>194959</v>
      </c>
      <c r="E163" s="27">
        <f>D163/C163</f>
        <v>8.712083296094379</v>
      </c>
      <c r="F163" s="17"/>
      <c r="G163" s="25">
        <v>22055</v>
      </c>
      <c r="H163" s="28">
        <f>(C163-G163)/C163</f>
        <v>1.4433818929305568E-2</v>
      </c>
      <c r="I163" s="26">
        <f>G163*P154</f>
        <v>110206.6295</v>
      </c>
      <c r="J163" s="26">
        <f>I163-D163</f>
        <v>-84752.370500000005</v>
      </c>
      <c r="L163" s="17"/>
      <c r="M163" s="27"/>
      <c r="N163" s="27"/>
      <c r="O163" s="27"/>
      <c r="P163" s="27"/>
    </row>
    <row r="164" spans="1:19">
      <c r="B164" s="24" t="s">
        <v>17</v>
      </c>
      <c r="C164" s="25">
        <f>SUM(C162:C163)</f>
        <v>75071.5</v>
      </c>
      <c r="D164" s="26">
        <f>SUM(D162:D163)</f>
        <v>374338</v>
      </c>
      <c r="E164" s="27">
        <f>D164/C164</f>
        <v>4.9864196133019858</v>
      </c>
      <c r="F164" s="17"/>
      <c r="G164" s="25">
        <f>SUM(G162:G163)</f>
        <v>71994</v>
      </c>
      <c r="H164" s="28">
        <f>(C164-G164)/C164</f>
        <v>4.0994252146287206E-2</v>
      </c>
      <c r="J164" s="26">
        <f>J162+J163</f>
        <v>-14591.181399999987</v>
      </c>
      <c r="K164" s="29">
        <f>K160+J164</f>
        <v>-47027.895968614612</v>
      </c>
      <c r="L164" s="17"/>
      <c r="M164" s="27"/>
      <c r="N164" s="27"/>
      <c r="O164" s="27"/>
      <c r="P164" s="27"/>
    </row>
    <row r="165" spans="1:19" s="41" customFormat="1" ht="3" customHeight="1">
      <c r="A165" s="32"/>
      <c r="B165" s="33"/>
      <c r="C165" s="34"/>
      <c r="D165" s="35"/>
      <c r="E165" s="36"/>
      <c r="F165" s="37"/>
      <c r="G165" s="34"/>
      <c r="H165" s="33"/>
      <c r="I165" s="35"/>
      <c r="J165" s="35"/>
      <c r="K165" s="38"/>
      <c r="L165" s="37"/>
      <c r="M165" s="39"/>
      <c r="N165" s="36"/>
      <c r="O165" s="36"/>
      <c r="P165" s="40"/>
    </row>
    <row r="166" spans="1:19">
      <c r="A166" s="23">
        <v>44228</v>
      </c>
      <c r="B166" s="24" t="s">
        <v>13</v>
      </c>
      <c r="C166" s="25">
        <v>51355.9</v>
      </c>
      <c r="D166" s="26">
        <v>211230</v>
      </c>
      <c r="E166" s="27">
        <f>D166/C166</f>
        <v>4.1130619850883736</v>
      </c>
      <c r="F166" s="17"/>
      <c r="G166" s="25">
        <v>51733</v>
      </c>
      <c r="H166" s="28">
        <f>(C166-G166)/C166</f>
        <v>-7.3428758915723129E-3</v>
      </c>
      <c r="I166" s="26">
        <f>G166*P166</f>
        <v>254153.88240000003</v>
      </c>
      <c r="J166" s="26">
        <f>I166-D166</f>
        <v>42923.882400000031</v>
      </c>
      <c r="L166" s="17"/>
      <c r="M166" s="27">
        <v>5.3089000000000004</v>
      </c>
      <c r="N166" s="27">
        <v>-0.39610000000000001</v>
      </c>
      <c r="O166" s="27"/>
      <c r="P166" s="27">
        <f>M166+N166+O166</f>
        <v>4.9128000000000007</v>
      </c>
    </row>
    <row r="167" spans="1:19" ht="14.1" customHeight="1">
      <c r="B167" s="24" t="s">
        <v>15</v>
      </c>
      <c r="C167" s="25">
        <v>27523</v>
      </c>
      <c r="D167" s="26">
        <v>252711</v>
      </c>
      <c r="E167" s="27">
        <f>D167/C167</f>
        <v>9.1818115757729899</v>
      </c>
      <c r="F167" s="17"/>
      <c r="G167" s="25">
        <v>25666.400000000001</v>
      </c>
      <c r="H167" s="28">
        <f>(C167-G167)/C167</f>
        <v>6.7456309268611653E-2</v>
      </c>
      <c r="I167" s="26">
        <f>G167*P166</f>
        <v>126093.88992000003</v>
      </c>
      <c r="J167" s="26">
        <f>I167-D167</f>
        <v>-126617.11007999997</v>
      </c>
      <c r="L167" s="17"/>
      <c r="M167" s="27"/>
      <c r="N167" s="27"/>
      <c r="O167" s="27"/>
      <c r="P167" s="27"/>
    </row>
    <row r="168" spans="1:19">
      <c r="B168" s="24" t="s">
        <v>17</v>
      </c>
      <c r="C168" s="25">
        <f>SUM(C166:C167)</f>
        <v>78878.899999999994</v>
      </c>
      <c r="D168" s="26">
        <f>SUM(D166:D167)</f>
        <v>463941</v>
      </c>
      <c r="E168" s="27">
        <f>D168/C168</f>
        <v>5.8816869910711231</v>
      </c>
      <c r="F168" s="17"/>
      <c r="G168" s="25">
        <f>SUM(G166:G167)</f>
        <v>77399.399999999994</v>
      </c>
      <c r="H168" s="28">
        <f>(C168-G168)/C168</f>
        <v>1.8756600307560073E-2</v>
      </c>
      <c r="J168" s="26">
        <f>J166+J167</f>
        <v>-83693.227679999938</v>
      </c>
      <c r="K168" s="29">
        <f>K164+J168</f>
        <v>-130721.12364861455</v>
      </c>
      <c r="L168" s="17"/>
      <c r="M168" s="27"/>
      <c r="N168" s="27"/>
      <c r="O168" s="27"/>
      <c r="P168" s="27"/>
    </row>
    <row r="169" spans="1:19" ht="3" customHeight="1">
      <c r="A169" s="42"/>
      <c r="B169" s="43"/>
      <c r="C169" s="44"/>
      <c r="D169" s="45"/>
      <c r="E169" s="46"/>
      <c r="F169" s="17"/>
      <c r="G169" s="44"/>
      <c r="H169" s="43"/>
      <c r="I169" s="45"/>
      <c r="J169" s="45"/>
      <c r="K169" s="47"/>
      <c r="L169" s="17"/>
      <c r="M169" s="48"/>
      <c r="N169" s="46"/>
      <c r="O169" s="46"/>
      <c r="P169" s="49"/>
    </row>
    <row r="170" spans="1:19">
      <c r="A170" s="23">
        <v>44256</v>
      </c>
      <c r="B170" s="24" t="s">
        <v>13</v>
      </c>
      <c r="C170" s="25">
        <v>31995.1</v>
      </c>
      <c r="D170" s="26">
        <v>120767</v>
      </c>
      <c r="E170" s="27">
        <f>D170/C170</f>
        <v>3.7745467274676439</v>
      </c>
      <c r="F170" s="17"/>
      <c r="G170" s="25">
        <v>31563</v>
      </c>
      <c r="H170" s="28">
        <f>(C170-G170)/C170</f>
        <v>1.3505192982675428E-2</v>
      </c>
      <c r="I170" s="26">
        <f>G170*P166</f>
        <v>155062.70640000002</v>
      </c>
      <c r="J170" s="26">
        <f>I170-D170</f>
        <v>34295.706400000025</v>
      </c>
      <c r="L170" s="17"/>
      <c r="M170" s="27"/>
      <c r="N170" s="27"/>
      <c r="O170" s="27"/>
      <c r="P170" s="27"/>
    </row>
    <row r="171" spans="1:19" ht="14.1" customHeight="1">
      <c r="B171" s="24" t="s">
        <v>15</v>
      </c>
      <c r="C171" s="25">
        <v>13893</v>
      </c>
      <c r="D171" s="26">
        <v>128340</v>
      </c>
      <c r="E171" s="27">
        <f>D171/C171</f>
        <v>9.2377456272943217</v>
      </c>
      <c r="F171" s="17"/>
      <c r="G171" s="25">
        <v>13571.6</v>
      </c>
      <c r="H171" s="28">
        <f>(C171-G171)/C171</f>
        <v>2.3133952350104344E-2</v>
      </c>
      <c r="I171" s="26">
        <f>G171*P166</f>
        <v>66674.556480000014</v>
      </c>
      <c r="J171" s="26">
        <f>I171-D171</f>
        <v>-61665.443519999986</v>
      </c>
      <c r="L171" s="17"/>
      <c r="M171" s="27"/>
      <c r="N171" s="27"/>
      <c r="O171" s="27"/>
      <c r="P171" s="27"/>
    </row>
    <row r="172" spans="1:19">
      <c r="B172" s="24" t="s">
        <v>17</v>
      </c>
      <c r="C172" s="25">
        <f>SUM(C170:C171)</f>
        <v>45888.1</v>
      </c>
      <c r="D172" s="26">
        <f>SUM(D170:D171)</f>
        <v>249107</v>
      </c>
      <c r="E172" s="27">
        <f>D172/C172</f>
        <v>5.4285751643672322</v>
      </c>
      <c r="F172" s="17"/>
      <c r="G172" s="25">
        <f>SUM(G170:G171)</f>
        <v>45134.6</v>
      </c>
      <c r="H172" s="28">
        <f>(C172-G172)/C172</f>
        <v>1.6420379139689811E-2</v>
      </c>
      <c r="J172" s="26">
        <f>J170+J171</f>
        <v>-27369.737119999962</v>
      </c>
      <c r="K172" s="29">
        <f>K168+J172</f>
        <v>-158090.86076861451</v>
      </c>
      <c r="L172" s="17"/>
      <c r="M172" s="27"/>
      <c r="N172" s="27"/>
      <c r="O172" s="27"/>
      <c r="P172" s="27"/>
    </row>
    <row r="173" spans="1:19" ht="3" customHeight="1">
      <c r="A173" s="42"/>
      <c r="B173" s="43"/>
      <c r="C173" s="44"/>
      <c r="D173" s="45"/>
      <c r="E173" s="46"/>
      <c r="F173" s="17"/>
      <c r="G173" s="44"/>
      <c r="H173" s="43"/>
      <c r="I173" s="45"/>
      <c r="J173" s="45"/>
      <c r="K173" s="47"/>
      <c r="L173" s="17"/>
      <c r="M173" s="48"/>
      <c r="N173" s="46"/>
      <c r="O173" s="46"/>
      <c r="P173" s="49"/>
    </row>
    <row r="174" spans="1:19">
      <c r="A174" s="23">
        <v>44287</v>
      </c>
      <c r="B174" s="24" t="s">
        <v>13</v>
      </c>
      <c r="C174" s="25">
        <v>23097</v>
      </c>
      <c r="D174" s="26">
        <v>72299</v>
      </c>
      <c r="E174" s="27">
        <f>D174/C174</f>
        <v>3.1302333636402997</v>
      </c>
      <c r="F174" s="17"/>
      <c r="G174" s="25">
        <v>22735</v>
      </c>
      <c r="H174" s="28">
        <f>(C174-G174)/C174</f>
        <v>1.5673031129583927E-2</v>
      </c>
      <c r="I174" s="26">
        <f>G174*P166</f>
        <v>111692.50800000002</v>
      </c>
      <c r="J174" s="26">
        <f>I174-D174</f>
        <v>39393.508000000016</v>
      </c>
      <c r="L174" s="17"/>
      <c r="M174" s="27"/>
      <c r="N174" s="27"/>
      <c r="O174" s="27"/>
      <c r="P174" s="27"/>
      <c r="R174" s="69"/>
    </row>
    <row r="175" spans="1:19">
      <c r="B175" s="24" t="s">
        <v>15</v>
      </c>
      <c r="C175" s="25">
        <v>9247</v>
      </c>
      <c r="D175" s="26">
        <v>95076</v>
      </c>
      <c r="E175" s="27">
        <f>D175/C175</f>
        <v>10.281821131177679</v>
      </c>
      <c r="F175" s="17"/>
      <c r="G175" s="25">
        <v>8986</v>
      </c>
      <c r="H175" s="28">
        <f>(C175-G175)/C175</f>
        <v>2.8225370390396885E-2</v>
      </c>
      <c r="I175" s="26">
        <f>G175*P166</f>
        <v>44146.420800000007</v>
      </c>
      <c r="J175" s="26">
        <f>I175-D175</f>
        <v>-50929.579199999993</v>
      </c>
      <c r="L175" s="17"/>
      <c r="M175" s="27"/>
      <c r="N175" s="27"/>
      <c r="O175" s="27"/>
      <c r="P175" s="27"/>
      <c r="R175" s="69"/>
    </row>
    <row r="176" spans="1:19">
      <c r="B176" s="24" t="s">
        <v>17</v>
      </c>
      <c r="C176" s="25">
        <f>SUM(C174:C175)</f>
        <v>32344</v>
      </c>
      <c r="D176" s="26">
        <f>SUM(D174:D175)</f>
        <v>167375</v>
      </c>
      <c r="E176" s="27">
        <f>D176/C176</f>
        <v>5.17483922829582</v>
      </c>
      <c r="F176" s="17"/>
      <c r="G176" s="25">
        <f>SUM(G174:G175)</f>
        <v>31721</v>
      </c>
      <c r="H176" s="28">
        <f>(C176-G176)/C176</f>
        <v>1.9261686866188475E-2</v>
      </c>
      <c r="J176" s="26">
        <f>J174+J175</f>
        <v>-11536.071199999977</v>
      </c>
      <c r="K176" s="29">
        <f>K172+J176</f>
        <v>-169626.93196861449</v>
      </c>
      <c r="L176" s="17"/>
      <c r="M176" s="27"/>
      <c r="N176" s="27"/>
      <c r="O176" s="27"/>
      <c r="P176" s="27"/>
      <c r="R176" s="69"/>
      <c r="S176" s="25"/>
    </row>
    <row r="177" spans="1:19" s="41" customFormat="1" ht="3" customHeight="1">
      <c r="A177" s="32"/>
      <c r="B177" s="33"/>
      <c r="C177" s="34"/>
      <c r="D177" s="35"/>
      <c r="E177" s="36"/>
      <c r="F177" s="37"/>
      <c r="G177" s="34"/>
      <c r="H177" s="33"/>
      <c r="I177" s="35"/>
      <c r="J177" s="35"/>
      <c r="K177" s="38"/>
      <c r="L177" s="37"/>
      <c r="M177" s="39"/>
      <c r="N177" s="36"/>
      <c r="O177" s="36"/>
      <c r="P177" s="40"/>
    </row>
    <row r="178" spans="1:19">
      <c r="A178" s="23">
        <v>44317</v>
      </c>
      <c r="B178" s="24" t="s">
        <v>13</v>
      </c>
      <c r="C178" s="25">
        <v>14410</v>
      </c>
      <c r="D178" s="26">
        <v>63361</v>
      </c>
      <c r="E178" s="27">
        <f>D178/C178</f>
        <v>4.3970159611380986</v>
      </c>
      <c r="F178" s="17"/>
      <c r="G178" s="25">
        <v>10473.299999999999</v>
      </c>
      <c r="H178" s="28">
        <f>(C178-G178)/C178</f>
        <v>0.27319222761970857</v>
      </c>
      <c r="I178" s="26">
        <f>G178*P178</f>
        <v>56657.411009999996</v>
      </c>
      <c r="J178" s="26">
        <f>I178-D178</f>
        <v>-6703.5889900000038</v>
      </c>
      <c r="L178" s="17"/>
      <c r="M178" s="27">
        <v>5.6539000000000001</v>
      </c>
      <c r="N178" s="27">
        <v>-0.2442</v>
      </c>
      <c r="O178" s="27"/>
      <c r="P178" s="27">
        <f>M178+N178+O178</f>
        <v>5.4097</v>
      </c>
    </row>
    <row r="179" spans="1:19">
      <c r="B179" s="24" t="s">
        <v>15</v>
      </c>
      <c r="C179" s="25">
        <v>3360</v>
      </c>
      <c r="D179" s="26">
        <v>34193</v>
      </c>
      <c r="E179" s="27">
        <f>D179/C179</f>
        <v>10.176488095238096</v>
      </c>
      <c r="F179" s="17"/>
      <c r="G179" s="25">
        <v>3263</v>
      </c>
      <c r="H179" s="28">
        <f>(C179-G179)/C179</f>
        <v>2.8869047619047621E-2</v>
      </c>
      <c r="I179" s="26">
        <f>G179*P178</f>
        <v>17651.8511</v>
      </c>
      <c r="J179" s="26">
        <f>I179-D179</f>
        <v>-16541.1489</v>
      </c>
      <c r="L179" s="17"/>
      <c r="M179" s="27"/>
      <c r="N179" s="27"/>
      <c r="O179" s="27"/>
      <c r="P179" s="27"/>
    </row>
    <row r="180" spans="1:19">
      <c r="B180" s="24" t="s">
        <v>17</v>
      </c>
      <c r="C180" s="25">
        <f>SUM(C178:C179)</f>
        <v>17770</v>
      </c>
      <c r="D180" s="26">
        <f>SUM(D178:D179)</f>
        <v>97554</v>
      </c>
      <c r="E180" s="27">
        <f>D180/C180</f>
        <v>5.4898142937535175</v>
      </c>
      <c r="F180" s="17"/>
      <c r="G180" s="25">
        <f>SUM(G178:G179)</f>
        <v>13736.3</v>
      </c>
      <c r="H180" s="28">
        <f>(C180-G180)/C180</f>
        <v>0.22699493528418688</v>
      </c>
      <c r="J180" s="26">
        <f>J178+J179</f>
        <v>-23244.737890000004</v>
      </c>
      <c r="K180" s="29">
        <f>K176+J180</f>
        <v>-192871.66985861451</v>
      </c>
      <c r="L180" s="17"/>
      <c r="M180" s="27"/>
      <c r="N180" s="27"/>
      <c r="O180" s="27"/>
      <c r="P180" s="27"/>
    </row>
    <row r="181" spans="1:19" ht="3" customHeight="1">
      <c r="A181" s="42"/>
      <c r="B181" s="43"/>
      <c r="C181" s="44"/>
      <c r="D181" s="45"/>
      <c r="E181" s="46"/>
      <c r="F181" s="81"/>
      <c r="G181" s="44"/>
      <c r="H181" s="43"/>
      <c r="I181" s="45"/>
      <c r="J181" s="45"/>
      <c r="K181" s="47"/>
      <c r="L181" s="81"/>
      <c r="M181" s="46"/>
      <c r="N181" s="46"/>
      <c r="O181" s="46"/>
      <c r="P181" s="49"/>
    </row>
    <row r="182" spans="1:19">
      <c r="A182" s="23">
        <v>44348</v>
      </c>
      <c r="B182" s="24" t="s">
        <v>13</v>
      </c>
      <c r="C182" s="25">
        <v>8491.1</v>
      </c>
      <c r="D182" s="26">
        <v>39510</v>
      </c>
      <c r="E182" s="27">
        <f>D182/C182</f>
        <v>4.6531073712475415</v>
      </c>
      <c r="F182" s="17"/>
      <c r="G182" s="25">
        <v>7576.5</v>
      </c>
      <c r="H182" s="28">
        <f>(C182-G182)/C182</f>
        <v>0.10771278161840048</v>
      </c>
      <c r="I182" s="26">
        <f>G182*P178</f>
        <v>40986.592049999999</v>
      </c>
      <c r="J182" s="26">
        <f>I182-D182</f>
        <v>1476.5920499999993</v>
      </c>
      <c r="L182" s="17"/>
      <c r="M182" s="27"/>
      <c r="N182" s="27"/>
      <c r="O182" s="27"/>
      <c r="P182" s="27"/>
      <c r="R182" s="69"/>
    </row>
    <row r="183" spans="1:19">
      <c r="B183" s="24" t="s">
        <v>15</v>
      </c>
      <c r="C183" s="25">
        <v>2400</v>
      </c>
      <c r="D183" s="26">
        <v>24661</v>
      </c>
      <c r="E183" s="27">
        <f>D183/C183</f>
        <v>10.275416666666667</v>
      </c>
      <c r="F183" s="17"/>
      <c r="G183" s="25">
        <v>1926.8</v>
      </c>
      <c r="H183" s="28">
        <f>(C183-G183)/C183</f>
        <v>0.19716666666666668</v>
      </c>
      <c r="I183" s="26">
        <f>G183*P178</f>
        <v>10423.409959999999</v>
      </c>
      <c r="J183" s="26">
        <f>I183-D183</f>
        <v>-14237.590040000001</v>
      </c>
      <c r="L183" s="17"/>
      <c r="M183" s="27"/>
      <c r="N183" s="27"/>
      <c r="O183" s="27"/>
      <c r="P183" s="27"/>
      <c r="R183" s="69"/>
    </row>
    <row r="184" spans="1:19">
      <c r="B184" s="24" t="s">
        <v>17</v>
      </c>
      <c r="C184" s="25">
        <f>SUM(C182:C183)</f>
        <v>10891.1</v>
      </c>
      <c r="D184" s="26">
        <f>SUM(D182:D183)</f>
        <v>64171</v>
      </c>
      <c r="E184" s="27">
        <f>D184/C184</f>
        <v>5.8920586533958916</v>
      </c>
      <c r="F184" s="17"/>
      <c r="G184" s="25">
        <f>SUM(G182:G183)</f>
        <v>9503.2999999999993</v>
      </c>
      <c r="H184" s="28">
        <f>(C184-G184)/C184</f>
        <v>0.12742514530212753</v>
      </c>
      <c r="J184" s="26">
        <f>J182+J183</f>
        <v>-12760.997990000002</v>
      </c>
      <c r="K184" s="29">
        <f>K180+J184</f>
        <v>-205632.66784861451</v>
      </c>
      <c r="L184" s="17"/>
      <c r="M184" s="27"/>
      <c r="N184" s="27"/>
      <c r="O184" s="27"/>
      <c r="P184" s="27"/>
      <c r="R184" s="69"/>
      <c r="S184" s="25"/>
    </row>
    <row r="185" spans="1:19" ht="3" customHeight="1">
      <c r="A185" s="42"/>
      <c r="B185" s="43"/>
      <c r="C185" s="44"/>
      <c r="D185" s="45"/>
      <c r="E185" s="46"/>
      <c r="F185" s="17"/>
      <c r="G185" s="44"/>
      <c r="H185" s="43"/>
      <c r="I185" s="45"/>
      <c r="J185" s="45"/>
      <c r="K185" s="47"/>
      <c r="L185" s="17"/>
      <c r="M185" s="48"/>
      <c r="N185" s="46"/>
      <c r="O185" s="46"/>
      <c r="P185" s="49"/>
    </row>
    <row r="186" spans="1:19">
      <c r="A186" s="23">
        <v>44378</v>
      </c>
      <c r="B186" s="24" t="s">
        <v>13</v>
      </c>
      <c r="C186" s="25">
        <v>6628.9</v>
      </c>
      <c r="D186" s="26">
        <v>43249</v>
      </c>
      <c r="E186" s="27">
        <f>D186/C186</f>
        <v>6.5243102173814664</v>
      </c>
      <c r="F186" s="17"/>
      <c r="G186" s="25">
        <v>5432.5</v>
      </c>
      <c r="H186" s="28">
        <f>(C186-G186)/C186</f>
        <v>0.1804824329828478</v>
      </c>
      <c r="I186" s="26">
        <f>G186*P178</f>
        <v>29388.195250000001</v>
      </c>
      <c r="J186" s="26">
        <f>I186-D186</f>
        <v>-13860.804749999999</v>
      </c>
      <c r="L186" s="17"/>
      <c r="M186" s="27"/>
      <c r="N186" s="27"/>
      <c r="O186" s="27"/>
      <c r="P186" s="27"/>
    </row>
    <row r="187" spans="1:19">
      <c r="B187" s="24" t="s">
        <v>15</v>
      </c>
      <c r="C187" s="25">
        <v>2126</v>
      </c>
      <c r="D187" s="26">
        <v>23127</v>
      </c>
      <c r="E187" s="27">
        <f>D187/C187</f>
        <v>10.878174976481656</v>
      </c>
      <c r="F187" s="17"/>
      <c r="G187" s="25">
        <v>1404</v>
      </c>
      <c r="H187" s="28">
        <f>(C187-G187)/C187</f>
        <v>0.33960489181561621</v>
      </c>
      <c r="I187" s="26">
        <f>G187*P178</f>
        <v>7595.2187999999996</v>
      </c>
      <c r="J187" s="26">
        <f>I187-D187</f>
        <v>-15531.781200000001</v>
      </c>
      <c r="L187" s="17"/>
      <c r="M187" s="27"/>
      <c r="N187" s="27"/>
      <c r="O187" s="27"/>
      <c r="P187" s="27"/>
    </row>
    <row r="188" spans="1:19">
      <c r="B188" s="24" t="s">
        <v>17</v>
      </c>
      <c r="C188" s="25">
        <f>SUM(C186:C187)</f>
        <v>8754.9</v>
      </c>
      <c r="D188" s="26">
        <f>SUM(D186:D187)</f>
        <v>66376</v>
      </c>
      <c r="E188" s="27">
        <f>D188/C188</f>
        <v>7.5815828850129643</v>
      </c>
      <c r="F188" s="17"/>
      <c r="G188" s="25">
        <f>SUM(G186:G187)</f>
        <v>6836.5</v>
      </c>
      <c r="H188" s="28">
        <f>(C188-G188)/C188</f>
        <v>0.21912300540268875</v>
      </c>
      <c r="J188" s="26">
        <f>J186+J187</f>
        <v>-29392.585950000001</v>
      </c>
      <c r="K188" s="29">
        <f>K184+J188</f>
        <v>-235025.25379861452</v>
      </c>
      <c r="L188" s="17"/>
      <c r="M188" s="27"/>
      <c r="N188" s="27"/>
      <c r="O188" s="27"/>
      <c r="P188" s="27"/>
    </row>
    <row r="189" spans="1:19" s="41" customFormat="1" ht="3" customHeight="1">
      <c r="A189" s="32"/>
      <c r="B189" s="33"/>
      <c r="C189" s="34"/>
      <c r="D189" s="35"/>
      <c r="E189" s="36"/>
      <c r="F189" s="37"/>
      <c r="G189" s="34"/>
      <c r="H189" s="33"/>
      <c r="I189" s="35"/>
      <c r="J189" s="35"/>
      <c r="K189" s="38"/>
      <c r="L189" s="37"/>
      <c r="M189" s="39"/>
      <c r="N189" s="36"/>
      <c r="O189" s="36"/>
      <c r="P189" s="40"/>
    </row>
    <row r="190" spans="1:19">
      <c r="A190" s="23">
        <v>44409</v>
      </c>
      <c r="B190" s="24" t="s">
        <v>13</v>
      </c>
      <c r="C190" s="25">
        <v>6095.5</v>
      </c>
      <c r="D190" s="26">
        <v>46911</v>
      </c>
      <c r="E190" s="27">
        <f>D190/C190</f>
        <v>7.6960052497744238</v>
      </c>
      <c r="F190" s="17"/>
      <c r="G190" s="25">
        <v>5445.3</v>
      </c>
      <c r="H190" s="28">
        <f>(C190-G190)/C190</f>
        <v>0.10666885407267654</v>
      </c>
      <c r="I190" s="26">
        <f>G190*P190</f>
        <v>37500.147510000003</v>
      </c>
      <c r="J190" s="26">
        <f>I190-D190</f>
        <v>-9410.8524899999975</v>
      </c>
      <c r="L190" s="17"/>
      <c r="M190" s="27">
        <v>6.6717000000000004</v>
      </c>
      <c r="N190" s="27">
        <v>0.215</v>
      </c>
      <c r="O190" s="27"/>
      <c r="P190" s="27">
        <f>M190+N190+O190</f>
        <v>6.8867000000000003</v>
      </c>
    </row>
    <row r="191" spans="1:19">
      <c r="B191" s="24" t="s">
        <v>15</v>
      </c>
      <c r="C191" s="25">
        <v>1761</v>
      </c>
      <c r="D191" s="26">
        <v>19591</v>
      </c>
      <c r="E191" s="27">
        <f>D191/C191</f>
        <v>11.124929017603634</v>
      </c>
      <c r="F191" s="17"/>
      <c r="G191" s="25">
        <v>1300.3</v>
      </c>
      <c r="H191" s="28">
        <f>(C191-G191)/C191</f>
        <v>0.26161272004542874</v>
      </c>
      <c r="I191" s="26">
        <f>G191*P190</f>
        <v>8954.7760099999996</v>
      </c>
      <c r="J191" s="26">
        <f>I191-D191</f>
        <v>-10636.22399</v>
      </c>
      <c r="L191" s="17"/>
      <c r="M191" s="27"/>
      <c r="N191" s="27"/>
      <c r="O191" s="27"/>
      <c r="P191" s="27"/>
    </row>
    <row r="192" spans="1:19">
      <c r="B192" s="24" t="s">
        <v>17</v>
      </c>
      <c r="C192" s="25">
        <f>SUM(C190:C191)</f>
        <v>7856.5</v>
      </c>
      <c r="D192" s="26">
        <f>SUM(D190:D191)</f>
        <v>66502</v>
      </c>
      <c r="E192" s="27">
        <f>D192/C192</f>
        <v>8.4645834659199384</v>
      </c>
      <c r="F192" s="17"/>
      <c r="G192" s="25">
        <f>SUM(G190:G191)</f>
        <v>6745.6</v>
      </c>
      <c r="H192" s="28">
        <f>(C192-G192)/C192</f>
        <v>0.14139884172341369</v>
      </c>
      <c r="J192" s="26">
        <f>J190+J191</f>
        <v>-20047.076479999996</v>
      </c>
      <c r="K192" s="29">
        <f>K188+J192</f>
        <v>-255072.33027861451</v>
      </c>
      <c r="L192" s="17"/>
      <c r="M192" s="27"/>
      <c r="N192" s="27"/>
      <c r="O192" s="27"/>
      <c r="P192" s="27"/>
    </row>
    <row r="193" spans="1:23" ht="3" customHeight="1">
      <c r="A193" s="42"/>
      <c r="B193" s="43"/>
      <c r="C193" s="44"/>
      <c r="D193" s="45"/>
      <c r="E193" s="46"/>
      <c r="F193" s="17"/>
      <c r="G193" s="44"/>
      <c r="H193" s="43"/>
      <c r="I193" s="45"/>
      <c r="J193" s="45"/>
      <c r="K193" s="47"/>
      <c r="L193" s="17"/>
      <c r="M193" s="48"/>
      <c r="N193" s="46"/>
      <c r="O193" s="46"/>
      <c r="P193" s="49"/>
    </row>
    <row r="194" spans="1:23">
      <c r="A194" s="23">
        <v>44440</v>
      </c>
      <c r="B194" s="24" t="s">
        <v>13</v>
      </c>
      <c r="C194" s="25">
        <v>7793.7</v>
      </c>
      <c r="D194" s="26">
        <v>36623</v>
      </c>
      <c r="E194" s="27">
        <f>D194/C194</f>
        <v>4.6990517982473028</v>
      </c>
      <c r="F194" s="17"/>
      <c r="G194" s="25">
        <v>6279</v>
      </c>
      <c r="H194" s="28">
        <f>(C194-G194)/C194</f>
        <v>0.19434928211247543</v>
      </c>
      <c r="I194" s="26">
        <f>G194*P190</f>
        <v>43241.5893</v>
      </c>
      <c r="J194" s="26">
        <f>I194-D194</f>
        <v>6618.5892999999996</v>
      </c>
      <c r="L194" s="17"/>
      <c r="M194" s="27"/>
      <c r="N194" s="27"/>
      <c r="O194" s="27"/>
      <c r="P194" s="27"/>
      <c r="T194" s="82"/>
      <c r="U194" s="83"/>
    </row>
    <row r="195" spans="1:23">
      <c r="B195" s="24" t="s">
        <v>15</v>
      </c>
      <c r="C195" s="25">
        <v>2065</v>
      </c>
      <c r="D195" s="26">
        <v>24112</v>
      </c>
      <c r="E195" s="27">
        <f>D195/C195</f>
        <v>11.676513317191283</v>
      </c>
      <c r="F195" s="17"/>
      <c r="G195" s="25">
        <v>1565</v>
      </c>
      <c r="H195" s="28">
        <f>(C195-G195)/C195</f>
        <v>0.24213075060532688</v>
      </c>
      <c r="I195" s="26">
        <f>G195*P190</f>
        <v>10777.6855</v>
      </c>
      <c r="J195" s="26">
        <f>I195-D195</f>
        <v>-13334.3145</v>
      </c>
      <c r="L195" s="17"/>
      <c r="M195" s="27"/>
      <c r="N195" s="27"/>
      <c r="O195" s="27"/>
      <c r="P195" s="27"/>
    </row>
    <row r="196" spans="1:23">
      <c r="B196" s="24" t="s">
        <v>17</v>
      </c>
      <c r="C196" s="25">
        <f>SUM(C194:C195)</f>
        <v>9858.7000000000007</v>
      </c>
      <c r="D196" s="26">
        <f>SUM(D194:D195)</f>
        <v>60735</v>
      </c>
      <c r="E196" s="27">
        <f>D196/C196</f>
        <v>6.1605485510259967</v>
      </c>
      <c r="F196" s="17"/>
      <c r="G196" s="25">
        <f>SUM(G194:G195)</f>
        <v>7844</v>
      </c>
      <c r="H196" s="28">
        <f>(C196-G196)/C196</f>
        <v>0.20435757249941683</v>
      </c>
      <c r="J196" s="26">
        <f>J194+J195</f>
        <v>-6715.7252000000008</v>
      </c>
      <c r="K196" s="29">
        <f>K192+J196</f>
        <v>-261788.05547861452</v>
      </c>
      <c r="L196" s="17"/>
      <c r="M196" s="27"/>
      <c r="N196" s="27"/>
      <c r="O196" s="27"/>
      <c r="P196" s="27"/>
    </row>
    <row r="197" spans="1:23" ht="3" customHeight="1">
      <c r="A197" s="42"/>
      <c r="B197" s="43"/>
      <c r="C197" s="44"/>
      <c r="D197" s="45"/>
      <c r="E197" s="46"/>
      <c r="F197" s="17"/>
      <c r="G197" s="44"/>
      <c r="H197" s="43"/>
      <c r="I197" s="45"/>
      <c r="J197" s="45"/>
      <c r="K197" s="47"/>
      <c r="L197" s="17"/>
      <c r="M197" s="48"/>
      <c r="N197" s="46"/>
      <c r="O197" s="46"/>
      <c r="P197" s="49"/>
    </row>
    <row r="198" spans="1:23" ht="14.25">
      <c r="A198" s="23">
        <v>44470</v>
      </c>
      <c r="B198" s="24" t="s">
        <v>13</v>
      </c>
      <c r="C198" s="25">
        <v>12478.4</v>
      </c>
      <c r="D198" s="297">
        <f>98195+5463</f>
        <v>103658</v>
      </c>
      <c r="E198" s="27">
        <f t="shared" ref="E198:E204" si="6">D198/C198</f>
        <v>8.3069944864726253</v>
      </c>
      <c r="F198" s="17"/>
      <c r="G198" s="25">
        <v>8492.2000000000007</v>
      </c>
      <c r="H198" s="28">
        <f>(C198-G198)/C198</f>
        <v>0.31944800615463514</v>
      </c>
      <c r="I198" s="26">
        <f>G198*P190</f>
        <v>58483.233740000011</v>
      </c>
      <c r="J198" s="26">
        <f>I198-D198</f>
        <v>-45174.766259999989</v>
      </c>
      <c r="L198" s="17"/>
      <c r="M198" s="27"/>
      <c r="N198" s="27"/>
      <c r="O198" s="27"/>
      <c r="P198" s="27"/>
      <c r="R198" s="31" t="s">
        <v>225</v>
      </c>
      <c r="T198" s="84"/>
      <c r="U198" s="85"/>
    </row>
    <row r="199" spans="1:23">
      <c r="B199" s="24" t="s">
        <v>15</v>
      </c>
      <c r="C199" s="25">
        <v>3127</v>
      </c>
      <c r="D199" s="26">
        <v>41142</v>
      </c>
      <c r="E199" s="27">
        <f t="shared" si="6"/>
        <v>13.157019507515191</v>
      </c>
      <c r="F199" s="17"/>
      <c r="G199" s="25">
        <v>2409</v>
      </c>
      <c r="H199" s="28">
        <f>(C199-G199)/C199</f>
        <v>0.22961304764950433</v>
      </c>
      <c r="I199" s="26">
        <f>G199*P190</f>
        <v>16590.060300000001</v>
      </c>
      <c r="J199" s="26">
        <f>I199-D199</f>
        <v>-24551.939699999999</v>
      </c>
      <c r="L199" s="17"/>
      <c r="M199" s="27"/>
      <c r="N199" s="27"/>
      <c r="O199" s="27"/>
      <c r="P199" s="27"/>
    </row>
    <row r="200" spans="1:23">
      <c r="B200" s="24" t="s">
        <v>17</v>
      </c>
      <c r="C200" s="25">
        <f>SUM(C198:C199)</f>
        <v>15605.4</v>
      </c>
      <c r="D200" s="26">
        <f>SUM(D198:D199)</f>
        <v>144800</v>
      </c>
      <c r="E200" s="27">
        <f t="shared" si="6"/>
        <v>9.278839376113396</v>
      </c>
      <c r="F200" s="17"/>
      <c r="G200" s="25">
        <f>SUM(G198:G199)</f>
        <v>10901.2</v>
      </c>
      <c r="H200" s="28">
        <f>(C200-G200)/C200</f>
        <v>0.30144693503530823</v>
      </c>
      <c r="J200" s="26">
        <f>J198+J199</f>
        <v>-69726.705959999992</v>
      </c>
      <c r="K200" s="29">
        <f>K196+J200</f>
        <v>-331514.76143861451</v>
      </c>
      <c r="L200" s="17"/>
      <c r="M200" s="53" t="s">
        <v>120</v>
      </c>
      <c r="N200" s="53" t="s">
        <v>22</v>
      </c>
      <c r="O200" s="27"/>
      <c r="P200" s="27"/>
      <c r="W200" s="26"/>
    </row>
    <row r="201" spans="1:23" ht="6" customHeight="1">
      <c r="F201" s="17"/>
      <c r="H201" s="28"/>
      <c r="L201" s="17"/>
      <c r="M201" s="27"/>
      <c r="N201" s="27"/>
      <c r="O201" s="27"/>
      <c r="P201" s="27"/>
      <c r="W201" s="26"/>
    </row>
    <row r="202" spans="1:23">
      <c r="A202" s="55" t="s">
        <v>119</v>
      </c>
      <c r="B202" s="56"/>
      <c r="C202" s="56">
        <f t="shared" ref="C202:D204" si="7">SUM(C154,C158,C162,C166,C170,C174,C178,C182,C186,C190,C194,C198)</f>
        <v>293077.10000000003</v>
      </c>
      <c r="D202" s="57">
        <f t="shared" si="7"/>
        <v>1191993</v>
      </c>
      <c r="E202" s="58">
        <f t="shared" si="6"/>
        <v>4.0671652612913114</v>
      </c>
      <c r="F202" s="17"/>
      <c r="G202" s="56">
        <f>SUM(G154,G158,G162,G166,G170,G174,G178,G182,G186,G190,G194,G198)</f>
        <v>264780.79999999999</v>
      </c>
      <c r="H202" s="59">
        <f>(C202-G202)/C202</f>
        <v>9.6548996833939069E-2</v>
      </c>
      <c r="I202" s="57">
        <f>SUM(I154,I158,I162,I166,I170,I174,I178,I182,I186,I190,I194,I198)</f>
        <v>1362064.6075600004</v>
      </c>
      <c r="J202" s="57">
        <f>E202*(N202+N203)</f>
        <v>18059.060170201567</v>
      </c>
      <c r="K202" s="54" t="s">
        <v>22</v>
      </c>
      <c r="L202" s="17"/>
      <c r="M202" s="60">
        <f>G202/(1-$R$260)</f>
        <v>286249.51351351349</v>
      </c>
      <c r="N202" s="60">
        <f>C202-M202</f>
        <v>6827.5864864865434</v>
      </c>
    </row>
    <row r="203" spans="1:23">
      <c r="A203" s="61"/>
      <c r="B203" s="62" t="s">
        <v>15</v>
      </c>
      <c r="C203" s="56">
        <f t="shared" si="7"/>
        <v>120163</v>
      </c>
      <c r="D203" s="57">
        <f t="shared" si="7"/>
        <v>1121690</v>
      </c>
      <c r="E203" s="58">
        <f t="shared" si="6"/>
        <v>9.3347369822657562</v>
      </c>
      <c r="F203" s="17"/>
      <c r="G203" s="56">
        <f>SUM(G155,G159,G163,G167,G171,G175,G179,G183,G187,G191,G195,G199)</f>
        <v>113359.1</v>
      </c>
      <c r="H203" s="59">
        <f t="shared" ref="H203:H204" si="8">(C203-G203)/C203</f>
        <v>5.6622254770603217E-2</v>
      </c>
      <c r="I203" s="57">
        <f>SUM(I155,I159,I163,I167,I171,I175,I179,I183,I187,I191,I195,I199)</f>
        <v>575077.74117000017</v>
      </c>
      <c r="J203" s="57"/>
      <c r="L203" s="17"/>
      <c r="M203" s="60">
        <f>G203/(1-$R$260)</f>
        <v>122550.37837837837</v>
      </c>
      <c r="N203" s="60">
        <f>C203-M203</f>
        <v>-2387.3783783783729</v>
      </c>
      <c r="R203" s="69"/>
      <c r="S203" s="25"/>
    </row>
    <row r="204" spans="1:23">
      <c r="A204" s="61"/>
      <c r="B204" s="62" t="s">
        <v>17</v>
      </c>
      <c r="C204" s="56">
        <f t="shared" si="7"/>
        <v>413240.10000000003</v>
      </c>
      <c r="D204" s="57">
        <f t="shared" si="7"/>
        <v>2313683</v>
      </c>
      <c r="E204" s="58">
        <f t="shared" si="6"/>
        <v>5.5988830706410146</v>
      </c>
      <c r="F204" s="17"/>
      <c r="G204" s="56">
        <f>SUM(G156,G160,G164,G168,G172,G176,G180,G184,G188,G192,G196,G200)</f>
        <v>378139.89999999997</v>
      </c>
      <c r="H204" s="59">
        <f t="shared" si="8"/>
        <v>8.4938997933646967E-2</v>
      </c>
      <c r="I204" s="57">
        <f>SUM(I154,I158,I162,I166,I170,I174,I178,I183,I188,I192,I196,I200)</f>
        <v>1162888.2596700001</v>
      </c>
      <c r="J204" s="57">
        <f>SUM(J202:J203)</f>
        <v>18059.060170201567</v>
      </c>
      <c r="K204" s="70">
        <f>K200+J204</f>
        <v>-313455.70126841293</v>
      </c>
      <c r="L204" s="17"/>
      <c r="M204" s="60">
        <f>G204/(1-$R$260)</f>
        <v>408799.89189189184</v>
      </c>
      <c r="N204" s="60">
        <f>C204-M204</f>
        <v>4440.2081081081997</v>
      </c>
      <c r="R204" s="64">
        <f>N204*E204</f>
        <v>24860.206006609966</v>
      </c>
      <c r="S204" s="65" t="s">
        <v>25</v>
      </c>
    </row>
    <row r="205" spans="1:23" s="41" customFormat="1" ht="6" customHeight="1">
      <c r="A205" s="32"/>
      <c r="B205" s="33"/>
      <c r="C205" s="34"/>
      <c r="D205" s="35"/>
      <c r="E205" s="36"/>
      <c r="F205" s="37"/>
      <c r="G205" s="34"/>
      <c r="H205" s="33"/>
      <c r="I205" s="35"/>
      <c r="J205" s="35"/>
      <c r="K205" s="38"/>
      <c r="L205" s="37"/>
      <c r="M205" s="66"/>
      <c r="N205" s="67"/>
      <c r="O205" s="67"/>
      <c r="P205" s="68"/>
    </row>
    <row r="206" spans="1:23" ht="14.25">
      <c r="A206" s="23">
        <v>44501</v>
      </c>
      <c r="B206" s="24" t="s">
        <v>13</v>
      </c>
      <c r="C206" s="25">
        <v>36247.800000000003</v>
      </c>
      <c r="D206" s="26">
        <v>277808.59999999998</v>
      </c>
      <c r="E206" s="27">
        <f>D206/C206</f>
        <v>7.6641506519016316</v>
      </c>
      <c r="F206" s="17"/>
      <c r="G206" s="25">
        <v>28082</v>
      </c>
      <c r="H206" s="28">
        <f>(C206-G206)/C206</f>
        <v>0.22527712026660934</v>
      </c>
      <c r="I206" s="26">
        <f>G206*P206</f>
        <v>240393.15279999998</v>
      </c>
      <c r="J206" s="26">
        <f>I206-D206</f>
        <v>-37415.447199999995</v>
      </c>
      <c r="L206" s="17"/>
      <c r="M206" s="27">
        <v>8.3378999999999994</v>
      </c>
      <c r="N206" s="27">
        <v>0.2225</v>
      </c>
      <c r="O206" s="27"/>
      <c r="P206" s="27">
        <f>SUM(M206:O206)</f>
        <v>8.5603999999999996</v>
      </c>
      <c r="T206" s="84"/>
      <c r="U206" s="85"/>
    </row>
    <row r="207" spans="1:23">
      <c r="B207" s="24" t="s">
        <v>15</v>
      </c>
      <c r="C207" s="25">
        <v>14788</v>
      </c>
      <c r="D207" s="26">
        <v>208825</v>
      </c>
      <c r="E207" s="27">
        <f>D207/C207</f>
        <v>14.121246956992156</v>
      </c>
      <c r="F207" s="17"/>
      <c r="G207" s="25">
        <v>11273</v>
      </c>
      <c r="H207" s="28">
        <f>(C207-G207)/C207</f>
        <v>0.23769272383013254</v>
      </c>
      <c r="I207" s="26">
        <f>G207*P206</f>
        <v>96501.389199999991</v>
      </c>
      <c r="J207" s="26">
        <f>I207-D207</f>
        <v>-112323.61080000001</v>
      </c>
      <c r="L207" s="17"/>
      <c r="M207" s="27"/>
      <c r="N207" s="27"/>
      <c r="O207" s="27"/>
      <c r="P207" s="27"/>
    </row>
    <row r="208" spans="1:23">
      <c r="B208" s="24" t="s">
        <v>17</v>
      </c>
      <c r="C208" s="25">
        <f>SUM(C206:C207)</f>
        <v>51035.8</v>
      </c>
      <c r="D208" s="26">
        <f>SUM(D206:D207)</f>
        <v>486633.6</v>
      </c>
      <c r="E208" s="27">
        <f>D208/C208</f>
        <v>9.535141998361933</v>
      </c>
      <c r="F208" s="17"/>
      <c r="G208" s="25">
        <f>SUM(G206:G207)</f>
        <v>39355</v>
      </c>
      <c r="H208" s="28">
        <f>(C208-G208)/C208</f>
        <v>0.22887463310068623</v>
      </c>
      <c r="J208" s="26">
        <f>J206+J207</f>
        <v>-149739.05800000002</v>
      </c>
      <c r="K208" s="29">
        <f>K204+J208</f>
        <v>-463194.75926841295</v>
      </c>
      <c r="L208" s="17"/>
      <c r="M208" s="27"/>
      <c r="N208" s="27"/>
      <c r="O208" s="27"/>
      <c r="P208" s="27"/>
    </row>
    <row r="209" spans="1:21" ht="3" customHeight="1">
      <c r="A209" s="42"/>
      <c r="B209" s="43"/>
      <c r="C209" s="44"/>
      <c r="D209" s="45"/>
      <c r="E209" s="46"/>
      <c r="F209" s="17"/>
      <c r="G209" s="44"/>
      <c r="H209" s="43"/>
      <c r="I209" s="45"/>
      <c r="J209" s="45"/>
      <c r="K209" s="47"/>
      <c r="L209" s="17"/>
      <c r="M209" s="48"/>
      <c r="N209" s="46"/>
      <c r="O209" s="46"/>
      <c r="P209" s="49"/>
    </row>
    <row r="210" spans="1:21" ht="14.25">
      <c r="A210" s="23">
        <v>44531</v>
      </c>
      <c r="B210" s="24" t="s">
        <v>13</v>
      </c>
      <c r="C210" s="25">
        <v>36232.699999999997</v>
      </c>
      <c r="D210" s="26">
        <v>267226.93</v>
      </c>
      <c r="E210" s="27">
        <f>D210/C210</f>
        <v>7.3752971763075896</v>
      </c>
      <c r="F210" s="17"/>
      <c r="G210" s="25">
        <v>36613</v>
      </c>
      <c r="H210" s="28">
        <f>(C210-G210)/C210</f>
        <v>-1.0496043629097554E-2</v>
      </c>
      <c r="I210" s="26">
        <f>G210*P206</f>
        <v>313421.9252</v>
      </c>
      <c r="J210" s="26">
        <f>I210-D210</f>
        <v>46194.995200000005</v>
      </c>
      <c r="L210" s="17"/>
      <c r="M210" s="27"/>
      <c r="N210" s="27"/>
      <c r="O210" s="27"/>
      <c r="P210" s="27"/>
      <c r="R210" s="69"/>
      <c r="T210" s="84"/>
      <c r="U210" s="85"/>
    </row>
    <row r="211" spans="1:21">
      <c r="B211" s="24" t="s">
        <v>15</v>
      </c>
      <c r="C211" s="25">
        <v>14143</v>
      </c>
      <c r="D211" s="26">
        <v>188557</v>
      </c>
      <c r="E211" s="27">
        <f>D211/C211</f>
        <v>13.33217846284381</v>
      </c>
      <c r="F211" s="17"/>
      <c r="G211" s="25">
        <v>16395</v>
      </c>
      <c r="H211" s="28">
        <f>(C211-G211)/C211</f>
        <v>-0.15923071484126422</v>
      </c>
      <c r="I211" s="26">
        <f>G211*P206</f>
        <v>140347.758</v>
      </c>
      <c r="J211" s="26">
        <f>I211-D211</f>
        <v>-48209.241999999998</v>
      </c>
      <c r="L211" s="17"/>
      <c r="M211" s="27"/>
      <c r="N211" s="27"/>
      <c r="O211" s="27"/>
      <c r="P211" s="27"/>
      <c r="R211" s="69"/>
    </row>
    <row r="212" spans="1:21">
      <c r="B212" s="24" t="s">
        <v>17</v>
      </c>
      <c r="C212" s="25">
        <f>SUM(C210:C211)</f>
        <v>50375.7</v>
      </c>
      <c r="D212" s="26">
        <f>SUM(D210:D211)</f>
        <v>455783.93</v>
      </c>
      <c r="E212" s="27">
        <f>D212/C212</f>
        <v>9.0476942255889252</v>
      </c>
      <c r="F212" s="17"/>
      <c r="G212" s="25">
        <f>SUM(G210:G211)</f>
        <v>53008</v>
      </c>
      <c r="H212" s="28">
        <f>(C212-G212)/C212</f>
        <v>-5.2253368191409806E-2</v>
      </c>
      <c r="J212" s="26">
        <f>J210+J211</f>
        <v>-2014.2467999999935</v>
      </c>
      <c r="K212" s="29">
        <f>K208+J212</f>
        <v>-465209.00606841291</v>
      </c>
      <c r="L212" s="17"/>
      <c r="M212" s="27"/>
      <c r="N212" s="27"/>
      <c r="O212" s="27"/>
      <c r="P212" s="27"/>
      <c r="R212" s="69"/>
      <c r="S212" s="25"/>
      <c r="T212" s="82"/>
      <c r="U212" s="83"/>
    </row>
    <row r="213" spans="1:21" ht="3" customHeight="1">
      <c r="A213" s="42"/>
      <c r="B213" s="43"/>
      <c r="C213" s="44"/>
      <c r="D213" s="45"/>
      <c r="E213" s="46"/>
      <c r="F213" s="17"/>
      <c r="G213" s="44"/>
      <c r="H213" s="43"/>
      <c r="I213" s="45"/>
      <c r="J213" s="45"/>
      <c r="K213" s="47"/>
      <c r="L213" s="17"/>
      <c r="M213" s="48"/>
      <c r="N213" s="46"/>
      <c r="O213" s="46"/>
      <c r="P213" s="49"/>
    </row>
    <row r="214" spans="1:21" ht="14.25">
      <c r="A214" s="12">
        <v>44562</v>
      </c>
      <c r="B214" s="13" t="s">
        <v>13</v>
      </c>
      <c r="C214" s="14">
        <v>59511.8</v>
      </c>
      <c r="D214" s="15">
        <v>301603.62</v>
      </c>
      <c r="E214" s="16">
        <f>D214/C214</f>
        <v>5.0679633282811141</v>
      </c>
      <c r="F214" s="17"/>
      <c r="G214" s="14">
        <v>48801</v>
      </c>
      <c r="H214" s="18">
        <f>(C214-G214)/C214</f>
        <v>0.17997775231130636</v>
      </c>
      <c r="I214" s="15">
        <f>G214*P206</f>
        <v>417756.08039999998</v>
      </c>
      <c r="J214" s="15">
        <f>I214-D214</f>
        <v>116152.46039999998</v>
      </c>
      <c r="K214" s="19"/>
      <c r="L214" s="17"/>
      <c r="M214" s="16"/>
      <c r="N214" s="16"/>
      <c r="O214" s="16"/>
      <c r="P214" s="16"/>
      <c r="R214" s="86"/>
      <c r="S214" s="86"/>
      <c r="T214" s="84"/>
      <c r="U214" s="85"/>
    </row>
    <row r="215" spans="1:21" ht="14.25">
      <c r="B215" s="24" t="s">
        <v>15</v>
      </c>
      <c r="C215" s="25">
        <v>22438</v>
      </c>
      <c r="D215" s="26">
        <v>255305</v>
      </c>
      <c r="E215" s="27">
        <f>D215/C215</f>
        <v>11.378242267581781</v>
      </c>
      <c r="F215" s="17"/>
      <c r="G215" s="25">
        <v>22579</v>
      </c>
      <c r="H215" s="28">
        <f>(C215-G215)/C215</f>
        <v>-6.2839825296372226E-3</v>
      </c>
      <c r="I215" s="26">
        <f>G215*P206</f>
        <v>193285.27159999998</v>
      </c>
      <c r="J215" s="26">
        <f>I215-D215</f>
        <v>-62019.728400000022</v>
      </c>
      <c r="L215" s="17"/>
      <c r="M215" s="27"/>
      <c r="N215" s="27"/>
      <c r="O215" s="27"/>
      <c r="P215" s="27"/>
      <c r="R215" s="86"/>
      <c r="S215" s="86"/>
    </row>
    <row r="216" spans="1:21">
      <c r="B216" s="24" t="s">
        <v>17</v>
      </c>
      <c r="C216" s="25">
        <f>SUM(C214:C215)</f>
        <v>81949.8</v>
      </c>
      <c r="D216" s="26">
        <f>SUM(D214:D215)</f>
        <v>556908.62</v>
      </c>
      <c r="E216" s="27">
        <f>D216/C216</f>
        <v>6.7957288486366041</v>
      </c>
      <c r="F216" s="17"/>
      <c r="G216" s="25">
        <f>SUM(G214:G215)</f>
        <v>71380</v>
      </c>
      <c r="H216" s="28">
        <f>(C216-G216)/C216</f>
        <v>0.1289789602903241</v>
      </c>
      <c r="J216" s="26">
        <f>J214+J215</f>
        <v>54132.73199999996</v>
      </c>
      <c r="K216" s="29">
        <f>K212+J216</f>
        <v>-411076.27406841295</v>
      </c>
      <c r="L216" s="17"/>
      <c r="M216" s="27"/>
      <c r="N216" s="27"/>
      <c r="O216" s="27"/>
      <c r="P216" s="27"/>
    </row>
    <row r="217" spans="1:21" s="41" customFormat="1" ht="3" customHeight="1">
      <c r="A217" s="32"/>
      <c r="B217" s="33"/>
      <c r="C217" s="34"/>
      <c r="D217" s="35"/>
      <c r="E217" s="36"/>
      <c r="F217" s="37"/>
      <c r="G217" s="34"/>
      <c r="H217" s="33"/>
      <c r="I217" s="35"/>
      <c r="J217" s="35"/>
      <c r="K217" s="38"/>
      <c r="L217" s="37"/>
      <c r="M217" s="39"/>
      <c r="N217" s="36"/>
      <c r="O217" s="36"/>
      <c r="P217" s="40"/>
    </row>
    <row r="218" spans="1:21" ht="14.25">
      <c r="A218" s="23">
        <v>44593</v>
      </c>
      <c r="B218" s="24" t="s">
        <v>13</v>
      </c>
      <c r="C218" s="25">
        <v>50129.4</v>
      </c>
      <c r="D218" s="26">
        <v>403245.57</v>
      </c>
      <c r="E218" s="27">
        <f>D218/C218</f>
        <v>8.0440932865743449</v>
      </c>
      <c r="F218" s="17"/>
      <c r="G218" s="25">
        <v>47902</v>
      </c>
      <c r="H218" s="28">
        <f>(C218-G218)/C218</f>
        <v>4.4433007376908591E-2</v>
      </c>
      <c r="I218" s="26">
        <f>G218*P218</f>
        <v>336003.78879999998</v>
      </c>
      <c r="J218" s="26">
        <f>I218-D218</f>
        <v>-67241.781200000027</v>
      </c>
      <c r="L218" s="17"/>
      <c r="M218" s="27">
        <v>6.7129000000000003</v>
      </c>
      <c r="N218" s="27">
        <v>0.30149999999999999</v>
      </c>
      <c r="O218" s="27"/>
      <c r="P218" s="27">
        <f>SUM(M218:O218)</f>
        <v>7.0144000000000002</v>
      </c>
      <c r="R218" s="86"/>
      <c r="T218" s="84"/>
      <c r="U218" s="85"/>
    </row>
    <row r="219" spans="1:21" ht="14.25">
      <c r="B219" s="24" t="s">
        <v>15</v>
      </c>
      <c r="C219" s="25">
        <v>16910</v>
      </c>
      <c r="D219" s="26">
        <v>241973</v>
      </c>
      <c r="E219" s="27">
        <f>D219/C219</f>
        <v>14.309461856889415</v>
      </c>
      <c r="F219" s="17"/>
      <c r="G219" s="25">
        <v>21543</v>
      </c>
      <c r="H219" s="28">
        <f>(C219-G219)/C219</f>
        <v>-0.27397989355411001</v>
      </c>
      <c r="I219" s="26">
        <f>G219*P218</f>
        <v>151111.21919999999</v>
      </c>
      <c r="J219" s="26">
        <f>I219-D219</f>
        <v>-90861.780800000008</v>
      </c>
      <c r="L219" s="17"/>
      <c r="M219" s="27"/>
      <c r="N219" s="27"/>
      <c r="O219" s="27"/>
      <c r="P219" s="27"/>
      <c r="R219" s="86"/>
    </row>
    <row r="220" spans="1:21" ht="14.25">
      <c r="B220" s="24" t="s">
        <v>17</v>
      </c>
      <c r="C220" s="25">
        <f>SUM(C218:C219)</f>
        <v>67039.399999999994</v>
      </c>
      <c r="D220" s="26">
        <f>SUM(D218:D219)</f>
        <v>645218.57000000007</v>
      </c>
      <c r="E220" s="27">
        <f>D220/C220</f>
        <v>9.6244681485812844</v>
      </c>
      <c r="F220" s="17"/>
      <c r="G220" s="25">
        <f>SUM(G218:G219)</f>
        <v>69445</v>
      </c>
      <c r="H220" s="28">
        <f>(C220-G220)/C220</f>
        <v>-3.5883376044535092E-2</v>
      </c>
      <c r="J220" s="26">
        <f>J218+J219</f>
        <v>-158103.56200000003</v>
      </c>
      <c r="K220" s="29">
        <f>K216+J220</f>
        <v>-569179.83606841299</v>
      </c>
      <c r="L220" s="17"/>
      <c r="M220" s="27"/>
      <c r="N220" s="27"/>
      <c r="O220" s="27"/>
      <c r="P220" s="27"/>
      <c r="R220" s="86"/>
    </row>
    <row r="221" spans="1:21" ht="3" customHeight="1">
      <c r="A221" s="42"/>
      <c r="B221" s="43"/>
      <c r="C221" s="44"/>
      <c r="D221" s="45"/>
      <c r="E221" s="46"/>
      <c r="F221" s="17"/>
      <c r="G221" s="44"/>
      <c r="H221" s="43"/>
      <c r="I221" s="45"/>
      <c r="J221" s="45"/>
      <c r="K221" s="47"/>
      <c r="L221" s="17"/>
      <c r="M221" s="48"/>
      <c r="N221" s="46"/>
      <c r="O221" s="46"/>
      <c r="P221" s="49"/>
      <c r="R221" s="86"/>
    </row>
    <row r="222" spans="1:21" ht="14.25">
      <c r="A222" s="23">
        <v>44621</v>
      </c>
      <c r="B222" s="24" t="s">
        <v>13</v>
      </c>
      <c r="C222" s="25">
        <v>35760.9</v>
      </c>
      <c r="D222" s="26">
        <v>182096.45</v>
      </c>
      <c r="E222" s="27">
        <f>D222/C222</f>
        <v>5.0920544505311671</v>
      </c>
      <c r="F222" s="17"/>
      <c r="G222" s="25">
        <v>32920</v>
      </c>
      <c r="H222" s="28">
        <f>(C222-G222)/C222</f>
        <v>7.944151293731426E-2</v>
      </c>
      <c r="I222" s="26">
        <f>G222*P218</f>
        <v>230914.04800000001</v>
      </c>
      <c r="J222" s="26">
        <f>I222-D222</f>
        <v>48817.597999999998</v>
      </c>
      <c r="L222" s="17"/>
      <c r="M222" s="27"/>
      <c r="N222" s="27"/>
      <c r="O222" s="27"/>
      <c r="P222" s="27"/>
      <c r="R222" s="86"/>
      <c r="T222" s="84"/>
      <c r="U222" s="85"/>
    </row>
    <row r="223" spans="1:21" ht="14.25">
      <c r="B223" s="24" t="s">
        <v>15</v>
      </c>
      <c r="C223" s="25">
        <v>12923</v>
      </c>
      <c r="D223" s="26">
        <v>161126</v>
      </c>
      <c r="E223" s="27">
        <f>D223/C223</f>
        <v>12.468157548556837</v>
      </c>
      <c r="F223" s="17"/>
      <c r="G223" s="25">
        <v>15106</v>
      </c>
      <c r="H223" s="28">
        <f>(C223-G223)/C223</f>
        <v>-0.1689236245453842</v>
      </c>
      <c r="I223" s="26">
        <f>G223*P218</f>
        <v>105959.5264</v>
      </c>
      <c r="J223" s="26">
        <f>I223-D223</f>
        <v>-55166.473599999998</v>
      </c>
      <c r="L223" s="17"/>
      <c r="M223" s="27"/>
      <c r="N223" s="27"/>
      <c r="O223" s="27"/>
      <c r="P223" s="27"/>
      <c r="R223" s="86"/>
    </row>
    <row r="224" spans="1:21" ht="14.25">
      <c r="B224" s="24" t="s">
        <v>17</v>
      </c>
      <c r="C224" s="25">
        <f>SUM(C222:C223)</f>
        <v>48683.9</v>
      </c>
      <c r="D224" s="26">
        <f>SUM(D222:D223)</f>
        <v>343222.45</v>
      </c>
      <c r="E224" s="27">
        <f>D224/C224</f>
        <v>7.0500196163413369</v>
      </c>
      <c r="F224" s="17"/>
      <c r="G224" s="25">
        <f>SUM(G222:G223)</f>
        <v>48026</v>
      </c>
      <c r="H224" s="28">
        <f>(C224-G224)/C224</f>
        <v>1.3513707817163404E-2</v>
      </c>
      <c r="J224" s="26">
        <f>J222+J223</f>
        <v>-6348.8755999999994</v>
      </c>
      <c r="K224" s="29">
        <f>K220+J224</f>
        <v>-575528.71166841302</v>
      </c>
      <c r="L224" s="17"/>
      <c r="M224" s="27"/>
      <c r="N224" s="27"/>
      <c r="O224" s="27"/>
      <c r="P224" s="27"/>
      <c r="R224" s="86"/>
    </row>
    <row r="225" spans="1:27" ht="3" customHeight="1">
      <c r="A225" s="42"/>
      <c r="B225" s="43"/>
      <c r="C225" s="44"/>
      <c r="D225" s="45"/>
      <c r="E225" s="46"/>
      <c r="F225" s="17"/>
      <c r="G225" s="44"/>
      <c r="H225" s="43"/>
      <c r="I225" s="45"/>
      <c r="J225" s="45"/>
      <c r="K225" s="47"/>
      <c r="L225" s="17"/>
      <c r="M225" s="48"/>
      <c r="N225" s="46"/>
      <c r="O225" s="46"/>
      <c r="P225" s="49"/>
      <c r="R225" s="86"/>
    </row>
    <row r="226" spans="1:27" ht="14.25">
      <c r="A226" s="23">
        <v>44652</v>
      </c>
      <c r="B226" s="24" t="s">
        <v>13</v>
      </c>
      <c r="C226" s="25">
        <v>24496</v>
      </c>
      <c r="D226" s="26">
        <v>119497.34</v>
      </c>
      <c r="E226" s="27">
        <f>D226/C226</f>
        <v>4.8782388961463097</v>
      </c>
      <c r="F226" s="17"/>
      <c r="G226" s="25">
        <v>21173</v>
      </c>
      <c r="H226" s="28">
        <f>(C226-G226)/C226</f>
        <v>0.13565480078380143</v>
      </c>
      <c r="I226" s="26">
        <f>G226*P218</f>
        <v>148515.89120000001</v>
      </c>
      <c r="J226" s="26">
        <f>I226-D226</f>
        <v>29018.551200000016</v>
      </c>
      <c r="L226" s="17"/>
      <c r="M226" s="27"/>
      <c r="N226" s="27"/>
      <c r="O226" s="27"/>
      <c r="P226" s="27"/>
      <c r="R226" s="86"/>
      <c r="T226" s="84"/>
      <c r="U226" s="85"/>
      <c r="Y226" s="87" t="e">
        <f>#REF!/0.95</f>
        <v>#REF!</v>
      </c>
      <c r="Z226" s="87" t="e">
        <f>R226-Y226</f>
        <v>#REF!</v>
      </c>
      <c r="AA226" s="88" t="e">
        <f>Z226*#REF!</f>
        <v>#REF!</v>
      </c>
    </row>
    <row r="227" spans="1:27" ht="14.25">
      <c r="B227" s="24" t="s">
        <v>15</v>
      </c>
      <c r="C227" s="25">
        <v>8382</v>
      </c>
      <c r="D227" s="26">
        <v>102511</v>
      </c>
      <c r="E227" s="27">
        <f>D227/C227</f>
        <v>12.229897399188738</v>
      </c>
      <c r="F227" s="17"/>
      <c r="G227" s="25">
        <v>8472</v>
      </c>
      <c r="H227" s="28">
        <f>(C227-G227)/C227</f>
        <v>-1.0737294201861132E-2</v>
      </c>
      <c r="I227" s="26">
        <f>G227*P218</f>
        <v>59425.996800000001</v>
      </c>
      <c r="J227" s="26">
        <f>I227-D227</f>
        <v>-43085.003199999999</v>
      </c>
      <c r="L227" s="17"/>
      <c r="M227" s="27"/>
      <c r="N227" s="27"/>
      <c r="O227" s="27"/>
      <c r="P227" s="27"/>
      <c r="R227" s="86"/>
      <c r="Y227" s="87" t="e">
        <f>#REF!/0.95</f>
        <v>#REF!</v>
      </c>
      <c r="Z227" s="87" t="e">
        <f>R227-Y227</f>
        <v>#REF!</v>
      </c>
      <c r="AA227" s="88" t="e">
        <f>Z227*#REF!</f>
        <v>#REF!</v>
      </c>
    </row>
    <row r="228" spans="1:27" ht="14.25">
      <c r="B228" s="24" t="s">
        <v>17</v>
      </c>
      <c r="C228" s="25">
        <f>SUM(C226:C227)</f>
        <v>32878</v>
      </c>
      <c r="D228" s="26">
        <f>SUM(D226:D227)</f>
        <v>222008.34</v>
      </c>
      <c r="E228" s="27">
        <f>D228/C228</f>
        <v>6.7524892025062346</v>
      </c>
      <c r="F228" s="17"/>
      <c r="G228" s="25">
        <f>SUM(G226:G227)</f>
        <v>29645</v>
      </c>
      <c r="H228" s="28">
        <f>(C228-G228)/C228</f>
        <v>9.8333231948415353E-2</v>
      </c>
      <c r="J228" s="26">
        <f>J226+J227</f>
        <v>-14066.451999999983</v>
      </c>
      <c r="K228" s="29">
        <f>K224+J228</f>
        <v>-589595.16366841295</v>
      </c>
      <c r="L228" s="17"/>
      <c r="M228" s="27"/>
      <c r="N228" s="27"/>
      <c r="O228" s="27"/>
      <c r="P228" s="27"/>
      <c r="R228" s="86"/>
      <c r="S228" s="25"/>
      <c r="Y228" s="87" t="e">
        <f>#REF!/0.95</f>
        <v>#REF!</v>
      </c>
      <c r="Z228" s="87" t="e">
        <f>R228-Y228</f>
        <v>#REF!</v>
      </c>
      <c r="AA228" s="88" t="e">
        <f>Z228*#REF!</f>
        <v>#REF!</v>
      </c>
    </row>
    <row r="229" spans="1:27" s="41" customFormat="1" ht="3" customHeight="1">
      <c r="A229" s="32"/>
      <c r="B229" s="33"/>
      <c r="C229" s="34"/>
      <c r="D229" s="35"/>
      <c r="E229" s="36"/>
      <c r="F229" s="37"/>
      <c r="G229" s="34"/>
      <c r="H229" s="33"/>
      <c r="I229" s="35"/>
      <c r="J229" s="35"/>
      <c r="K229" s="38"/>
      <c r="L229" s="37"/>
      <c r="M229" s="39"/>
      <c r="N229" s="36"/>
      <c r="O229" s="36"/>
      <c r="P229" s="40"/>
    </row>
    <row r="230" spans="1:27" ht="14.25">
      <c r="A230" s="23">
        <v>44682</v>
      </c>
      <c r="B230" s="24" t="s">
        <v>13</v>
      </c>
      <c r="C230" s="25">
        <v>10850</v>
      </c>
      <c r="D230" s="26">
        <v>95036</v>
      </c>
      <c r="E230" s="27">
        <f>D230/C230</f>
        <v>8.7590783410138258</v>
      </c>
      <c r="F230" s="17"/>
      <c r="G230" s="25">
        <v>9515</v>
      </c>
      <c r="H230" s="28">
        <f>(C230-G230)/C230</f>
        <v>0.12304147465437788</v>
      </c>
      <c r="I230" s="26">
        <f>G230*P230</f>
        <v>79314.185499999992</v>
      </c>
      <c r="J230" s="26">
        <f>I230-D230</f>
        <v>-15721.814500000008</v>
      </c>
      <c r="L230" s="17"/>
      <c r="M230" s="27">
        <v>8.0748999999999995</v>
      </c>
      <c r="N230" s="27">
        <v>0.26079999999999998</v>
      </c>
      <c r="O230" s="27"/>
      <c r="P230" s="27">
        <f>SUM(M230:O230)</f>
        <v>8.3356999999999992</v>
      </c>
      <c r="R230" s="86"/>
      <c r="T230" s="84"/>
      <c r="U230" s="85"/>
    </row>
    <row r="231" spans="1:27" ht="14.25">
      <c r="B231" s="24" t="s">
        <v>15</v>
      </c>
      <c r="C231" s="25">
        <v>2573</v>
      </c>
      <c r="D231" s="26">
        <v>37756</v>
      </c>
      <c r="E231" s="27">
        <f>D231/C231</f>
        <v>14.673921492421298</v>
      </c>
      <c r="F231" s="17"/>
      <c r="G231" s="25">
        <v>2427</v>
      </c>
      <c r="H231" s="28">
        <f>(C231-G231)/C231</f>
        <v>5.6743101438010105E-2</v>
      </c>
      <c r="I231" s="26">
        <f>G231*P230</f>
        <v>20230.743899999998</v>
      </c>
      <c r="J231" s="26">
        <f>I231-D231</f>
        <v>-17525.256100000002</v>
      </c>
      <c r="L231" s="17"/>
      <c r="M231" s="27"/>
      <c r="N231" s="27"/>
      <c r="O231" s="27"/>
      <c r="P231" s="27"/>
      <c r="R231" s="86"/>
    </row>
    <row r="232" spans="1:27" ht="14.25">
      <c r="B232" s="24" t="s">
        <v>17</v>
      </c>
      <c r="C232" s="25">
        <f>SUM(C230:C231)</f>
        <v>13423</v>
      </c>
      <c r="D232" s="26">
        <f>SUM(D230:D231)</f>
        <v>132792</v>
      </c>
      <c r="E232" s="27">
        <f>D232/C232</f>
        <v>9.8928704462489758</v>
      </c>
      <c r="F232" s="17"/>
      <c r="G232" s="25">
        <f>SUM(G230:G231)</f>
        <v>11942</v>
      </c>
      <c r="H232" s="28">
        <f>(C232-G232)/C232</f>
        <v>0.11033301050435819</v>
      </c>
      <c r="J232" s="26">
        <f>J230+J231</f>
        <v>-33247.070600000006</v>
      </c>
      <c r="K232" s="29">
        <f>K228+J232</f>
        <v>-622842.23426841293</v>
      </c>
      <c r="L232" s="17"/>
      <c r="M232" s="27"/>
      <c r="N232" s="27"/>
      <c r="O232" s="27"/>
      <c r="P232" s="27"/>
      <c r="R232" s="86"/>
    </row>
    <row r="233" spans="1:27" ht="3" customHeight="1">
      <c r="A233" s="42"/>
      <c r="B233" s="43"/>
      <c r="C233" s="44"/>
      <c r="D233" s="45"/>
      <c r="E233" s="46"/>
      <c r="F233" s="17"/>
      <c r="G233" s="44"/>
      <c r="H233" s="43"/>
      <c r="I233" s="45"/>
      <c r="J233" s="45"/>
      <c r="K233" s="47"/>
      <c r="L233" s="17"/>
      <c r="M233" s="48"/>
      <c r="N233" s="46"/>
      <c r="O233" s="46"/>
      <c r="P233" s="49"/>
      <c r="R233" s="86"/>
    </row>
    <row r="234" spans="1:27" ht="14.25">
      <c r="A234" s="23">
        <v>44713</v>
      </c>
      <c r="B234" s="24" t="s">
        <v>13</v>
      </c>
      <c r="C234" s="25">
        <v>7482.49</v>
      </c>
      <c r="D234" s="26">
        <v>65031.8</v>
      </c>
      <c r="E234" s="27">
        <f>D234/C234</f>
        <v>8.691197716268249</v>
      </c>
      <c r="F234" s="17"/>
      <c r="G234" s="25">
        <v>6459</v>
      </c>
      <c r="H234" s="28">
        <f>(C234-G234)/C234</f>
        <v>0.13678467996616098</v>
      </c>
      <c r="I234" s="26">
        <f>G234*P230</f>
        <v>53840.286299999992</v>
      </c>
      <c r="J234" s="26">
        <f>I234-D234</f>
        <v>-11191.51370000001</v>
      </c>
      <c r="L234" s="17"/>
      <c r="M234" s="27"/>
      <c r="N234" s="27"/>
      <c r="O234" s="27"/>
      <c r="P234" s="27"/>
      <c r="R234" s="86"/>
      <c r="T234" s="84"/>
      <c r="U234" s="85"/>
    </row>
    <row r="235" spans="1:27" ht="14.25">
      <c r="B235" s="24" t="s">
        <v>15</v>
      </c>
      <c r="C235" s="25">
        <v>2117</v>
      </c>
      <c r="D235" s="26">
        <v>35203</v>
      </c>
      <c r="E235" s="27">
        <f>D235/C235</f>
        <v>16.628719886632027</v>
      </c>
      <c r="F235" s="17"/>
      <c r="G235" s="25">
        <v>1673</v>
      </c>
      <c r="H235" s="28">
        <f>(C235-G235)/C235</f>
        <v>0.20973075106282474</v>
      </c>
      <c r="I235" s="26">
        <f>G235*P230</f>
        <v>13945.626099999999</v>
      </c>
      <c r="J235" s="26">
        <f>I235-D235</f>
        <v>-21257.373899999999</v>
      </c>
      <c r="L235" s="17"/>
      <c r="M235" s="27"/>
      <c r="N235" s="27"/>
      <c r="O235" s="27"/>
      <c r="P235" s="27"/>
      <c r="R235" s="86"/>
    </row>
    <row r="236" spans="1:27" ht="14.25">
      <c r="B236" s="24" t="s">
        <v>17</v>
      </c>
      <c r="C236" s="25">
        <f>SUM(C234:C235)</f>
        <v>9599.49</v>
      </c>
      <c r="D236" s="26">
        <f>SUM(D234:D235)</f>
        <v>100234.8</v>
      </c>
      <c r="E236" s="27">
        <f>D236/C236</f>
        <v>10.441679714234819</v>
      </c>
      <c r="F236" s="17"/>
      <c r="G236" s="25">
        <f>SUM(G234:G235)</f>
        <v>8132</v>
      </c>
      <c r="H236" s="28">
        <f>(C236-G236)/C236</f>
        <v>0.15287166297376212</v>
      </c>
      <c r="J236" s="26">
        <f>J234+J235</f>
        <v>-32448.887600000009</v>
      </c>
      <c r="K236" s="29">
        <f>K232+J236</f>
        <v>-655291.12186841294</v>
      </c>
      <c r="L236" s="17"/>
      <c r="M236" s="27"/>
      <c r="N236" s="27"/>
      <c r="O236" s="27"/>
      <c r="P236" s="27"/>
      <c r="R236" s="86"/>
    </row>
    <row r="237" spans="1:27" ht="3" customHeight="1">
      <c r="A237" s="42"/>
      <c r="B237" s="43"/>
      <c r="C237" s="44"/>
      <c r="D237" s="45"/>
      <c r="E237" s="46"/>
      <c r="F237" s="17"/>
      <c r="G237" s="44"/>
      <c r="H237" s="43"/>
      <c r="I237" s="45"/>
      <c r="J237" s="45"/>
      <c r="K237" s="47"/>
      <c r="L237" s="17"/>
      <c r="M237" s="48"/>
      <c r="N237" s="46"/>
      <c r="O237" s="46"/>
      <c r="P237" s="49"/>
      <c r="R237" s="86"/>
    </row>
    <row r="238" spans="1:27" ht="14.25">
      <c r="A238" s="23">
        <v>44743</v>
      </c>
      <c r="B238" s="24" t="s">
        <v>13</v>
      </c>
      <c r="C238" s="25">
        <v>6835.6</v>
      </c>
      <c r="D238" s="26">
        <v>49483.82</v>
      </c>
      <c r="E238" s="27">
        <f>D238/C238</f>
        <v>7.2391333606413477</v>
      </c>
      <c r="F238" s="17"/>
      <c r="G238" s="25">
        <v>4801</v>
      </c>
      <c r="H238" s="28">
        <f>(C238-G238)/C238</f>
        <v>0.29764760957340985</v>
      </c>
      <c r="I238" s="26">
        <f>G238*P230</f>
        <v>40019.695699999997</v>
      </c>
      <c r="J238" s="26">
        <f>I238-D238</f>
        <v>-9464.1243000000031</v>
      </c>
      <c r="L238" s="17"/>
      <c r="M238" s="27"/>
      <c r="N238" s="27"/>
      <c r="O238" s="27"/>
      <c r="P238" s="27"/>
      <c r="R238" s="86"/>
      <c r="T238" s="84"/>
      <c r="U238" s="85"/>
    </row>
    <row r="239" spans="1:27" ht="14.25">
      <c r="B239" s="24" t="s">
        <v>15</v>
      </c>
      <c r="C239" s="25">
        <v>1549</v>
      </c>
      <c r="D239" s="26">
        <v>21055</v>
      </c>
      <c r="E239" s="27">
        <f>D239/C239</f>
        <v>13.592640413169788</v>
      </c>
      <c r="F239" s="17"/>
      <c r="G239" s="25">
        <v>1376</v>
      </c>
      <c r="H239" s="28">
        <f>(C239-G239)/C239</f>
        <v>0.11168495803744351</v>
      </c>
      <c r="I239" s="26">
        <f>G239*P230</f>
        <v>11469.923199999999</v>
      </c>
      <c r="J239" s="26">
        <f>I239-D239</f>
        <v>-9585.0768000000007</v>
      </c>
      <c r="L239" s="17"/>
      <c r="M239" s="27"/>
      <c r="N239" s="27"/>
      <c r="O239" s="27"/>
      <c r="P239" s="27"/>
      <c r="R239" s="86"/>
    </row>
    <row r="240" spans="1:27">
      <c r="B240" s="24" t="s">
        <v>17</v>
      </c>
      <c r="C240" s="25">
        <f>SUM(C238:C239)</f>
        <v>8384.6</v>
      </c>
      <c r="D240" s="26">
        <f>SUM(D238:D239)</f>
        <v>70538.820000000007</v>
      </c>
      <c r="E240" s="27">
        <f>D240/C240</f>
        <v>8.4129022255086703</v>
      </c>
      <c r="F240" s="17"/>
      <c r="G240" s="25">
        <f>SUM(G238:G239)</f>
        <v>6177</v>
      </c>
      <c r="H240" s="28">
        <f>(C240-G240)/C240</f>
        <v>0.26329222622426834</v>
      </c>
      <c r="J240" s="26">
        <f>J238+J239</f>
        <v>-19049.201100000006</v>
      </c>
      <c r="K240" s="29">
        <f>K236+J240</f>
        <v>-674340.32296841289</v>
      </c>
      <c r="L240" s="17"/>
      <c r="M240" s="27"/>
      <c r="N240" s="27"/>
      <c r="O240" s="27"/>
      <c r="P240" s="27"/>
      <c r="R240" s="69"/>
      <c r="S240" s="25"/>
      <c r="Y240" s="89"/>
      <c r="Z240" s="89"/>
      <c r="AA240" s="89"/>
    </row>
    <row r="241" spans="1:28" s="41" customFormat="1" ht="3" customHeight="1">
      <c r="A241" s="32"/>
      <c r="B241" s="33"/>
      <c r="C241" s="34"/>
      <c r="D241" s="35"/>
      <c r="E241" s="36"/>
      <c r="F241" s="37"/>
      <c r="G241" s="34"/>
      <c r="H241" s="33"/>
      <c r="I241" s="35"/>
      <c r="J241" s="35"/>
      <c r="K241" s="38"/>
      <c r="L241" s="37"/>
      <c r="M241" s="39"/>
      <c r="N241" s="36"/>
      <c r="O241" s="36"/>
      <c r="P241" s="40"/>
    </row>
    <row r="242" spans="1:28" ht="14.25">
      <c r="A242" s="23">
        <v>44774</v>
      </c>
      <c r="B242" s="24" t="s">
        <v>13</v>
      </c>
      <c r="C242" s="25">
        <v>7163</v>
      </c>
      <c r="D242" s="26">
        <v>66750.429999999993</v>
      </c>
      <c r="E242" s="27">
        <f>D242/C242</f>
        <v>9.3187812369119083</v>
      </c>
      <c r="F242" s="17"/>
      <c r="G242" s="25">
        <v>5528</v>
      </c>
      <c r="H242" s="28">
        <f>(C242-G242)/C242</f>
        <v>0.22825631718553679</v>
      </c>
      <c r="I242" s="26">
        <f>G242*P242</f>
        <v>56051.156000000003</v>
      </c>
      <c r="J242" s="26">
        <f>I242-D242</f>
        <v>-10699.27399999999</v>
      </c>
      <c r="L242" s="17"/>
      <c r="M242" s="27">
        <v>9.5959000000000003</v>
      </c>
      <c r="N242" s="27">
        <v>0.54359999999999997</v>
      </c>
      <c r="O242" s="27"/>
      <c r="P242" s="27">
        <f>SUM(M242:O242)</f>
        <v>10.1395</v>
      </c>
      <c r="R242" s="86"/>
      <c r="T242" s="84"/>
      <c r="U242" s="85"/>
      <c r="X242" s="50"/>
      <c r="Y242" s="90"/>
      <c r="Z242" s="90"/>
      <c r="AA242" s="91"/>
    </row>
    <row r="243" spans="1:28" ht="14.25">
      <c r="B243" s="24" t="s">
        <v>15</v>
      </c>
      <c r="C243" s="25">
        <v>1415</v>
      </c>
      <c r="D243" s="26">
        <v>23042</v>
      </c>
      <c r="E243" s="27">
        <f>D243/C243</f>
        <v>16.284098939929329</v>
      </c>
      <c r="F243" s="17"/>
      <c r="G243" s="25">
        <v>1344</v>
      </c>
      <c r="H243" s="28">
        <f>(C243-G243)/C243</f>
        <v>5.0176678445229682E-2</v>
      </c>
      <c r="I243" s="26">
        <f>G243*P242</f>
        <v>13627.487999999999</v>
      </c>
      <c r="J243" s="26">
        <f>I243-D243</f>
        <v>-9414.5120000000006</v>
      </c>
      <c r="L243" s="17"/>
      <c r="M243" s="27"/>
      <c r="N243" s="27"/>
      <c r="O243" s="27"/>
      <c r="P243" s="27"/>
      <c r="R243" s="86"/>
      <c r="X243" s="50"/>
      <c r="Y243" s="90"/>
      <c r="Z243" s="90"/>
      <c r="AA243" s="91"/>
      <c r="AB243" s="92"/>
    </row>
    <row r="244" spans="1:28">
      <c r="B244" s="24" t="s">
        <v>17</v>
      </c>
      <c r="C244" s="25">
        <f>SUM(C242:C243)</f>
        <v>8578</v>
      </c>
      <c r="D244" s="26">
        <f>SUM(D242:D243)</f>
        <v>89792.43</v>
      </c>
      <c r="E244" s="27">
        <f>D244/C244</f>
        <v>10.467758218698997</v>
      </c>
      <c r="F244" s="17"/>
      <c r="G244" s="25">
        <f>SUM(G242:G243)</f>
        <v>6872</v>
      </c>
      <c r="H244" s="28">
        <f>(C244-G244)/C244</f>
        <v>0.19888085800885988</v>
      </c>
      <c r="J244" s="26">
        <f>J242+J243</f>
        <v>-20113.785999999993</v>
      </c>
      <c r="K244" s="29">
        <f>K240+J244</f>
        <v>-694454.10896841285</v>
      </c>
      <c r="L244" s="17"/>
      <c r="M244" s="27"/>
      <c r="N244" s="27"/>
      <c r="O244" s="27"/>
      <c r="P244" s="27"/>
      <c r="R244" s="63"/>
      <c r="S244" s="25"/>
      <c r="X244" s="50"/>
      <c r="Y244" s="90"/>
      <c r="Z244" s="90"/>
      <c r="AA244" s="93"/>
    </row>
    <row r="245" spans="1:28" ht="3" customHeight="1">
      <c r="A245" s="42"/>
      <c r="B245" s="43"/>
      <c r="C245" s="44"/>
      <c r="D245" s="45"/>
      <c r="E245" s="46"/>
      <c r="F245" s="17"/>
      <c r="G245" s="44"/>
      <c r="H245" s="43"/>
      <c r="I245" s="45"/>
      <c r="J245" s="45"/>
      <c r="K245" s="47"/>
      <c r="L245" s="17"/>
      <c r="M245" s="48"/>
      <c r="N245" s="46"/>
      <c r="O245" s="46"/>
      <c r="P245" s="49"/>
    </row>
    <row r="246" spans="1:28" ht="14.25">
      <c r="A246" s="23">
        <v>44805</v>
      </c>
      <c r="B246" s="24" t="s">
        <v>13</v>
      </c>
      <c r="C246" s="25">
        <v>7938</v>
      </c>
      <c r="D246" s="26">
        <v>73376.86</v>
      </c>
      <c r="E246" s="27">
        <f>D246/C246</f>
        <v>9.2437465356512973</v>
      </c>
      <c r="F246" s="17"/>
      <c r="G246" s="25">
        <v>6132</v>
      </c>
      <c r="H246" s="28">
        <f>(C246-G246)/C246</f>
        <v>0.2275132275132275</v>
      </c>
      <c r="I246" s="26">
        <f>G246*P242</f>
        <v>62175.413999999997</v>
      </c>
      <c r="J246" s="26">
        <f>I246-D246</f>
        <v>-11201.446000000004</v>
      </c>
      <c r="L246" s="17"/>
      <c r="M246" s="27"/>
      <c r="N246" s="27"/>
      <c r="O246" s="27"/>
      <c r="P246" s="27"/>
      <c r="R246" s="86"/>
      <c r="T246" s="84"/>
      <c r="U246" s="85"/>
    </row>
    <row r="247" spans="1:28" ht="14.25">
      <c r="B247" s="24" t="s">
        <v>15</v>
      </c>
      <c r="C247" s="25">
        <v>1833</v>
      </c>
      <c r="D247" s="26">
        <v>30224</v>
      </c>
      <c r="E247" s="27">
        <f>D247/C247</f>
        <v>16.488816148390615</v>
      </c>
      <c r="F247" s="17"/>
      <c r="G247" s="25">
        <v>1520</v>
      </c>
      <c r="H247" s="28">
        <f>(C247-G247)/C247</f>
        <v>0.1707583196944899</v>
      </c>
      <c r="I247" s="26">
        <f>G247*P242</f>
        <v>15412.039999999999</v>
      </c>
      <c r="J247" s="26">
        <f>I247-D247</f>
        <v>-14811.960000000001</v>
      </c>
      <c r="L247" s="17"/>
      <c r="M247" s="27"/>
      <c r="N247" s="27"/>
      <c r="O247" s="27"/>
      <c r="P247" s="27"/>
      <c r="R247" s="86"/>
    </row>
    <row r="248" spans="1:28">
      <c r="B248" s="24" t="s">
        <v>17</v>
      </c>
      <c r="C248" s="25">
        <f>SUM(C246:C247)</f>
        <v>9771</v>
      </c>
      <c r="D248" s="26">
        <f>SUM(D246:D247)</f>
        <v>103600.86</v>
      </c>
      <c r="E248" s="27">
        <f>D248/C248</f>
        <v>10.602892232115444</v>
      </c>
      <c r="F248" s="17"/>
      <c r="G248" s="25">
        <f>SUM(G246:G247)</f>
        <v>7652</v>
      </c>
      <c r="H248" s="28">
        <f>(C248-G248)/C248</f>
        <v>0.21686623682325248</v>
      </c>
      <c r="J248" s="26">
        <f>J246+J247</f>
        <v>-26013.406000000003</v>
      </c>
      <c r="K248" s="29">
        <f>K244+J248</f>
        <v>-720467.51496841281</v>
      </c>
      <c r="L248" s="17"/>
      <c r="M248" s="27"/>
      <c r="N248" s="27"/>
      <c r="O248" s="27"/>
      <c r="P248" s="27"/>
    </row>
    <row r="249" spans="1:28" ht="3" customHeight="1">
      <c r="A249" s="42"/>
      <c r="B249" s="43"/>
      <c r="C249" s="44"/>
      <c r="D249" s="45"/>
      <c r="E249" s="46"/>
      <c r="F249" s="17"/>
      <c r="G249" s="44"/>
      <c r="H249" s="43"/>
      <c r="I249" s="45"/>
      <c r="J249" s="45"/>
      <c r="K249" s="47"/>
      <c r="L249" s="17"/>
      <c r="M249" s="48"/>
      <c r="N249" s="46"/>
      <c r="O249" s="46"/>
      <c r="P249" s="49"/>
    </row>
    <row r="250" spans="1:28" ht="14.25">
      <c r="A250" s="23">
        <v>44835</v>
      </c>
      <c r="B250" s="24" t="s">
        <v>13</v>
      </c>
      <c r="C250" s="25">
        <v>19438</v>
      </c>
      <c r="D250" s="297">
        <f>118056.06+5412</f>
        <v>123468.06</v>
      </c>
      <c r="E250" s="27">
        <f>D250/C250</f>
        <v>6.351891141063895</v>
      </c>
      <c r="F250" s="17"/>
      <c r="G250" s="25">
        <v>16518</v>
      </c>
      <c r="H250" s="28">
        <f>(C250-G250)/C250</f>
        <v>0.15022121617450354</v>
      </c>
      <c r="I250" s="26">
        <f>G250*P242</f>
        <v>167484.261</v>
      </c>
      <c r="J250" s="26">
        <f>I250-D250</f>
        <v>44016.201000000001</v>
      </c>
      <c r="L250" s="17"/>
      <c r="M250" s="27"/>
      <c r="N250" s="27"/>
      <c r="O250" s="27"/>
      <c r="P250" s="27"/>
      <c r="R250" s="31" t="s">
        <v>225</v>
      </c>
      <c r="T250" s="84"/>
      <c r="U250" s="85"/>
    </row>
    <row r="251" spans="1:28" ht="14.25">
      <c r="B251" s="24" t="s">
        <v>15</v>
      </c>
      <c r="C251" s="25">
        <v>6809</v>
      </c>
      <c r="D251" s="26">
        <v>85493</v>
      </c>
      <c r="E251" s="27">
        <f>D251/C251</f>
        <v>12.555881920986929</v>
      </c>
      <c r="F251" s="17"/>
      <c r="G251" s="25">
        <v>6003</v>
      </c>
      <c r="H251" s="28">
        <f>(C251-G251)/C251</f>
        <v>0.11837274195917169</v>
      </c>
      <c r="I251" s="26">
        <f>G251*P242</f>
        <v>60867.4185</v>
      </c>
      <c r="J251" s="26">
        <f>I251-D251</f>
        <v>-24625.5815</v>
      </c>
      <c r="L251" s="17"/>
      <c r="M251" s="27"/>
      <c r="N251" s="27"/>
      <c r="O251" s="27"/>
      <c r="P251" s="27"/>
      <c r="R251" s="86"/>
    </row>
    <row r="252" spans="1:28">
      <c r="B252" s="24" t="s">
        <v>17</v>
      </c>
      <c r="C252" s="25">
        <f>SUM(C250:C251)</f>
        <v>26247</v>
      </c>
      <c r="D252" s="26">
        <f>SUM(D250:D251)</f>
        <v>208961.06</v>
      </c>
      <c r="E252" s="27">
        <f>D252/C252</f>
        <v>7.9613311997561622</v>
      </c>
      <c r="F252" s="17"/>
      <c r="G252" s="25">
        <f>SUM(G250:G251)</f>
        <v>22521</v>
      </c>
      <c r="H252" s="28">
        <f>(C252-G252)/C252</f>
        <v>0.14195908103783289</v>
      </c>
      <c r="J252" s="26">
        <f>J250+J251</f>
        <v>19390.619500000001</v>
      </c>
      <c r="K252" s="29">
        <f>K248+J252</f>
        <v>-701076.89546841278</v>
      </c>
      <c r="L252" s="17"/>
      <c r="M252" s="53" t="s">
        <v>120</v>
      </c>
      <c r="N252" s="53" t="s">
        <v>22</v>
      </c>
      <c r="R252" s="69"/>
      <c r="S252" s="25"/>
    </row>
    <row r="253" spans="1:28" ht="6" customHeight="1">
      <c r="F253" s="17"/>
      <c r="H253" s="28"/>
      <c r="J253" s="24"/>
      <c r="L253" s="17"/>
    </row>
    <row r="254" spans="1:28">
      <c r="A254" s="55" t="s">
        <v>119</v>
      </c>
      <c r="B254" s="56"/>
      <c r="C254" s="56">
        <f t="shared" ref="C254:D256" si="9">SUM(C206,C210,C214,C218,C222,C226,C230,C234,C238,C242,C246,C250)</f>
        <v>302085.68999999994</v>
      </c>
      <c r="D254" s="57">
        <f t="shared" si="9"/>
        <v>2024625.4800000002</v>
      </c>
      <c r="E254" s="58">
        <f>D254/C254</f>
        <v>6.7021561994545342</v>
      </c>
      <c r="F254" s="17"/>
      <c r="G254" s="56">
        <f>SUM(G206,G210,G214,G218,G222,G226,G230,G234,G238,G242,G246,G250)</f>
        <v>264444</v>
      </c>
      <c r="H254" s="59">
        <f>(C254-G254)/C254</f>
        <v>0.12460600169441972</v>
      </c>
      <c r="I254" s="57">
        <f>SUM(I206,I210,I214,I218,I222,I226,I230,I234,I238,I242,I246,I250)</f>
        <v>2145889.8848999999</v>
      </c>
      <c r="J254" s="57">
        <f>E254*(N254+N255)</f>
        <v>23281.937525909998</v>
      </c>
      <c r="K254" s="54" t="s">
        <v>22</v>
      </c>
      <c r="L254" s="17"/>
      <c r="M254" s="60">
        <f>G254/(1-$R$260)</f>
        <v>285885.40540540538</v>
      </c>
      <c r="N254" s="60">
        <f>C254-M254</f>
        <v>16200.284594594559</v>
      </c>
      <c r="P254" s="171"/>
      <c r="R254" s="31" t="s">
        <v>27</v>
      </c>
    </row>
    <row r="255" spans="1:28">
      <c r="A255" s="61"/>
      <c r="B255" s="62" t="s">
        <v>15</v>
      </c>
      <c r="C255" s="56">
        <f t="shared" si="9"/>
        <v>105880</v>
      </c>
      <c r="D255" s="57">
        <f t="shared" si="9"/>
        <v>1391070</v>
      </c>
      <c r="E255" s="58">
        <f>D255/C255</f>
        <v>13.138175292784284</v>
      </c>
      <c r="F255" s="17"/>
      <c r="G255" s="56">
        <f>SUM(G207,G211,G215,G219,G223,G227,G231,G235,G239,G243,G247,G251)</f>
        <v>109711</v>
      </c>
      <c r="H255" s="59">
        <f t="shared" ref="H255:H256" si="10">(C255-G255)/C255</f>
        <v>-3.6182470721571589E-2</v>
      </c>
      <c r="I255" s="57">
        <f>SUM(I207,I211,I215,I219,I223,I227,I231,I235,I239,I243,I247,I251)</f>
        <v>882184.40090000001</v>
      </c>
      <c r="J255" s="57"/>
      <c r="L255" s="17"/>
      <c r="M255" s="60">
        <f>G255/(1-$R$260)</f>
        <v>118606.48648648648</v>
      </c>
      <c r="N255" s="60">
        <f>C255-M255</f>
        <v>-12726.486486486479</v>
      </c>
      <c r="P255" s="171"/>
      <c r="R255" s="69"/>
      <c r="S255" s="25"/>
    </row>
    <row r="256" spans="1:28">
      <c r="A256" s="61"/>
      <c r="B256" s="62" t="s">
        <v>17</v>
      </c>
      <c r="C256" s="56">
        <f t="shared" si="9"/>
        <v>407965.68999999994</v>
      </c>
      <c r="D256" s="57">
        <f t="shared" si="9"/>
        <v>3415695.4799999995</v>
      </c>
      <c r="E256" s="58">
        <f>D256/C256</f>
        <v>8.3725067174153782</v>
      </c>
      <c r="F256" s="17"/>
      <c r="G256" s="56">
        <f>SUM(G208,G212,G216,G220,G224,G228,G232,G236,G240,G244,G248,G252)</f>
        <v>374155</v>
      </c>
      <c r="H256" s="59">
        <f t="shared" si="10"/>
        <v>8.2876307564001148E-2</v>
      </c>
      <c r="I256" s="57">
        <f>SUM(I206,I210,I214,I218,I222,I226,I230,I235,I240,I244,I248,I252)</f>
        <v>1780264.6979999996</v>
      </c>
      <c r="J256" s="57">
        <f>SUM(J254:J255)</f>
        <v>23281.937525909998</v>
      </c>
      <c r="K256" s="70">
        <f>K252+J256</f>
        <v>-677794.95794250281</v>
      </c>
      <c r="L256" s="17"/>
      <c r="M256" s="60">
        <f>G256/(1-$R$260)</f>
        <v>404491.89189189189</v>
      </c>
      <c r="N256" s="60">
        <f>C256-M256</f>
        <v>3473.7981081080507</v>
      </c>
      <c r="P256" s="171"/>
      <c r="R256" s="64">
        <f>N256*E256</f>
        <v>29084.397995079486</v>
      </c>
      <c r="S256" s="65" t="s">
        <v>25</v>
      </c>
    </row>
    <row r="257" spans="1:22" s="41" customFormat="1" ht="6" customHeight="1">
      <c r="A257" s="32"/>
      <c r="B257" s="33"/>
      <c r="C257" s="34"/>
      <c r="D257" s="35"/>
      <c r="E257" s="36"/>
      <c r="F257" s="37"/>
      <c r="G257" s="34"/>
      <c r="H257" s="33"/>
      <c r="I257" s="35"/>
      <c r="J257" s="35"/>
      <c r="K257" s="38"/>
      <c r="L257" s="37"/>
      <c r="M257" s="66"/>
      <c r="N257" s="67"/>
      <c r="O257" s="67"/>
      <c r="P257" s="68"/>
    </row>
    <row r="258" spans="1:22" ht="14.25">
      <c r="L258" s="17"/>
      <c r="T258" s="84"/>
      <c r="U258" s="85"/>
    </row>
    <row r="259" spans="1:22" ht="14.25">
      <c r="K259" s="302" t="s">
        <v>235</v>
      </c>
      <c r="L259" s="17"/>
      <c r="R259" s="304" t="s">
        <v>230</v>
      </c>
      <c r="T259" s="84"/>
      <c r="U259" s="85"/>
    </row>
    <row r="260" spans="1:22">
      <c r="L260" s="17"/>
      <c r="R260" s="303">
        <v>7.4999999999999997E-2</v>
      </c>
      <c r="S260" s="31" t="s">
        <v>231</v>
      </c>
      <c r="U260" s="85"/>
    </row>
    <row r="261" spans="1:22">
      <c r="D261" s="25"/>
      <c r="I261" s="25"/>
      <c r="L261" s="17"/>
      <c r="S261" s="23"/>
      <c r="T261" s="29"/>
      <c r="U261" s="29"/>
      <c r="V261" s="26"/>
    </row>
    <row r="262" spans="1:22">
      <c r="L262" s="17"/>
      <c r="T262" s="29"/>
      <c r="U262" s="166"/>
      <c r="V262" s="26"/>
    </row>
    <row r="263" spans="1:22">
      <c r="L263" s="17"/>
      <c r="T263" s="29"/>
      <c r="U263" s="85"/>
    </row>
    <row r="264" spans="1:22">
      <c r="L264" s="17"/>
      <c r="T264" s="29"/>
      <c r="U264" s="85"/>
    </row>
    <row r="265" spans="1:22">
      <c r="L265" s="17"/>
      <c r="U265" s="85"/>
    </row>
    <row r="266" spans="1:22" ht="14.25">
      <c r="L266" s="17"/>
      <c r="T266" s="84"/>
      <c r="U266" s="85"/>
    </row>
    <row r="267" spans="1:22" ht="14.25">
      <c r="L267" s="17"/>
      <c r="T267" s="84"/>
      <c r="U267" s="85"/>
    </row>
    <row r="268" spans="1:22" ht="14.25">
      <c r="L268" s="17"/>
      <c r="T268" s="84"/>
      <c r="U268" s="85"/>
    </row>
    <row r="269" spans="1:22" ht="14.25">
      <c r="L269" s="17"/>
      <c r="T269" s="84"/>
      <c r="U269" s="85"/>
    </row>
    <row r="270" spans="1:22" ht="14.25">
      <c r="L270" s="17"/>
      <c r="T270" s="84"/>
      <c r="U270" s="85"/>
    </row>
    <row r="271" spans="1:22" ht="14.25">
      <c r="L271" s="17"/>
      <c r="T271" s="84"/>
      <c r="U271" s="85"/>
    </row>
    <row r="272" spans="1:22" ht="14.25">
      <c r="L272" s="17"/>
      <c r="T272" s="84"/>
      <c r="U272" s="85"/>
    </row>
    <row r="273" spans="12:21" ht="14.25">
      <c r="L273" s="17"/>
      <c r="T273" s="84"/>
      <c r="U273" s="85"/>
    </row>
    <row r="274" spans="12:21">
      <c r="L274" s="17"/>
    </row>
    <row r="275" spans="12:21">
      <c r="L275" s="17"/>
    </row>
    <row r="276" spans="12:21">
      <c r="L276" s="17"/>
    </row>
    <row r="277" spans="12:21">
      <c r="L277" s="17"/>
    </row>
  </sheetData>
  <mergeCells count="2">
    <mergeCell ref="M126:O126"/>
    <mergeCell ref="M131:O131"/>
  </mergeCells>
  <printOptions horizontalCentered="1"/>
  <pageMargins left="0.2" right="0.2" top="0.25" bottom="0.25" header="0.2" footer="0.2"/>
  <pageSetup scale="85" fitToHeight="0" orientation="landscape" r:id="rId1"/>
  <rowBreaks count="4" manualBreakCount="4">
    <brk id="47" max="16383" man="1"/>
    <brk id="99" max="16383" man="1"/>
    <brk id="153" max="16383" man="1"/>
    <brk id="2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 I Rate Dtrm</vt:lpstr>
      <vt:lpstr>Sched II EGC </vt:lpstr>
      <vt:lpstr>Sch III GBA</vt:lpstr>
      <vt:lpstr>'Sch III GBA'!Print_Area</vt:lpstr>
      <vt:lpstr>'Sched I Rate Dtrm'!Print_Area</vt:lpstr>
      <vt:lpstr>'Sched II EGC '!Print_Area</vt:lpstr>
      <vt:lpstr>'Sch III GBA'!Print_Titles</vt:lpstr>
      <vt:lpstr>'Sched I Rate Dtrm'!Print_Titles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Brittany Koenig</cp:lastModifiedBy>
  <cp:lastPrinted>2023-02-17T16:01:34Z</cp:lastPrinted>
  <dcterms:created xsi:type="dcterms:W3CDTF">2022-11-30T18:34:47Z</dcterms:created>
  <dcterms:modified xsi:type="dcterms:W3CDTF">2023-02-24T16:15:42Z</dcterms:modified>
</cp:coreProperties>
</file>