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South 641 WD/"/>
    </mc:Choice>
  </mc:AlternateContent>
  <xr:revisionPtr revIDLastSave="2101" documentId="8_{C5662864-23C7-4EC3-B28D-51ECA3E58536}" xr6:coauthVersionLast="47" xr6:coauthVersionMax="47" xr10:uidLastSave="{3B97C0AD-A80D-495B-A461-90FD76FA143F}"/>
  <bookViews>
    <workbookView xWindow="-98" yWindow="-98" windowWidth="20715" windowHeight="13155" firstSheet="7" activeTab="9" xr2:uid="{F765FA49-964A-4F34-AB33-4C5CF4FBE6A8}"/>
  </bookViews>
  <sheets>
    <sheet name="SAOw" sheetId="3" r:id="rId1"/>
    <sheet name="K&amp;M Changes W" sheetId="32" r:id="rId2"/>
    <sheet name="SAOs" sheetId="23" r:id="rId3"/>
    <sheet name="K&amp;M Changes S" sheetId="33" r:id="rId4"/>
    <sheet name="Wages" sheetId="29" r:id="rId5"/>
    <sheet name="Medical" sheetId="30" r:id="rId6"/>
    <sheet name="Water Loss" sheetId="31" r:id="rId7"/>
    <sheet name="Depreciation" sheetId="1" r:id="rId8"/>
    <sheet name="Debt Service" sheetId="5" r:id="rId9"/>
    <sheet name="RatesW" sheetId="2" r:id="rId10"/>
    <sheet name="RatesS" sheetId="26" r:id="rId11"/>
    <sheet name="Bills" sheetId="21" r:id="rId12"/>
    <sheet name="Adjustments" sheetId="34" r:id="rId13"/>
    <sheet name="ExBAw" sheetId="10" r:id="rId14"/>
    <sheet name="ExBAs" sheetId="25" r:id="rId15"/>
    <sheet name="PrBAw" sheetId="35" r:id="rId16"/>
    <sheet name="PrBAs" sheetId="37" r:id="rId17"/>
  </sheets>
  <definedNames>
    <definedName name="_xlnm.Print_Area" localSheetId="11">Bills!$B$2:$H$35</definedName>
    <definedName name="_xlnm.Print_Area" localSheetId="8">'Debt Service'!$A$1:$O$34</definedName>
    <definedName name="_xlnm.Print_Area" localSheetId="7">Depreciation!$A$1:$M$78</definedName>
    <definedName name="_xlnm.Print_Area" localSheetId="14">ExBAs!$A$1:$J$81</definedName>
    <definedName name="_xlnm.Print_Area" localSheetId="13">ExBAw!$A$1:$K$103</definedName>
    <definedName name="_xlnm.Print_Area" localSheetId="16">PrBAs!$A$1:$G$55</definedName>
    <definedName name="_xlnm.Print_Area" localSheetId="15">PrBAw!$A$1:$J$103</definedName>
    <definedName name="_xlnm.Print_Area" localSheetId="10">RatesS!$A$1:$P$21</definedName>
    <definedName name="_xlnm.Print_Area" localSheetId="9">RatesW!$A$1:$P$20</definedName>
    <definedName name="_xlnm.Print_Area" localSheetId="2">SAOs!$A$1:$G$53</definedName>
    <definedName name="_xlnm.Print_Area" localSheetId="0">SAOw!$A$1:$G$44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6" l="1"/>
  <c r="E26" i="3"/>
  <c r="G26" i="3" s="1"/>
  <c r="E31" i="23"/>
  <c r="J19" i="30"/>
  <c r="J16" i="30"/>
  <c r="C6" i="30"/>
  <c r="E38" i="23"/>
  <c r="E29" i="3"/>
  <c r="E17" i="23"/>
  <c r="E13" i="3"/>
  <c r="G13" i="3" s="1"/>
  <c r="F12" i="29"/>
  <c r="F16" i="29"/>
  <c r="F23" i="29"/>
  <c r="F13" i="29"/>
  <c r="E10" i="23"/>
  <c r="E12" i="23" s="1"/>
  <c r="D74" i="37"/>
  <c r="C74" i="37"/>
  <c r="C75" i="37" s="1"/>
  <c r="C79" i="37" s="1"/>
  <c r="C81" i="37" s="1"/>
  <c r="D10" i="37" s="1"/>
  <c r="D73" i="37"/>
  <c r="E73" i="37" s="1"/>
  <c r="G73" i="37" s="1"/>
  <c r="C73" i="37"/>
  <c r="D61" i="37"/>
  <c r="D62" i="37" s="1"/>
  <c r="C61" i="37"/>
  <c r="D60" i="37"/>
  <c r="C60" i="37"/>
  <c r="D48" i="37"/>
  <c r="C48" i="37"/>
  <c r="C49" i="37" s="1"/>
  <c r="C53" i="37" s="1"/>
  <c r="C55" i="37" s="1"/>
  <c r="D8" i="37" s="1"/>
  <c r="D47" i="37"/>
  <c r="D49" i="37" s="1"/>
  <c r="C47" i="37"/>
  <c r="D35" i="37"/>
  <c r="C35" i="37"/>
  <c r="D34" i="37"/>
  <c r="D36" i="37" s="1"/>
  <c r="C34" i="37"/>
  <c r="C36" i="37" s="1"/>
  <c r="C40" i="37" s="1"/>
  <c r="C42" i="37" s="1"/>
  <c r="D7" i="37" s="1"/>
  <c r="D22" i="37"/>
  <c r="C22" i="37"/>
  <c r="D21" i="37"/>
  <c r="D23" i="37"/>
  <c r="C21" i="37"/>
  <c r="B80" i="37"/>
  <c r="B79" i="37"/>
  <c r="D75" i="37"/>
  <c r="F72" i="37"/>
  <c r="E72" i="37"/>
  <c r="B67" i="37"/>
  <c r="B66" i="37"/>
  <c r="C62" i="37"/>
  <c r="C66" i="37" s="1"/>
  <c r="C68" i="37" s="1"/>
  <c r="D9" i="37" s="1"/>
  <c r="E60" i="37"/>
  <c r="G60" i="37" s="1"/>
  <c r="F59" i="37"/>
  <c r="E59" i="37"/>
  <c r="B54" i="37"/>
  <c r="B53" i="37"/>
  <c r="F46" i="37"/>
  <c r="E46" i="37"/>
  <c r="B41" i="37"/>
  <c r="B40" i="37"/>
  <c r="F33" i="37"/>
  <c r="E33" i="37"/>
  <c r="B28" i="37"/>
  <c r="B27" i="37"/>
  <c r="F20" i="37"/>
  <c r="E20" i="37"/>
  <c r="F12" i="37"/>
  <c r="D94" i="35"/>
  <c r="C94" i="35"/>
  <c r="D93" i="35"/>
  <c r="C93" i="35"/>
  <c r="D92" i="35"/>
  <c r="C92" i="35"/>
  <c r="D91" i="35"/>
  <c r="D95" i="35" s="1"/>
  <c r="C91" i="35"/>
  <c r="C95" i="35" s="1"/>
  <c r="C99" i="35" s="1"/>
  <c r="D77" i="35"/>
  <c r="C77" i="35"/>
  <c r="D76" i="35"/>
  <c r="D78" i="35" s="1"/>
  <c r="C76" i="35"/>
  <c r="D75" i="35"/>
  <c r="C75" i="35"/>
  <c r="E75" i="35" s="1"/>
  <c r="D74" i="35"/>
  <c r="C74" i="35"/>
  <c r="C78" i="35" s="1"/>
  <c r="C82" i="35" s="1"/>
  <c r="C86" i="35" s="1"/>
  <c r="E9" i="35" s="1"/>
  <c r="D60" i="35"/>
  <c r="D61" i="35" s="1"/>
  <c r="C60" i="35"/>
  <c r="D59" i="35"/>
  <c r="C59" i="35"/>
  <c r="D58" i="35"/>
  <c r="C58" i="35"/>
  <c r="D57" i="35"/>
  <c r="C57" i="35"/>
  <c r="D43" i="35"/>
  <c r="C43" i="35"/>
  <c r="D42" i="35"/>
  <c r="C42" i="35"/>
  <c r="D41" i="35"/>
  <c r="C41" i="35"/>
  <c r="D40" i="35"/>
  <c r="E40" i="35" s="1"/>
  <c r="I40" i="35" s="1"/>
  <c r="C40" i="35"/>
  <c r="D26" i="35"/>
  <c r="D27" i="35" s="1"/>
  <c r="F6" i="35" s="1"/>
  <c r="C26" i="35"/>
  <c r="D25" i="35"/>
  <c r="C25" i="35"/>
  <c r="D24" i="35"/>
  <c r="C24" i="35"/>
  <c r="D23" i="35"/>
  <c r="C23" i="35"/>
  <c r="B102" i="35"/>
  <c r="B101" i="35"/>
  <c r="B100" i="35"/>
  <c r="B99" i="35"/>
  <c r="G94" i="35"/>
  <c r="F94" i="35"/>
  <c r="E94" i="35"/>
  <c r="I91" i="35"/>
  <c r="E91" i="35"/>
  <c r="H90" i="35"/>
  <c r="G90" i="35"/>
  <c r="F90" i="35"/>
  <c r="F93" i="35" s="1"/>
  <c r="E90" i="35"/>
  <c r="E93" i="35" s="1"/>
  <c r="B85" i="35"/>
  <c r="B84" i="35"/>
  <c r="B83" i="35"/>
  <c r="B82" i="35"/>
  <c r="F77" i="35"/>
  <c r="E77" i="35"/>
  <c r="F76" i="35"/>
  <c r="E74" i="35"/>
  <c r="H73" i="35"/>
  <c r="G73" i="35"/>
  <c r="G77" i="35" s="1"/>
  <c r="F73" i="35"/>
  <c r="E73" i="35"/>
  <c r="E76" i="35" s="1"/>
  <c r="B68" i="35"/>
  <c r="B67" i="35"/>
  <c r="B66" i="35"/>
  <c r="B65" i="35"/>
  <c r="C61" i="35"/>
  <c r="C65" i="35" s="1"/>
  <c r="C69" i="35" s="1"/>
  <c r="E8" i="35" s="1"/>
  <c r="G60" i="35"/>
  <c r="E59" i="35"/>
  <c r="E57" i="35"/>
  <c r="I57" i="35" s="1"/>
  <c r="H56" i="35"/>
  <c r="G56" i="35"/>
  <c r="F56" i="35"/>
  <c r="F60" i="35" s="1"/>
  <c r="E56" i="35"/>
  <c r="E58" i="35" s="1"/>
  <c r="B51" i="35"/>
  <c r="B50" i="35"/>
  <c r="B49" i="35"/>
  <c r="B48" i="35"/>
  <c r="D44" i="35"/>
  <c r="F7" i="35" s="1"/>
  <c r="C44" i="35"/>
  <c r="C48" i="35" s="1"/>
  <c r="C52" i="35" s="1"/>
  <c r="G43" i="35"/>
  <c r="F43" i="35"/>
  <c r="E41" i="35"/>
  <c r="H39" i="35"/>
  <c r="G39" i="35"/>
  <c r="F39" i="35"/>
  <c r="F42" i="35" s="1"/>
  <c r="E39" i="35"/>
  <c r="E60" i="35" s="1"/>
  <c r="Q34" i="35"/>
  <c r="B34" i="35"/>
  <c r="B33" i="35"/>
  <c r="B32" i="35"/>
  <c r="B31" i="35"/>
  <c r="C27" i="35"/>
  <c r="E6" i="35" s="1"/>
  <c r="F26" i="35"/>
  <c r="E26" i="35"/>
  <c r="F25" i="35"/>
  <c r="E24" i="35"/>
  <c r="E23" i="35"/>
  <c r="I23" i="35" s="1"/>
  <c r="H22" i="35"/>
  <c r="G22" i="35"/>
  <c r="G26" i="35" s="1"/>
  <c r="F22" i="35"/>
  <c r="E22" i="35"/>
  <c r="E25" i="35" s="1"/>
  <c r="G12" i="35"/>
  <c r="G12" i="10"/>
  <c r="F14" i="25"/>
  <c r="F12" i="25"/>
  <c r="F11" i="25"/>
  <c r="E11" i="25"/>
  <c r="D11" i="25"/>
  <c r="F7" i="25"/>
  <c r="E7" i="25"/>
  <c r="D7" i="25"/>
  <c r="F6" i="25"/>
  <c r="E6" i="25"/>
  <c r="D6" i="25"/>
  <c r="E41" i="25"/>
  <c r="E40" i="25"/>
  <c r="E28" i="25"/>
  <c r="E27" i="25"/>
  <c r="B41" i="25"/>
  <c r="B40" i="25"/>
  <c r="D36" i="25"/>
  <c r="C36" i="25"/>
  <c r="C40" i="25" s="1"/>
  <c r="E34" i="25"/>
  <c r="G34" i="25" s="1"/>
  <c r="F33" i="25"/>
  <c r="E33" i="25"/>
  <c r="B28" i="25"/>
  <c r="B27" i="25"/>
  <c r="D23" i="25"/>
  <c r="C23" i="25"/>
  <c r="C27" i="25" s="1"/>
  <c r="C29" i="25" s="1"/>
  <c r="E21" i="25"/>
  <c r="G21" i="25" s="1"/>
  <c r="F20" i="25"/>
  <c r="E20" i="25"/>
  <c r="B12" i="34"/>
  <c r="B7" i="34"/>
  <c r="C12" i="30"/>
  <c r="B12" i="30"/>
  <c r="B2" i="29"/>
  <c r="D36" i="33"/>
  <c r="B33" i="33"/>
  <c r="B34" i="33" s="1"/>
  <c r="D37" i="33" s="1"/>
  <c r="B21" i="32"/>
  <c r="B22" i="32" s="1"/>
  <c r="D25" i="32" s="1"/>
  <c r="B21" i="33"/>
  <c r="B22" i="33" s="1"/>
  <c r="D25" i="33" s="1"/>
  <c r="D26" i="33" s="1"/>
  <c r="E19" i="23" s="1"/>
  <c r="D12" i="33"/>
  <c r="D8" i="33"/>
  <c r="D7" i="33"/>
  <c r="D12" i="32"/>
  <c r="D8" i="32"/>
  <c r="D9" i="32" s="1"/>
  <c r="D10" i="32" s="1"/>
  <c r="D13" i="32" s="1"/>
  <c r="D7" i="32"/>
  <c r="E37" i="23"/>
  <c r="H39" i="1"/>
  <c r="F39" i="1"/>
  <c r="J39" i="1" s="1"/>
  <c r="H36" i="1"/>
  <c r="F36" i="1"/>
  <c r="F17" i="1"/>
  <c r="J17" i="1" s="1"/>
  <c r="K17" i="1" s="1"/>
  <c r="F19" i="1"/>
  <c r="J19" i="1" s="1"/>
  <c r="K19" i="1" s="1"/>
  <c r="H13" i="1"/>
  <c r="F13" i="1"/>
  <c r="F34" i="1"/>
  <c r="J48" i="1"/>
  <c r="K48" i="1" s="1"/>
  <c r="J47" i="1"/>
  <c r="K47" i="1" s="1"/>
  <c r="J41" i="1"/>
  <c r="K41" i="1" s="1"/>
  <c r="K40" i="1"/>
  <c r="J40" i="1"/>
  <c r="J38" i="1"/>
  <c r="K38" i="1" s="1"/>
  <c r="J37" i="1"/>
  <c r="K37" i="1" s="1"/>
  <c r="J36" i="1"/>
  <c r="K30" i="1"/>
  <c r="J30" i="1"/>
  <c r="J29" i="1"/>
  <c r="K29" i="1" s="1"/>
  <c r="J28" i="1"/>
  <c r="K28" i="1" s="1"/>
  <c r="J25" i="1"/>
  <c r="K25" i="1" s="1"/>
  <c r="J24" i="1"/>
  <c r="K24" i="1" s="1"/>
  <c r="J21" i="1"/>
  <c r="K21" i="1" s="1"/>
  <c r="J20" i="1"/>
  <c r="K20" i="1" s="1"/>
  <c r="J18" i="1"/>
  <c r="K18" i="1" s="1"/>
  <c r="F40" i="1"/>
  <c r="F30" i="1"/>
  <c r="H16" i="1"/>
  <c r="F16" i="1"/>
  <c r="J13" i="1"/>
  <c r="H65" i="1"/>
  <c r="F65" i="1"/>
  <c r="H73" i="1"/>
  <c r="F73" i="1"/>
  <c r="H67" i="1"/>
  <c r="F67" i="1"/>
  <c r="J67" i="1" s="1"/>
  <c r="H62" i="1"/>
  <c r="F62" i="1"/>
  <c r="J63" i="1"/>
  <c r="K63" i="1" s="1"/>
  <c r="F61" i="1"/>
  <c r="F57" i="1"/>
  <c r="J57" i="1" s="1"/>
  <c r="K57" i="1" s="1"/>
  <c r="H55" i="1"/>
  <c r="F55" i="1"/>
  <c r="J55" i="1" s="1"/>
  <c r="E80" i="25"/>
  <c r="E79" i="25"/>
  <c r="E67" i="25"/>
  <c r="E66" i="25"/>
  <c r="B80" i="25"/>
  <c r="B79" i="25"/>
  <c r="D75" i="25"/>
  <c r="C75" i="25"/>
  <c r="C79" i="25" s="1"/>
  <c r="E73" i="25"/>
  <c r="G73" i="25" s="1"/>
  <c r="F72" i="25"/>
  <c r="E72" i="25"/>
  <c r="B67" i="25"/>
  <c r="B66" i="25"/>
  <c r="D62" i="25"/>
  <c r="C62" i="25"/>
  <c r="C66" i="25" s="1"/>
  <c r="C68" i="25" s="1"/>
  <c r="D9" i="25" s="1"/>
  <c r="E60" i="25"/>
  <c r="G60" i="25" s="1"/>
  <c r="F59" i="25"/>
  <c r="E59" i="25"/>
  <c r="B53" i="25"/>
  <c r="B54" i="25"/>
  <c r="E54" i="25"/>
  <c r="E53" i="25"/>
  <c r="G11" i="10"/>
  <c r="F11" i="10"/>
  <c r="E11" i="10"/>
  <c r="G10" i="10"/>
  <c r="F10" i="10"/>
  <c r="E10" i="10"/>
  <c r="E102" i="10"/>
  <c r="B102" i="10"/>
  <c r="E101" i="10"/>
  <c r="B101" i="10"/>
  <c r="E100" i="10"/>
  <c r="B100" i="10"/>
  <c r="E99" i="10"/>
  <c r="B99" i="10"/>
  <c r="D95" i="10"/>
  <c r="C95" i="10"/>
  <c r="C99" i="10" s="1"/>
  <c r="C103" i="10" s="1"/>
  <c r="F94" i="10"/>
  <c r="E94" i="10"/>
  <c r="F93" i="10"/>
  <c r="E91" i="10"/>
  <c r="H90" i="10"/>
  <c r="G90" i="10"/>
  <c r="G94" i="10" s="1"/>
  <c r="F90" i="10"/>
  <c r="E90" i="10"/>
  <c r="E93" i="10" s="1"/>
  <c r="E85" i="10"/>
  <c r="B85" i="10"/>
  <c r="E84" i="10"/>
  <c r="B84" i="10"/>
  <c r="E83" i="10"/>
  <c r="B83" i="10"/>
  <c r="E82" i="10"/>
  <c r="B82" i="10"/>
  <c r="D78" i="10"/>
  <c r="C78" i="10"/>
  <c r="C82" i="10" s="1"/>
  <c r="C86" i="10" s="1"/>
  <c r="E9" i="10" s="1"/>
  <c r="G77" i="10"/>
  <c r="E74" i="10"/>
  <c r="H73" i="10"/>
  <c r="G73" i="10"/>
  <c r="F73" i="10"/>
  <c r="F76" i="10" s="1"/>
  <c r="E73" i="10"/>
  <c r="E76" i="10" s="1"/>
  <c r="E68" i="10"/>
  <c r="E67" i="10"/>
  <c r="E66" i="10"/>
  <c r="E65" i="10"/>
  <c r="C61" i="10"/>
  <c r="C65" i="10" s="1"/>
  <c r="C69" i="10" s="1"/>
  <c r="E8" i="10" s="1"/>
  <c r="E51" i="10"/>
  <c r="E50" i="10"/>
  <c r="E49" i="10"/>
  <c r="E48" i="10"/>
  <c r="E34" i="10"/>
  <c r="E33" i="10"/>
  <c r="E32" i="10"/>
  <c r="E31" i="10"/>
  <c r="C44" i="10"/>
  <c r="B68" i="10"/>
  <c r="B67" i="10"/>
  <c r="B66" i="10"/>
  <c r="B65" i="10"/>
  <c r="D61" i="10"/>
  <c r="F60" i="10"/>
  <c r="E57" i="10"/>
  <c r="I57" i="10" s="1"/>
  <c r="H56" i="10"/>
  <c r="G56" i="10"/>
  <c r="G60" i="10" s="1"/>
  <c r="F56" i="10"/>
  <c r="F59" i="10" s="1"/>
  <c r="E56" i="10"/>
  <c r="E59" i="10" s="1"/>
  <c r="B51" i="10"/>
  <c r="B50" i="10"/>
  <c r="B49" i="10"/>
  <c r="B48" i="10"/>
  <c r="G15" i="3"/>
  <c r="G11" i="23"/>
  <c r="G48" i="23" s="1"/>
  <c r="D10" i="23"/>
  <c r="D12" i="23" s="1"/>
  <c r="G18" i="23"/>
  <c r="G24" i="23"/>
  <c r="G35" i="23"/>
  <c r="G34" i="23"/>
  <c r="G32" i="23"/>
  <c r="G31" i="23"/>
  <c r="G9" i="23"/>
  <c r="D20" i="21"/>
  <c r="D31" i="21"/>
  <c r="D30" i="21"/>
  <c r="D29" i="21"/>
  <c r="D28" i="21"/>
  <c r="D27" i="21"/>
  <c r="D26" i="21"/>
  <c r="D25" i="21"/>
  <c r="D24" i="21"/>
  <c r="D19" i="21"/>
  <c r="D18" i="21"/>
  <c r="D17" i="21"/>
  <c r="D16" i="21"/>
  <c r="D15" i="21"/>
  <c r="D14" i="21"/>
  <c r="B19" i="31"/>
  <c r="B9" i="31"/>
  <c r="D36" i="23"/>
  <c r="D27" i="3"/>
  <c r="F15" i="29" l="1"/>
  <c r="E74" i="37"/>
  <c r="E47" i="37"/>
  <c r="G47" i="37" s="1"/>
  <c r="E34" i="37"/>
  <c r="G34" i="37" s="1"/>
  <c r="E21" i="37"/>
  <c r="G21" i="37" s="1"/>
  <c r="C23" i="37"/>
  <c r="C27" i="37" s="1"/>
  <c r="C29" i="37" s="1"/>
  <c r="D6" i="37" s="1"/>
  <c r="D11" i="37"/>
  <c r="F74" i="37"/>
  <c r="F75" i="37" s="1"/>
  <c r="D80" i="37" s="1"/>
  <c r="E75" i="37"/>
  <c r="D79" i="37" s="1"/>
  <c r="D81" i="37" s="1"/>
  <c r="E10" i="37" s="1"/>
  <c r="E22" i="37"/>
  <c r="E35" i="37"/>
  <c r="E48" i="37"/>
  <c r="E61" i="37"/>
  <c r="E7" i="35"/>
  <c r="G25" i="35"/>
  <c r="G27" i="35" s="1"/>
  <c r="D33" i="35" s="1"/>
  <c r="F58" i="35"/>
  <c r="I58" i="35" s="1"/>
  <c r="I26" i="35"/>
  <c r="G76" i="35"/>
  <c r="G78" i="35" s="1"/>
  <c r="D84" i="35" s="1"/>
  <c r="I25" i="35"/>
  <c r="G93" i="35"/>
  <c r="G95" i="35" s="1"/>
  <c r="D101" i="35" s="1"/>
  <c r="H60" i="35"/>
  <c r="H61" i="35" s="1"/>
  <c r="D68" i="35" s="1"/>
  <c r="E78" i="35"/>
  <c r="D82" i="35" s="1"/>
  <c r="C103" i="35"/>
  <c r="E10" i="35" s="1"/>
  <c r="E11" i="35" s="1"/>
  <c r="C31" i="35"/>
  <c r="C35" i="35" s="1"/>
  <c r="E43" i="35"/>
  <c r="E92" i="35"/>
  <c r="E95" i="35" s="1"/>
  <c r="D99" i="35" s="1"/>
  <c r="E27" i="35"/>
  <c r="D31" i="35" s="1"/>
  <c r="F41" i="35"/>
  <c r="F44" i="35" s="1"/>
  <c r="D49" i="35" s="1"/>
  <c r="I74" i="35"/>
  <c r="H94" i="35"/>
  <c r="H95" i="35" s="1"/>
  <c r="D102" i="35" s="1"/>
  <c r="F24" i="35"/>
  <c r="F27" i="35" s="1"/>
  <c r="D32" i="35" s="1"/>
  <c r="E42" i="35"/>
  <c r="E61" i="35"/>
  <c r="D65" i="35" s="1"/>
  <c r="F75" i="35"/>
  <c r="F78" i="35" s="1"/>
  <c r="D83" i="35" s="1"/>
  <c r="F59" i="35"/>
  <c r="G59" i="35" s="1"/>
  <c r="G61" i="35" s="1"/>
  <c r="D67" i="35" s="1"/>
  <c r="H26" i="35"/>
  <c r="H27" i="35" s="1"/>
  <c r="D34" i="35" s="1"/>
  <c r="H77" i="35"/>
  <c r="H78" i="35" s="1"/>
  <c r="D85" i="35" s="1"/>
  <c r="C42" i="25"/>
  <c r="F40" i="25"/>
  <c r="F27" i="25"/>
  <c r="D38" i="33"/>
  <c r="E21" i="23" s="1"/>
  <c r="G21" i="23" s="1"/>
  <c r="D26" i="32"/>
  <c r="E20" i="3" s="1"/>
  <c r="D14" i="32"/>
  <c r="E17" i="3" s="1"/>
  <c r="D9" i="33"/>
  <c r="D10" i="33" s="1"/>
  <c r="D13" i="33" s="1"/>
  <c r="D14" i="33" s="1"/>
  <c r="E20" i="23" s="1"/>
  <c r="K39" i="1"/>
  <c r="K36" i="1"/>
  <c r="K13" i="1"/>
  <c r="F50" i="1"/>
  <c r="K67" i="1"/>
  <c r="H75" i="1"/>
  <c r="F75" i="1"/>
  <c r="K55" i="1"/>
  <c r="F66" i="25"/>
  <c r="C81" i="25"/>
  <c r="D10" i="25" s="1"/>
  <c r="F79" i="25"/>
  <c r="F99" i="10"/>
  <c r="G93" i="10"/>
  <c r="G95" i="10" s="1"/>
  <c r="D101" i="10" s="1"/>
  <c r="F101" i="10" s="1"/>
  <c r="I91" i="10"/>
  <c r="E92" i="10"/>
  <c r="H94" i="10"/>
  <c r="H95" i="10" s="1"/>
  <c r="D102" i="10" s="1"/>
  <c r="F102" i="10" s="1"/>
  <c r="E58" i="10"/>
  <c r="E75" i="10"/>
  <c r="F75" i="10" s="1"/>
  <c r="F78" i="10" s="1"/>
  <c r="D83" i="10" s="1"/>
  <c r="F77" i="10"/>
  <c r="F82" i="10"/>
  <c r="G76" i="10"/>
  <c r="G78" i="10" s="1"/>
  <c r="D84" i="10" s="1"/>
  <c r="F84" i="10" s="1"/>
  <c r="I74" i="10"/>
  <c r="F65" i="10"/>
  <c r="G59" i="10"/>
  <c r="G61" i="10" s="1"/>
  <c r="D67" i="10" s="1"/>
  <c r="F67" i="10" s="1"/>
  <c r="F58" i="10"/>
  <c r="F61" i="10" s="1"/>
  <c r="D66" i="10" s="1"/>
  <c r="F66" i="10" s="1"/>
  <c r="F48" i="37" l="1"/>
  <c r="F49" i="37" s="1"/>
  <c r="D54" i="37" s="1"/>
  <c r="E49" i="37"/>
  <c r="D53" i="37" s="1"/>
  <c r="F35" i="37"/>
  <c r="F36" i="37" s="1"/>
  <c r="D41" i="37" s="1"/>
  <c r="E36" i="37"/>
  <c r="D40" i="37" s="1"/>
  <c r="D42" i="37" s="1"/>
  <c r="E7" i="37" s="1"/>
  <c r="F61" i="37"/>
  <c r="F62" i="37" s="1"/>
  <c r="D67" i="37" s="1"/>
  <c r="E62" i="37"/>
  <c r="D66" i="37" s="1"/>
  <c r="D68" i="37" s="1"/>
  <c r="E9" i="37" s="1"/>
  <c r="G74" i="37"/>
  <c r="G75" i="37" s="1"/>
  <c r="F22" i="37"/>
  <c r="F23" i="37" s="1"/>
  <c r="D28" i="37" s="1"/>
  <c r="E23" i="37"/>
  <c r="D27" i="37" s="1"/>
  <c r="D29" i="37" s="1"/>
  <c r="E6" i="37" s="1"/>
  <c r="I94" i="35"/>
  <c r="I60" i="35"/>
  <c r="D86" i="35"/>
  <c r="F9" i="35" s="1"/>
  <c r="D35" i="35"/>
  <c r="F92" i="35"/>
  <c r="F95" i="35" s="1"/>
  <c r="D100" i="35" s="1"/>
  <c r="I59" i="35"/>
  <c r="I61" i="35" s="1"/>
  <c r="I93" i="35"/>
  <c r="I76" i="35"/>
  <c r="G42" i="35"/>
  <c r="G44" i="35" s="1"/>
  <c r="D50" i="35" s="1"/>
  <c r="I41" i="35"/>
  <c r="I24" i="35"/>
  <c r="I27" i="35" s="1"/>
  <c r="I77" i="35"/>
  <c r="I78" i="35" s="1"/>
  <c r="H43" i="35"/>
  <c r="H44" i="35" s="1"/>
  <c r="D51" i="35" s="1"/>
  <c r="E44" i="35"/>
  <c r="D48" i="35" s="1"/>
  <c r="F61" i="35"/>
  <c r="D66" i="35" s="1"/>
  <c r="I75" i="35"/>
  <c r="E27" i="3"/>
  <c r="G20" i="23"/>
  <c r="E36" i="23"/>
  <c r="F92" i="10"/>
  <c r="F95" i="10" s="1"/>
  <c r="D100" i="10" s="1"/>
  <c r="F100" i="10" s="1"/>
  <c r="F103" i="10" s="1"/>
  <c r="E95" i="10"/>
  <c r="D99" i="10" s="1"/>
  <c r="I93" i="10"/>
  <c r="I94" i="10"/>
  <c r="F83" i="10"/>
  <c r="I75" i="10"/>
  <c r="I76" i="10"/>
  <c r="I58" i="10"/>
  <c r="I59" i="10"/>
  <c r="F11" i="30"/>
  <c r="F10" i="30"/>
  <c r="I10" i="30" s="1"/>
  <c r="D11" i="30"/>
  <c r="E11" i="30" s="1"/>
  <c r="D10" i="30"/>
  <c r="E10" i="30" s="1"/>
  <c r="F6" i="30"/>
  <c r="I6" i="30" s="1"/>
  <c r="D6" i="30"/>
  <c r="E6" i="30" s="1"/>
  <c r="C7" i="30"/>
  <c r="B7" i="30"/>
  <c r="G61" i="37" l="1"/>
  <c r="G62" i="37" s="1"/>
  <c r="G22" i="37"/>
  <c r="G23" i="37" s="1"/>
  <c r="G35" i="37"/>
  <c r="G36" i="37" s="1"/>
  <c r="D55" i="37"/>
  <c r="E8" i="37" s="1"/>
  <c r="E11" i="37" s="1"/>
  <c r="G48" i="37"/>
  <c r="G49" i="37" s="1"/>
  <c r="D52" i="35"/>
  <c r="I42" i="35"/>
  <c r="D103" i="35"/>
  <c r="F10" i="35" s="1"/>
  <c r="I92" i="35"/>
  <c r="I95" i="35" s="1"/>
  <c r="D69" i="35"/>
  <c r="F8" i="35" s="1"/>
  <c r="F11" i="35" s="1"/>
  <c r="I43" i="35"/>
  <c r="I44" i="35" s="1"/>
  <c r="I92" i="10"/>
  <c r="I95" i="10" s="1"/>
  <c r="D103" i="10"/>
  <c r="G6" i="30"/>
  <c r="J6" i="30" s="1"/>
  <c r="G10" i="30"/>
  <c r="J10" i="30" s="1"/>
  <c r="F12" i="30"/>
  <c r="G11" i="30"/>
  <c r="I11" i="30"/>
  <c r="I7" i="30"/>
  <c r="F7" i="30"/>
  <c r="J11" i="30" l="1"/>
  <c r="J12" i="30" s="1"/>
  <c r="G12" i="30"/>
  <c r="G7" i="30"/>
  <c r="J7" i="30"/>
  <c r="I12" i="30"/>
  <c r="J14" i="30" l="1"/>
  <c r="J17" i="30" s="1"/>
  <c r="H8" i="29"/>
  <c r="F26" i="29"/>
  <c r="F36" i="29" s="1"/>
  <c r="F25" i="29"/>
  <c r="F35" i="29" s="1"/>
  <c r="J20" i="30" l="1"/>
  <c r="E2" i="29"/>
  <c r="I7" i="29"/>
  <c r="E7" i="29"/>
  <c r="I6" i="29"/>
  <c r="E6" i="29"/>
  <c r="I5" i="29"/>
  <c r="E5" i="29"/>
  <c r="I4" i="29"/>
  <c r="E4" i="29"/>
  <c r="I3" i="29"/>
  <c r="E3" i="29"/>
  <c r="I2" i="29"/>
  <c r="E8" i="29" l="1"/>
  <c r="I8" i="29"/>
  <c r="G8" i="29"/>
  <c r="F8" i="29"/>
  <c r="J3" i="29"/>
  <c r="J5" i="29"/>
  <c r="J4" i="29"/>
  <c r="J6" i="29"/>
  <c r="D8" i="29"/>
  <c r="J7" i="29"/>
  <c r="J2" i="29"/>
  <c r="B31" i="31"/>
  <c r="D31" i="31" s="1"/>
  <c r="B30" i="31"/>
  <c r="D30" i="31" s="1"/>
  <c r="B29" i="31"/>
  <c r="D29" i="31" s="1"/>
  <c r="C20" i="31"/>
  <c r="D24" i="31" s="1"/>
  <c r="C13" i="31"/>
  <c r="C4" i="31"/>
  <c r="J73" i="1"/>
  <c r="K73" i="1" s="1"/>
  <c r="J71" i="1"/>
  <c r="K71" i="1" s="1"/>
  <c r="J69" i="1"/>
  <c r="K69" i="1" s="1"/>
  <c r="J65" i="1"/>
  <c r="K65" i="1" s="1"/>
  <c r="J62" i="1"/>
  <c r="K62" i="1" s="1"/>
  <c r="J61" i="1"/>
  <c r="K61" i="1" s="1"/>
  <c r="J60" i="1"/>
  <c r="J44" i="1"/>
  <c r="K44" i="1" s="1"/>
  <c r="J35" i="1"/>
  <c r="K35" i="1" s="1"/>
  <c r="J34" i="1"/>
  <c r="K34" i="1" s="1"/>
  <c r="J33" i="1"/>
  <c r="K33" i="1" s="1"/>
  <c r="J16" i="1"/>
  <c r="D13" i="21"/>
  <c r="E15" i="5"/>
  <c r="L29" i="5"/>
  <c r="K15" i="5"/>
  <c r="J29" i="5"/>
  <c r="I29" i="5"/>
  <c r="H29" i="5"/>
  <c r="G29" i="5"/>
  <c r="D29" i="5"/>
  <c r="C29" i="5"/>
  <c r="M14" i="5"/>
  <c r="F29" i="5"/>
  <c r="E29" i="5"/>
  <c r="L15" i="5"/>
  <c r="J15" i="5"/>
  <c r="I15" i="5"/>
  <c r="F15" i="5"/>
  <c r="D15" i="5"/>
  <c r="G15" i="5"/>
  <c r="C15" i="5"/>
  <c r="H15" i="5"/>
  <c r="G14" i="10"/>
  <c r="E7" i="10"/>
  <c r="G39" i="10"/>
  <c r="G43" i="10" s="1"/>
  <c r="F39" i="10"/>
  <c r="F43" i="10" s="1"/>
  <c r="K16" i="1" l="1"/>
  <c r="J50" i="1"/>
  <c r="K50" i="1" s="1"/>
  <c r="E28" i="3" s="1"/>
  <c r="K60" i="1"/>
  <c r="K75" i="1" s="1"/>
  <c r="J75" i="1"/>
  <c r="C21" i="31"/>
  <c r="M29" i="5"/>
  <c r="D32" i="31"/>
  <c r="D35" i="31" s="1"/>
  <c r="J8" i="29"/>
  <c r="B32" i="31"/>
  <c r="G28" i="3"/>
  <c r="K29" i="5"/>
  <c r="P29" i="5" s="1"/>
  <c r="F42" i="10"/>
  <c r="G33" i="23"/>
  <c r="G30" i="23"/>
  <c r="G29" i="23"/>
  <c r="G28" i="23"/>
  <c r="G25" i="23"/>
  <c r="G23" i="23"/>
  <c r="G17" i="23"/>
  <c r="G16" i="23"/>
  <c r="G21" i="3"/>
  <c r="G25" i="3"/>
  <c r="D30" i="3"/>
  <c r="F11" i="29" l="1"/>
  <c r="F30" i="29"/>
  <c r="F32" i="29" s="1"/>
  <c r="F34" i="29" s="1"/>
  <c r="F14" i="29" l="1"/>
  <c r="F20" i="29"/>
  <c r="F22" i="29" s="1"/>
  <c r="F24" i="29" s="1"/>
  <c r="F27" i="29" s="1"/>
  <c r="G29" i="3" s="1"/>
  <c r="F37" i="29"/>
  <c r="F38" i="29"/>
  <c r="D23" i="21"/>
  <c r="F18" i="29" l="1"/>
  <c r="F17" i="29"/>
  <c r="F28" i="29"/>
  <c r="G38" i="23" s="1"/>
  <c r="E30" i="3"/>
  <c r="G27" i="23"/>
  <c r="E39" i="23"/>
  <c r="G19" i="23"/>
  <c r="E46" i="25"/>
  <c r="F46" i="25"/>
  <c r="E47" i="25"/>
  <c r="E35" i="25" l="1"/>
  <c r="E22" i="25"/>
  <c r="E74" i="25"/>
  <c r="E61" i="25"/>
  <c r="G36" i="23"/>
  <c r="D49" i="25"/>
  <c r="E48" i="25"/>
  <c r="C49" i="25"/>
  <c r="G47" i="25"/>
  <c r="G8" i="3"/>
  <c r="G39" i="3" s="1"/>
  <c r="F35" i="25" l="1"/>
  <c r="F36" i="25" s="1"/>
  <c r="D41" i="25" s="1"/>
  <c r="F41" i="25" s="1"/>
  <c r="F42" i="25" s="1"/>
  <c r="E36" i="25"/>
  <c r="D40" i="25" s="1"/>
  <c r="F22" i="25"/>
  <c r="F23" i="25" s="1"/>
  <c r="D28" i="25" s="1"/>
  <c r="F28" i="25" s="1"/>
  <c r="F29" i="25" s="1"/>
  <c r="E23" i="25"/>
  <c r="D27" i="25" s="1"/>
  <c r="F61" i="25"/>
  <c r="E62" i="25"/>
  <c r="D66" i="25" s="1"/>
  <c r="E75" i="25"/>
  <c r="D79" i="25" s="1"/>
  <c r="F74" i="25"/>
  <c r="F75" i="25" s="1"/>
  <c r="D80" i="25" s="1"/>
  <c r="F80" i="25" s="1"/>
  <c r="F81" i="25" s="1"/>
  <c r="F10" i="25" s="1"/>
  <c r="G74" i="25"/>
  <c r="G75" i="25" s="1"/>
  <c r="C53" i="25"/>
  <c r="C55" i="25" s="1"/>
  <c r="D8" i="25" s="1"/>
  <c r="E49" i="25"/>
  <c r="D53" i="25" s="1"/>
  <c r="F48" i="25"/>
  <c r="F49" i="25" s="1"/>
  <c r="D54" i="25" s="1"/>
  <c r="F54" i="25" s="1"/>
  <c r="D42" i="25" l="1"/>
  <c r="G35" i="25"/>
  <c r="G36" i="25" s="1"/>
  <c r="G22" i="25"/>
  <c r="G23" i="25" s="1"/>
  <c r="D29" i="25"/>
  <c r="D81" i="25"/>
  <c r="E10" i="25" s="1"/>
  <c r="G61" i="25"/>
  <c r="G62" i="25" s="1"/>
  <c r="F62" i="25"/>
  <c r="D67" i="25" s="1"/>
  <c r="F67" i="25" s="1"/>
  <c r="F68" i="25" s="1"/>
  <c r="F9" i="25" s="1"/>
  <c r="G48" i="25"/>
  <c r="G49" i="25" s="1"/>
  <c r="D55" i="25"/>
  <c r="E8" i="25" s="1"/>
  <c r="F53" i="25"/>
  <c r="F55" i="25" s="1"/>
  <c r="F8" i="25" s="1"/>
  <c r="M31" i="5"/>
  <c r="M12" i="5"/>
  <c r="D68" i="25" l="1"/>
  <c r="E9" i="25" s="1"/>
  <c r="M32" i="5"/>
  <c r="F13" i="25"/>
  <c r="M13" i="5"/>
  <c r="M15" i="5" s="1"/>
  <c r="G37" i="23" l="1"/>
  <c r="M17" i="5"/>
  <c r="P15" i="5"/>
  <c r="G8" i="23" l="1"/>
  <c r="G10" i="23" s="1"/>
  <c r="E40" i="23"/>
  <c r="M18" i="5"/>
  <c r="F15" i="25" l="1"/>
  <c r="G15" i="25" s="1"/>
  <c r="G51" i="23"/>
  <c r="G12" i="23"/>
  <c r="P18" i="5"/>
  <c r="D9" i="3" l="1"/>
  <c r="E40" i="10" l="1"/>
  <c r="I40" i="10" s="1"/>
  <c r="H39" i="10"/>
  <c r="E39" i="10"/>
  <c r="H22" i="10"/>
  <c r="E60" i="10" l="1"/>
  <c r="E77" i="10"/>
  <c r="E41" i="10"/>
  <c r="E42" i="10"/>
  <c r="E43" i="10"/>
  <c r="H43" i="10" s="1"/>
  <c r="D44" i="10"/>
  <c r="F7" i="10" s="1"/>
  <c r="C48" i="10"/>
  <c r="E78" i="10" l="1"/>
  <c r="D82" i="10" s="1"/>
  <c r="H77" i="10"/>
  <c r="H78" i="10" s="1"/>
  <c r="D85" i="10" s="1"/>
  <c r="F85" i="10" s="1"/>
  <c r="F86" i="10" s="1"/>
  <c r="G9" i="10" s="1"/>
  <c r="H60" i="10"/>
  <c r="H61" i="10" s="1"/>
  <c r="D68" i="10" s="1"/>
  <c r="F68" i="10" s="1"/>
  <c r="F69" i="10" s="1"/>
  <c r="G8" i="10" s="1"/>
  <c r="E61" i="10"/>
  <c r="D65" i="10" s="1"/>
  <c r="D69" i="10" s="1"/>
  <c r="F8" i="10" s="1"/>
  <c r="I60" i="10"/>
  <c r="I61" i="10" s="1"/>
  <c r="G42" i="10"/>
  <c r="G44" i="10" s="1"/>
  <c r="D50" i="10" s="1"/>
  <c r="F50" i="10" s="1"/>
  <c r="F41" i="10"/>
  <c r="F44" i="10" s="1"/>
  <c r="D49" i="10" s="1"/>
  <c r="F49" i="10" s="1"/>
  <c r="F48" i="10"/>
  <c r="I77" i="10" l="1"/>
  <c r="I78" i="10" s="1"/>
  <c r="D86" i="10"/>
  <c r="F9" i="10" s="1"/>
  <c r="I41" i="10"/>
  <c r="I42" i="10"/>
  <c r="C52" i="10"/>
  <c r="Q34" i="10" l="1"/>
  <c r="E23" i="10" l="1"/>
  <c r="D12" i="21" l="1"/>
  <c r="E22" i="10"/>
  <c r="F22" i="10"/>
  <c r="G22" i="10"/>
  <c r="B31" i="10"/>
  <c r="B32" i="10"/>
  <c r="B33" i="10"/>
  <c r="B34" i="10"/>
  <c r="C27" i="10"/>
  <c r="E6" i="10" s="1"/>
  <c r="G14" i="3"/>
  <c r="G23" i="3"/>
  <c r="G24" i="3"/>
  <c r="G22" i="3"/>
  <c r="C31" i="10" l="1"/>
  <c r="F31" i="10" s="1"/>
  <c r="F25" i="10"/>
  <c r="E24" i="10"/>
  <c r="F24" i="10" s="1"/>
  <c r="E25" i="10"/>
  <c r="E26" i="10"/>
  <c r="G26" i="10"/>
  <c r="D27" i="10"/>
  <c r="F6" i="10" s="1"/>
  <c r="G19" i="3"/>
  <c r="F26" i="10"/>
  <c r="I23" i="10"/>
  <c r="D31" i="3"/>
  <c r="G20" i="3"/>
  <c r="H26" i="10" l="1"/>
  <c r="H27" i="10" s="1"/>
  <c r="D34" i="10" s="1"/>
  <c r="F34" i="10" s="1"/>
  <c r="G16" i="3"/>
  <c r="G18" i="3"/>
  <c r="G17" i="3"/>
  <c r="C35" i="10"/>
  <c r="H44" i="10"/>
  <c r="E44" i="10"/>
  <c r="D48" i="10" s="1"/>
  <c r="G25" i="10"/>
  <c r="G27" i="10" s="1"/>
  <c r="D33" i="10" s="1"/>
  <c r="F33" i="10" s="1"/>
  <c r="D36" i="31"/>
  <c r="D37" i="31" s="1"/>
  <c r="F27" i="10"/>
  <c r="D32" i="10" s="1"/>
  <c r="F32" i="10" s="1"/>
  <c r="I24" i="10"/>
  <c r="E27" i="10"/>
  <c r="D31" i="10" s="1"/>
  <c r="G27" i="3" l="1"/>
  <c r="D51" i="10"/>
  <c r="F51" i="10" s="1"/>
  <c r="F52" i="10" s="1"/>
  <c r="I43" i="10"/>
  <c r="I25" i="10"/>
  <c r="I26" i="10"/>
  <c r="F35" i="10"/>
  <c r="D35" i="10"/>
  <c r="G6" i="10" l="1"/>
  <c r="G7" i="10"/>
  <c r="D52" i="10"/>
  <c r="I44" i="10"/>
  <c r="I27" i="10"/>
  <c r="G13" i="10" l="1"/>
  <c r="G15" i="10" s="1"/>
  <c r="H15" i="10" l="1"/>
  <c r="G7" i="3"/>
  <c r="G42" i="3" s="1"/>
  <c r="E9" i="3"/>
  <c r="E31" i="3" s="1"/>
  <c r="D39" i="23"/>
  <c r="D40" i="23" s="1"/>
  <c r="G9" i="3" l="1"/>
  <c r="G30" i="3"/>
  <c r="G34" i="3" s="1"/>
  <c r="G36" i="3" s="1"/>
  <c r="G38" i="3" s="1"/>
  <c r="G41" i="3" s="1"/>
  <c r="G43" i="3" s="1"/>
  <c r="G44" i="3" l="1"/>
  <c r="L13" i="2" s="1"/>
  <c r="G14" i="35"/>
  <c r="G39" i="23"/>
  <c r="G43" i="23" s="1"/>
  <c r="G45" i="23" s="1"/>
  <c r="G47" i="23" s="1"/>
  <c r="G50" i="23" s="1"/>
  <c r="G31" i="3"/>
  <c r="F14" i="37" l="1"/>
  <c r="G52" i="23"/>
  <c r="G53" i="23" s="1"/>
  <c r="L15" i="2"/>
  <c r="E84" i="35" s="1"/>
  <c r="F84" i="35" s="1"/>
  <c r="L16" i="2"/>
  <c r="E68" i="35" s="1"/>
  <c r="F68" i="35" s="1"/>
  <c r="L18" i="2"/>
  <c r="N18" i="2" s="1"/>
  <c r="O18" i="2" s="1"/>
  <c r="L14" i="2"/>
  <c r="E100" i="35" s="1"/>
  <c r="F100" i="35" s="1"/>
  <c r="E82" i="35"/>
  <c r="F82" i="35" s="1"/>
  <c r="E48" i="35"/>
  <c r="F48" i="35" s="1"/>
  <c r="E31" i="35"/>
  <c r="F31" i="35" s="1"/>
  <c r="E65" i="35"/>
  <c r="F65" i="35" s="1"/>
  <c r="E99" i="35"/>
  <c r="F99" i="35" s="1"/>
  <c r="G40" i="23"/>
  <c r="E49" i="35" l="1"/>
  <c r="F49" i="35" s="1"/>
  <c r="E83" i="35"/>
  <c r="F83" i="35" s="1"/>
  <c r="E32" i="35"/>
  <c r="F32" i="35" s="1"/>
  <c r="E66" i="35"/>
  <c r="F66" i="35" s="1"/>
  <c r="L13" i="26"/>
  <c r="E66" i="37" s="1"/>
  <c r="F66" i="37" s="1"/>
  <c r="L14" i="26"/>
  <c r="E80" i="37" s="1"/>
  <c r="F80" i="37" s="1"/>
  <c r="E33" i="35"/>
  <c r="F33" i="35" s="1"/>
  <c r="E51" i="35"/>
  <c r="F51" i="35" s="1"/>
  <c r="F52" i="35" s="1"/>
  <c r="G7" i="35" s="1"/>
  <c r="E67" i="35"/>
  <c r="F67" i="35" s="1"/>
  <c r="E102" i="35"/>
  <c r="F102" i="35" s="1"/>
  <c r="E85" i="35"/>
  <c r="F85" i="35" s="1"/>
  <c r="F86" i="35" s="1"/>
  <c r="G9" i="35" s="1"/>
  <c r="E101" i="35"/>
  <c r="F101" i="35" s="1"/>
  <c r="E34" i="35"/>
  <c r="F34" i="35" s="1"/>
  <c r="E50" i="35"/>
  <c r="F50" i="35" s="1"/>
  <c r="N13" i="2"/>
  <c r="O13" i="2" s="1"/>
  <c r="E18" i="21"/>
  <c r="F18" i="21" s="1"/>
  <c r="G18" i="21" s="1"/>
  <c r="E15" i="21"/>
  <c r="F15" i="21" s="1"/>
  <c r="G15" i="21" s="1"/>
  <c r="E20" i="21"/>
  <c r="F20" i="21" s="1"/>
  <c r="G20" i="21" s="1"/>
  <c r="E14" i="21"/>
  <c r="F14" i="21" s="1"/>
  <c r="G14" i="21" s="1"/>
  <c r="E17" i="21"/>
  <c r="F17" i="21" s="1"/>
  <c r="G17" i="21" s="1"/>
  <c r="E16" i="21"/>
  <c r="F16" i="21" s="1"/>
  <c r="G16" i="21" s="1"/>
  <c r="E19" i="21"/>
  <c r="F19" i="21" s="1"/>
  <c r="G19" i="21" s="1"/>
  <c r="E12" i="21"/>
  <c r="F12" i="21" s="1"/>
  <c r="G12" i="21" s="1"/>
  <c r="N16" i="2"/>
  <c r="O16" i="2" s="1"/>
  <c r="N15" i="2"/>
  <c r="O15" i="2" s="1"/>
  <c r="N14" i="2"/>
  <c r="O14" i="2" s="1"/>
  <c r="E13" i="21"/>
  <c r="F13" i="21" s="1"/>
  <c r="G13" i="21" s="1"/>
  <c r="F69" i="35" l="1"/>
  <c r="G8" i="35" s="1"/>
  <c r="E54" i="37"/>
  <c r="F54" i="37" s="1"/>
  <c r="E53" i="37"/>
  <c r="F53" i="37" s="1"/>
  <c r="E67" i="37"/>
  <c r="F67" i="37" s="1"/>
  <c r="E40" i="37"/>
  <c r="F40" i="37" s="1"/>
  <c r="E41" i="37"/>
  <c r="F41" i="37" s="1"/>
  <c r="E79" i="37"/>
  <c r="F79" i="37" s="1"/>
  <c r="F81" i="37" s="1"/>
  <c r="F10" i="37" s="1"/>
  <c r="E27" i="37"/>
  <c r="F27" i="37" s="1"/>
  <c r="F35" i="35"/>
  <c r="G6" i="35" s="1"/>
  <c r="F103" i="35"/>
  <c r="G10" i="35" s="1"/>
  <c r="E28" i="37"/>
  <c r="F28" i="37" s="1"/>
  <c r="F68" i="37"/>
  <c r="F9" i="37" s="1"/>
  <c r="F55" i="37"/>
  <c r="F8" i="37" s="1"/>
  <c r="N14" i="26"/>
  <c r="O14" i="26" s="1"/>
  <c r="P41" i="23"/>
  <c r="F42" i="37" l="1"/>
  <c r="F7" i="37" s="1"/>
  <c r="G11" i="35"/>
  <c r="G13" i="35" s="1"/>
  <c r="G15" i="35" s="1"/>
  <c r="H15" i="35" s="1"/>
  <c r="F29" i="37"/>
  <c r="F6" i="37" s="1"/>
  <c r="F11" i="37" s="1"/>
  <c r="F13" i="37" s="1"/>
  <c r="F15" i="37" s="1"/>
  <c r="G15" i="37" s="1"/>
  <c r="E31" i="21"/>
  <c r="F31" i="21" s="1"/>
  <c r="G31" i="21" s="1"/>
  <c r="E27" i="21"/>
  <c r="F27" i="21" s="1"/>
  <c r="G27" i="21" s="1"/>
  <c r="E30" i="21"/>
  <c r="F30" i="21" s="1"/>
  <c r="G30" i="21" s="1"/>
  <c r="E26" i="21"/>
  <c r="E29" i="21"/>
  <c r="F29" i="21" s="1"/>
  <c r="G29" i="21" s="1"/>
  <c r="E28" i="21"/>
  <c r="F28" i="21" s="1"/>
  <c r="G28" i="21" s="1"/>
  <c r="E25" i="21"/>
  <c r="E24" i="21"/>
  <c r="F24" i="21" s="1"/>
  <c r="G24" i="21" s="1"/>
  <c r="N13" i="26"/>
  <c r="O13" i="26" s="1"/>
  <c r="N17" i="26"/>
  <c r="O17" i="26" s="1"/>
  <c r="E23" i="21"/>
  <c r="F23" i="21" s="1"/>
  <c r="G23" i="21" s="1"/>
  <c r="F25" i="21" l="1"/>
  <c r="G25" i="21" s="1"/>
  <c r="F26" i="21"/>
  <c r="G26" i="21" s="1"/>
</calcChain>
</file>

<file path=xl/sharedStrings.xml><?xml version="1.0" encoding="utf-8"?>
<sst xmlns="http://schemas.openxmlformats.org/spreadsheetml/2006/main" count="1066" uniqueCount="365">
  <si>
    <t>Table B</t>
  </si>
  <si>
    <t>DEPRECIATION EXPENSE ADJUSTMENTS</t>
  </si>
  <si>
    <t>Asset</t>
  </si>
  <si>
    <t>TOTALS</t>
  </si>
  <si>
    <t>Date in</t>
  </si>
  <si>
    <t>Service</t>
  </si>
  <si>
    <t>Original</t>
  </si>
  <si>
    <t>Life</t>
  </si>
  <si>
    <t>Depr. Exp.</t>
  </si>
  <si>
    <t>Adjustment</t>
  </si>
  <si>
    <t>Operating Revenues</t>
  </si>
  <si>
    <t>Total Operating Revenues</t>
  </si>
  <si>
    <t>Operating Expenses</t>
  </si>
  <si>
    <t>Total Operating Expenses</t>
  </si>
  <si>
    <t>Pro Forma Operating Expenses</t>
  </si>
  <si>
    <t>Required Revenue Increase</t>
  </si>
  <si>
    <t>Percent Increase</t>
  </si>
  <si>
    <t>Other Operating Revenue</t>
  </si>
  <si>
    <t>Operation and Maintenance</t>
  </si>
  <si>
    <t>Total Operation and Mnt. Expenses</t>
  </si>
  <si>
    <t>Depreciation Expense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</si>
  <si>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</si>
  <si>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</si>
  <si>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</si>
  <si>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</si>
  <si>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</si>
  <si>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</si>
  <si>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Miscellaneous Expenses</t>
  </si>
  <si>
    <t>Adjustments</t>
  </si>
  <si>
    <t>Proforma</t>
  </si>
  <si>
    <t>SCHEDULE OF ADJUSTED OPERATIONS</t>
  </si>
  <si>
    <t>Transportation Expenses</t>
  </si>
  <si>
    <t>Net Utility Operating Income</t>
  </si>
  <si>
    <t>Total Revenue Requirement</t>
  </si>
  <si>
    <t>Depreciation</t>
  </si>
  <si>
    <t>Expense</t>
  </si>
  <si>
    <t>Principal</t>
  </si>
  <si>
    <t>Interest</t>
  </si>
  <si>
    <t>Totals</t>
  </si>
  <si>
    <t>Table A</t>
  </si>
  <si>
    <t>Ref.</t>
  </si>
  <si>
    <t>Revenue</t>
  </si>
  <si>
    <t>Gallons Sold</t>
  </si>
  <si>
    <t>FIRST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</si>
  <si>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</si>
  <si>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</si>
  <si>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</si>
  <si>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</si>
  <si>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</si>
  <si>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</si>
  <si>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</si>
  <si>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</si>
  <si>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>Insurance - Workers Comp</t>
  </si>
  <si>
    <t>Reported</t>
  </si>
  <si>
    <t>Existing</t>
  </si>
  <si>
    <t>Interest Income</t>
  </si>
  <si>
    <t>Sold</t>
  </si>
  <si>
    <t>Uses:</t>
  </si>
  <si>
    <t xml:space="preserve">  water loss percentage</t>
  </si>
  <si>
    <t xml:space="preserve">  allowable in rates</t>
  </si>
  <si>
    <t xml:space="preserve">  adjustment percentage</t>
  </si>
  <si>
    <t>Materials and Supplies</t>
  </si>
  <si>
    <t>NEXT</t>
  </si>
  <si>
    <t>First</t>
  </si>
  <si>
    <t>Next</t>
  </si>
  <si>
    <t>Over</t>
  </si>
  <si>
    <t>No. of Bills</t>
  </si>
  <si>
    <t>gallons</t>
  </si>
  <si>
    <t>Minimum Bill</t>
  </si>
  <si>
    <t>per 1,000 gallons</t>
  </si>
  <si>
    <t>Gallons</t>
  </si>
  <si>
    <t>Bill</t>
  </si>
  <si>
    <t>CURRENT RATE SCHEDULE</t>
  </si>
  <si>
    <t>CURRENT AND PROPOSED RATES</t>
  </si>
  <si>
    <t>COMPARISION OF EXISTING AND PROPOSED BILLS</t>
  </si>
  <si>
    <t>Pro Forma</t>
  </si>
  <si>
    <t>Test Year</t>
  </si>
  <si>
    <t xml:space="preserve">  SUMMARY  </t>
  </si>
  <si>
    <t>Cost *</t>
  </si>
  <si>
    <t>Total</t>
  </si>
  <si>
    <t>Revenue Required From Water Sales</t>
  </si>
  <si>
    <t>per Month*</t>
  </si>
  <si>
    <t>* Highlighted usage represents the average residential bill.</t>
  </si>
  <si>
    <t>Bulk Sales</t>
  </si>
  <si>
    <t>Insurance - General Liability &amp; Other</t>
  </si>
  <si>
    <t>Proposed</t>
  </si>
  <si>
    <t>Chemicals</t>
  </si>
  <si>
    <t>Operation Expenses</t>
  </si>
  <si>
    <t>Collection - Labor, Materials and Expenses</t>
  </si>
  <si>
    <t>Administrative and General Expenses</t>
  </si>
  <si>
    <t>Office Supplies and Other Expenses</t>
  </si>
  <si>
    <t>Outside Services Employed</t>
  </si>
  <si>
    <t>Transportation Expense</t>
  </si>
  <si>
    <t>Miscellaneous General Expenses</t>
  </si>
  <si>
    <t>Total Sewer Operation and Mnt. Expenses</t>
  </si>
  <si>
    <t>Water Division</t>
  </si>
  <si>
    <t>Sewer Division</t>
  </si>
  <si>
    <t>DEBT SERVICE SCHEDULE</t>
  </si>
  <si>
    <t>CY 2023</t>
  </si>
  <si>
    <t>CY 2024</t>
  </si>
  <si>
    <t>CY 2025</t>
  </si>
  <si>
    <t>CY 2026</t>
  </si>
  <si>
    <t>Average Annual Principal &amp; Interest - Water</t>
  </si>
  <si>
    <t>Average Annual Principal &amp; Interest - Sewer</t>
  </si>
  <si>
    <t>Average Annual Debt Service Coverage</t>
  </si>
  <si>
    <t>Sewer Lines</t>
  </si>
  <si>
    <t>TOTALS - SEWER SYSTEM</t>
  </si>
  <si>
    <t>*  Includes only costs associated with assets that contributed to depreciation expense in the test year.</t>
  </si>
  <si>
    <t>Other Water Revenue</t>
  </si>
  <si>
    <t>Metered Sales to Retail Customers</t>
  </si>
  <si>
    <t>PROPOSED RATE SCHEDULE</t>
  </si>
  <si>
    <t>SEWER BILLS</t>
  </si>
  <si>
    <t>CURRENT AND PROPOSED MONTHLY RATES</t>
  </si>
  <si>
    <t>WATER DIVISION</t>
  </si>
  <si>
    <t>SEWER DIVISION</t>
  </si>
  <si>
    <t>Revenue Required From Sewer Sales</t>
  </si>
  <si>
    <t>Rental of Building/Real Property</t>
  </si>
  <si>
    <t>Bad Debt</t>
  </si>
  <si>
    <t>Management Fee</t>
  </si>
  <si>
    <t>Customer Account Expenses</t>
  </si>
  <si>
    <t>Uncollectable Accounts</t>
  </si>
  <si>
    <t>Salaries</t>
  </si>
  <si>
    <t>Insurance</t>
  </si>
  <si>
    <t>$ Change</t>
  </si>
  <si>
    <t>% Change</t>
  </si>
  <si>
    <t>Less PSC Annual Report</t>
  </si>
  <si>
    <t>SAO Adjustment</t>
  </si>
  <si>
    <t>Less Billing Adjustments</t>
  </si>
  <si>
    <t>Net Total</t>
  </si>
  <si>
    <t>Difference</t>
  </si>
  <si>
    <t>CURRENT BILLING ANALYSIS - CURRENT USAGE &amp; EXISTING RATES</t>
  </si>
  <si>
    <t>General Plant</t>
  </si>
  <si>
    <t>Structures &amp; Improvements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</si>
  <si>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</si>
  <si>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</si>
  <si>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</si>
  <si>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</si>
  <si>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</si>
  <si>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</si>
  <si>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</si>
  <si>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</si>
  <si>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</si>
  <si>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</si>
  <si>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</si>
  <si>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</si>
  <si>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</si>
  <si>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</si>
  <si>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</si>
  <si>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</si>
  <si>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</si>
  <si>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</si>
  <si>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</si>
  <si>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</si>
  <si>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</si>
  <si>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Transportation Equipment</t>
  </si>
  <si>
    <t>Entire Group</t>
  </si>
  <si>
    <t>Water Treatment Plant</t>
  </si>
  <si>
    <t>Structures and Improvements</t>
  </si>
  <si>
    <t>Water Treatment Equipment</t>
  </si>
  <si>
    <t>TOTALS - WATER SYSTEM</t>
  </si>
  <si>
    <t>Collection Sewers - Force</t>
  </si>
  <si>
    <t>Collection Sewers - Gravity</t>
  </si>
  <si>
    <t>Other Collection Facilities</t>
  </si>
  <si>
    <t>Tools Shop and Garage</t>
  </si>
  <si>
    <t>Communications Equipment</t>
  </si>
  <si>
    <t>Water Loss Adjustment</t>
  </si>
  <si>
    <t>Produced</t>
  </si>
  <si>
    <t>Purchased</t>
  </si>
  <si>
    <t>Total Produced and Purchased</t>
  </si>
  <si>
    <t xml:space="preserve">   Flushing</t>
  </si>
  <si>
    <t xml:space="preserve">   Fire</t>
  </si>
  <si>
    <t xml:space="preserve">   Other</t>
  </si>
  <si>
    <t>Total Other Water Used</t>
  </si>
  <si>
    <t>Losses:</t>
  </si>
  <si>
    <t xml:space="preserve">   Tank Overflows</t>
  </si>
  <si>
    <t xml:space="preserve">   Line Breaks</t>
  </si>
  <si>
    <t xml:space="preserve">   Line Leaks</t>
  </si>
  <si>
    <t>Total Losses:</t>
  </si>
  <si>
    <t>Sold, Used, and Lost</t>
  </si>
  <si>
    <t>Costs Subject to Water Loss Adjustment</t>
  </si>
  <si>
    <t>Computation of Water Loss Surcharge</t>
  </si>
  <si>
    <t>Total Adjustment</t>
  </si>
  <si>
    <t>/ Number of Bills</t>
  </si>
  <si>
    <t>Monthly Surcharge Amount</t>
  </si>
  <si>
    <t>Employee ID</t>
  </si>
  <si>
    <t>Hourly Rate</t>
  </si>
  <si>
    <t>Job Title</t>
  </si>
  <si>
    <t>Regular Hours</t>
  </si>
  <si>
    <t>Regular Pay</t>
  </si>
  <si>
    <t>Bonus   Pay</t>
  </si>
  <si>
    <t>Leave Sold</t>
  </si>
  <si>
    <t>Overtime Hours</t>
  </si>
  <si>
    <t>Overtime Pay</t>
  </si>
  <si>
    <t>Total        Pay</t>
  </si>
  <si>
    <t>Pro Forma Salaries &amp; Wages Expense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</si>
  <si>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</si>
  <si>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</si>
  <si>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</si>
  <si>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</si>
  <si>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</si>
  <si>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Salaries and Wages Adjustment</t>
  </si>
  <si>
    <t>Water Portion</t>
  </si>
  <si>
    <t>Salaries and Wages Adjustment - Water</t>
  </si>
  <si>
    <t>Salaries and Wages Adjustment - Sewer</t>
  </si>
  <si>
    <t>Sewer Portion</t>
  </si>
  <si>
    <t xml:space="preserve"> MONTHLY </t>
  </si>
  <si>
    <t xml:space="preserve"> Total </t>
  </si>
  <si>
    <t xml:space="preserve"> Utility Share </t>
  </si>
  <si>
    <t xml:space="preserve"> Allowable </t>
  </si>
  <si>
    <t>Unallowable</t>
  </si>
  <si>
    <t xml:space="preserve"> EMPLOYEE </t>
  </si>
  <si>
    <t>EMPLOYEE</t>
  </si>
  <si>
    <t>UTILITY</t>
  </si>
  <si>
    <t xml:space="preserve"> Annual </t>
  </si>
  <si>
    <t xml:space="preserve"> Employer </t>
  </si>
  <si>
    <t>Employer</t>
  </si>
  <si>
    <t>MEDICAL</t>
  </si>
  <si>
    <t xml:space="preserve"> PREMIUM </t>
  </si>
  <si>
    <t xml:space="preserve"> CONTRIB </t>
  </si>
  <si>
    <t>CONTRIB %</t>
  </si>
  <si>
    <t xml:space="preserve"> Premium </t>
  </si>
  <si>
    <t xml:space="preserve"> Share </t>
  </si>
  <si>
    <t>Premium</t>
  </si>
  <si>
    <t>DENTAL</t>
  </si>
  <si>
    <t xml:space="preserve">TOTAL </t>
  </si>
  <si>
    <t>Total Unallowable Medical and Dental Premium</t>
  </si>
  <si>
    <t>Unallowable Medical and Dental Premium Adjustment - Water</t>
  </si>
  <si>
    <t>Unallowable Medical and Dental Premium Adjustment - Sewer</t>
  </si>
  <si>
    <t>Pro Forma Pension Contribution</t>
  </si>
  <si>
    <t>DIFFERENCE</t>
  </si>
  <si>
    <t>PERCENT</t>
  </si>
  <si>
    <t>TABLE C</t>
  </si>
  <si>
    <t>PROPOSED BILLING ANALYSIS - CURRENT USAGE &amp; PROPOSED RATES</t>
  </si>
  <si>
    <t>South  641 Water District</t>
  </si>
  <si>
    <t>South 641 Water District</t>
  </si>
  <si>
    <t>All Meter Sizes</t>
  </si>
  <si>
    <t>Customer Charge</t>
  </si>
  <si>
    <t>All Volume</t>
  </si>
  <si>
    <t>Metered Customers</t>
  </si>
  <si>
    <t>Unmetered Customers</t>
  </si>
  <si>
    <t>Flat Rate Charge</t>
  </si>
  <si>
    <t xml:space="preserve">(Calculated as Customer Charge +  </t>
  </si>
  <si>
    <t>(Volumetric Rate X 4,000 Gallons)</t>
  </si>
  <si>
    <t>per thousand gallons</t>
  </si>
  <si>
    <t xml:space="preserve">WATER BILLS </t>
  </si>
  <si>
    <t xml:space="preserve">   Utility</t>
  </si>
  <si>
    <t>Flat Rate Revenues</t>
  </si>
  <si>
    <t>Other Operating Revenues</t>
  </si>
  <si>
    <t>Regulatory Expense</t>
  </si>
  <si>
    <t>Maintenance of General Plant</t>
  </si>
  <si>
    <t>Meter Reading and Flat Rate Inspections</t>
  </si>
  <si>
    <t>Labor, Materials, and Expenses</t>
  </si>
  <si>
    <t>Pumping - Labor, Materials and Expenses</t>
  </si>
  <si>
    <t>Treatment - Labor, Materials and Expenses</t>
  </si>
  <si>
    <t>Fuel and Power Purchased</t>
  </si>
  <si>
    <t>Sewage Service Revenues</t>
  </si>
  <si>
    <t>Total Sewage Service Revenues</t>
  </si>
  <si>
    <t>Water Testing</t>
  </si>
  <si>
    <t>South 641 Water District-Water Division</t>
  </si>
  <si>
    <t>WT WATER 11 KY Res Water</t>
  </si>
  <si>
    <t>WT WATER 12 KY Comm Water</t>
  </si>
  <si>
    <t>WT WATER 13 KY TEx</t>
  </si>
  <si>
    <t>KY  Res Water</t>
  </si>
  <si>
    <t>KY Comm Water</t>
  </si>
  <si>
    <t>KY TEx Water</t>
  </si>
  <si>
    <t>TN Res Water</t>
  </si>
  <si>
    <t>WT WATER 31 TN Res</t>
  </si>
  <si>
    <t>TN Comm Water</t>
  </si>
  <si>
    <t>WT WATER 32 TN Comm Water</t>
  </si>
  <si>
    <t xml:space="preserve">South 641 Water District - Sewer Division </t>
  </si>
  <si>
    <t>SW SEWER 41 TN Res Sewer</t>
  </si>
  <si>
    <t>SW SEWER 23 KY TEx Sewer</t>
  </si>
  <si>
    <t>SW SEWER 52 TN Comm Sewer</t>
  </si>
  <si>
    <t>KY TEx Sewer</t>
  </si>
  <si>
    <t>TN Res Sewer</t>
  </si>
  <si>
    <t>TN Comm Sewer</t>
  </si>
  <si>
    <t>Organization Costs and Intangible Assets</t>
  </si>
  <si>
    <t>Various</t>
  </si>
  <si>
    <t>Varies</t>
  </si>
  <si>
    <t>Sewer Lift Stations</t>
  </si>
  <si>
    <t>Lagoons</t>
  </si>
  <si>
    <t>CY 2023 - 2027</t>
  </si>
  <si>
    <t>CY 2027</t>
  </si>
  <si>
    <t>No Debt</t>
  </si>
  <si>
    <t xml:space="preserve"> REVENUE REQUIREMENTS USING OPERATING RATIO METHOD </t>
  </si>
  <si>
    <t>Divided by:  Operating Ratio</t>
  </si>
  <si>
    <t xml:space="preserve">  Subtotal</t>
  </si>
  <si>
    <t>Plus:</t>
  </si>
  <si>
    <t>Interest Expense</t>
  </si>
  <si>
    <t>Less:</t>
  </si>
  <si>
    <t>Revenue from Sales with Present Rates</t>
  </si>
  <si>
    <t>Known and Measurable Changes - Water</t>
  </si>
  <si>
    <t>Invoices from Paris Henry County Public Utilities for natural gas from 2021 and 2022</t>
  </si>
  <si>
    <t>Cost</t>
  </si>
  <si>
    <t>Usage</t>
  </si>
  <si>
    <t>Per Unit</t>
  </si>
  <si>
    <t>Percentage</t>
  </si>
  <si>
    <t>Power in Test Year</t>
  </si>
  <si>
    <t>Known and Measurable Changes - Sewer</t>
  </si>
  <si>
    <t>Wastewater Quality Testing</t>
  </si>
  <si>
    <t>Invoices from Microbac for testing from 2021 and 2022</t>
  </si>
  <si>
    <t>Water Quality Testing</t>
  </si>
  <si>
    <t>Testing in Test Year</t>
  </si>
  <si>
    <t>Wastewater Chemicals</t>
  </si>
  <si>
    <t>Invoices from Brenntag for Sodium Hypochlorite and Sodium Bisulfite</t>
  </si>
  <si>
    <t>Chemicals in Test Year</t>
  </si>
  <si>
    <t>Hank</t>
  </si>
  <si>
    <t>Barb</t>
  </si>
  <si>
    <t>Amy</t>
  </si>
  <si>
    <t>Kari</t>
  </si>
  <si>
    <t>Eric</t>
  </si>
  <si>
    <t>Lisa</t>
  </si>
  <si>
    <t>Times: Percent Pension Contribution Rate</t>
  </si>
  <si>
    <t>Medical and Dental Insurance Adjustment</t>
  </si>
  <si>
    <t>Description</t>
  </si>
  <si>
    <t>Source</t>
  </si>
  <si>
    <t>Tab K&amp;M Changes Sewer Cell D26</t>
  </si>
  <si>
    <t>Adjust Sewer Testing Expenses</t>
  </si>
  <si>
    <t>Adjust Natural Gas Expenses</t>
  </si>
  <si>
    <t>Adjust Treatment Chemicals Expenses</t>
  </si>
  <si>
    <t>Tab K&amp;M Changes Sewer Cell D14</t>
  </si>
  <si>
    <t>Tab K&amp;M Changes Sewer Cell D38</t>
  </si>
  <si>
    <t>Adjust Water Testing Expenses</t>
  </si>
  <si>
    <t>Tab K&amp;M Changes Water Cell D26</t>
  </si>
  <si>
    <t>Tab K&amp;M Changes Water Cell D14</t>
  </si>
  <si>
    <t>WT Water</t>
  </si>
  <si>
    <t>WT Sewer</t>
  </si>
  <si>
    <t>SW Sewer</t>
  </si>
  <si>
    <t>SW Water</t>
  </si>
  <si>
    <t>Water Adjustments</t>
  </si>
  <si>
    <t>Sewer Adjustments</t>
  </si>
  <si>
    <t>Total Water Adjustments</t>
  </si>
  <si>
    <t>Billing Adjustments</t>
  </si>
  <si>
    <t>Total Sewer Adjustments</t>
  </si>
  <si>
    <t>SW SEWER 21 KY Res Sewer</t>
  </si>
  <si>
    <t>SW SEWER 22 KY COMM Sewer</t>
  </si>
  <si>
    <t>KY Res Sewer</t>
  </si>
  <si>
    <t>KY Comm Sewer</t>
  </si>
  <si>
    <t>Less Required Revenue</t>
  </si>
  <si>
    <t>Metered Revenues</t>
  </si>
  <si>
    <t>Less: Test Year Salaries &amp; Wages Exp - Water</t>
  </si>
  <si>
    <t>Less: Test Year Salaries &amp; Wages Exp - Sewer</t>
  </si>
  <si>
    <t>Trial Balance Accounts 601, 603, and 625-01</t>
  </si>
  <si>
    <t>Trial Balance Accounts 625-02 and 701</t>
  </si>
  <si>
    <t>Adjust Payroll Taxes</t>
  </si>
  <si>
    <t>Tab Wages Cell F27</t>
  </si>
  <si>
    <t>Adjust Wages</t>
  </si>
  <si>
    <t>Tab Wages Cell F17</t>
  </si>
  <si>
    <t>Tab Wages Cell F18</t>
  </si>
  <si>
    <t>Tab Wages Cell F28</t>
  </si>
  <si>
    <t>No adjustment due to Billing Analysis</t>
  </si>
  <si>
    <t>Unusable due to large inexplicable difference.</t>
  </si>
  <si>
    <t>See Tab ExBAw</t>
  </si>
  <si>
    <t>Adjust unallowed medical premiums.</t>
  </si>
  <si>
    <t>Tab Medical Cell J20.</t>
  </si>
  <si>
    <t>Tab Medical Cell J17</t>
  </si>
  <si>
    <t>A</t>
  </si>
  <si>
    <t>B</t>
  </si>
  <si>
    <t>C</t>
  </si>
  <si>
    <t>E</t>
  </si>
  <si>
    <t>D</t>
  </si>
  <si>
    <t>F</t>
  </si>
  <si>
    <t>G</t>
  </si>
  <si>
    <t>Table 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</si>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</sst>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[$$-409]* #,##0_);_([$$-409]* \(#,##0\);_([$$-409]* &quot;-&quot;??_);_(@_)"/>
    <numFmt numFmtId="167" formatCode="_(* #,##0_);_(* \(#,##0\);_(* &quot;-&quot;??_);_(@_)"/>
    <numFmt numFmtId="168" formatCode="0.0%"/>
    <numFmt numFmtId="169" formatCode="_(* #,##0.0_);_(* \(#,##0.0\);_(* &quot;-&quot;??_);_(@_)"/>
    <numFmt numFmtId="170" formatCode="_(* #,##0.00000_);_(* \(#,##0.00000\);_(* &quot;-&quot;??_);_(@_)"/>
    <numFmt numFmtId="171" formatCode="_(&quot;$&quot;* #,##0.00000_);_(&quot;$&quot;* \(#,##0.00000\);_(&quot;$&quot;* &quot;-&quot;??_);_(@_)"/>
  </numFmts>
  <fonts count="27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1"/>
      <color rgb="FF00B05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7" fontId="4" fillId="0" borderId="0" xfId="1" applyNumberFormat="1" applyFont="1"/>
    <xf numFmtId="44" fontId="4" fillId="0" borderId="0" xfId="2" applyFont="1" applyBorder="1"/>
    <xf numFmtId="164" fontId="4" fillId="0" borderId="0" xfId="2" applyNumberFormat="1" applyFont="1" applyBorder="1"/>
    <xf numFmtId="167" fontId="4" fillId="0" borderId="0" xfId="1" applyNumberFormat="1" applyFont="1" applyBorder="1"/>
    <xf numFmtId="44" fontId="4" fillId="0" borderId="2" xfId="2" applyFont="1" applyBorder="1"/>
    <xf numFmtId="0" fontId="4" fillId="0" borderId="0" xfId="0" applyFont="1" applyAlignment="1">
      <alignment horizontal="centerContinuous"/>
    </xf>
    <xf numFmtId="164" fontId="4" fillId="0" borderId="0" xfId="4" applyNumberFormat="1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37" fontId="4" fillId="0" borderId="0" xfId="0" applyNumberFormat="1" applyFont="1"/>
    <xf numFmtId="167" fontId="4" fillId="0" borderId="0" xfId="5" applyNumberFormat="1" applyFont="1"/>
    <xf numFmtId="37" fontId="4" fillId="0" borderId="1" xfId="0" applyNumberFormat="1" applyFont="1" applyBorder="1"/>
    <xf numFmtId="167" fontId="4" fillId="0" borderId="1" xfId="5" applyNumberFormat="1" applyFont="1" applyBorder="1"/>
    <xf numFmtId="0" fontId="3" fillId="0" borderId="0" xfId="0" applyFont="1" applyAlignment="1">
      <alignment horizontal="left"/>
    </xf>
    <xf numFmtId="44" fontId="4" fillId="0" borderId="0" xfId="4" applyFont="1"/>
    <xf numFmtId="0" fontId="4" fillId="0" borderId="1" xfId="0" applyFont="1" applyBorder="1"/>
    <xf numFmtId="43" fontId="4" fillId="0" borderId="1" xfId="5" applyFont="1" applyBorder="1"/>
    <xf numFmtId="3" fontId="4" fillId="0" borderId="0" xfId="0" applyNumberFormat="1" applyFont="1"/>
    <xf numFmtId="3" fontId="8" fillId="0" borderId="0" xfId="0" applyNumberFormat="1" applyFont="1" applyAlignment="1">
      <alignment horizontal="centerContinuous" vertical="center"/>
    </xf>
    <xf numFmtId="3" fontId="10" fillId="0" borderId="0" xfId="0" applyNumberFormat="1" applyFont="1" applyAlignment="1">
      <alignment horizontal="centerContinuous"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/>
    <xf numFmtId="0" fontId="10" fillId="0" borderId="0" xfId="0" applyFont="1"/>
    <xf numFmtId="3" fontId="1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7" fontId="4" fillId="0" borderId="0" xfId="1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7" fontId="4" fillId="0" borderId="0" xfId="1" applyNumberFormat="1" applyFont="1" applyAlignment="1"/>
    <xf numFmtId="167" fontId="14" fillId="0" borderId="0" xfId="1" applyNumberFormat="1" applyFont="1" applyAlignment="1">
      <alignment vertical="center"/>
    </xf>
    <xf numFmtId="3" fontId="5" fillId="0" borderId="0" xfId="0" applyNumberFormat="1" applyFont="1"/>
    <xf numFmtId="165" fontId="4" fillId="0" borderId="0" xfId="0" applyNumberFormat="1" applyFont="1" applyAlignment="1">
      <alignment horizontal="center"/>
    </xf>
    <xf numFmtId="167" fontId="4" fillId="0" borderId="0" xfId="0" applyNumberFormat="1" applyFont="1"/>
    <xf numFmtId="3" fontId="3" fillId="0" borderId="0" xfId="0" applyNumberFormat="1" applyFont="1"/>
    <xf numFmtId="166" fontId="3" fillId="0" borderId="0" xfId="0" applyNumberFormat="1" applyFont="1"/>
    <xf numFmtId="3" fontId="9" fillId="0" borderId="0" xfId="0" applyNumberFormat="1" applyFont="1"/>
    <xf numFmtId="0" fontId="4" fillId="0" borderId="3" xfId="0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0" fontId="4" fillId="0" borderId="2" xfId="0" applyFont="1" applyBorder="1"/>
    <xf numFmtId="3" fontId="5" fillId="0" borderId="0" xfId="0" applyNumberFormat="1" applyFont="1" applyAlignment="1">
      <alignment horizontal="centerContinuous"/>
    </xf>
    <xf numFmtId="3" fontId="4" fillId="0" borderId="6" xfId="0" applyNumberFormat="1" applyFont="1" applyBorder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7" xfId="0" applyFont="1" applyBorder="1"/>
    <xf numFmtId="3" fontId="4" fillId="0" borderId="1" xfId="0" applyNumberFormat="1" applyFont="1" applyBorder="1"/>
    <xf numFmtId="4" fontId="4" fillId="0" borderId="1" xfId="0" applyNumberFormat="1" applyFont="1" applyBorder="1"/>
    <xf numFmtId="3" fontId="4" fillId="0" borderId="8" xfId="0" applyNumberFormat="1" applyFont="1" applyBorder="1"/>
    <xf numFmtId="4" fontId="4" fillId="0" borderId="0" xfId="0" applyNumberFormat="1" applyFont="1"/>
    <xf numFmtId="169" fontId="4" fillId="0" borderId="0" xfId="1" applyNumberFormat="1" applyFont="1" applyBorder="1"/>
    <xf numFmtId="169" fontId="4" fillId="0" borderId="0" xfId="1" applyNumberFormat="1" applyFont="1" applyAlignment="1"/>
    <xf numFmtId="169" fontId="4" fillId="0" borderId="4" xfId="1" applyNumberFormat="1" applyFont="1" applyBorder="1"/>
    <xf numFmtId="169" fontId="4" fillId="0" borderId="0" xfId="1" applyNumberFormat="1" applyFont="1" applyBorder="1" applyAlignment="1"/>
    <xf numFmtId="169" fontId="5" fillId="0" borderId="0" xfId="1" applyNumberFormat="1" applyFont="1" applyBorder="1" applyAlignment="1">
      <alignment horizontal="centerContinuous"/>
    </xf>
    <xf numFmtId="169" fontId="5" fillId="0" borderId="0" xfId="1" applyNumberFormat="1" applyFont="1" applyBorder="1" applyAlignment="1">
      <alignment horizontal="center"/>
    </xf>
    <xf numFmtId="169" fontId="4" fillId="0" borderId="1" xfId="1" applyNumberFormat="1" applyFont="1" applyBorder="1" applyAlignment="1"/>
    <xf numFmtId="169" fontId="3" fillId="0" borderId="0" xfId="1" applyNumberFormat="1" applyFont="1" applyBorder="1" applyAlignment="1"/>
    <xf numFmtId="3" fontId="11" fillId="0" borderId="0" xfId="0" applyNumberFormat="1" applyFont="1" applyAlignment="1">
      <alignment horizontal="left" vertical="center"/>
    </xf>
    <xf numFmtId="167" fontId="7" fillId="0" borderId="0" xfId="1" applyNumberFormat="1" applyFont="1"/>
    <xf numFmtId="167" fontId="4" fillId="0" borderId="0" xfId="1" applyNumberFormat="1" applyFont="1" applyAlignment="1">
      <alignment horizontal="right"/>
    </xf>
    <xf numFmtId="43" fontId="4" fillId="0" borderId="0" xfId="0" applyNumberFormat="1" applyFont="1"/>
    <xf numFmtId="164" fontId="4" fillId="0" borderId="0" xfId="2" applyNumberFormat="1" applyFont="1"/>
    <xf numFmtId="167" fontId="16" fillId="0" borderId="0" xfId="1" applyNumberFormat="1" applyFont="1" applyAlignment="1">
      <alignment vertical="center"/>
    </xf>
    <xf numFmtId="0" fontId="8" fillId="0" borderId="0" xfId="0" applyFont="1" applyAlignment="1">
      <alignment horizontal="centerContinuous"/>
    </xf>
    <xf numFmtId="164" fontId="4" fillId="0" borderId="0" xfId="0" applyNumberFormat="1" applyFont="1"/>
    <xf numFmtId="167" fontId="4" fillId="0" borderId="0" xfId="5" applyNumberFormat="1" applyFont="1" applyFill="1"/>
    <xf numFmtId="167" fontId="4" fillId="0" borderId="1" xfId="5" applyNumberFormat="1" applyFont="1" applyFill="1" applyBorder="1"/>
    <xf numFmtId="167" fontId="4" fillId="0" borderId="0" xfId="5" applyNumberFormat="1" applyFont="1" applyBorder="1"/>
    <xf numFmtId="0" fontId="5" fillId="0" borderId="0" xfId="0" applyFont="1" applyAlignment="1">
      <alignment horizontal="right"/>
    </xf>
    <xf numFmtId="167" fontId="17" fillId="0" borderId="0" xfId="1" applyNumberFormat="1" applyFont="1" applyAlignment="1">
      <alignment vertical="center"/>
    </xf>
    <xf numFmtId="167" fontId="4" fillId="0" borderId="1" xfId="1" applyNumberFormat="1" applyFont="1" applyBorder="1"/>
    <xf numFmtId="167" fontId="4" fillId="0" borderId="3" xfId="5" applyNumberFormat="1" applyFont="1" applyBorder="1"/>
    <xf numFmtId="167" fontId="4" fillId="0" borderId="4" xfId="5" applyNumberFormat="1" applyFont="1" applyBorder="1"/>
    <xf numFmtId="167" fontId="4" fillId="0" borderId="5" xfId="5" applyNumberFormat="1" applyFont="1" applyBorder="1"/>
    <xf numFmtId="167" fontId="4" fillId="0" borderId="2" xfId="5" applyNumberFormat="1" applyFont="1" applyBorder="1"/>
    <xf numFmtId="167" fontId="4" fillId="0" borderId="6" xfId="5" applyNumberFormat="1" applyFont="1" applyBorder="1"/>
    <xf numFmtId="167" fontId="3" fillId="0" borderId="0" xfId="5" applyNumberFormat="1" applyFont="1" applyBorder="1"/>
    <xf numFmtId="167" fontId="4" fillId="0" borderId="7" xfId="5" applyNumberFormat="1" applyFont="1" applyBorder="1"/>
    <xf numFmtId="167" fontId="4" fillId="0" borderId="8" xfId="5" applyNumberFormat="1" applyFont="1" applyBorder="1"/>
    <xf numFmtId="167" fontId="7" fillId="0" borderId="0" xfId="5" applyNumberFormat="1" applyFont="1" applyBorder="1" applyAlignment="1">
      <alignment horizontal="center"/>
    </xf>
    <xf numFmtId="43" fontId="4" fillId="0" borderId="0" xfId="5" applyFont="1" applyBorder="1"/>
    <xf numFmtId="167" fontId="10" fillId="0" borderId="0" xfId="1" applyNumberFormat="1" applyFont="1" applyAlignment="1"/>
    <xf numFmtId="167" fontId="7" fillId="0" borderId="6" xfId="5" applyNumberFormat="1" applyFont="1" applyBorder="1" applyAlignment="1">
      <alignment horizontal="center"/>
    </xf>
    <xf numFmtId="168" fontId="4" fillId="0" borderId="6" xfId="6" applyNumberFormat="1" applyFont="1" applyBorder="1"/>
    <xf numFmtId="167" fontId="4" fillId="2" borderId="0" xfId="5" applyNumberFormat="1" applyFont="1" applyFill="1" applyBorder="1"/>
    <xf numFmtId="167" fontId="3" fillId="0" borderId="0" xfId="5" applyNumberFormat="1" applyFont="1" applyBorder="1" applyAlignment="1">
      <alignment horizontal="right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1" xfId="0" applyFont="1" applyBorder="1"/>
    <xf numFmtId="0" fontId="10" fillId="0" borderId="8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7" fontId="4" fillId="0" borderId="0" xfId="1" applyNumberFormat="1" applyFont="1" applyBorder="1" applyAlignment="1"/>
    <xf numFmtId="44" fontId="4" fillId="0" borderId="0" xfId="2" applyFont="1" applyBorder="1" applyAlignment="1"/>
    <xf numFmtId="43" fontId="4" fillId="0" borderId="0" xfId="1" applyFont="1" applyBorder="1" applyAlignment="1"/>
    <xf numFmtId="167" fontId="4" fillId="0" borderId="1" xfId="1" applyNumberFormat="1" applyFont="1" applyBorder="1" applyAlignment="1"/>
    <xf numFmtId="0" fontId="4" fillId="0" borderId="8" xfId="0" applyFont="1" applyBorder="1"/>
    <xf numFmtId="0" fontId="13" fillId="0" borderId="0" xfId="0" applyFont="1" applyAlignment="1">
      <alignment horizontal="center"/>
    </xf>
    <xf numFmtId="44" fontId="4" fillId="0" borderId="0" xfId="0" applyNumberFormat="1" applyFont="1"/>
    <xf numFmtId="168" fontId="4" fillId="0" borderId="0" xfId="3" applyNumberFormat="1" applyFont="1" applyAlignment="1"/>
    <xf numFmtId="167" fontId="5" fillId="0" borderId="0" xfId="5" applyNumberFormat="1" applyFont="1" applyAlignment="1">
      <alignment horizontal="centerContinuous"/>
    </xf>
    <xf numFmtId="167" fontId="4" fillId="0" borderId="0" xfId="5" applyNumberFormat="1" applyFont="1" applyAlignment="1">
      <alignment horizontal="centerContinuous"/>
    </xf>
    <xf numFmtId="167" fontId="4" fillId="0" borderId="3" xfId="5" applyNumberFormat="1" applyFont="1" applyBorder="1" applyAlignment="1">
      <alignment horizontal="left"/>
    </xf>
    <xf numFmtId="167" fontId="6" fillId="0" borderId="2" xfId="5" applyNumberFormat="1" applyFont="1" applyBorder="1" applyAlignment="1">
      <alignment horizontal="center" vertical="center"/>
    </xf>
    <xf numFmtId="164" fontId="4" fillId="0" borderId="2" xfId="4" quotePrefix="1" applyNumberFormat="1" applyFont="1" applyBorder="1" applyAlignment="1">
      <alignment horizontal="center"/>
    </xf>
    <xf numFmtId="167" fontId="4" fillId="0" borderId="2" xfId="5" applyNumberFormat="1" applyFont="1" applyBorder="1" applyAlignment="1">
      <alignment horizontal="center"/>
    </xf>
    <xf numFmtId="167" fontId="4" fillId="0" borderId="0" xfId="5" applyNumberFormat="1" applyFont="1" applyAlignment="1">
      <alignment horizontal="center"/>
    </xf>
    <xf numFmtId="167" fontId="4" fillId="0" borderId="2" xfId="5" quotePrefix="1" applyNumberFormat="1" applyFont="1" applyBorder="1" applyAlignment="1">
      <alignment horizontal="left"/>
    </xf>
    <xf numFmtId="167" fontId="3" fillId="0" borderId="0" xfId="5" applyNumberFormat="1" applyFont="1" applyAlignment="1">
      <alignment horizontal="right"/>
    </xf>
    <xf numFmtId="167" fontId="3" fillId="0" borderId="0" xfId="5" applyNumberFormat="1" applyFont="1"/>
    <xf numFmtId="164" fontId="3" fillId="0" borderId="0" xfId="4" applyNumberFormat="1" applyFont="1"/>
    <xf numFmtId="0" fontId="12" fillId="0" borderId="0" xfId="0" applyFont="1"/>
    <xf numFmtId="3" fontId="8" fillId="0" borderId="0" xfId="0" applyNumberFormat="1" applyFont="1" applyAlignment="1">
      <alignment horizontal="center" vertical="center"/>
    </xf>
    <xf numFmtId="167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167" fontId="4" fillId="0" borderId="4" xfId="5" applyNumberFormat="1" applyFont="1" applyBorder="1" applyAlignment="1">
      <alignment horizontal="left"/>
    </xf>
    <xf numFmtId="167" fontId="4" fillId="0" borderId="5" xfId="5" applyNumberFormat="1" applyFont="1" applyBorder="1" applyAlignment="1">
      <alignment horizontal="left"/>
    </xf>
    <xf numFmtId="167" fontId="5" fillId="0" borderId="2" xfId="5" applyNumberFormat="1" applyFont="1" applyBorder="1" applyAlignment="1">
      <alignment horizontal="centerContinuous"/>
    </xf>
    <xf numFmtId="167" fontId="6" fillId="0" borderId="0" xfId="5" applyNumberFormat="1" applyFont="1" applyBorder="1" applyAlignment="1">
      <alignment horizontal="center" vertical="center"/>
    </xf>
    <xf numFmtId="164" fontId="4" fillId="0" borderId="0" xfId="4" quotePrefix="1" applyNumberFormat="1" applyFont="1" applyBorder="1" applyAlignment="1">
      <alignment horizontal="center"/>
    </xf>
    <xf numFmtId="43" fontId="4" fillId="0" borderId="0" xfId="1" applyFont="1"/>
    <xf numFmtId="167" fontId="4" fillId="0" borderId="0" xfId="5" quotePrefix="1" applyNumberFormat="1" applyFont="1"/>
    <xf numFmtId="43" fontId="4" fillId="0" borderId="0" xfId="1" applyFont="1" applyAlignment="1"/>
    <xf numFmtId="167" fontId="7" fillId="0" borderId="0" xfId="1" applyNumberFormat="1" applyFont="1" applyAlignment="1">
      <alignment vertical="center"/>
    </xf>
    <xf numFmtId="165" fontId="4" fillId="0" borderId="0" xfId="0" quotePrefix="1" applyNumberFormat="1" applyFont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44" fontId="10" fillId="0" borderId="0" xfId="0" applyNumberFormat="1" applyFont="1"/>
    <xf numFmtId="167" fontId="4" fillId="0" borderId="9" xfId="5" applyNumberFormat="1" applyFont="1" applyBorder="1"/>
    <xf numFmtId="167" fontId="7" fillId="0" borderId="10" xfId="5" applyNumberFormat="1" applyFont="1" applyBorder="1" applyAlignment="1">
      <alignment horizontal="center"/>
    </xf>
    <xf numFmtId="44" fontId="4" fillId="0" borderId="10" xfId="2" applyFont="1" applyBorder="1"/>
    <xf numFmtId="43" fontId="4" fillId="2" borderId="10" xfId="5" applyFont="1" applyFill="1" applyBorder="1"/>
    <xf numFmtId="43" fontId="4" fillId="0" borderId="10" xfId="5" applyFont="1" applyBorder="1"/>
    <xf numFmtId="43" fontId="7" fillId="0" borderId="6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18" fillId="0" borderId="0" xfId="0" applyFont="1"/>
    <xf numFmtId="167" fontId="5" fillId="0" borderId="0" xfId="1" applyNumberFormat="1" applyFont="1" applyAlignment="1">
      <alignment horizontal="center" vertical="center"/>
    </xf>
    <xf numFmtId="167" fontId="1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9" fontId="4" fillId="0" borderId="0" xfId="1" applyNumberFormat="1" applyFont="1"/>
    <xf numFmtId="167" fontId="4" fillId="0" borderId="9" xfId="5" applyNumberFormat="1" applyFont="1" applyBorder="1" applyAlignment="1">
      <alignment horizontal="left"/>
    </xf>
    <xf numFmtId="167" fontId="5" fillId="0" borderId="6" xfId="5" applyNumberFormat="1" applyFont="1" applyBorder="1" applyAlignment="1">
      <alignment horizontal="centerContinuous"/>
    </xf>
    <xf numFmtId="167" fontId="6" fillId="0" borderId="0" xfId="5" applyNumberFormat="1" applyFont="1" applyAlignment="1">
      <alignment horizontal="center" vertical="center"/>
    </xf>
    <xf numFmtId="167" fontId="6" fillId="0" borderId="6" xfId="5" applyNumberFormat="1" applyFont="1" applyBorder="1" applyAlignment="1">
      <alignment horizontal="center" vertical="center"/>
    </xf>
    <xf numFmtId="167" fontId="4" fillId="0" borderId="10" xfId="5" applyNumberFormat="1" applyFont="1" applyBorder="1" applyAlignment="1">
      <alignment horizontal="left"/>
    </xf>
    <xf numFmtId="164" fontId="4" fillId="0" borderId="0" xfId="4" quotePrefix="1" applyNumberFormat="1" applyFont="1" applyAlignment="1">
      <alignment horizontal="center"/>
    </xf>
    <xf numFmtId="164" fontId="4" fillId="0" borderId="6" xfId="4" quotePrefix="1" applyNumberFormat="1" applyFont="1" applyBorder="1" applyAlignment="1">
      <alignment horizontal="center"/>
    </xf>
    <xf numFmtId="167" fontId="4" fillId="0" borderId="6" xfId="5" applyNumberFormat="1" applyFont="1" applyBorder="1" applyAlignment="1">
      <alignment horizontal="center"/>
    </xf>
    <xf numFmtId="167" fontId="4" fillId="0" borderId="0" xfId="5" quotePrefix="1" applyNumberFormat="1" applyFont="1" applyBorder="1" applyAlignment="1">
      <alignment horizontal="center"/>
    </xf>
    <xf numFmtId="164" fontId="3" fillId="0" borderId="0" xfId="4" applyNumberFormat="1" applyFont="1" applyBorder="1"/>
    <xf numFmtId="167" fontId="4" fillId="0" borderId="11" xfId="5" applyNumberFormat="1" applyFont="1" applyBorder="1" applyAlignment="1">
      <alignment horizontal="left"/>
    </xf>
    <xf numFmtId="167" fontId="4" fillId="0" borderId="7" xfId="5" quotePrefix="1" applyNumberFormat="1" applyFont="1" applyBorder="1" applyAlignment="1">
      <alignment horizontal="left"/>
    </xf>
    <xf numFmtId="167" fontId="4" fillId="0" borderId="1" xfId="5" quotePrefix="1" applyNumberFormat="1" applyFont="1" applyBorder="1" applyAlignment="1">
      <alignment horizontal="left"/>
    </xf>
    <xf numFmtId="167" fontId="4" fillId="0" borderId="8" xfId="5" quotePrefix="1" applyNumberFormat="1" applyFont="1" applyBorder="1" applyAlignment="1">
      <alignment horizontal="left"/>
    </xf>
    <xf numFmtId="164" fontId="4" fillId="0" borderId="1" xfId="4" quotePrefix="1" applyNumberFormat="1" applyFont="1" applyBorder="1" applyAlignment="1">
      <alignment horizontal="left"/>
    </xf>
    <xf numFmtId="166" fontId="3" fillId="0" borderId="4" xfId="0" applyNumberFormat="1" applyFont="1" applyBorder="1"/>
    <xf numFmtId="169" fontId="3" fillId="0" borderId="4" xfId="1" applyNumberFormat="1" applyFont="1" applyBorder="1" applyAlignment="1"/>
    <xf numFmtId="3" fontId="5" fillId="0" borderId="4" xfId="0" applyNumberFormat="1" applyFont="1" applyBorder="1" applyAlignment="1">
      <alignment horizontal="center"/>
    </xf>
    <xf numFmtId="169" fontId="5" fillId="0" borderId="4" xfId="1" applyNumberFormat="1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7" fontId="4" fillId="0" borderId="0" xfId="1" applyNumberFormat="1" applyFont="1" applyFill="1" applyBorder="1"/>
    <xf numFmtId="164" fontId="4" fillId="0" borderId="1" xfId="2" applyNumberFormat="1" applyFont="1" applyBorder="1"/>
    <xf numFmtId="168" fontId="4" fillId="0" borderId="0" xfId="3" applyNumberFormat="1" applyFont="1"/>
    <xf numFmtId="0" fontId="8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8" fillId="0" borderId="6" xfId="0" applyNumberFormat="1" applyFont="1" applyBorder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43" fontId="10" fillId="0" borderId="0" xfId="1" applyFont="1" applyAlignment="1"/>
    <xf numFmtId="167" fontId="4" fillId="0" borderId="0" xfId="5" applyNumberFormat="1" applyFont="1" applyBorder="1" applyAlignment="1"/>
    <xf numFmtId="44" fontId="4" fillId="0" borderId="0" xfId="4" applyFont="1" applyBorder="1" applyAlignment="1"/>
    <xf numFmtId="10" fontId="10" fillId="0" borderId="0" xfId="6" applyNumberFormat="1" applyFont="1" applyAlignment="1"/>
    <xf numFmtId="167" fontId="4" fillId="0" borderId="1" xfId="5" applyNumberFormat="1" applyFont="1" applyBorder="1" applyAlignment="1"/>
    <xf numFmtId="167" fontId="10" fillId="0" borderId="0" xfId="5" applyNumberFormat="1" applyFont="1" applyAlignment="1"/>
    <xf numFmtId="167" fontId="3" fillId="0" borderId="0" xfId="1" applyNumberFormat="1" applyFont="1" applyAlignment="1">
      <alignment horizontal="center"/>
    </xf>
    <xf numFmtId="167" fontId="4" fillId="0" borderId="0" xfId="1" applyNumberFormat="1" applyFont="1" applyFill="1"/>
    <xf numFmtId="3" fontId="13" fillId="0" borderId="0" xfId="0" applyNumberFormat="1" applyFont="1"/>
    <xf numFmtId="3" fontId="20" fillId="0" borderId="0" xfId="0" applyNumberFormat="1" applyFont="1"/>
    <xf numFmtId="44" fontId="20" fillId="0" borderId="0" xfId="2" applyFont="1" applyAlignment="1"/>
    <xf numFmtId="10" fontId="10" fillId="0" borderId="0" xfId="3" applyNumberFormat="1" applyFont="1"/>
    <xf numFmtId="167" fontId="4" fillId="0" borderId="0" xfId="5" applyNumberFormat="1" applyFont="1" applyBorder="1" applyAlignment="1">
      <alignment horizontal="left"/>
    </xf>
    <xf numFmtId="167" fontId="21" fillId="0" borderId="0" xfId="1" applyNumberFormat="1" applyFont="1" applyAlignment="1">
      <alignment vertical="center"/>
    </xf>
    <xf numFmtId="167" fontId="10" fillId="0" borderId="0" xfId="1" applyNumberFormat="1" applyFont="1" applyAlignment="1">
      <alignment horizontal="centerContinuous" vertical="center"/>
    </xf>
    <xf numFmtId="167" fontId="12" fillId="0" borderId="0" xfId="1" applyNumberFormat="1" applyFont="1" applyAlignment="1">
      <alignment horizontal="center" vertical="center"/>
    </xf>
    <xf numFmtId="167" fontId="19" fillId="0" borderId="0" xfId="1" applyNumberFormat="1" applyFont="1" applyAlignment="1">
      <alignment horizontal="center" vertical="center"/>
    </xf>
    <xf numFmtId="44" fontId="4" fillId="0" borderId="1" xfId="4" applyFont="1" applyBorder="1"/>
    <xf numFmtId="170" fontId="4" fillId="0" borderId="0" xfId="1" applyNumberFormat="1" applyFont="1" applyBorder="1" applyAlignment="1"/>
    <xf numFmtId="168" fontId="4" fillId="0" borderId="0" xfId="3" applyNumberFormat="1" applyFont="1" applyFill="1"/>
    <xf numFmtId="43" fontId="4" fillId="0" borderId="0" xfId="1" applyFont="1" applyFill="1"/>
    <xf numFmtId="44" fontId="0" fillId="0" borderId="0" xfId="4" applyFont="1" applyFill="1"/>
    <xf numFmtId="0" fontId="1" fillId="0" borderId="0" xfId="0" applyFont="1"/>
    <xf numFmtId="168" fontId="4" fillId="0" borderId="0" xfId="3" applyNumberFormat="1" applyFont="1" applyBorder="1"/>
    <xf numFmtId="43" fontId="4" fillId="0" borderId="0" xfId="2" applyNumberFormat="1" applyFont="1" applyBorder="1"/>
    <xf numFmtId="167" fontId="4" fillId="0" borderId="0" xfId="5" applyNumberFormat="1" applyFont="1" applyFill="1" applyBorder="1"/>
    <xf numFmtId="44" fontId="4" fillId="0" borderId="0" xfId="4" applyFont="1" applyBorder="1"/>
    <xf numFmtId="164" fontId="4" fillId="0" borderId="0" xfId="4" applyNumberFormat="1" applyFont="1" applyBorder="1"/>
    <xf numFmtId="3" fontId="4" fillId="0" borderId="0" xfId="5" applyNumberFormat="1" applyFont="1" applyFill="1"/>
    <xf numFmtId="3" fontId="4" fillId="0" borderId="1" xfId="5" applyNumberFormat="1" applyFont="1" applyFill="1" applyBorder="1"/>
    <xf numFmtId="167" fontId="4" fillId="0" borderId="1" xfId="1" applyNumberFormat="1" applyFont="1" applyBorder="1" applyAlignment="1">
      <alignment horizontal="right"/>
    </xf>
    <xf numFmtId="167" fontId="4" fillId="0" borderId="0" xfId="1" applyNumberFormat="1" applyFont="1" applyAlignment="1">
      <alignment horizontal="centerContinuous"/>
    </xf>
    <xf numFmtId="167" fontId="4" fillId="0" borderId="1" xfId="1" applyNumberFormat="1" applyFont="1" applyBorder="1" applyAlignment="1">
      <alignment horizontal="center"/>
    </xf>
    <xf numFmtId="167" fontId="4" fillId="0" borderId="1" xfId="1" applyNumberFormat="1" applyFont="1" applyFill="1" applyBorder="1"/>
    <xf numFmtId="167" fontId="4" fillId="0" borderId="0" xfId="1" applyNumberFormat="1" applyFont="1" applyBorder="1" applyAlignment="1">
      <alignment horizontal="center"/>
    </xf>
    <xf numFmtId="164" fontId="4" fillId="0" borderId="1" xfId="0" applyNumberFormat="1" applyFont="1" applyBorder="1"/>
    <xf numFmtId="167" fontId="4" fillId="0" borderId="0" xfId="5" applyNumberFormat="1" applyFont="1" applyAlignment="1">
      <alignment horizontal="left"/>
    </xf>
    <xf numFmtId="167" fontId="4" fillId="0" borderId="2" xfId="5" applyNumberFormat="1" applyFont="1" applyBorder="1" applyAlignment="1">
      <alignment horizontal="left"/>
    </xf>
    <xf numFmtId="167" fontId="6" fillId="0" borderId="10" xfId="5" applyNumberFormat="1" applyFont="1" applyBorder="1" applyAlignment="1">
      <alignment horizontal="left"/>
    </xf>
    <xf numFmtId="167" fontId="4" fillId="0" borderId="7" xfId="5" applyNumberFormat="1" applyFont="1" applyBorder="1" applyAlignment="1">
      <alignment horizontal="left"/>
    </xf>
    <xf numFmtId="167" fontId="3" fillId="0" borderId="2" xfId="5" applyNumberFormat="1" applyFont="1" applyBorder="1" applyAlignment="1">
      <alignment horizontal="left"/>
    </xf>
    <xf numFmtId="167" fontId="4" fillId="0" borderId="7" xfId="5" quotePrefix="1" applyNumberFormat="1" applyFont="1" applyBorder="1" applyAlignment="1">
      <alignment horizontal="center"/>
    </xf>
    <xf numFmtId="43" fontId="4" fillId="2" borderId="0" xfId="5" applyFont="1" applyFill="1" applyBorder="1"/>
    <xf numFmtId="43" fontId="4" fillId="0" borderId="10" xfId="5" applyFont="1" applyFill="1" applyBorder="1"/>
    <xf numFmtId="43" fontId="4" fillId="0" borderId="0" xfId="5" applyFont="1" applyFill="1" applyBorder="1"/>
    <xf numFmtId="43" fontId="4" fillId="2" borderId="0" xfId="2" applyNumberFormat="1" applyFont="1" applyFill="1" applyBorder="1"/>
    <xf numFmtId="168" fontId="4" fillId="2" borderId="0" xfId="3" applyNumberFormat="1" applyFont="1" applyFill="1" applyBorder="1"/>
    <xf numFmtId="43" fontId="4" fillId="0" borderId="0" xfId="2" applyNumberFormat="1" applyFont="1" applyFill="1" applyBorder="1"/>
    <xf numFmtId="168" fontId="4" fillId="0" borderId="0" xfId="3" applyNumberFormat="1" applyFont="1" applyFill="1" applyBorder="1"/>
    <xf numFmtId="44" fontId="4" fillId="2" borderId="0" xfId="2" applyFont="1" applyFill="1" applyBorder="1"/>
    <xf numFmtId="44" fontId="4" fillId="0" borderId="0" xfId="2" applyFont="1" applyFill="1" applyBorder="1"/>
    <xf numFmtId="167" fontId="8" fillId="0" borderId="0" xfId="0" applyNumberFormat="1" applyFont="1" applyAlignment="1">
      <alignment horizontal="center" vertical="center"/>
    </xf>
    <xf numFmtId="167" fontId="5" fillId="0" borderId="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9" fontId="4" fillId="0" borderId="0" xfId="1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4" fontId="3" fillId="0" borderId="0" xfId="2" applyNumberFormat="1" applyFont="1" applyBorder="1"/>
    <xf numFmtId="167" fontId="4" fillId="0" borderId="0" xfId="2" applyNumberFormat="1" applyFont="1" applyAlignment="1"/>
    <xf numFmtId="167" fontId="4" fillId="0" borderId="4" xfId="2" applyNumberFormat="1" applyFont="1" applyBorder="1"/>
    <xf numFmtId="167" fontId="8" fillId="0" borderId="0" xfId="2" applyNumberFormat="1" applyFont="1" applyAlignment="1">
      <alignment horizontal="center" vertical="center"/>
    </xf>
    <xf numFmtId="167" fontId="4" fillId="0" borderId="0" xfId="2" applyNumberFormat="1" applyFont="1" applyBorder="1" applyAlignment="1"/>
    <xf numFmtId="167" fontId="3" fillId="0" borderId="0" xfId="2" applyNumberFormat="1" applyFont="1" applyBorder="1" applyAlignment="1">
      <alignment horizontal="center"/>
    </xf>
    <xf numFmtId="167" fontId="5" fillId="0" borderId="0" xfId="2" applyNumberFormat="1" applyFont="1" applyBorder="1" applyAlignment="1">
      <alignment horizontal="center"/>
    </xf>
    <xf numFmtId="167" fontId="5" fillId="0" borderId="4" xfId="2" applyNumberFormat="1" applyFont="1" applyBorder="1" applyAlignment="1">
      <alignment horizontal="center"/>
    </xf>
    <xf numFmtId="167" fontId="4" fillId="0" borderId="0" xfId="2" applyNumberFormat="1" applyFont="1" applyBorder="1"/>
    <xf numFmtId="167" fontId="4" fillId="0" borderId="0" xfId="2" applyNumberFormat="1" applyFont="1" applyBorder="1" applyAlignment="1">
      <alignment horizontal="center"/>
    </xf>
    <xf numFmtId="167" fontId="4" fillId="0" borderId="0" xfId="2" applyNumberFormat="1" applyFont="1"/>
    <xf numFmtId="167" fontId="4" fillId="0" borderId="1" xfId="2" applyNumberFormat="1" applyFont="1" applyBorder="1" applyAlignment="1"/>
    <xf numFmtId="167" fontId="4" fillId="0" borderId="4" xfId="2" applyNumberFormat="1" applyFont="1" applyBorder="1" applyAlignment="1"/>
    <xf numFmtId="41" fontId="4" fillId="0" borderId="0" xfId="2" applyNumberFormat="1" applyFont="1" applyAlignment="1"/>
    <xf numFmtId="41" fontId="4" fillId="0" borderId="4" xfId="2" applyNumberFormat="1" applyFont="1" applyBorder="1"/>
    <xf numFmtId="41" fontId="8" fillId="0" borderId="0" xfId="2" applyNumberFormat="1" applyFont="1" applyAlignment="1">
      <alignment horizontal="center" vertical="center"/>
    </xf>
    <xf numFmtId="41" fontId="4" fillId="0" borderId="0" xfId="2" applyNumberFormat="1" applyFont="1" applyBorder="1" applyAlignment="1"/>
    <xf numFmtId="41" fontId="5" fillId="0" borderId="0" xfId="2" applyNumberFormat="1" applyFont="1" applyBorder="1" applyAlignment="1">
      <alignment horizontal="centerContinuous"/>
    </xf>
    <xf numFmtId="41" fontId="5" fillId="0" borderId="0" xfId="2" applyNumberFormat="1" applyFont="1" applyBorder="1" applyAlignment="1">
      <alignment horizontal="center"/>
    </xf>
    <xf numFmtId="41" fontId="5" fillId="0" borderId="4" xfId="2" applyNumberFormat="1" applyFont="1" applyBorder="1" applyAlignment="1">
      <alignment horizontal="center"/>
    </xf>
    <xf numFmtId="41" fontId="4" fillId="0" borderId="0" xfId="2" applyNumberFormat="1" applyFont="1" applyBorder="1"/>
    <xf numFmtId="41" fontId="4" fillId="0" borderId="0" xfId="2" applyNumberFormat="1" applyFont="1" applyBorder="1" applyAlignment="1">
      <alignment horizontal="center"/>
    </xf>
    <xf numFmtId="41" fontId="3" fillId="0" borderId="0" xfId="2" applyNumberFormat="1" applyFont="1" applyBorder="1"/>
    <xf numFmtId="41" fontId="4" fillId="0" borderId="1" xfId="2" applyNumberFormat="1" applyFont="1" applyBorder="1" applyAlignment="1"/>
    <xf numFmtId="41" fontId="3" fillId="0" borderId="4" xfId="2" applyNumberFormat="1" applyFont="1" applyBorder="1"/>
    <xf numFmtId="10" fontId="4" fillId="0" borderId="0" xfId="0" applyNumberFormat="1" applyFont="1"/>
    <xf numFmtId="44" fontId="4" fillId="0" borderId="0" xfId="2" applyFont="1" applyFill="1"/>
    <xf numFmtId="164" fontId="4" fillId="0" borderId="0" xfId="2" applyNumberFormat="1" applyFont="1" applyFill="1"/>
    <xf numFmtId="164" fontId="4" fillId="0" borderId="1" xfId="2" applyNumberFormat="1" applyFont="1" applyFill="1" applyBorder="1"/>
    <xf numFmtId="49" fontId="4" fillId="0" borderId="0" xfId="0" applyNumberFormat="1" applyFont="1"/>
    <xf numFmtId="169" fontId="4" fillId="0" borderId="0" xfId="0" applyNumberFormat="1" applyFont="1"/>
    <xf numFmtId="49" fontId="4" fillId="0" borderId="0" xfId="0" applyNumberFormat="1" applyFont="1" applyAlignment="1">
      <alignment horizontal="center"/>
    </xf>
    <xf numFmtId="169" fontId="4" fillId="0" borderId="1" xfId="0" applyNumberFormat="1" applyFont="1" applyBorder="1"/>
    <xf numFmtId="44" fontId="4" fillId="0" borderId="0" xfId="2" applyFont="1"/>
    <xf numFmtId="43" fontId="4" fillId="0" borderId="1" xfId="0" applyNumberFormat="1" applyFont="1" applyBorder="1"/>
    <xf numFmtId="44" fontId="4" fillId="0" borderId="1" xfId="2" applyFont="1" applyBorder="1"/>
    <xf numFmtId="10" fontId="4" fillId="0" borderId="0" xfId="0" quotePrefix="1" applyNumberFormat="1" applyFont="1"/>
    <xf numFmtId="4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Continuous" vertical="center"/>
    </xf>
    <xf numFmtId="167" fontId="5" fillId="0" borderId="0" xfId="1" applyNumberFormat="1" applyFont="1" applyAlignment="1">
      <alignment horizontal="center"/>
    </xf>
    <xf numFmtId="9" fontId="4" fillId="0" borderId="0" xfId="0" applyNumberFormat="1" applyFont="1"/>
    <xf numFmtId="44" fontId="4" fillId="0" borderId="0" xfId="2" applyFont="1" applyAlignment="1">
      <alignment horizontal="right"/>
    </xf>
    <xf numFmtId="44" fontId="4" fillId="0" borderId="1" xfId="0" applyNumberFormat="1" applyFont="1" applyBorder="1"/>
    <xf numFmtId="0" fontId="5" fillId="0" borderId="6" xfId="0" applyFont="1" applyBorder="1" applyAlignment="1">
      <alignment horizontal="center"/>
    </xf>
    <xf numFmtId="44" fontId="4" fillId="0" borderId="1" xfId="2" applyFont="1" applyFill="1" applyBorder="1"/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/>
    <xf numFmtId="165" fontId="4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4" fillId="0" borderId="2" xfId="0" applyNumberFormat="1" applyFont="1" applyBorder="1"/>
    <xf numFmtId="10" fontId="4" fillId="0" borderId="6" xfId="3" applyNumberFormat="1" applyFont="1" applyBorder="1" applyAlignment="1">
      <alignment horizontal="center"/>
    </xf>
    <xf numFmtId="10" fontId="4" fillId="0" borderId="6" xfId="3" applyNumberFormat="1" applyFont="1" applyBorder="1"/>
    <xf numFmtId="171" fontId="4" fillId="0" borderId="2" xfId="2" applyNumberFormat="1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7" fontId="7" fillId="0" borderId="0" xfId="1" applyNumberFormat="1" applyFont="1" applyBorder="1"/>
    <xf numFmtId="167" fontId="22" fillId="0" borderId="0" xfId="1" applyNumberFormat="1" applyFont="1" applyFill="1" applyBorder="1" applyAlignment="1">
      <alignment horizontal="right"/>
    </xf>
    <xf numFmtId="167" fontId="7" fillId="0" borderId="0" xfId="1" applyNumberFormat="1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4" fillId="2" borderId="2" xfId="5" applyFont="1" applyFill="1" applyBorder="1"/>
    <xf numFmtId="167" fontId="7" fillId="0" borderId="0" xfId="1" applyNumberFormat="1" applyFont="1" applyFill="1" applyAlignment="1">
      <alignment vertical="center"/>
    </xf>
    <xf numFmtId="167" fontId="4" fillId="0" borderId="0" xfId="1" applyNumberFormat="1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167" fontId="24" fillId="0" borderId="0" xfId="1" applyNumberFormat="1" applyFont="1" applyAlignment="1"/>
    <xf numFmtId="3" fontId="24" fillId="0" borderId="0" xfId="0" applyNumberFormat="1" applyFont="1"/>
    <xf numFmtId="44" fontId="24" fillId="0" borderId="0" xfId="2" applyFont="1" applyAlignment="1"/>
    <xf numFmtId="10" fontId="4" fillId="0" borderId="0" xfId="3" applyNumberFormat="1" applyFont="1" applyAlignment="1"/>
    <xf numFmtId="43" fontId="7" fillId="0" borderId="0" xfId="1" applyFont="1" applyAlignment="1"/>
    <xf numFmtId="164" fontId="4" fillId="0" borderId="0" xfId="2" applyNumberFormat="1" applyFont="1" applyFill="1" applyBorder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1" xfId="0" applyFont="1" applyBorder="1"/>
    <xf numFmtId="10" fontId="25" fillId="0" borderId="0" xfId="3" applyNumberFormat="1" applyFont="1"/>
    <xf numFmtId="10" fontId="25" fillId="0" borderId="1" xfId="0" applyNumberFormat="1" applyFont="1" applyBorder="1"/>
    <xf numFmtId="44" fontId="25" fillId="0" borderId="0" xfId="2" applyFont="1"/>
    <xf numFmtId="0" fontId="26" fillId="0" borderId="0" xfId="0" applyFont="1"/>
    <xf numFmtId="44" fontId="25" fillId="0" borderId="1" xfId="2" applyFont="1" applyBorder="1"/>
    <xf numFmtId="44" fontId="25" fillId="0" borderId="0" xfId="0" applyNumberFormat="1" applyFont="1"/>
    <xf numFmtId="44" fontId="25" fillId="0" borderId="0" xfId="2" applyFont="1" applyFill="1"/>
    <xf numFmtId="167" fontId="6" fillId="0" borderId="0" xfId="1" applyNumberFormat="1" applyFont="1"/>
    <xf numFmtId="44" fontId="26" fillId="0" borderId="0" xfId="0" applyNumberFormat="1" applyFont="1"/>
    <xf numFmtId="44" fontId="26" fillId="0" borderId="0" xfId="2" applyFont="1"/>
    <xf numFmtId="167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3" fontId="22" fillId="0" borderId="0" xfId="2" applyNumberFormat="1" applyFont="1" applyFill="1" applyBorder="1" applyAlignment="1">
      <alignment horizontal="right"/>
    </xf>
    <xf numFmtId="10" fontId="4" fillId="0" borderId="0" xfId="3" applyNumberFormat="1" applyFont="1" applyFill="1"/>
    <xf numFmtId="10" fontId="4" fillId="0" borderId="0" xfId="3" applyNumberFormat="1" applyFont="1"/>
    <xf numFmtId="10" fontId="4" fillId="0" borderId="1" xfId="3" applyNumberFormat="1" applyFont="1" applyFill="1" applyBorder="1"/>
    <xf numFmtId="167" fontId="4" fillId="0" borderId="0" xfId="5" applyNumberFormat="1" applyFont="1" applyBorder="1" applyAlignment="1">
      <alignment horizontal="center"/>
    </xf>
    <xf numFmtId="167" fontId="3" fillId="0" borderId="7" xfId="5" applyNumberFormat="1" applyFont="1" applyBorder="1" applyAlignment="1">
      <alignment horizontal="left"/>
    </xf>
    <xf numFmtId="167" fontId="3" fillId="0" borderId="1" xfId="5" applyNumberFormat="1" applyFont="1" applyBorder="1"/>
    <xf numFmtId="164" fontId="3" fillId="0" borderId="1" xfId="4" applyNumberFormat="1" applyFont="1" applyBorder="1"/>
    <xf numFmtId="3" fontId="8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167" fontId="8" fillId="0" borderId="0" xfId="1" applyNumberFormat="1" applyFont="1" applyAlignment="1">
      <alignment horizontal="center" vertical="center"/>
    </xf>
    <xf numFmtId="3" fontId="12" fillId="0" borderId="4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7" fontId="8" fillId="0" borderId="2" xfId="5" applyNumberFormat="1" applyFont="1" applyBorder="1" applyAlignment="1">
      <alignment horizontal="center"/>
    </xf>
    <xf numFmtId="0" fontId="0" fillId="0" borderId="0" xfId="0" applyAlignment="1">
      <alignment horizontal="center"/>
    </xf>
    <xf numFmtId="167" fontId="15" fillId="0" borderId="2" xfId="5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167" fontId="10" fillId="0" borderId="2" xfId="5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67" fontId="6" fillId="0" borderId="0" xfId="5" applyNumberFormat="1" applyFont="1" applyBorder="1" applyAlignment="1">
      <alignment horizontal="center"/>
    </xf>
    <xf numFmtId="167" fontId="7" fillId="0" borderId="2" xfId="5" applyNumberFormat="1" applyFont="1" applyBorder="1" applyAlignment="1">
      <alignment horizontal="center"/>
    </xf>
    <xf numFmtId="167" fontId="7" fillId="0" borderId="0" xfId="5" applyNumberFormat="1" applyFont="1" applyBorder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Normal" xfId="0" builtinId="0"/>
    <cellStyle name="Normal 2" xfId="7" xr:uid="{00000000-0005-0000-0000-000005000000}"/>
    <cellStyle name="Percent" xfId="3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FFFFCC"/>
      <color rgb="FF59B589"/>
      <color rgb="FFFFFF99"/>
      <color rgb="FFCC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4"/>
  <sheetViews>
    <sheetView showGridLines="0" workbookViewId="0">
      <selection sqref="A1:G44"/>
    </sheetView>
  </sheetViews>
  <sheetFormatPr defaultColWidth="8.88671875" defaultRowHeight="15.75" x14ac:dyDescent="0.5"/>
  <cols>
    <col min="1" max="1" width="3.6640625" style="26" customWidth="1"/>
    <col min="2" max="2" width="2.6640625" style="26" customWidth="1"/>
    <col min="3" max="3" width="28" style="26" customWidth="1"/>
    <col min="4" max="4" width="11.94140625" style="88" bestFit="1" customWidth="1"/>
    <col min="5" max="5" width="10.21875" style="26" customWidth="1"/>
    <col min="6" max="6" width="4.88671875" style="22" customWidth="1"/>
    <col min="7" max="7" width="9.77734375" style="88" customWidth="1"/>
    <col min="8" max="8" width="4.44140625" style="26" customWidth="1"/>
    <col min="9" max="9" width="26.609375" style="27" customWidth="1"/>
    <col min="10" max="10" width="26.609375" style="26" customWidth="1"/>
    <col min="11" max="253" width="9.6640625" style="26" customWidth="1"/>
    <col min="254" max="255" width="9.6640625" style="27" customWidth="1"/>
    <col min="256" max="16384" width="8.88671875" style="27"/>
  </cols>
  <sheetData>
    <row r="1" spans="1:17" ht="18" x14ac:dyDescent="0.5">
      <c r="A1" s="23" t="s">
        <v>30</v>
      </c>
      <c r="B1" s="24"/>
      <c r="C1" s="24"/>
      <c r="D1" s="195"/>
      <c r="E1" s="24"/>
      <c r="F1" s="280"/>
      <c r="G1" s="195"/>
      <c r="H1" s="25"/>
      <c r="I1" s="287"/>
      <c r="J1" s="25"/>
      <c r="K1" s="25"/>
      <c r="L1" s="25"/>
      <c r="M1" s="25"/>
      <c r="N1" s="25"/>
    </row>
    <row r="2" spans="1:17" ht="18.75" customHeight="1" x14ac:dyDescent="0.5">
      <c r="A2" s="337" t="s">
        <v>233</v>
      </c>
      <c r="B2" s="337"/>
      <c r="C2" s="337"/>
      <c r="D2" s="337"/>
      <c r="E2" s="337"/>
      <c r="F2" s="337"/>
      <c r="G2" s="337"/>
      <c r="H2" s="124"/>
      <c r="I2" s="288"/>
      <c r="J2" s="25"/>
      <c r="K2" s="124"/>
      <c r="L2" s="124"/>
      <c r="M2" s="124"/>
      <c r="N2" s="124"/>
      <c r="O2" s="124"/>
      <c r="P2" s="124"/>
      <c r="Q2" s="124"/>
    </row>
    <row r="3" spans="1:17" ht="18.75" customHeight="1" x14ac:dyDescent="0.5">
      <c r="A3" s="337" t="s">
        <v>95</v>
      </c>
      <c r="B3" s="337"/>
      <c r="C3" s="337"/>
      <c r="D3" s="337"/>
      <c r="E3" s="337"/>
      <c r="F3" s="337"/>
      <c r="G3" s="337"/>
      <c r="H3" s="124"/>
      <c r="I3" s="288"/>
      <c r="J3" s="25"/>
      <c r="K3" s="124"/>
      <c r="L3" s="124"/>
      <c r="M3" s="124"/>
      <c r="N3" s="124"/>
      <c r="O3" s="124"/>
      <c r="P3" s="124"/>
      <c r="Q3" s="124"/>
    </row>
    <row r="4" spans="1:17" x14ac:dyDescent="0.5">
      <c r="A4" s="25"/>
      <c r="B4" s="25"/>
      <c r="C4" s="25"/>
      <c r="D4" s="197"/>
      <c r="E4" s="28"/>
      <c r="F4" s="30"/>
      <c r="G4" s="196"/>
      <c r="H4" s="25"/>
      <c r="I4" s="287"/>
      <c r="J4" s="25"/>
      <c r="K4" s="25"/>
      <c r="L4" s="25"/>
      <c r="M4" s="25"/>
      <c r="N4" s="25"/>
    </row>
    <row r="5" spans="1:17" ht="17.649999999999999" x14ac:dyDescent="0.75">
      <c r="A5" s="29"/>
      <c r="B5" s="29"/>
      <c r="C5" s="29"/>
      <c r="D5" s="150" t="s">
        <v>76</v>
      </c>
      <c r="E5" s="30" t="s">
        <v>28</v>
      </c>
      <c r="F5" s="30" t="s">
        <v>40</v>
      </c>
      <c r="G5" s="150" t="s">
        <v>75</v>
      </c>
      <c r="H5" s="31"/>
      <c r="I5" s="324" t="s">
        <v>314</v>
      </c>
      <c r="J5" s="324" t="s">
        <v>315</v>
      </c>
      <c r="K5" s="31"/>
      <c r="L5" s="25"/>
      <c r="M5" s="25"/>
      <c r="N5" s="25"/>
    </row>
    <row r="6" spans="1:17" x14ac:dyDescent="0.5">
      <c r="A6" s="32" t="s">
        <v>10</v>
      </c>
      <c r="B6" s="29"/>
      <c r="C6" s="29"/>
      <c r="D6" s="31"/>
      <c r="E6" s="29"/>
      <c r="F6" s="29"/>
      <c r="G6" s="31"/>
      <c r="H6" s="31"/>
      <c r="I6" s="289"/>
      <c r="J6" s="31"/>
      <c r="K6" s="31"/>
      <c r="L6" s="25"/>
      <c r="M6" s="25"/>
      <c r="N6" s="25"/>
    </row>
    <row r="7" spans="1:17" x14ac:dyDescent="0.5">
      <c r="A7" s="29"/>
      <c r="B7" s="29" t="s">
        <v>109</v>
      </c>
      <c r="C7" s="29"/>
      <c r="D7" s="31">
        <v>150554.97</v>
      </c>
      <c r="E7" s="31">
        <v>0</v>
      </c>
      <c r="F7" s="33" t="s">
        <v>356</v>
      </c>
      <c r="G7" s="31">
        <f>D7+E7</f>
        <v>150554.97</v>
      </c>
      <c r="H7" s="36"/>
      <c r="I7" s="289" t="s">
        <v>350</v>
      </c>
      <c r="J7" s="31" t="s">
        <v>352</v>
      </c>
      <c r="K7" s="31"/>
      <c r="L7" s="25"/>
      <c r="M7" s="25"/>
      <c r="N7" s="25"/>
    </row>
    <row r="8" spans="1:17" ht="16.5" x14ac:dyDescent="0.5">
      <c r="A8" s="29"/>
      <c r="B8" s="29" t="s">
        <v>108</v>
      </c>
      <c r="C8" s="29"/>
      <c r="D8" s="136">
        <v>3916.19</v>
      </c>
      <c r="E8" s="136">
        <v>0</v>
      </c>
      <c r="F8" s="33"/>
      <c r="G8" s="136">
        <f>D8+E8</f>
        <v>3916.19</v>
      </c>
      <c r="H8" s="36"/>
      <c r="I8" s="289"/>
      <c r="J8" s="31"/>
      <c r="K8" s="31"/>
      <c r="L8" s="25"/>
      <c r="M8" s="25"/>
      <c r="N8" s="25"/>
    </row>
    <row r="9" spans="1:17" x14ac:dyDescent="0.5">
      <c r="A9" s="34" t="s">
        <v>11</v>
      </c>
      <c r="B9" s="29"/>
      <c r="C9" s="29"/>
      <c r="D9" s="31">
        <f>SUM(D7:D8)</f>
        <v>154471.16</v>
      </c>
      <c r="E9" s="31">
        <f>SUM(E7:E8)</f>
        <v>0</v>
      </c>
      <c r="F9" s="33"/>
      <c r="G9" s="31">
        <f>SUM(G7:G8)</f>
        <v>154471.16</v>
      </c>
      <c r="H9" s="31"/>
      <c r="I9" s="289"/>
      <c r="J9" s="31"/>
      <c r="K9" s="31"/>
      <c r="L9" s="25"/>
      <c r="M9" s="25"/>
      <c r="N9" s="25"/>
    </row>
    <row r="10" spans="1:17" x14ac:dyDescent="0.5">
      <c r="A10" s="29"/>
      <c r="B10" s="29"/>
      <c r="C10" s="29"/>
      <c r="D10" s="31"/>
      <c r="E10" s="31"/>
      <c r="F10" s="33"/>
      <c r="G10" s="31"/>
      <c r="H10" s="31"/>
      <c r="I10" s="289"/>
      <c r="J10" s="31"/>
      <c r="K10" s="31"/>
      <c r="M10" s="25"/>
      <c r="N10" s="25"/>
    </row>
    <row r="11" spans="1:17" x14ac:dyDescent="0.5">
      <c r="A11" s="32" t="s">
        <v>12</v>
      </c>
      <c r="B11" s="29"/>
      <c r="C11" s="29"/>
      <c r="D11" s="31"/>
      <c r="E11" s="31"/>
      <c r="F11" s="33"/>
      <c r="G11" s="31"/>
      <c r="H11" s="31"/>
      <c r="I11" s="289"/>
      <c r="J11" s="31"/>
      <c r="K11" s="31"/>
      <c r="M11" s="25"/>
      <c r="N11" s="25"/>
    </row>
    <row r="12" spans="1:17" x14ac:dyDescent="0.5">
      <c r="A12" s="29"/>
      <c r="B12" s="29" t="s">
        <v>18</v>
      </c>
      <c r="C12" s="29"/>
      <c r="D12" s="31"/>
      <c r="E12" s="31"/>
      <c r="F12" s="33"/>
      <c r="G12" s="31"/>
      <c r="H12" s="31"/>
      <c r="I12" s="289"/>
      <c r="J12" s="31"/>
      <c r="K12" s="25"/>
      <c r="L12" s="25"/>
      <c r="M12" s="25"/>
      <c r="N12" s="25"/>
    </row>
    <row r="13" spans="1:17" x14ac:dyDescent="0.5">
      <c r="A13" s="29"/>
      <c r="B13" s="29"/>
      <c r="C13" s="29" t="s">
        <v>22</v>
      </c>
      <c r="D13" s="31">
        <v>41319.599999999999</v>
      </c>
      <c r="E13" s="31">
        <f>+Wages!F17</f>
        <v>18384.657333408741</v>
      </c>
      <c r="F13" s="33" t="s">
        <v>357</v>
      </c>
      <c r="G13" s="31">
        <f t="shared" ref="G13:G26" si="0">D13+E13</f>
        <v>59704.257333408736</v>
      </c>
      <c r="H13" s="36"/>
      <c r="I13" s="289" t="s">
        <v>346</v>
      </c>
      <c r="J13" s="31" t="s">
        <v>347</v>
      </c>
      <c r="K13" s="25"/>
      <c r="L13" s="25"/>
      <c r="M13" s="25"/>
      <c r="N13" s="25"/>
    </row>
    <row r="14" spans="1:17" x14ac:dyDescent="0.5">
      <c r="A14" s="29"/>
      <c r="B14" s="29"/>
      <c r="C14" s="29" t="s">
        <v>23</v>
      </c>
      <c r="D14" s="31">
        <v>0</v>
      </c>
      <c r="E14" s="76"/>
      <c r="F14" s="33"/>
      <c r="G14" s="31">
        <f t="shared" si="0"/>
        <v>0</v>
      </c>
      <c r="H14" s="31"/>
      <c r="J14" s="31"/>
      <c r="K14" s="31"/>
      <c r="L14" s="25"/>
      <c r="M14" s="25"/>
      <c r="N14" s="25"/>
    </row>
    <row r="15" spans="1:17" x14ac:dyDescent="0.5">
      <c r="A15" s="29"/>
      <c r="B15" s="29"/>
      <c r="C15" s="29" t="s">
        <v>24</v>
      </c>
      <c r="D15" s="31">
        <v>0</v>
      </c>
      <c r="E15" s="31"/>
      <c r="F15" s="2"/>
      <c r="G15" s="31">
        <f t="shared" si="0"/>
        <v>0</v>
      </c>
      <c r="H15" s="36"/>
      <c r="I15" s="289"/>
      <c r="J15" s="31"/>
      <c r="K15" s="31"/>
      <c r="L15" s="25"/>
      <c r="M15" s="25"/>
      <c r="N15" s="25"/>
    </row>
    <row r="16" spans="1:17" x14ac:dyDescent="0.5">
      <c r="A16" s="29"/>
      <c r="B16" s="29"/>
      <c r="C16" s="29" t="s">
        <v>25</v>
      </c>
      <c r="D16" s="31">
        <v>60046.68</v>
      </c>
      <c r="E16" s="31"/>
      <c r="F16" s="2"/>
      <c r="G16" s="31">
        <f t="shared" si="0"/>
        <v>60046.68</v>
      </c>
      <c r="H16" s="36"/>
      <c r="I16" s="290"/>
      <c r="J16" s="31"/>
      <c r="K16" s="31"/>
      <c r="L16" s="25"/>
      <c r="M16" s="25"/>
      <c r="N16" s="25"/>
    </row>
    <row r="17" spans="1:14" x14ac:dyDescent="0.5">
      <c r="A17" s="29"/>
      <c r="B17" s="29"/>
      <c r="C17" s="29" t="s">
        <v>26</v>
      </c>
      <c r="D17" s="31">
        <v>1299.97</v>
      </c>
      <c r="E17" s="31">
        <f>'K&amp;M Changes W'!D14</f>
        <v>396.51</v>
      </c>
      <c r="F17" s="2" t="s">
        <v>358</v>
      </c>
      <c r="G17" s="31">
        <f t="shared" si="0"/>
        <v>1696.48</v>
      </c>
      <c r="H17" s="36"/>
      <c r="I17" s="3" t="s">
        <v>318</v>
      </c>
      <c r="J17" s="3" t="s">
        <v>324</v>
      </c>
      <c r="K17" s="31"/>
      <c r="L17" s="25"/>
      <c r="M17" s="25"/>
      <c r="N17" s="25"/>
    </row>
    <row r="18" spans="1:14" x14ac:dyDescent="0.5">
      <c r="A18" s="29"/>
      <c r="B18" s="29"/>
      <c r="C18" s="29" t="s">
        <v>86</v>
      </c>
      <c r="D18" s="31">
        <v>0</v>
      </c>
      <c r="E18" s="31"/>
      <c r="F18" s="33"/>
      <c r="G18" s="31">
        <f t="shared" si="0"/>
        <v>0</v>
      </c>
      <c r="H18" s="36"/>
      <c r="I18" s="289"/>
      <c r="J18" s="31"/>
      <c r="K18" s="31"/>
      <c r="L18" s="25"/>
      <c r="M18" s="25"/>
      <c r="N18" s="25"/>
    </row>
    <row r="19" spans="1:14" x14ac:dyDescent="0.5">
      <c r="A19" s="29"/>
      <c r="B19" s="29"/>
      <c r="C19" s="29" t="s">
        <v>61</v>
      </c>
      <c r="D19" s="31">
        <v>9866.5</v>
      </c>
      <c r="E19" s="31"/>
      <c r="F19" s="33"/>
      <c r="G19" s="31">
        <f t="shared" si="0"/>
        <v>9866.5</v>
      </c>
      <c r="H19" s="36"/>
      <c r="I19" s="289"/>
      <c r="J19" s="69"/>
      <c r="K19" s="31"/>
      <c r="L19" s="25"/>
      <c r="M19" s="25"/>
      <c r="N19" s="25"/>
    </row>
    <row r="20" spans="1:14" x14ac:dyDescent="0.5">
      <c r="A20" s="29"/>
      <c r="B20" s="29"/>
      <c r="C20" s="29" t="s">
        <v>257</v>
      </c>
      <c r="D20" s="31">
        <v>629.5</v>
      </c>
      <c r="E20" s="31">
        <f>'K&amp;M Changes W'!D26</f>
        <v>14.66</v>
      </c>
      <c r="F20" s="235" t="s">
        <v>360</v>
      </c>
      <c r="G20" s="31">
        <f t="shared" si="0"/>
        <v>644.16</v>
      </c>
      <c r="H20" s="31"/>
      <c r="I20" s="3" t="s">
        <v>322</v>
      </c>
      <c r="J20" s="3" t="s">
        <v>323</v>
      </c>
      <c r="K20" s="31"/>
      <c r="L20" s="25"/>
      <c r="M20" s="25"/>
      <c r="N20" s="25"/>
    </row>
    <row r="21" spans="1:14" x14ac:dyDescent="0.5">
      <c r="A21" s="29"/>
      <c r="B21" s="29"/>
      <c r="C21" s="29" t="s">
        <v>116</v>
      </c>
      <c r="D21" s="31">
        <v>0</v>
      </c>
      <c r="E21" s="31"/>
      <c r="G21" s="31">
        <f t="shared" si="0"/>
        <v>0</v>
      </c>
      <c r="H21" s="31"/>
      <c r="I21" s="289"/>
      <c r="J21" s="31"/>
      <c r="K21" s="31"/>
      <c r="L21" s="25"/>
      <c r="M21" s="25"/>
      <c r="N21" s="25"/>
    </row>
    <row r="22" spans="1:14" x14ac:dyDescent="0.5">
      <c r="A22" s="29"/>
      <c r="B22" s="29"/>
      <c r="C22" s="29" t="s">
        <v>31</v>
      </c>
      <c r="D22" s="31">
        <v>4927.66</v>
      </c>
      <c r="E22" s="31"/>
      <c r="F22" s="33"/>
      <c r="G22" s="31">
        <f t="shared" si="0"/>
        <v>4927.66</v>
      </c>
      <c r="H22" s="31"/>
      <c r="I22" s="289"/>
      <c r="J22" s="31"/>
      <c r="K22" s="31"/>
      <c r="L22" s="25"/>
      <c r="M22" s="25"/>
      <c r="N22" s="25"/>
    </row>
    <row r="23" spans="1:14" x14ac:dyDescent="0.5">
      <c r="A23" s="29"/>
      <c r="B23" s="29"/>
      <c r="C23" s="29" t="s">
        <v>84</v>
      </c>
      <c r="D23" s="31">
        <v>8216.9599999999991</v>
      </c>
      <c r="E23" s="31"/>
      <c r="F23" s="33"/>
      <c r="G23" s="31">
        <f t="shared" si="0"/>
        <v>8216.9599999999991</v>
      </c>
      <c r="H23" s="31"/>
      <c r="I23" s="289"/>
      <c r="J23" s="27"/>
      <c r="K23" s="31"/>
      <c r="L23" s="25"/>
      <c r="M23" s="25"/>
      <c r="N23" s="25"/>
    </row>
    <row r="24" spans="1:14" x14ac:dyDescent="0.5">
      <c r="A24" s="29"/>
      <c r="B24" s="29"/>
      <c r="C24" s="29" t="s">
        <v>52</v>
      </c>
      <c r="D24" s="31">
        <v>0</v>
      </c>
      <c r="E24" s="31"/>
      <c r="F24" s="2"/>
      <c r="G24" s="31">
        <f t="shared" si="0"/>
        <v>0</v>
      </c>
      <c r="H24" s="31"/>
      <c r="I24" s="289"/>
      <c r="J24" s="31"/>
      <c r="K24" s="31"/>
      <c r="L24" s="25"/>
      <c r="M24" s="25"/>
      <c r="N24" s="25"/>
    </row>
    <row r="25" spans="1:14" x14ac:dyDescent="0.5">
      <c r="A25" s="29"/>
      <c r="B25" s="29"/>
      <c r="C25" s="29" t="s">
        <v>117</v>
      </c>
      <c r="D25" s="31">
        <v>0</v>
      </c>
      <c r="E25" s="31"/>
      <c r="F25" s="2"/>
      <c r="G25" s="31">
        <f t="shared" si="0"/>
        <v>0</v>
      </c>
      <c r="H25" s="31"/>
      <c r="I25" s="289"/>
      <c r="J25" s="31"/>
      <c r="K25" s="31"/>
      <c r="L25" s="25"/>
      <c r="M25" s="25"/>
      <c r="N25" s="25"/>
    </row>
    <row r="26" spans="1:14" ht="17.649999999999999" x14ac:dyDescent="0.75">
      <c r="A26" s="29"/>
      <c r="B26" s="29"/>
      <c r="C26" s="29" t="s">
        <v>27</v>
      </c>
      <c r="D26" s="136">
        <v>13222.85</v>
      </c>
      <c r="E26" s="301">
        <f>Medical!J17</f>
        <v>-169.0425336706997</v>
      </c>
      <c r="F26" s="2" t="s">
        <v>359</v>
      </c>
      <c r="G26" s="136">
        <f t="shared" si="0"/>
        <v>13053.807466329301</v>
      </c>
      <c r="H26" s="36"/>
      <c r="I26" s="289" t="s">
        <v>353</v>
      </c>
      <c r="J26" s="31" t="s">
        <v>355</v>
      </c>
      <c r="K26" s="31"/>
      <c r="L26" s="25"/>
      <c r="M26" s="25"/>
      <c r="N26" s="25"/>
    </row>
    <row r="27" spans="1:14" x14ac:dyDescent="0.5">
      <c r="A27" s="29"/>
      <c r="B27" s="34" t="s">
        <v>19</v>
      </c>
      <c r="C27" s="29"/>
      <c r="D27" s="31">
        <f>SUM(D13:D26)</f>
        <v>139529.72</v>
      </c>
      <c r="E27" s="31">
        <f>SUM(E13:E26)</f>
        <v>18626.784799738038</v>
      </c>
      <c r="F27" s="33"/>
      <c r="G27" s="31">
        <f>SUM(G13:G26)</f>
        <v>158156.50479973803</v>
      </c>
      <c r="H27" s="31"/>
      <c r="I27" s="289"/>
      <c r="J27" s="31"/>
      <c r="K27" s="31"/>
      <c r="L27" s="25"/>
      <c r="M27" s="25"/>
      <c r="N27" s="25"/>
    </row>
    <row r="28" spans="1:14" x14ac:dyDescent="0.5">
      <c r="A28" s="29"/>
      <c r="B28" s="29" t="s">
        <v>20</v>
      </c>
      <c r="C28" s="29"/>
      <c r="D28" s="31">
        <v>34113.440000000002</v>
      </c>
      <c r="E28" s="31">
        <f>Depreciation!K50</f>
        <v>2796.3362666666653</v>
      </c>
      <c r="F28" s="235" t="s">
        <v>361</v>
      </c>
      <c r="G28" s="31">
        <f>D28+E28</f>
        <v>36909.776266666668</v>
      </c>
      <c r="H28" s="36"/>
      <c r="I28" s="289"/>
      <c r="J28" s="31"/>
      <c r="K28" s="31"/>
      <c r="L28" s="25"/>
      <c r="M28" s="25"/>
      <c r="N28" s="25"/>
    </row>
    <row r="29" spans="1:14" ht="16.5" x14ac:dyDescent="0.5">
      <c r="A29" s="29"/>
      <c r="B29" s="29" t="s">
        <v>21</v>
      </c>
      <c r="C29" s="29"/>
      <c r="D29" s="136">
        <v>3887.79</v>
      </c>
      <c r="E29" s="136">
        <f>+Wages!F27</f>
        <v>75.448435201198635</v>
      </c>
      <c r="F29" s="2" t="s">
        <v>362</v>
      </c>
      <c r="G29" s="136">
        <f>D29+E29</f>
        <v>3963.2384352011986</v>
      </c>
      <c r="H29" s="36"/>
      <c r="I29" s="289" t="s">
        <v>344</v>
      </c>
      <c r="J29" s="31" t="s">
        <v>345</v>
      </c>
      <c r="K29" s="31"/>
      <c r="L29" s="25"/>
      <c r="M29" s="25"/>
      <c r="N29" s="25"/>
    </row>
    <row r="30" spans="1:14" ht="16.5" x14ac:dyDescent="0.5">
      <c r="A30" s="34" t="s">
        <v>13</v>
      </c>
      <c r="B30" s="29"/>
      <c r="C30" s="29"/>
      <c r="D30" s="136">
        <f>SUM(D27:D29)</f>
        <v>177530.95</v>
      </c>
      <c r="E30" s="136">
        <f>SUM(E27:E29)</f>
        <v>21498.5695016059</v>
      </c>
      <c r="F30" s="33"/>
      <c r="G30" s="136">
        <f>SUM(G27:G29)</f>
        <v>199029.51950160592</v>
      </c>
      <c r="H30" s="194"/>
      <c r="I30" s="289"/>
      <c r="J30" s="31"/>
      <c r="K30" s="31"/>
      <c r="L30" s="25"/>
      <c r="M30" s="25"/>
      <c r="N30" s="25"/>
    </row>
    <row r="31" spans="1:14" x14ac:dyDescent="0.5">
      <c r="A31" s="34" t="s">
        <v>32</v>
      </c>
      <c r="B31" s="29"/>
      <c r="C31" s="29"/>
      <c r="D31" s="31">
        <f>D9-D30</f>
        <v>-23059.790000000008</v>
      </c>
      <c r="E31" s="31">
        <f>E9-E30</f>
        <v>-21498.5695016059</v>
      </c>
      <c r="F31" s="33"/>
      <c r="G31" s="31">
        <f>G9-G30</f>
        <v>-44558.359501605912</v>
      </c>
      <c r="H31" s="31"/>
      <c r="I31" s="289"/>
      <c r="J31" s="31"/>
      <c r="K31" s="31"/>
      <c r="L31" s="25"/>
      <c r="M31" s="25"/>
      <c r="N31" s="25"/>
    </row>
    <row r="32" spans="1:14" x14ac:dyDescent="0.5">
      <c r="A32" s="29"/>
      <c r="B32" s="29"/>
      <c r="C32" s="29"/>
      <c r="D32" s="31"/>
      <c r="E32" s="29"/>
      <c r="F32" s="33"/>
      <c r="G32" s="31"/>
      <c r="H32" s="31"/>
      <c r="I32" s="289"/>
      <c r="J32" s="31"/>
      <c r="K32" s="31"/>
      <c r="L32" s="25"/>
      <c r="M32" s="25"/>
      <c r="N32" s="25"/>
    </row>
    <row r="33" spans="1:14" x14ac:dyDescent="0.5">
      <c r="A33" s="338" t="s">
        <v>284</v>
      </c>
      <c r="B33" s="338"/>
      <c r="C33" s="338"/>
      <c r="D33" s="338"/>
      <c r="E33" s="338"/>
      <c r="F33" s="338"/>
      <c r="G33" s="338"/>
      <c r="H33" s="190"/>
      <c r="I33" s="1"/>
      <c r="J33" s="22"/>
      <c r="K33" s="22"/>
      <c r="L33" s="22"/>
      <c r="M33" s="22"/>
      <c r="N33" s="22"/>
    </row>
    <row r="34" spans="1:14" x14ac:dyDescent="0.5">
      <c r="A34" s="40" t="s">
        <v>14</v>
      </c>
      <c r="B34" s="22"/>
      <c r="C34" s="22"/>
      <c r="D34" s="308"/>
      <c r="E34" s="309"/>
      <c r="G34" s="35">
        <f>G30</f>
        <v>199029.51950160592</v>
      </c>
      <c r="H34" s="190"/>
      <c r="I34" s="1"/>
      <c r="J34" s="22"/>
      <c r="K34" s="22"/>
      <c r="L34" s="22"/>
      <c r="M34" s="22"/>
      <c r="N34" s="22"/>
    </row>
    <row r="35" spans="1:14" ht="17.649999999999999" x14ac:dyDescent="0.75">
      <c r="A35" s="22" t="s">
        <v>285</v>
      </c>
      <c r="B35" s="22"/>
      <c r="C35" s="22"/>
      <c r="D35" s="308"/>
      <c r="E35" s="310"/>
      <c r="G35" s="312">
        <v>0.88</v>
      </c>
      <c r="H35" s="191"/>
      <c r="I35" s="1"/>
      <c r="J35" s="22"/>
      <c r="K35" s="22"/>
      <c r="L35" s="22"/>
      <c r="M35" s="22"/>
      <c r="N35" s="22"/>
    </row>
    <row r="36" spans="1:14" x14ac:dyDescent="0.5">
      <c r="A36" s="22" t="s">
        <v>286</v>
      </c>
      <c r="B36" s="22"/>
      <c r="C36" s="22"/>
      <c r="D36" s="35"/>
      <c r="E36" s="22"/>
      <c r="G36" s="35">
        <f>G34/G35</f>
        <v>226169.90852455219</v>
      </c>
    </row>
    <row r="37" spans="1:14" ht="17.649999999999999" x14ac:dyDescent="0.75">
      <c r="A37" s="22" t="s">
        <v>287</v>
      </c>
      <c r="B37" s="22"/>
      <c r="C37" s="22" t="s">
        <v>288</v>
      </c>
      <c r="D37" s="35"/>
      <c r="E37" s="22"/>
      <c r="G37" s="301">
        <v>0</v>
      </c>
    </row>
    <row r="38" spans="1:14" x14ac:dyDescent="0.5">
      <c r="A38" s="40" t="s">
        <v>33</v>
      </c>
      <c r="B38" s="22"/>
      <c r="C38" s="22"/>
      <c r="D38" s="35"/>
      <c r="E38" s="22"/>
      <c r="G38" s="35">
        <f>G36+G37</f>
        <v>226169.90852455219</v>
      </c>
    </row>
    <row r="39" spans="1:14" x14ac:dyDescent="0.5">
      <c r="A39" s="22" t="s">
        <v>289</v>
      </c>
      <c r="B39" s="22"/>
      <c r="C39" s="22" t="s">
        <v>17</v>
      </c>
      <c r="D39" s="35"/>
      <c r="E39" s="22"/>
      <c r="G39" s="35">
        <f>-G8</f>
        <v>-3916.19</v>
      </c>
    </row>
    <row r="40" spans="1:14" ht="16.5" x14ac:dyDescent="0.5">
      <c r="A40" s="22"/>
      <c r="B40" s="22"/>
      <c r="C40" s="29" t="s">
        <v>55</v>
      </c>
      <c r="D40" s="35"/>
      <c r="E40" s="22"/>
      <c r="G40" s="305">
        <v>-3494.49</v>
      </c>
    </row>
    <row r="41" spans="1:14" x14ac:dyDescent="0.5">
      <c r="A41" s="40" t="s">
        <v>80</v>
      </c>
      <c r="B41" s="22"/>
      <c r="C41" s="22"/>
      <c r="D41" s="35"/>
      <c r="E41" s="22"/>
      <c r="G41" s="35">
        <f>G38+G39+G40</f>
        <v>218759.22852455219</v>
      </c>
    </row>
    <row r="42" spans="1:14" x14ac:dyDescent="0.5">
      <c r="A42" s="22" t="s">
        <v>289</v>
      </c>
      <c r="B42" s="22"/>
      <c r="C42" s="22" t="s">
        <v>290</v>
      </c>
      <c r="D42" s="35"/>
      <c r="E42" s="22"/>
      <c r="G42" s="107">
        <f>-G7</f>
        <v>-150554.97</v>
      </c>
    </row>
    <row r="43" spans="1:14" x14ac:dyDescent="0.5">
      <c r="A43" s="40" t="s">
        <v>15</v>
      </c>
      <c r="B43" s="22"/>
      <c r="C43" s="22"/>
      <c r="D43" s="35"/>
      <c r="E43" s="22"/>
      <c r="G43" s="35">
        <f>G41+G42</f>
        <v>68204.258524552191</v>
      </c>
    </row>
    <row r="44" spans="1:14" x14ac:dyDescent="0.5">
      <c r="A44" s="40" t="s">
        <v>16</v>
      </c>
      <c r="B44" s="22"/>
      <c r="C44" s="22"/>
      <c r="D44" s="35"/>
      <c r="E44" s="22"/>
      <c r="G44" s="311">
        <f>G43/-G42</f>
        <v>0.45301897721843515</v>
      </c>
    </row>
  </sheetData>
  <mergeCells count="3">
    <mergeCell ref="A2:G2"/>
    <mergeCell ref="A3:G3"/>
    <mergeCell ref="A33:G33"/>
  </mergeCells>
  <printOptions horizontalCentered="1"/>
  <pageMargins left="1.1000000000000001" right="1" top="0.6" bottom="0.5" header="0" footer="0"/>
  <pageSetup scale="96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U24"/>
  <sheetViews>
    <sheetView showGridLines="0" tabSelected="1" workbookViewId="0">
      <selection sqref="A1:A1048576"/>
    </sheetView>
  </sheetViews>
  <sheetFormatPr defaultColWidth="8.88671875" defaultRowHeight="15.75" x14ac:dyDescent="0.5"/>
  <cols>
    <col min="1" max="1" width="2.109375" style="27" customWidth="1"/>
    <col min="2" max="2" width="1.109375" style="27" customWidth="1"/>
    <col min="3" max="3" width="4.77734375" style="27" customWidth="1"/>
    <col min="4" max="4" width="6.77734375" style="27" customWidth="1"/>
    <col min="5" max="5" width="6.33203125" style="27" customWidth="1"/>
    <col min="6" max="6" width="7.33203125" style="27" customWidth="1"/>
    <col min="7" max="7" width="13.33203125" style="27" customWidth="1"/>
    <col min="8" max="8" width="1.21875" style="27" customWidth="1"/>
    <col min="9" max="9" width="4.77734375" style="27" customWidth="1"/>
    <col min="10" max="10" width="7" style="27" customWidth="1"/>
    <col min="11" max="11" width="6.33203125" style="27" customWidth="1"/>
    <col min="12" max="12" width="7.33203125" style="27" customWidth="1"/>
    <col min="13" max="13" width="13.33203125" style="27" customWidth="1"/>
    <col min="14" max="14" width="8.609375" style="27" bestFit="1" customWidth="1"/>
    <col min="15" max="15" width="6.5546875" style="27" bestFit="1" customWidth="1"/>
    <col min="16" max="16" width="2.6640625" style="27" customWidth="1"/>
    <col min="17" max="207" width="9.6640625" style="27" customWidth="1"/>
    <col min="208" max="16384" width="8.88671875" style="27"/>
  </cols>
  <sheetData>
    <row r="2" spans="2:18" x14ac:dyDescent="0.5">
      <c r="B2" s="43"/>
      <c r="C2" s="101"/>
      <c r="D2" s="101"/>
      <c r="E2" s="101"/>
      <c r="F2" s="101"/>
      <c r="G2" s="95"/>
      <c r="H2" s="101"/>
      <c r="I2" s="101"/>
      <c r="J2" s="101"/>
      <c r="K2" s="101"/>
      <c r="L2" s="101"/>
      <c r="M2" s="101"/>
      <c r="N2" s="101"/>
      <c r="O2" s="102"/>
    </row>
    <row r="3" spans="2:18" ht="18" hidden="1" x14ac:dyDescent="0.55000000000000004">
      <c r="B3" s="46"/>
      <c r="C3" s="348" t="s">
        <v>231</v>
      </c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50"/>
    </row>
    <row r="4" spans="2:18" ht="18" hidden="1" x14ac:dyDescent="0.55000000000000004">
      <c r="B4" s="46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4"/>
      <c r="O4" s="353"/>
    </row>
    <row r="5" spans="2:18" ht="18" x14ac:dyDescent="0.55000000000000004">
      <c r="B5" s="46"/>
      <c r="C5" s="348" t="s">
        <v>112</v>
      </c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4"/>
      <c r="O5" s="353"/>
    </row>
    <row r="6" spans="2:18" ht="18" x14ac:dyDescent="0.55000000000000004">
      <c r="B6" s="46"/>
      <c r="C6" s="348" t="s">
        <v>234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4"/>
      <c r="O6" s="353"/>
      <c r="P6" s="124"/>
      <c r="Q6" s="124"/>
      <c r="R6" s="124"/>
    </row>
    <row r="7" spans="2:18" ht="18" x14ac:dyDescent="0.5">
      <c r="B7" s="46"/>
      <c r="C7" s="337" t="s">
        <v>113</v>
      </c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54"/>
      <c r="O7" s="355"/>
      <c r="P7" s="124"/>
      <c r="Q7" s="124"/>
      <c r="R7" s="124"/>
    </row>
    <row r="8" spans="2:18" x14ac:dyDescent="0.5">
      <c r="B8" s="5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08"/>
    </row>
    <row r="9" spans="2:18" x14ac:dyDescent="0.5">
      <c r="B9" s="46"/>
      <c r="C9" s="1"/>
      <c r="D9" s="1"/>
      <c r="E9" s="1"/>
      <c r="F9" s="1"/>
      <c r="G9" s="103"/>
      <c r="H9" s="46"/>
      <c r="I9" s="1"/>
      <c r="J9" s="1"/>
      <c r="K9" s="1"/>
      <c r="L9" s="1"/>
      <c r="M9" s="103"/>
      <c r="N9" s="46"/>
      <c r="O9" s="103"/>
    </row>
    <row r="10" spans="2:18" x14ac:dyDescent="0.5">
      <c r="B10" s="46"/>
      <c r="C10" s="351" t="s">
        <v>72</v>
      </c>
      <c r="D10" s="351"/>
      <c r="E10" s="351"/>
      <c r="F10" s="351"/>
      <c r="G10" s="352"/>
      <c r="H10" s="1"/>
      <c r="I10" s="351" t="s">
        <v>110</v>
      </c>
      <c r="J10" s="351"/>
      <c r="K10" s="351"/>
      <c r="L10" s="351"/>
      <c r="M10" s="352"/>
      <c r="N10" s="292" t="s">
        <v>229</v>
      </c>
      <c r="O10" s="285" t="s">
        <v>230</v>
      </c>
    </row>
    <row r="11" spans="2:18" x14ac:dyDescent="0.5">
      <c r="B11" s="46"/>
      <c r="C11" s="1"/>
      <c r="D11" s="1"/>
      <c r="E11" s="1"/>
      <c r="F11" s="1"/>
      <c r="G11" s="103"/>
      <c r="H11" s="1"/>
      <c r="I11" s="1"/>
      <c r="J11" s="1"/>
      <c r="K11" s="1"/>
      <c r="L11" s="1"/>
      <c r="M11" s="103"/>
      <c r="N11" s="46"/>
      <c r="O11" s="103"/>
    </row>
    <row r="12" spans="2:18" x14ac:dyDescent="0.5">
      <c r="B12" s="46"/>
      <c r="C12" s="10" t="s">
        <v>235</v>
      </c>
      <c r="D12" s="1"/>
      <c r="E12" s="1"/>
      <c r="F12" s="1"/>
      <c r="G12" s="103"/>
      <c r="H12" s="1"/>
      <c r="I12" s="10" t="s">
        <v>235</v>
      </c>
      <c r="J12" s="1"/>
      <c r="K12" s="1"/>
      <c r="L12" s="109"/>
      <c r="M12" s="103"/>
      <c r="N12" s="46"/>
      <c r="O12" s="103"/>
    </row>
    <row r="13" spans="2:18" x14ac:dyDescent="0.5">
      <c r="B13" s="46"/>
      <c r="C13" s="302" t="s">
        <v>63</v>
      </c>
      <c r="D13" s="104">
        <v>2000</v>
      </c>
      <c r="E13" s="1" t="s">
        <v>67</v>
      </c>
      <c r="F13" s="105">
        <v>21.42</v>
      </c>
      <c r="G13" s="103" t="s">
        <v>68</v>
      </c>
      <c r="H13" s="1"/>
      <c r="I13" s="302" t="s">
        <v>63</v>
      </c>
      <c r="J13" s="104">
        <v>2000</v>
      </c>
      <c r="K13" s="1" t="s">
        <v>67</v>
      </c>
      <c r="L13" s="105">
        <f>ROUND(F13*(1+(SAOw!$G$44)),2)</f>
        <v>31.12</v>
      </c>
      <c r="M13" s="103" t="s">
        <v>68</v>
      </c>
      <c r="N13" s="293">
        <f>L13-F13</f>
        <v>9.6999999999999993</v>
      </c>
      <c r="O13" s="294">
        <f>N13/F13</f>
        <v>0.45284780578898221</v>
      </c>
      <c r="R13" s="140"/>
    </row>
    <row r="14" spans="2:18" x14ac:dyDescent="0.5">
      <c r="B14" s="46"/>
      <c r="C14" s="302" t="s">
        <v>64</v>
      </c>
      <c r="D14" s="104">
        <v>3000</v>
      </c>
      <c r="E14" s="1" t="s">
        <v>67</v>
      </c>
      <c r="F14" s="106">
        <v>8.48</v>
      </c>
      <c r="G14" s="103" t="s">
        <v>69</v>
      </c>
      <c r="H14" s="1"/>
      <c r="I14" s="302" t="s">
        <v>64</v>
      </c>
      <c r="J14" s="104">
        <v>3000</v>
      </c>
      <c r="K14" s="1" t="s">
        <v>67</v>
      </c>
      <c r="L14" s="105">
        <f>ROUND(F14*(1+(SAOw!$G$44)),2)</f>
        <v>12.32</v>
      </c>
      <c r="M14" s="103" t="s">
        <v>69</v>
      </c>
      <c r="N14" s="293">
        <f t="shared" ref="N14:N16" si="0">L14-F14</f>
        <v>3.84</v>
      </c>
      <c r="O14" s="294">
        <f t="shared" ref="O14:O16" si="1">N14/F14</f>
        <v>0.45283018867924524</v>
      </c>
      <c r="R14" s="181"/>
    </row>
    <row r="15" spans="2:18" x14ac:dyDescent="0.5">
      <c r="B15" s="46"/>
      <c r="C15" s="302" t="s">
        <v>64</v>
      </c>
      <c r="D15" s="104">
        <v>5000</v>
      </c>
      <c r="E15" s="1" t="s">
        <v>67</v>
      </c>
      <c r="F15" s="106">
        <v>7.57</v>
      </c>
      <c r="G15" s="103" t="s">
        <v>69</v>
      </c>
      <c r="H15" s="1"/>
      <c r="I15" s="302" t="s">
        <v>64</v>
      </c>
      <c r="J15" s="104">
        <v>5000</v>
      </c>
      <c r="K15" s="1" t="s">
        <v>67</v>
      </c>
      <c r="L15" s="105">
        <f>ROUND(F15*(1+(SAOw!$G$44)),2)</f>
        <v>11</v>
      </c>
      <c r="M15" s="103" t="s">
        <v>69</v>
      </c>
      <c r="N15" s="293">
        <f t="shared" si="0"/>
        <v>3.4299999999999997</v>
      </c>
      <c r="O15" s="294">
        <f t="shared" si="1"/>
        <v>0.45310435931307791</v>
      </c>
      <c r="R15" s="181"/>
    </row>
    <row r="16" spans="2:18" x14ac:dyDescent="0.5">
      <c r="B16" s="46"/>
      <c r="C16" s="302" t="s">
        <v>65</v>
      </c>
      <c r="D16" s="104">
        <v>10000</v>
      </c>
      <c r="E16" s="1" t="s">
        <v>67</v>
      </c>
      <c r="F16" s="106">
        <v>6.68</v>
      </c>
      <c r="G16" s="103" t="s">
        <v>69</v>
      </c>
      <c r="H16" s="1"/>
      <c r="I16" s="302" t="s">
        <v>65</v>
      </c>
      <c r="J16" s="104">
        <v>10000</v>
      </c>
      <c r="K16" s="1" t="s">
        <v>67</v>
      </c>
      <c r="L16" s="105">
        <f>ROUND(F16*(1+(SAOw!$G$44)),2)</f>
        <v>9.7100000000000009</v>
      </c>
      <c r="M16" s="103" t="s">
        <v>69</v>
      </c>
      <c r="N16" s="293">
        <f t="shared" si="0"/>
        <v>3.0300000000000011</v>
      </c>
      <c r="O16" s="294">
        <f t="shared" si="1"/>
        <v>0.4535928143712577</v>
      </c>
      <c r="R16" s="181"/>
    </row>
    <row r="17" spans="2:21" x14ac:dyDescent="0.5">
      <c r="B17" s="46"/>
      <c r="C17" s="13"/>
      <c r="D17" s="104"/>
      <c r="E17" s="1"/>
      <c r="F17" s="106"/>
      <c r="G17" s="103"/>
      <c r="H17" s="1"/>
      <c r="I17" s="13"/>
      <c r="J17" s="104"/>
      <c r="K17" s="1"/>
      <c r="L17" s="106"/>
      <c r="M17" s="103"/>
      <c r="N17" s="293"/>
      <c r="O17" s="294"/>
      <c r="R17" s="181"/>
    </row>
    <row r="18" spans="2:21" x14ac:dyDescent="0.5">
      <c r="B18" s="46"/>
      <c r="C18" s="302" t="s">
        <v>83</v>
      </c>
      <c r="D18" s="104"/>
      <c r="E18" s="1"/>
      <c r="F18" s="106">
        <v>6.68</v>
      </c>
      <c r="G18" s="103" t="s">
        <v>69</v>
      </c>
      <c r="H18" s="1"/>
      <c r="I18" s="302" t="s">
        <v>83</v>
      </c>
      <c r="J18" s="104"/>
      <c r="K18" s="1"/>
      <c r="L18" s="105">
        <f>ROUND(F18*(1+(SAOw!$G$44)),2)</f>
        <v>9.7100000000000009</v>
      </c>
      <c r="M18" s="103" t="s">
        <v>69</v>
      </c>
      <c r="N18" s="293">
        <f t="shared" ref="N18" si="2">L18-F18</f>
        <v>3.0300000000000011</v>
      </c>
      <c r="O18" s="294">
        <f t="shared" ref="O18" si="3">N18/F18</f>
        <v>0.4535928143712577</v>
      </c>
      <c r="R18" s="181"/>
    </row>
    <row r="19" spans="2:21" x14ac:dyDescent="0.5">
      <c r="B19" s="51"/>
      <c r="C19" s="107"/>
      <c r="D19" s="20"/>
      <c r="E19" s="20"/>
      <c r="F19" s="20"/>
      <c r="G19" s="108"/>
      <c r="H19" s="20"/>
      <c r="I19" s="20"/>
      <c r="J19" s="20"/>
      <c r="K19" s="20"/>
      <c r="L19" s="20"/>
      <c r="M19" s="108"/>
      <c r="N19" s="51"/>
      <c r="O19" s="108"/>
    </row>
    <row r="20" spans="2:21" x14ac:dyDescent="0.5">
      <c r="C20" s="88"/>
    </row>
    <row r="21" spans="2:21" x14ac:dyDescent="0.5">
      <c r="C21" s="88"/>
      <c r="Q21" s="35"/>
      <c r="R21" s="1"/>
      <c r="S21" s="110"/>
      <c r="T21" s="110"/>
      <c r="U21" s="111"/>
    </row>
    <row r="22" spans="2:21" x14ac:dyDescent="0.5">
      <c r="C22" s="88"/>
      <c r="Q22" s="35"/>
      <c r="R22" s="1"/>
      <c r="S22" s="135"/>
      <c r="T22" s="135"/>
      <c r="U22" s="111"/>
    </row>
    <row r="23" spans="2:21" x14ac:dyDescent="0.5">
      <c r="C23" s="88"/>
      <c r="Q23" s="35"/>
      <c r="R23" s="1"/>
      <c r="S23" s="135"/>
      <c r="T23" s="135"/>
      <c r="U23" s="111"/>
    </row>
    <row r="24" spans="2:21" x14ac:dyDescent="0.5">
      <c r="P24" s="88"/>
      <c r="Q24" s="35"/>
      <c r="R24" s="1"/>
      <c r="S24" s="135"/>
      <c r="T24" s="135"/>
      <c r="U24" s="111"/>
    </row>
  </sheetData>
  <mergeCells count="7">
    <mergeCell ref="C3:O3"/>
    <mergeCell ref="C10:G10"/>
    <mergeCell ref="I10:M10"/>
    <mergeCell ref="C4:O4"/>
    <mergeCell ref="C5:O5"/>
    <mergeCell ref="C6:O6"/>
    <mergeCell ref="C7:O7"/>
  </mergeCells>
  <printOptions horizontalCentered="1"/>
  <pageMargins left="0.55000000000000004" right="0.55000000000000004" top="1.7" bottom="0.5" header="0" footer="0"/>
  <pageSetup scale="7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2"/>
  <sheetViews>
    <sheetView showGridLines="0" workbookViewId="0">
      <selection sqref="A1:P21"/>
    </sheetView>
  </sheetViews>
  <sheetFormatPr defaultRowHeight="15" x14ac:dyDescent="0.4"/>
  <cols>
    <col min="1" max="1" width="2.109375" customWidth="1"/>
    <col min="2" max="2" width="1.109375" customWidth="1"/>
    <col min="3" max="3" width="4.77734375" customWidth="1"/>
    <col min="4" max="4" width="5.5546875" customWidth="1"/>
    <col min="5" max="5" width="6.33203125" customWidth="1"/>
    <col min="6" max="6" width="7.83203125" bestFit="1" customWidth="1"/>
    <col min="7" max="7" width="14.33203125" bestFit="1" customWidth="1"/>
    <col min="8" max="8" width="1.21875" customWidth="1"/>
    <col min="9" max="9" width="4.77734375" customWidth="1"/>
    <col min="10" max="10" width="5.5546875" customWidth="1"/>
    <col min="11" max="11" width="6.33203125" customWidth="1"/>
    <col min="12" max="12" width="7.83203125" customWidth="1"/>
    <col min="13" max="13" width="14.33203125" bestFit="1" customWidth="1"/>
    <col min="14" max="14" width="8.609375" bestFit="1" customWidth="1"/>
    <col min="15" max="15" width="6.5546875" bestFit="1" customWidth="1"/>
    <col min="16" max="16" width="1.6640625" customWidth="1"/>
    <col min="17" max="22" width="9.6640625" customWidth="1"/>
  </cols>
  <sheetData>
    <row r="1" spans="1:22" ht="15.75" x14ac:dyDescent="0.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15.75" x14ac:dyDescent="0.5">
      <c r="A2" s="27"/>
      <c r="B2" s="43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27"/>
      <c r="Q2" s="27"/>
      <c r="R2" s="27"/>
      <c r="S2" s="27"/>
      <c r="T2" s="27"/>
      <c r="U2" s="27"/>
      <c r="V2" s="27"/>
    </row>
    <row r="3" spans="1:22" ht="18" x14ac:dyDescent="0.55000000000000004">
      <c r="A3" s="27"/>
      <c r="B3" s="46"/>
      <c r="C3" s="348" t="s">
        <v>231</v>
      </c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4"/>
      <c r="O3" s="353"/>
      <c r="P3" s="27"/>
      <c r="Q3" s="27"/>
      <c r="R3" s="27"/>
      <c r="S3" s="27"/>
      <c r="T3" s="27"/>
      <c r="U3" s="27"/>
      <c r="V3" s="27"/>
    </row>
    <row r="4" spans="1:22" ht="18" x14ac:dyDescent="0.55000000000000004">
      <c r="A4" s="27"/>
      <c r="B4" s="46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297"/>
      <c r="O4" s="298"/>
      <c r="P4" s="27"/>
      <c r="Q4" s="27"/>
      <c r="R4" s="27"/>
      <c r="S4" s="27"/>
      <c r="T4" s="27"/>
      <c r="U4" s="27"/>
      <c r="V4" s="27"/>
    </row>
    <row r="5" spans="1:22" ht="18" x14ac:dyDescent="0.55000000000000004">
      <c r="A5" s="27"/>
      <c r="B5" s="46"/>
      <c r="C5" s="348" t="s">
        <v>73</v>
      </c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4"/>
      <c r="O5" s="353"/>
      <c r="P5" s="27"/>
      <c r="Q5" s="27"/>
      <c r="R5" s="27"/>
      <c r="S5" s="27"/>
      <c r="T5" s="27"/>
      <c r="U5" s="27"/>
      <c r="V5" s="27"/>
    </row>
    <row r="6" spans="1:22" ht="18" x14ac:dyDescent="0.5">
      <c r="A6" s="27"/>
      <c r="B6" s="46"/>
      <c r="C6" s="337" t="s">
        <v>234</v>
      </c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54"/>
      <c r="O6" s="355"/>
      <c r="P6" s="124"/>
      <c r="Q6" s="124"/>
      <c r="R6" s="124"/>
      <c r="S6" s="124"/>
      <c r="T6" s="124"/>
      <c r="U6" s="179"/>
      <c r="V6" s="27"/>
    </row>
    <row r="7" spans="1:22" ht="18" x14ac:dyDescent="0.5">
      <c r="A7" s="27"/>
      <c r="B7" s="46"/>
      <c r="C7" s="337" t="s">
        <v>114</v>
      </c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54"/>
      <c r="O7" s="355"/>
      <c r="P7" s="124"/>
      <c r="Q7" s="124"/>
      <c r="R7" s="124"/>
      <c r="S7" s="124"/>
      <c r="T7" s="124"/>
      <c r="U7" s="124"/>
      <c r="V7" s="27"/>
    </row>
    <row r="8" spans="1:22" ht="15.75" x14ac:dyDescent="0.5">
      <c r="A8" s="27"/>
      <c r="B8" s="5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08"/>
      <c r="P8" s="27"/>
      <c r="Q8" s="27"/>
      <c r="R8" s="27"/>
      <c r="S8" s="27"/>
      <c r="T8" s="27"/>
      <c r="U8" s="27"/>
      <c r="V8" s="27"/>
    </row>
    <row r="9" spans="1:22" ht="15.75" x14ac:dyDescent="0.5">
      <c r="A9" s="27"/>
      <c r="B9" s="46"/>
      <c r="C9" s="101"/>
      <c r="D9" s="101"/>
      <c r="E9" s="101"/>
      <c r="F9" s="101"/>
      <c r="G9" s="102"/>
      <c r="H9" s="46"/>
      <c r="I9" s="1"/>
      <c r="J9" s="1"/>
      <c r="K9" s="1"/>
      <c r="L9" s="1"/>
      <c r="M9" s="103"/>
      <c r="N9" s="46"/>
      <c r="O9" s="103"/>
      <c r="P9" s="27"/>
      <c r="Q9" s="27"/>
      <c r="R9" s="27"/>
      <c r="S9" s="27"/>
      <c r="T9" s="27"/>
      <c r="U9" s="27"/>
      <c r="V9" s="27"/>
    </row>
    <row r="10" spans="1:22" ht="15.75" x14ac:dyDescent="0.5">
      <c r="A10" s="27"/>
      <c r="B10" s="46"/>
      <c r="C10" s="351" t="s">
        <v>72</v>
      </c>
      <c r="D10" s="351"/>
      <c r="E10" s="351"/>
      <c r="F10" s="351"/>
      <c r="G10" s="352"/>
      <c r="H10" s="1"/>
      <c r="I10" s="351" t="s">
        <v>110</v>
      </c>
      <c r="J10" s="351"/>
      <c r="K10" s="351"/>
      <c r="L10" s="351"/>
      <c r="M10" s="352"/>
      <c r="N10" s="292" t="s">
        <v>229</v>
      </c>
      <c r="O10" s="285" t="s">
        <v>230</v>
      </c>
      <c r="P10" s="27"/>
      <c r="Q10" s="192"/>
      <c r="R10" s="27"/>
      <c r="S10" s="27"/>
      <c r="T10" s="27"/>
      <c r="U10" s="27"/>
      <c r="V10" s="27"/>
    </row>
    <row r="11" spans="1:22" ht="15.75" x14ac:dyDescent="0.5">
      <c r="A11" s="27"/>
      <c r="B11" s="46"/>
      <c r="C11" s="1"/>
      <c r="D11" s="1"/>
      <c r="E11" s="1"/>
      <c r="F11" s="1"/>
      <c r="G11" s="103"/>
      <c r="H11" s="1"/>
      <c r="I11" s="1"/>
      <c r="J11" s="1"/>
      <c r="K11" s="1"/>
      <c r="L11" s="1"/>
      <c r="M11" s="103"/>
      <c r="N11" s="46"/>
      <c r="O11" s="103"/>
      <c r="P11" s="27"/>
      <c r="Q11" s="27"/>
      <c r="R11" s="27"/>
      <c r="S11" s="27"/>
      <c r="T11" s="27"/>
      <c r="U11" s="27"/>
      <c r="V11" s="27"/>
    </row>
    <row r="12" spans="1:22" ht="15.75" x14ac:dyDescent="0.5">
      <c r="A12" s="27"/>
      <c r="B12" s="46"/>
      <c r="C12" s="10" t="s">
        <v>238</v>
      </c>
      <c r="D12" s="1"/>
      <c r="E12" s="1"/>
      <c r="F12" s="1"/>
      <c r="G12" s="103"/>
      <c r="H12" s="1"/>
      <c r="I12" s="303" t="s">
        <v>238</v>
      </c>
      <c r="J12" s="1"/>
      <c r="K12" s="1"/>
      <c r="L12" s="109"/>
      <c r="M12" s="103"/>
      <c r="N12" s="46"/>
      <c r="O12" s="103"/>
      <c r="P12" s="27"/>
      <c r="Q12" s="27"/>
      <c r="R12" s="27"/>
      <c r="S12" s="27"/>
      <c r="T12" s="27"/>
      <c r="U12" s="27"/>
      <c r="V12" s="27"/>
    </row>
    <row r="13" spans="1:22" ht="15.75" x14ac:dyDescent="0.5">
      <c r="A13" s="27"/>
      <c r="B13" s="46"/>
      <c r="C13" s="302" t="s">
        <v>236</v>
      </c>
      <c r="D13" s="182"/>
      <c r="E13" s="1"/>
      <c r="F13" s="183">
        <v>24.97</v>
      </c>
      <c r="G13" s="103" t="s">
        <v>68</v>
      </c>
      <c r="H13" s="1"/>
      <c r="I13" s="302" t="s">
        <v>236</v>
      </c>
      <c r="J13" s="182"/>
      <c r="K13" s="1"/>
      <c r="L13" s="183">
        <f>ROUND(F13*(1+SAOs!$G$53),2)</f>
        <v>44.32</v>
      </c>
      <c r="M13" s="103" t="s">
        <v>68</v>
      </c>
      <c r="N13" s="293">
        <f>L13-F13</f>
        <v>19.350000000000001</v>
      </c>
      <c r="O13" s="295">
        <f>N13/F13</f>
        <v>0.774929915899079</v>
      </c>
      <c r="P13" s="27"/>
      <c r="Q13" s="184"/>
      <c r="R13" s="140"/>
      <c r="S13" s="27"/>
      <c r="U13" s="140"/>
      <c r="V13" s="27"/>
    </row>
    <row r="14" spans="1:22" ht="15.75" x14ac:dyDescent="0.5">
      <c r="A14" s="27"/>
      <c r="B14" s="46"/>
      <c r="C14" s="302" t="s">
        <v>237</v>
      </c>
      <c r="D14" s="182"/>
      <c r="E14" s="1"/>
      <c r="F14" s="105">
        <v>5.94</v>
      </c>
      <c r="G14" s="103" t="s">
        <v>243</v>
      </c>
      <c r="H14" s="1"/>
      <c r="I14" s="302" t="s">
        <v>237</v>
      </c>
      <c r="J14" s="182"/>
      <c r="K14" s="1"/>
      <c r="L14" s="183">
        <f>ROUND(F14*(1+SAOs!$G$53),2)</f>
        <v>10.54</v>
      </c>
      <c r="M14" s="103" t="s">
        <v>243</v>
      </c>
      <c r="N14" s="7">
        <f>L14-F14</f>
        <v>4.5999999999999988</v>
      </c>
      <c r="O14" s="295">
        <f>N14/F14</f>
        <v>0.77441077441077411</v>
      </c>
      <c r="P14" s="27"/>
      <c r="Q14" s="184"/>
      <c r="R14" s="140"/>
      <c r="S14" s="27"/>
      <c r="U14" s="140"/>
      <c r="V14" s="27"/>
    </row>
    <row r="15" spans="1:22" ht="15.75" x14ac:dyDescent="0.5">
      <c r="A15" s="27"/>
      <c r="B15" s="46"/>
      <c r="C15" s="302"/>
      <c r="D15" s="182"/>
      <c r="E15" s="1"/>
      <c r="F15" s="105"/>
      <c r="G15" s="103"/>
      <c r="H15" s="1"/>
      <c r="I15" s="302"/>
      <c r="J15" s="182"/>
      <c r="K15" s="1"/>
      <c r="L15" s="199"/>
      <c r="M15" s="103"/>
      <c r="N15" s="296"/>
      <c r="O15" s="295"/>
      <c r="P15" s="27"/>
      <c r="Q15" s="184"/>
      <c r="R15" s="140"/>
      <c r="S15" s="27"/>
      <c r="U15" s="140"/>
      <c r="V15" s="27"/>
    </row>
    <row r="16" spans="1:22" ht="15.75" x14ac:dyDescent="0.5">
      <c r="A16" s="27"/>
      <c r="B16" s="46"/>
      <c r="C16" s="10" t="s">
        <v>239</v>
      </c>
      <c r="D16" s="1"/>
      <c r="E16" s="1"/>
      <c r="F16" s="1"/>
      <c r="G16" s="103"/>
      <c r="H16" s="1"/>
      <c r="I16" s="303" t="s">
        <v>239</v>
      </c>
      <c r="J16" s="1"/>
      <c r="K16" s="1"/>
      <c r="L16" s="109"/>
      <c r="M16" s="103"/>
      <c r="N16" s="46"/>
      <c r="O16" s="103"/>
      <c r="P16" s="27"/>
      <c r="Q16" s="184"/>
      <c r="R16" s="140"/>
      <c r="S16" s="27"/>
      <c r="U16" s="140"/>
      <c r="V16" s="27"/>
    </row>
    <row r="17" spans="1:22" ht="15.75" x14ac:dyDescent="0.5">
      <c r="A17" s="27"/>
      <c r="B17" s="46"/>
      <c r="C17" s="302" t="s">
        <v>240</v>
      </c>
      <c r="D17" s="182"/>
      <c r="E17" s="1"/>
      <c r="F17" s="183">
        <v>48.73</v>
      </c>
      <c r="G17" s="103" t="s">
        <v>68</v>
      </c>
      <c r="H17" s="1"/>
      <c r="I17" s="302" t="s">
        <v>240</v>
      </c>
      <c r="J17" s="182"/>
      <c r="K17" s="1"/>
      <c r="L17" s="183">
        <f>F17</f>
        <v>48.73</v>
      </c>
      <c r="M17" s="103" t="s">
        <v>68</v>
      </c>
      <c r="N17" s="293">
        <f>L17-F17</f>
        <v>0</v>
      </c>
      <c r="O17" s="295">
        <f>N17/F17</f>
        <v>0</v>
      </c>
      <c r="P17" s="27"/>
      <c r="Q17" s="184"/>
      <c r="R17" s="140"/>
      <c r="S17" s="27"/>
      <c r="U17" s="140"/>
      <c r="V17" s="27"/>
    </row>
    <row r="18" spans="1:22" ht="15.75" x14ac:dyDescent="0.5">
      <c r="A18" s="27"/>
      <c r="B18" s="46"/>
      <c r="C18" s="302" t="s">
        <v>241</v>
      </c>
      <c r="D18" s="182"/>
      <c r="E18" s="1"/>
      <c r="F18" s="183"/>
      <c r="G18" s="103"/>
      <c r="H18" s="1"/>
      <c r="I18" s="302" t="s">
        <v>241</v>
      </c>
      <c r="J18" s="182"/>
      <c r="K18" s="1"/>
      <c r="L18" s="183"/>
      <c r="M18" s="103"/>
      <c r="N18" s="293"/>
      <c r="O18" s="295"/>
      <c r="P18" s="27"/>
      <c r="Q18" s="184"/>
      <c r="R18" s="140"/>
      <c r="S18" s="27"/>
      <c r="U18" s="140"/>
      <c r="V18" s="27"/>
    </row>
    <row r="19" spans="1:22" ht="15.75" x14ac:dyDescent="0.5">
      <c r="A19" s="27"/>
      <c r="B19" s="46"/>
      <c r="C19" s="302" t="s">
        <v>242</v>
      </c>
      <c r="D19" s="182"/>
      <c r="E19" s="1"/>
      <c r="F19" s="183"/>
      <c r="G19" s="103"/>
      <c r="H19" s="1"/>
      <c r="I19" s="302" t="s">
        <v>242</v>
      </c>
      <c r="J19" s="182"/>
      <c r="K19" s="1"/>
      <c r="L19" s="183"/>
      <c r="M19" s="103"/>
      <c r="N19" s="293"/>
      <c r="O19" s="295"/>
      <c r="P19" s="27"/>
      <c r="Q19" s="184"/>
      <c r="R19" s="140"/>
      <c r="S19" s="27"/>
      <c r="U19" s="140"/>
      <c r="V19" s="27"/>
    </row>
    <row r="20" spans="1:22" ht="15.75" x14ac:dyDescent="0.5">
      <c r="A20" s="27"/>
      <c r="B20" s="51"/>
      <c r="C20" s="185"/>
      <c r="D20" s="20"/>
      <c r="E20" s="20"/>
      <c r="F20" s="20"/>
      <c r="G20" s="108"/>
      <c r="H20" s="20"/>
      <c r="I20" s="20"/>
      <c r="J20" s="20"/>
      <c r="K20" s="20"/>
      <c r="L20" s="20"/>
      <c r="M20" s="108"/>
      <c r="N20" s="51"/>
      <c r="O20" s="108"/>
      <c r="P20" s="27"/>
      <c r="Q20" s="27"/>
      <c r="R20" s="27"/>
      <c r="S20" s="27"/>
      <c r="U20" s="27"/>
      <c r="V20" s="27"/>
    </row>
    <row r="21" spans="1:22" ht="15.75" x14ac:dyDescent="0.5">
      <c r="A21" s="27"/>
      <c r="B21" s="27"/>
      <c r="C21" s="18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x14ac:dyDescent="0.4">
      <c r="I22" s="149"/>
    </row>
  </sheetData>
  <mergeCells count="6">
    <mergeCell ref="C10:G10"/>
    <mergeCell ref="I10:M10"/>
    <mergeCell ref="C3:O3"/>
    <mergeCell ref="C5:O5"/>
    <mergeCell ref="C6:O6"/>
    <mergeCell ref="C7:O7"/>
  </mergeCells>
  <printOptions horizontalCentered="1"/>
  <pageMargins left="0.45" right="0.45" top="2" bottom="0.75" header="0.3" footer="0.3"/>
  <pageSetup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5"/>
  <sheetViews>
    <sheetView showGridLines="0" workbookViewId="0">
      <selection activeCell="E39" sqref="E39"/>
    </sheetView>
  </sheetViews>
  <sheetFormatPr defaultRowHeight="15" x14ac:dyDescent="0.4"/>
  <cols>
    <col min="1" max="1" width="2.38671875" customWidth="1"/>
    <col min="2" max="2" width="1.77734375" customWidth="1"/>
    <col min="3" max="4" width="11.77734375" customWidth="1"/>
    <col min="5" max="5" width="8.94140625" customWidth="1"/>
    <col min="6" max="7" width="11.77734375" customWidth="1"/>
    <col min="8" max="9" width="1.77734375" customWidth="1"/>
    <col min="13" max="13" width="1.77734375" customWidth="1"/>
    <col min="14" max="19" width="9.77734375" customWidth="1"/>
    <col min="20" max="20" width="1.77734375" customWidth="1"/>
  </cols>
  <sheetData>
    <row r="1" spans="1:11" ht="15.75" x14ac:dyDescent="0.5">
      <c r="B1" s="27"/>
      <c r="C1" s="27"/>
      <c r="D1" s="27"/>
      <c r="E1" s="27"/>
      <c r="F1" s="27"/>
      <c r="G1" s="27"/>
      <c r="H1" s="27"/>
    </row>
    <row r="2" spans="1:11" ht="15.75" x14ac:dyDescent="0.5">
      <c r="B2" s="94"/>
      <c r="C2" s="95"/>
      <c r="D2" s="95"/>
      <c r="E2" s="95"/>
      <c r="F2" s="95"/>
      <c r="G2" s="95"/>
      <c r="H2" s="96"/>
    </row>
    <row r="3" spans="1:11" ht="18" hidden="1" x14ac:dyDescent="0.55000000000000004">
      <c r="B3" s="93"/>
      <c r="C3" s="348" t="s">
        <v>363</v>
      </c>
      <c r="D3" s="348"/>
      <c r="E3" s="348"/>
      <c r="F3" s="348"/>
      <c r="G3" s="348"/>
      <c r="H3" s="97"/>
    </row>
    <row r="4" spans="1:11" ht="18" x14ac:dyDescent="0.55000000000000004">
      <c r="A4" s="27"/>
      <c r="B4" s="93"/>
      <c r="C4" s="348" t="s">
        <v>74</v>
      </c>
      <c r="D4" s="348"/>
      <c r="E4" s="348"/>
      <c r="F4" s="348"/>
      <c r="G4" s="348"/>
      <c r="H4" s="97"/>
      <c r="I4" s="27"/>
    </row>
    <row r="5" spans="1:11" ht="18" x14ac:dyDescent="0.55000000000000004">
      <c r="A5" s="27"/>
      <c r="B5" s="93"/>
      <c r="C5" s="348" t="s">
        <v>234</v>
      </c>
      <c r="D5" s="348"/>
      <c r="E5" s="348"/>
      <c r="F5" s="348"/>
      <c r="G5" s="348"/>
      <c r="H5" s="97"/>
      <c r="I5" s="27"/>
    </row>
    <row r="6" spans="1:11" ht="15.75" x14ac:dyDescent="0.5">
      <c r="A6" s="27"/>
      <c r="B6" s="98"/>
      <c r="C6" s="99"/>
      <c r="D6" s="99"/>
      <c r="E6" s="99"/>
      <c r="F6" s="99"/>
      <c r="G6" s="99"/>
      <c r="H6" s="100"/>
      <c r="I6" s="27"/>
    </row>
    <row r="7" spans="1:11" ht="15.75" x14ac:dyDescent="0.5">
      <c r="A7" s="27"/>
      <c r="B7" s="78"/>
      <c r="C7" s="79"/>
      <c r="D7" s="141"/>
      <c r="E7" s="78"/>
      <c r="F7" s="79"/>
      <c r="G7" s="79"/>
      <c r="H7" s="80"/>
      <c r="I7" s="27"/>
    </row>
    <row r="8" spans="1:11" ht="17.649999999999999" x14ac:dyDescent="0.75">
      <c r="A8" s="27"/>
      <c r="B8" s="81"/>
      <c r="C8" s="86" t="s">
        <v>70</v>
      </c>
      <c r="D8" s="142" t="s">
        <v>54</v>
      </c>
      <c r="E8" s="357" t="s">
        <v>85</v>
      </c>
      <c r="F8" s="358"/>
      <c r="G8" s="358"/>
      <c r="H8" s="89"/>
      <c r="I8" s="27"/>
    </row>
    <row r="9" spans="1:11" ht="17.649999999999999" x14ac:dyDescent="0.75">
      <c r="A9" s="27"/>
      <c r="B9" s="81"/>
      <c r="C9" s="86" t="s">
        <v>81</v>
      </c>
      <c r="D9" s="142" t="s">
        <v>71</v>
      </c>
      <c r="E9" s="147" t="s">
        <v>71</v>
      </c>
      <c r="F9" s="148" t="s">
        <v>123</v>
      </c>
      <c r="G9" s="148" t="s">
        <v>124</v>
      </c>
      <c r="H9" s="146"/>
      <c r="I9" s="27"/>
    </row>
    <row r="10" spans="1:11" ht="17.649999999999999" x14ac:dyDescent="0.75">
      <c r="A10" s="27"/>
      <c r="B10" s="81"/>
      <c r="C10" s="86"/>
      <c r="D10" s="142"/>
      <c r="E10" s="147"/>
      <c r="F10" s="148"/>
      <c r="G10" s="148"/>
      <c r="H10" s="146"/>
      <c r="I10" s="27"/>
    </row>
    <row r="11" spans="1:11" ht="17.649999999999999" hidden="1" x14ac:dyDescent="0.75">
      <c r="B11" s="81"/>
      <c r="C11" s="356" t="s">
        <v>244</v>
      </c>
      <c r="D11" s="356"/>
      <c r="E11" s="356"/>
      <c r="F11" s="356"/>
      <c r="G11" s="356"/>
      <c r="H11" s="89"/>
    </row>
    <row r="12" spans="1:11" ht="15.4" hidden="1" x14ac:dyDescent="0.45">
      <c r="B12" s="81"/>
      <c r="C12" s="74">
        <v>2000</v>
      </c>
      <c r="D12" s="143">
        <f>RatesW!F13</f>
        <v>21.42</v>
      </c>
      <c r="E12" s="7">
        <f>RatesW!L13</f>
        <v>31.12</v>
      </c>
      <c r="F12" s="4">
        <f>(E12-D12)</f>
        <v>9.6999999999999993</v>
      </c>
      <c r="G12" s="204">
        <f>F12/D12</f>
        <v>0.45284780578898221</v>
      </c>
      <c r="H12" s="90"/>
      <c r="K12" s="200"/>
    </row>
    <row r="13" spans="1:11" ht="15.4" hidden="1" x14ac:dyDescent="0.45">
      <c r="B13" s="81"/>
      <c r="C13" s="91">
        <v>4000</v>
      </c>
      <c r="D13" s="144">
        <f>RatesW!F13+(2*RatesW!F14)</f>
        <v>38.380000000000003</v>
      </c>
      <c r="E13" s="223">
        <f>RatesW!L13+(2*RatesW!L14)</f>
        <v>55.760000000000005</v>
      </c>
      <c r="F13" s="226">
        <f t="shared" ref="F13" si="0">(E13-D13)</f>
        <v>17.380000000000003</v>
      </c>
      <c r="G13" s="227">
        <f t="shared" ref="G13" si="1">F13/D13</f>
        <v>0.45284002084418973</v>
      </c>
      <c r="H13" s="90"/>
      <c r="K13" s="200"/>
    </row>
    <row r="14" spans="1:11" ht="15.4" hidden="1" x14ac:dyDescent="0.45">
      <c r="B14" s="81"/>
      <c r="C14" s="206">
        <v>6000</v>
      </c>
      <c r="D14" s="224">
        <f>RatesW!F13+(3*RatesW!F14)+(1*RatesW!F15)</f>
        <v>54.43</v>
      </c>
      <c r="E14" s="225">
        <f>RatesW!L13+(3*RatesW!L14)+(1*RatesW!L15)</f>
        <v>79.08</v>
      </c>
      <c r="F14" s="228">
        <f t="shared" ref="F14" si="2">(E14-D14)</f>
        <v>24.65</v>
      </c>
      <c r="G14" s="229">
        <f t="shared" ref="G14" si="3">F14/D14</f>
        <v>0.45287525261804151</v>
      </c>
      <c r="H14" s="90"/>
      <c r="K14" s="200"/>
    </row>
    <row r="15" spans="1:11" ht="15.4" hidden="1" x14ac:dyDescent="0.45">
      <c r="B15" s="81"/>
      <c r="C15" s="74">
        <v>10000</v>
      </c>
      <c r="D15" s="145">
        <f>RatesW!F13+3*RatesW!F14+5*RatesW!F15</f>
        <v>84.710000000000008</v>
      </c>
      <c r="E15" s="87">
        <f>RatesW!L13+3*RatesW!L14+5*RatesW!L15</f>
        <v>123.08</v>
      </c>
      <c r="F15" s="205">
        <f t="shared" ref="F15" si="4">(E15-D15)</f>
        <v>38.36999999999999</v>
      </c>
      <c r="G15" s="204">
        <f t="shared" ref="G15" si="5">F15/D15</f>
        <v>0.45295714791642055</v>
      </c>
      <c r="H15" s="90"/>
      <c r="K15" s="200"/>
    </row>
    <row r="16" spans="1:11" ht="15.4" hidden="1" x14ac:dyDescent="0.45">
      <c r="B16" s="81"/>
      <c r="C16" s="74">
        <v>16000</v>
      </c>
      <c r="D16" s="145">
        <f>RatesW!F13+(3*RatesW!F14)+(5*RatesW!F15)+(6*RatesW!F16)</f>
        <v>124.79</v>
      </c>
      <c r="E16" s="87">
        <f>RatesW!L13+(3*RatesW!L14)+(5*RatesW!L15)+(6*RatesW!L16)</f>
        <v>181.34</v>
      </c>
      <c r="F16" s="205">
        <f t="shared" ref="F16" si="6">(E16-D16)</f>
        <v>56.55</v>
      </c>
      <c r="G16" s="204">
        <f t="shared" ref="G16" si="7">F16/D16</f>
        <v>0.45316131100248414</v>
      </c>
      <c r="H16" s="90"/>
      <c r="K16" s="200"/>
    </row>
    <row r="17" spans="2:15" ht="15.4" hidden="1" x14ac:dyDescent="0.45">
      <c r="B17" s="81"/>
      <c r="C17" s="74">
        <v>20000</v>
      </c>
      <c r="D17" s="145">
        <f>RatesW!F13+(3*RatesW!F14)+(5*RatesW!F15)+(10*RatesW!F16)</f>
        <v>151.51</v>
      </c>
      <c r="E17" s="87">
        <f>RatesW!L13+(3*RatesW!L14)+(5*RatesW!L15)+(10*RatesW!L16)</f>
        <v>220.18</v>
      </c>
      <c r="F17" s="205">
        <f t="shared" ref="F17" si="8">(E17-D17)</f>
        <v>68.670000000000016</v>
      </c>
      <c r="G17" s="204">
        <f t="shared" ref="G17" si="9">F17/D17</f>
        <v>0.45323741007194257</v>
      </c>
      <c r="H17" s="90"/>
      <c r="K17" s="200"/>
    </row>
    <row r="18" spans="2:15" ht="15.4" hidden="1" x14ac:dyDescent="0.45">
      <c r="B18" s="81"/>
      <c r="C18" s="74">
        <v>24000</v>
      </c>
      <c r="D18" s="145">
        <f>RatesW!F13+(3*RatesW!F14)+(5*RatesW!F15)+(14*RatesW!F16)</f>
        <v>178.23000000000002</v>
      </c>
      <c r="E18" s="87">
        <f>RatesW!L13+(3*RatesW!L14)+(5*RatesW!L15)+(14*RatesW!L16)</f>
        <v>259.02</v>
      </c>
      <c r="F18" s="205">
        <f t="shared" ref="F18:F19" si="10">(E18-D18)</f>
        <v>80.789999999999964</v>
      </c>
      <c r="G18" s="204">
        <f t="shared" ref="G18:G19" si="11">F18/D18</f>
        <v>0.45329069180272658</v>
      </c>
      <c r="H18" s="90"/>
      <c r="K18" s="200"/>
    </row>
    <row r="19" spans="2:15" ht="15.4" hidden="1" x14ac:dyDescent="0.45">
      <c r="B19" s="81"/>
      <c r="C19" s="74">
        <v>50000</v>
      </c>
      <c r="D19" s="145">
        <f>RatesW!F13+(3*RatesW!F14)+(5*RatesW!F15)+(40*RatesW!F16)</f>
        <v>351.90999999999997</v>
      </c>
      <c r="E19" s="87">
        <f>RatesW!L13+(3*RatesW!L14)+(5*RatesW!L15)+(40*RatesW!L16)</f>
        <v>511.48</v>
      </c>
      <c r="F19" s="205">
        <f t="shared" si="10"/>
        <v>159.57000000000005</v>
      </c>
      <c r="G19" s="204">
        <f t="shared" si="11"/>
        <v>0.45343979994885075</v>
      </c>
      <c r="H19" s="90"/>
      <c r="K19" s="200"/>
    </row>
    <row r="20" spans="2:15" ht="15.4" hidden="1" x14ac:dyDescent="0.45">
      <c r="B20" s="81"/>
      <c r="C20" s="74">
        <v>120000</v>
      </c>
      <c r="D20" s="145">
        <f>RatesW!F13+(3*RatesW!F14)+(5*RatesW!F15)+(110*RatesW!F16)</f>
        <v>819.51</v>
      </c>
      <c r="E20" s="87">
        <f>RatesW!L13+(3*RatesW!L14)+(5*RatesW!L15)+(110*RatesW!L16)</f>
        <v>1191.18</v>
      </c>
      <c r="F20" s="205">
        <f t="shared" ref="F20" si="12">(E20-D20)</f>
        <v>371.67000000000007</v>
      </c>
      <c r="G20" s="204">
        <f t="shared" ref="G20" si="13">F20/D20</f>
        <v>0.45352710766189563</v>
      </c>
      <c r="H20" s="90"/>
      <c r="K20" s="200"/>
    </row>
    <row r="21" spans="2:15" ht="15.4" hidden="1" x14ac:dyDescent="0.45">
      <c r="B21" s="81"/>
      <c r="C21" s="74"/>
      <c r="D21" s="87"/>
      <c r="E21" s="87"/>
      <c r="F21" s="205"/>
      <c r="G21" s="204"/>
      <c r="H21" s="90"/>
    </row>
    <row r="22" spans="2:15" ht="17.649999999999999" x14ac:dyDescent="0.75">
      <c r="B22" s="81"/>
      <c r="C22" s="356" t="s">
        <v>111</v>
      </c>
      <c r="D22" s="356"/>
      <c r="E22" s="356"/>
      <c r="F22" s="356"/>
      <c r="G22" s="356"/>
      <c r="H22" s="90"/>
    </row>
    <row r="23" spans="2:15" ht="15.4" x14ac:dyDescent="0.45">
      <c r="B23" s="81"/>
      <c r="C23" s="74">
        <v>2000</v>
      </c>
      <c r="D23" s="143">
        <f>RatesS!F13</f>
        <v>24.97</v>
      </c>
      <c r="E23" s="4">
        <f>RatesS!L13</f>
        <v>44.32</v>
      </c>
      <c r="F23" s="4">
        <f t="shared" ref="F23:F26" si="14">(E23-D23)</f>
        <v>19.350000000000001</v>
      </c>
      <c r="G23" s="204">
        <f t="shared" ref="G23:G26" si="15">F23/D23</f>
        <v>0.774929915899079</v>
      </c>
      <c r="H23" s="90"/>
      <c r="J23" s="201"/>
      <c r="K23" s="200"/>
    </row>
    <row r="24" spans="2:15" ht="15.4" x14ac:dyDescent="0.45">
      <c r="B24" s="81"/>
      <c r="C24" s="91">
        <v>4000</v>
      </c>
      <c r="D24" s="144">
        <f>RatesS!F13+(4*RatesS!F14)</f>
        <v>48.730000000000004</v>
      </c>
      <c r="E24" s="304">
        <f>RatesS!L13+(4*RatesS!L14)</f>
        <v>86.47999999999999</v>
      </c>
      <c r="F24" s="230">
        <f t="shared" si="14"/>
        <v>37.749999999999986</v>
      </c>
      <c r="G24" s="227">
        <f t="shared" si="15"/>
        <v>0.77467679047814453</v>
      </c>
      <c r="H24" s="90"/>
      <c r="J24" s="201"/>
      <c r="K24" s="200"/>
      <c r="N24" s="202"/>
      <c r="O24" s="203"/>
    </row>
    <row r="25" spans="2:15" ht="15.4" x14ac:dyDescent="0.45">
      <c r="B25" s="81"/>
      <c r="C25" s="206">
        <v>6000</v>
      </c>
      <c r="D25" s="224">
        <f>RatesS!F13+6*RatesS!F14</f>
        <v>60.61</v>
      </c>
      <c r="E25" s="225">
        <f>RatesS!L13+6*RatesS!L14</f>
        <v>107.56</v>
      </c>
      <c r="F25" s="231">
        <f t="shared" si="14"/>
        <v>46.95</v>
      </c>
      <c r="G25" s="229">
        <f t="shared" si="15"/>
        <v>0.77462464939778919</v>
      </c>
      <c r="H25" s="90"/>
      <c r="J25" s="201"/>
      <c r="K25" s="200"/>
    </row>
    <row r="26" spans="2:15" ht="15.4" x14ac:dyDescent="0.45">
      <c r="B26" s="81"/>
      <c r="C26" s="74">
        <v>10000</v>
      </c>
      <c r="D26" s="145">
        <f>RatesS!F13+(10*RatesS!F14)</f>
        <v>84.37</v>
      </c>
      <c r="E26" s="87">
        <f>RatesS!L13+10*RatesS!L14</f>
        <v>149.72</v>
      </c>
      <c r="F26" s="4">
        <f t="shared" si="14"/>
        <v>65.349999999999994</v>
      </c>
      <c r="G26" s="204">
        <f t="shared" si="15"/>
        <v>0.77456441863221515</v>
      </c>
      <c r="H26" s="90"/>
      <c r="J26" s="201"/>
      <c r="K26" s="200"/>
    </row>
    <row r="27" spans="2:15" ht="15.4" x14ac:dyDescent="0.45">
      <c r="B27" s="81"/>
      <c r="C27" s="74">
        <v>16000</v>
      </c>
      <c r="D27" s="145">
        <f>RatesS!F13+(16*RatesS!F14)</f>
        <v>120.01</v>
      </c>
      <c r="E27" s="87">
        <f>RatesS!L13+(16*RatesS!L14)</f>
        <v>212.95999999999998</v>
      </c>
      <c r="F27" s="4">
        <f t="shared" ref="F27:F30" si="16">(E27-D27)</f>
        <v>92.949999999999974</v>
      </c>
      <c r="G27" s="204">
        <f t="shared" ref="G27:G30" si="17">F27/D27</f>
        <v>0.77451879010082469</v>
      </c>
      <c r="H27" s="90"/>
      <c r="J27" s="201"/>
      <c r="K27" s="200"/>
    </row>
    <row r="28" spans="2:15" ht="15.4" x14ac:dyDescent="0.45">
      <c r="B28" s="81"/>
      <c r="C28" s="206">
        <v>20000</v>
      </c>
      <c r="D28" s="224">
        <f>RatesS!F13+(20*RatesS!F14)</f>
        <v>143.77000000000001</v>
      </c>
      <c r="E28" s="225">
        <f>RatesS!L13+(20*RatesS!L14)</f>
        <v>255.11999999999998</v>
      </c>
      <c r="F28" s="231">
        <f t="shared" ref="F28" si="18">(E28-D28)</f>
        <v>111.34999999999997</v>
      </c>
      <c r="G28" s="229">
        <f t="shared" ref="G28" si="19">F28/D28</f>
        <v>0.774500938999791</v>
      </c>
      <c r="H28" s="90"/>
      <c r="J28" s="201"/>
      <c r="K28" s="200"/>
    </row>
    <row r="29" spans="2:15" ht="15.4" x14ac:dyDescent="0.45">
      <c r="B29" s="81"/>
      <c r="C29" s="206">
        <v>24000</v>
      </c>
      <c r="D29" s="224">
        <f>RatesS!F13+24*RatesS!F14</f>
        <v>167.53</v>
      </c>
      <c r="E29" s="225">
        <f>RatesS!L13+24*RatesS!L14</f>
        <v>297.27999999999997</v>
      </c>
      <c r="F29" s="231">
        <f t="shared" si="16"/>
        <v>129.74999999999997</v>
      </c>
      <c r="G29" s="229">
        <f t="shared" si="17"/>
        <v>0.77448815137587279</v>
      </c>
      <c r="H29" s="90"/>
      <c r="J29" s="201"/>
      <c r="K29" s="200"/>
    </row>
    <row r="30" spans="2:15" ht="15.4" x14ac:dyDescent="0.45">
      <c r="B30" s="81"/>
      <c r="C30" s="206">
        <v>50000</v>
      </c>
      <c r="D30" s="224">
        <f>RatesS!F13+50*RatesS!F14</f>
        <v>321.97000000000003</v>
      </c>
      <c r="E30" s="225">
        <f>RatesS!L13+50*RatesS!L14</f>
        <v>571.32000000000005</v>
      </c>
      <c r="F30" s="231">
        <f t="shared" si="16"/>
        <v>249.35000000000002</v>
      </c>
      <c r="G30" s="229">
        <f t="shared" si="17"/>
        <v>0.77445103581078978</v>
      </c>
      <c r="H30" s="90"/>
      <c r="J30" s="201"/>
      <c r="K30" s="200"/>
    </row>
    <row r="31" spans="2:15" ht="15.4" x14ac:dyDescent="0.45">
      <c r="B31" s="81"/>
      <c r="C31" s="206">
        <v>120000</v>
      </c>
      <c r="D31" s="224">
        <f>RatesS!F13+120*RatesS!F14</f>
        <v>737.7700000000001</v>
      </c>
      <c r="E31" s="225">
        <f>RatesS!L13+120*RatesS!L14</f>
        <v>1309.1199999999999</v>
      </c>
      <c r="F31" s="231">
        <f t="shared" ref="F31" si="20">(E31-D31)</f>
        <v>571.3499999999998</v>
      </c>
      <c r="G31" s="229">
        <f t="shared" ref="G31" si="21">F31/D31</f>
        <v>0.7744283448771293</v>
      </c>
      <c r="H31" s="90"/>
      <c r="J31" s="201"/>
      <c r="K31" s="200"/>
    </row>
    <row r="32" spans="2:15" ht="15.4" x14ac:dyDescent="0.45">
      <c r="B32" s="84"/>
      <c r="C32" s="17"/>
      <c r="D32" s="21"/>
      <c r="E32" s="21"/>
      <c r="F32" s="21"/>
      <c r="G32" s="21"/>
      <c r="H32" s="85"/>
    </row>
    <row r="34" spans="4:4" ht="15.4" x14ac:dyDescent="0.45">
      <c r="D34" s="134" t="s">
        <v>82</v>
      </c>
    </row>
    <row r="35" spans="4:4" ht="15.4" x14ac:dyDescent="0.45">
      <c r="D35" s="134"/>
    </row>
  </sheetData>
  <mergeCells count="6">
    <mergeCell ref="C11:G11"/>
    <mergeCell ref="C22:G22"/>
    <mergeCell ref="C3:G3"/>
    <mergeCell ref="C4:G4"/>
    <mergeCell ref="C5:G5"/>
    <mergeCell ref="E8:G8"/>
  </mergeCells>
  <printOptions horizontalCentered="1"/>
  <pageMargins left="0.45" right="0.45" top="1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6527-62FF-44CA-B2BD-A392889FACDC}">
  <dimension ref="A1:B12"/>
  <sheetViews>
    <sheetView workbookViewId="0">
      <selection activeCell="H27" sqref="H27"/>
    </sheetView>
  </sheetViews>
  <sheetFormatPr defaultRowHeight="14.25" x14ac:dyDescent="0.45"/>
  <cols>
    <col min="1" max="1" width="20.6640625" style="314" customWidth="1"/>
    <col min="2" max="2" width="9.5546875" style="314" bestFit="1" customWidth="1"/>
    <col min="3" max="16384" width="8.88671875" style="314"/>
  </cols>
  <sheetData>
    <row r="1" spans="1:2" x14ac:dyDescent="0.45">
      <c r="A1" s="320" t="s">
        <v>234</v>
      </c>
    </row>
    <row r="2" spans="1:2" x14ac:dyDescent="0.45">
      <c r="A2" s="320" t="s">
        <v>332</v>
      </c>
    </row>
    <row r="3" spans="1:2" x14ac:dyDescent="0.45">
      <c r="A3" s="320"/>
    </row>
    <row r="4" spans="1:2" x14ac:dyDescent="0.45">
      <c r="A4" s="320" t="s">
        <v>329</v>
      </c>
    </row>
    <row r="5" spans="1:2" x14ac:dyDescent="0.45">
      <c r="A5" s="314" t="s">
        <v>325</v>
      </c>
      <c r="B5" s="319">
        <v>-13303.81</v>
      </c>
    </row>
    <row r="6" spans="1:2" x14ac:dyDescent="0.45">
      <c r="A6" s="314" t="s">
        <v>328</v>
      </c>
      <c r="B6" s="321">
        <v>-266.74</v>
      </c>
    </row>
    <row r="7" spans="1:2" x14ac:dyDescent="0.45">
      <c r="A7" s="320" t="s">
        <v>331</v>
      </c>
      <c r="B7" s="325">
        <f>SUM(B5:B6)</f>
        <v>-13570.55</v>
      </c>
    </row>
    <row r="9" spans="1:2" x14ac:dyDescent="0.45">
      <c r="A9" s="320" t="s">
        <v>330</v>
      </c>
    </row>
    <row r="10" spans="1:2" x14ac:dyDescent="0.45">
      <c r="A10" s="314" t="s">
        <v>327</v>
      </c>
      <c r="B10" s="319">
        <v>-3894.13</v>
      </c>
    </row>
    <row r="11" spans="1:2" x14ac:dyDescent="0.45">
      <c r="A11" s="314" t="s">
        <v>326</v>
      </c>
      <c r="B11" s="321">
        <v>-51.02</v>
      </c>
    </row>
    <row r="12" spans="1:2" x14ac:dyDescent="0.45">
      <c r="A12" s="320" t="s">
        <v>333</v>
      </c>
      <c r="B12" s="326">
        <f>SUM(B10:B11)</f>
        <v>-3945.15</v>
      </c>
    </row>
  </sheetData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09"/>
  <sheetViews>
    <sheetView zoomScaleNormal="100" workbookViewId="0">
      <selection sqref="A1:K103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1.5546875" style="3" customWidth="1"/>
    <col min="5" max="5" width="9.77734375" style="1" customWidth="1"/>
    <col min="6" max="6" width="10.33203125" style="1" customWidth="1"/>
    <col min="7" max="7" width="9.5546875" style="1" bestFit="1" customWidth="1"/>
    <col min="8" max="9" width="9.77734375" style="1" customWidth="1"/>
    <col min="10" max="10" width="9.88671875" style="1" bestFit="1" customWidth="1"/>
    <col min="11" max="11" width="12.1640625" style="1" customWidth="1"/>
    <col min="12" max="12" width="10.5546875" style="3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70" t="s">
        <v>130</v>
      </c>
      <c r="B1" s="8"/>
      <c r="C1" s="8"/>
      <c r="D1" s="212"/>
      <c r="E1" s="8"/>
      <c r="F1" s="8"/>
      <c r="G1" s="8"/>
      <c r="H1" s="8"/>
      <c r="I1" s="8"/>
    </row>
    <row r="2" spans="1:17" ht="18" x14ac:dyDescent="0.45">
      <c r="A2" s="337" t="s">
        <v>258</v>
      </c>
      <c r="B2" s="337"/>
      <c r="C2" s="337"/>
      <c r="D2" s="337"/>
      <c r="E2" s="337"/>
      <c r="F2" s="337"/>
      <c r="G2" s="337"/>
      <c r="H2" s="337"/>
      <c r="I2" s="337"/>
    </row>
    <row r="3" spans="1:17" x14ac:dyDescent="0.45">
      <c r="M3" s="3"/>
      <c r="Q3" s="3"/>
    </row>
    <row r="4" spans="1:17" ht="16.5" x14ac:dyDescent="0.75">
      <c r="C4" s="75" t="s">
        <v>77</v>
      </c>
      <c r="M4" s="71"/>
      <c r="Q4" s="125"/>
    </row>
    <row r="5" spans="1:17" x14ac:dyDescent="0.45">
      <c r="C5" s="127"/>
      <c r="D5" s="77"/>
      <c r="E5" s="11" t="s">
        <v>66</v>
      </c>
      <c r="F5" s="11" t="s">
        <v>42</v>
      </c>
      <c r="G5" s="11" t="s">
        <v>41</v>
      </c>
      <c r="H5" s="2"/>
      <c r="J5" s="133"/>
      <c r="K5" s="3"/>
      <c r="L5" s="133"/>
      <c r="M5" s="3"/>
      <c r="Q5" s="39"/>
    </row>
    <row r="6" spans="1:17" x14ac:dyDescent="0.45">
      <c r="C6" s="1" t="s">
        <v>262</v>
      </c>
      <c r="E6" s="3">
        <f>C27</f>
        <v>3075</v>
      </c>
      <c r="F6" s="66">
        <f>D27</f>
        <v>9873578</v>
      </c>
      <c r="G6" s="68">
        <f>F35</f>
        <v>104146.677</v>
      </c>
      <c r="H6" s="68"/>
      <c r="J6" s="133"/>
      <c r="K6" s="39"/>
    </row>
    <row r="7" spans="1:17" x14ac:dyDescent="0.45">
      <c r="C7" s="1" t="s">
        <v>263</v>
      </c>
      <c r="E7" s="3">
        <f>C44</f>
        <v>463</v>
      </c>
      <c r="F7" s="66">
        <f>D44</f>
        <v>2917110</v>
      </c>
      <c r="G7" s="3">
        <f>F52</f>
        <v>26757.548999999999</v>
      </c>
      <c r="H7" s="3"/>
      <c r="J7" s="133"/>
      <c r="K7" s="3"/>
    </row>
    <row r="8" spans="1:17" x14ac:dyDescent="0.45">
      <c r="C8" s="1" t="s">
        <v>264</v>
      </c>
      <c r="E8" s="3">
        <f>C69</f>
        <v>100</v>
      </c>
      <c r="F8" s="66">
        <f>D69</f>
        <v>147500</v>
      </c>
      <c r="G8" s="3">
        <f>F69</f>
        <v>2601.2278000000001</v>
      </c>
      <c r="H8" s="3"/>
      <c r="J8" s="133"/>
      <c r="K8" s="3"/>
    </row>
    <row r="9" spans="1:17" x14ac:dyDescent="0.45">
      <c r="C9" s="1" t="s">
        <v>265</v>
      </c>
      <c r="E9" s="6">
        <f>C86</f>
        <v>149</v>
      </c>
      <c r="F9" s="306">
        <f>D86</f>
        <v>485080</v>
      </c>
      <c r="G9" s="6">
        <f>F86</f>
        <v>5229.9662000000008</v>
      </c>
      <c r="H9" s="3"/>
      <c r="J9" s="133"/>
      <c r="K9" s="3"/>
    </row>
    <row r="10" spans="1:17" x14ac:dyDescent="0.45">
      <c r="C10" s="1" t="s">
        <v>267</v>
      </c>
      <c r="E10" s="77">
        <f>C103</f>
        <v>20</v>
      </c>
      <c r="F10" s="211">
        <f>D103</f>
        <v>11340</v>
      </c>
      <c r="G10" s="77">
        <f>F103</f>
        <v>430.94400000000002</v>
      </c>
      <c r="H10" s="3"/>
      <c r="J10" s="133"/>
      <c r="K10" s="3"/>
    </row>
    <row r="11" spans="1:17" x14ac:dyDescent="0.45">
      <c r="C11" s="1" t="s">
        <v>38</v>
      </c>
      <c r="E11" s="39">
        <f>SUM(E6:E10)</f>
        <v>3807</v>
      </c>
      <c r="F11" s="39">
        <f t="shared" ref="F11:G11" si="0">SUM(F6:F10)</f>
        <v>13434608</v>
      </c>
      <c r="G11" s="39">
        <f t="shared" si="0"/>
        <v>139166.36399999997</v>
      </c>
      <c r="H11" s="5"/>
      <c r="J11" s="133"/>
      <c r="K11" s="39"/>
      <c r="M11" s="67"/>
    </row>
    <row r="12" spans="1:17" x14ac:dyDescent="0.45">
      <c r="C12" s="1" t="s">
        <v>127</v>
      </c>
      <c r="E12" s="39"/>
      <c r="F12" s="6"/>
      <c r="G12" s="313">
        <f>Adjustments!B7</f>
        <v>-13570.55</v>
      </c>
      <c r="H12" s="5"/>
      <c r="J12" s="133"/>
      <c r="K12" s="39"/>
      <c r="M12" s="67"/>
    </row>
    <row r="13" spans="1:17" x14ac:dyDescent="0.45">
      <c r="C13" s="1" t="s">
        <v>128</v>
      </c>
      <c r="E13" s="39"/>
      <c r="F13" s="6"/>
      <c r="G13" s="175">
        <f>G11+G12</f>
        <v>125595.81399999997</v>
      </c>
      <c r="H13" s="5"/>
      <c r="J13" s="133"/>
      <c r="K13" s="39"/>
      <c r="M13" s="67"/>
    </row>
    <row r="14" spans="1:17" x14ac:dyDescent="0.45">
      <c r="C14" s="1" t="s">
        <v>125</v>
      </c>
      <c r="E14" s="39"/>
      <c r="F14" s="6"/>
      <c r="G14" s="175">
        <f>-SAOw!D7</f>
        <v>-150554.97</v>
      </c>
      <c r="H14" s="5"/>
      <c r="J14" s="133"/>
      <c r="K14" s="67"/>
    </row>
    <row r="15" spans="1:17" x14ac:dyDescent="0.45">
      <c r="C15" s="1" t="s">
        <v>126</v>
      </c>
      <c r="D15" s="188"/>
      <c r="F15" s="126"/>
      <c r="G15" s="71">
        <f>G13+G14</f>
        <v>-24959.156000000032</v>
      </c>
      <c r="H15" s="200">
        <f>G15/-G14</f>
        <v>-0.16578101672764461</v>
      </c>
      <c r="I15" s="71" t="s">
        <v>351</v>
      </c>
      <c r="J15" s="133"/>
      <c r="O15" s="39"/>
    </row>
    <row r="16" spans="1:17" x14ac:dyDescent="0.45">
      <c r="D16" s="188"/>
      <c r="F16" s="126"/>
      <c r="G16" s="174"/>
      <c r="I16" s="71"/>
      <c r="J16" s="133"/>
    </row>
    <row r="17" spans="1:19" x14ac:dyDescent="0.45">
      <c r="D17" s="188"/>
      <c r="F17" s="126"/>
      <c r="G17" s="188"/>
      <c r="I17" s="71"/>
    </row>
    <row r="18" spans="1:19" x14ac:dyDescent="0.45">
      <c r="F18" s="173"/>
      <c r="G18" s="71"/>
    </row>
    <row r="19" spans="1:19" x14ac:dyDescent="0.45">
      <c r="F19" s="71"/>
      <c r="G19" s="71"/>
    </row>
    <row r="20" spans="1:19" ht="15.75" x14ac:dyDescent="0.5">
      <c r="A20" s="123" t="s">
        <v>259</v>
      </c>
      <c r="N20"/>
      <c r="O20"/>
      <c r="P20"/>
      <c r="Q20"/>
      <c r="R20"/>
      <c r="S20"/>
    </row>
    <row r="21" spans="1:19" ht="15.4" x14ac:dyDescent="0.45">
      <c r="E21" s="2" t="s">
        <v>43</v>
      </c>
      <c r="F21" s="2" t="s">
        <v>62</v>
      </c>
      <c r="G21" s="2" t="s">
        <v>62</v>
      </c>
      <c r="H21" s="2" t="s">
        <v>44</v>
      </c>
      <c r="K21"/>
      <c r="L21"/>
      <c r="M21"/>
      <c r="N21"/>
      <c r="O21"/>
      <c r="P21"/>
    </row>
    <row r="22" spans="1:19" ht="15.4" x14ac:dyDescent="0.45">
      <c r="B22" s="11" t="s">
        <v>45</v>
      </c>
      <c r="C22" s="12" t="s">
        <v>46</v>
      </c>
      <c r="D22" s="213" t="s">
        <v>47</v>
      </c>
      <c r="E22" s="12">
        <f>B23</f>
        <v>2000</v>
      </c>
      <c r="F22" s="12">
        <f>B24</f>
        <v>3000</v>
      </c>
      <c r="G22" s="12">
        <f>B25</f>
        <v>5000</v>
      </c>
      <c r="H22" s="12">
        <f>B26</f>
        <v>10000</v>
      </c>
      <c r="I22" s="11" t="s">
        <v>48</v>
      </c>
      <c r="K22"/>
      <c r="L22"/>
      <c r="M22"/>
      <c r="N22"/>
      <c r="O22"/>
      <c r="P22"/>
    </row>
    <row r="23" spans="1:19" ht="15.4" x14ac:dyDescent="0.45">
      <c r="A23" s="13" t="s">
        <v>43</v>
      </c>
      <c r="B23" s="14">
        <v>2000</v>
      </c>
      <c r="C23" s="209">
        <v>1149</v>
      </c>
      <c r="D23" s="188">
        <v>1327158</v>
      </c>
      <c r="E23" s="72">
        <f>D23</f>
        <v>1327158</v>
      </c>
      <c r="F23" s="72">
        <v>0</v>
      </c>
      <c r="G23" s="72">
        <v>0</v>
      </c>
      <c r="H23" s="72">
        <v>0</v>
      </c>
      <c r="I23" s="72">
        <f>SUM(E23:H23)</f>
        <v>1327158</v>
      </c>
      <c r="K23"/>
      <c r="L23"/>
      <c r="M23"/>
      <c r="N23"/>
      <c r="O23"/>
      <c r="P23"/>
    </row>
    <row r="24" spans="1:19" ht="15.4" x14ac:dyDescent="0.45">
      <c r="A24" s="13" t="s">
        <v>62</v>
      </c>
      <c r="B24" s="14">
        <v>3000</v>
      </c>
      <c r="C24" s="209">
        <v>1448</v>
      </c>
      <c r="D24" s="188">
        <v>4826720</v>
      </c>
      <c r="E24" s="72">
        <f>C24*E$22</f>
        <v>2896000</v>
      </c>
      <c r="F24" s="72">
        <f>D24-E24</f>
        <v>1930720</v>
      </c>
      <c r="G24" s="72">
        <v>0</v>
      </c>
      <c r="H24" s="72">
        <v>0</v>
      </c>
      <c r="I24" s="72">
        <f>SUM(E24:H24)</f>
        <v>4826720</v>
      </c>
      <c r="K24"/>
      <c r="L24"/>
      <c r="M24"/>
      <c r="N24"/>
      <c r="O24"/>
      <c r="P24"/>
    </row>
    <row r="25" spans="1:19" ht="15.4" x14ac:dyDescent="0.45">
      <c r="A25" s="13" t="s">
        <v>62</v>
      </c>
      <c r="B25" s="14">
        <v>5000</v>
      </c>
      <c r="C25" s="209">
        <v>413</v>
      </c>
      <c r="D25" s="188">
        <v>2711860</v>
      </c>
      <c r="E25" s="72">
        <f>C25*E$22</f>
        <v>826000</v>
      </c>
      <c r="F25" s="72">
        <f>$C25*F$22</f>
        <v>1239000</v>
      </c>
      <c r="G25" s="72">
        <f>D25-(F25+E25)</f>
        <v>646860</v>
      </c>
      <c r="H25" s="72">
        <v>0</v>
      </c>
      <c r="I25" s="72">
        <f>SUM(E25:H25)</f>
        <v>2711860</v>
      </c>
      <c r="K25"/>
      <c r="L25"/>
      <c r="M25"/>
      <c r="N25"/>
      <c r="O25"/>
      <c r="P25"/>
    </row>
    <row r="26" spans="1:19" ht="15.4" x14ac:dyDescent="0.45">
      <c r="A26" s="13" t="s">
        <v>44</v>
      </c>
      <c r="B26" s="16">
        <v>10000</v>
      </c>
      <c r="C26" s="210">
        <v>65</v>
      </c>
      <c r="D26" s="214">
        <v>1007840</v>
      </c>
      <c r="E26" s="73">
        <f>C26*E$22</f>
        <v>130000</v>
      </c>
      <c r="F26" s="73">
        <f>$C26*F$22</f>
        <v>195000</v>
      </c>
      <c r="G26" s="73">
        <f>$C26*G$22</f>
        <v>325000</v>
      </c>
      <c r="H26" s="73">
        <f>D26-E26-F26-G26</f>
        <v>357840</v>
      </c>
      <c r="I26" s="73">
        <f>SUM(E26:H26)</f>
        <v>1007840</v>
      </c>
      <c r="K26"/>
      <c r="L26"/>
      <c r="M26"/>
      <c r="N26"/>
      <c r="O26"/>
      <c r="P26"/>
    </row>
    <row r="27" spans="1:19" ht="15.4" x14ac:dyDescent="0.45">
      <c r="A27" s="13"/>
      <c r="B27" s="14" t="s">
        <v>48</v>
      </c>
      <c r="C27" s="74">
        <f t="shared" ref="C27:I27" si="1">SUM(C23:C26)</f>
        <v>3075</v>
      </c>
      <c r="D27" s="6">
        <f t="shared" si="1"/>
        <v>9873578</v>
      </c>
      <c r="E27" s="74">
        <f t="shared" si="1"/>
        <v>5179158</v>
      </c>
      <c r="F27" s="74">
        <f t="shared" si="1"/>
        <v>3364720</v>
      </c>
      <c r="G27" s="74">
        <f t="shared" si="1"/>
        <v>971860</v>
      </c>
      <c r="H27" s="74">
        <f t="shared" si="1"/>
        <v>357840</v>
      </c>
      <c r="I27" s="74">
        <f t="shared" si="1"/>
        <v>9873578</v>
      </c>
      <c r="J27" s="3"/>
      <c r="K27"/>
      <c r="L27"/>
      <c r="M27"/>
      <c r="N27"/>
      <c r="O27"/>
      <c r="P27"/>
    </row>
    <row r="28" spans="1:19" ht="15.4" x14ac:dyDescent="0.45">
      <c r="A28" s="13"/>
      <c r="B28" s="14"/>
      <c r="E28" s="14"/>
      <c r="F28" s="14"/>
      <c r="G28" s="14"/>
      <c r="H28" s="14"/>
      <c r="I28" s="14"/>
      <c r="N28"/>
      <c r="O28"/>
      <c r="P28"/>
      <c r="Q28"/>
      <c r="R28"/>
      <c r="S28"/>
    </row>
    <row r="29" spans="1:19" ht="15.4" x14ac:dyDescent="0.45">
      <c r="A29" s="18" t="s">
        <v>49</v>
      </c>
      <c r="B29" s="18"/>
      <c r="E29" s="14"/>
      <c r="F29" s="14"/>
      <c r="G29" s="14"/>
      <c r="H29" s="14"/>
      <c r="I29" s="14"/>
      <c r="N29"/>
      <c r="O29"/>
      <c r="P29"/>
      <c r="Q29"/>
      <c r="R29"/>
      <c r="S29"/>
    </row>
    <row r="30" spans="1:19" ht="15.4" x14ac:dyDescent="0.45">
      <c r="A30" s="13"/>
      <c r="B30" s="11" t="s">
        <v>45</v>
      </c>
      <c r="C30" s="12" t="s">
        <v>46</v>
      </c>
      <c r="D30" s="213" t="s">
        <v>47</v>
      </c>
      <c r="E30" s="12" t="s">
        <v>50</v>
      </c>
      <c r="F30" s="12" t="s">
        <v>51</v>
      </c>
      <c r="G30" s="14"/>
      <c r="H30" s="14"/>
      <c r="I30" s="14"/>
      <c r="N30"/>
      <c r="O30"/>
      <c r="P30"/>
      <c r="Q30"/>
      <c r="R30"/>
      <c r="S30"/>
    </row>
    <row r="31" spans="1:19" ht="15.4" x14ac:dyDescent="0.45">
      <c r="A31" s="13" t="s">
        <v>43</v>
      </c>
      <c r="B31" s="14">
        <f>B23</f>
        <v>2000</v>
      </c>
      <c r="C31" s="15">
        <f>C27</f>
        <v>3075</v>
      </c>
      <c r="D31" s="188">
        <f>E27</f>
        <v>5179158</v>
      </c>
      <c r="E31" s="19">
        <f>RatesW!$F$13</f>
        <v>21.42</v>
      </c>
      <c r="F31" s="9">
        <f>E31*C31</f>
        <v>65866.5</v>
      </c>
      <c r="G31" s="14"/>
      <c r="N31"/>
      <c r="O31"/>
      <c r="P31"/>
      <c r="Q31"/>
      <c r="R31"/>
      <c r="S31"/>
    </row>
    <row r="32" spans="1:19" ht="15.4" x14ac:dyDescent="0.45">
      <c r="A32" s="13" t="s">
        <v>62</v>
      </c>
      <c r="B32" s="14">
        <f>B24</f>
        <v>3000</v>
      </c>
      <c r="D32" s="188">
        <f>F27</f>
        <v>3364720</v>
      </c>
      <c r="E32" s="19">
        <f>RatesW!$F$14</f>
        <v>8.48</v>
      </c>
      <c r="F32" s="3">
        <f>E32*(D32/1000)</f>
        <v>28532.8256</v>
      </c>
      <c r="G32" s="14"/>
      <c r="N32"/>
      <c r="O32"/>
      <c r="P32"/>
      <c r="Q32"/>
      <c r="R32"/>
      <c r="S32"/>
    </row>
    <row r="33" spans="1:19" ht="15.4" x14ac:dyDescent="0.45">
      <c r="A33" s="13" t="s">
        <v>62</v>
      </c>
      <c r="B33" s="14">
        <f>B25</f>
        <v>5000</v>
      </c>
      <c r="D33" s="188">
        <f>G27</f>
        <v>971860</v>
      </c>
      <c r="E33" s="19">
        <f>RatesW!$F$15</f>
        <v>7.57</v>
      </c>
      <c r="F33" s="3">
        <f>E33*(D33/1000)</f>
        <v>7356.9802</v>
      </c>
      <c r="G33" s="14"/>
      <c r="N33"/>
      <c r="O33"/>
      <c r="P33"/>
      <c r="Q33"/>
      <c r="R33"/>
      <c r="S33"/>
    </row>
    <row r="34" spans="1:19" x14ac:dyDescent="0.45">
      <c r="A34" s="13" t="s">
        <v>44</v>
      </c>
      <c r="B34" s="16">
        <f>B26</f>
        <v>10000</v>
      </c>
      <c r="C34" s="20"/>
      <c r="D34" s="214">
        <f>H27</f>
        <v>357840</v>
      </c>
      <c r="E34" s="198">
        <f>RatesW!$F$16</f>
        <v>6.68</v>
      </c>
      <c r="F34" s="77">
        <f>E34*(D34/1000)</f>
        <v>2390.3711999999996</v>
      </c>
      <c r="G34" s="14"/>
      <c r="Q34" s="3">
        <f>Q28/12</f>
        <v>0</v>
      </c>
    </row>
    <row r="35" spans="1:19" x14ac:dyDescent="0.45">
      <c r="A35" s="13"/>
      <c r="B35" s="14" t="s">
        <v>48</v>
      </c>
      <c r="C35" s="3">
        <f>SUM(C31:C34)</f>
        <v>3075</v>
      </c>
      <c r="D35" s="6">
        <f>SUM(D31:D34)</f>
        <v>9873578</v>
      </c>
      <c r="F35" s="9">
        <f>SUM(F31:F34)</f>
        <v>104146.677</v>
      </c>
      <c r="G35" s="68"/>
      <c r="H35" s="14"/>
      <c r="I35" s="176"/>
    </row>
    <row r="36" spans="1:19" x14ac:dyDescent="0.45">
      <c r="A36" s="13"/>
      <c r="B36" s="14"/>
      <c r="C36" s="3"/>
      <c r="D36" s="6"/>
      <c r="F36" s="9"/>
      <c r="G36" s="14"/>
      <c r="H36" s="14"/>
      <c r="I36" s="14"/>
    </row>
    <row r="37" spans="1:19" ht="15.75" x14ac:dyDescent="0.5">
      <c r="A37" s="123" t="s">
        <v>260</v>
      </c>
    </row>
    <row r="38" spans="1:19" x14ac:dyDescent="0.45">
      <c r="E38" s="2" t="s">
        <v>43</v>
      </c>
      <c r="F38" s="2" t="s">
        <v>62</v>
      </c>
      <c r="G38" s="2" t="s">
        <v>62</v>
      </c>
      <c r="H38" s="2" t="s">
        <v>44</v>
      </c>
      <c r="L38" s="1"/>
    </row>
    <row r="39" spans="1:19" x14ac:dyDescent="0.45">
      <c r="B39" s="11" t="s">
        <v>45</v>
      </c>
      <c r="C39" s="12" t="s">
        <v>46</v>
      </c>
      <c r="D39" s="213" t="s">
        <v>47</v>
      </c>
      <c r="E39" s="12">
        <f>B40</f>
        <v>2000</v>
      </c>
      <c r="F39" s="12">
        <f>B41</f>
        <v>3000</v>
      </c>
      <c r="G39" s="12">
        <f>B42</f>
        <v>5000</v>
      </c>
      <c r="H39" s="12">
        <f>B43</f>
        <v>10000</v>
      </c>
      <c r="I39" s="11" t="s">
        <v>48</v>
      </c>
      <c r="L39" s="1"/>
    </row>
    <row r="40" spans="1:19" x14ac:dyDescent="0.45">
      <c r="A40" s="13" t="s">
        <v>43</v>
      </c>
      <c r="B40" s="14">
        <v>2000</v>
      </c>
      <c r="C40" s="209">
        <v>227</v>
      </c>
      <c r="D40" s="188">
        <v>126660</v>
      </c>
      <c r="E40" s="72">
        <f>D40</f>
        <v>126660</v>
      </c>
      <c r="F40" s="72">
        <v>0</v>
      </c>
      <c r="G40" s="72">
        <v>0</v>
      </c>
      <c r="H40" s="72">
        <v>0</v>
      </c>
      <c r="I40" s="72">
        <f>SUM(E40:H40)</f>
        <v>126660</v>
      </c>
      <c r="L40" s="1"/>
    </row>
    <row r="41" spans="1:19" x14ac:dyDescent="0.45">
      <c r="A41" s="13" t="s">
        <v>62</v>
      </c>
      <c r="B41" s="14">
        <v>3000</v>
      </c>
      <c r="C41" s="209">
        <v>101</v>
      </c>
      <c r="D41" s="188">
        <v>346500</v>
      </c>
      <c r="E41" s="72">
        <f>C41*E39</f>
        <v>202000</v>
      </c>
      <c r="F41" s="72">
        <f>D41-E41</f>
        <v>144500</v>
      </c>
      <c r="G41" s="72">
        <v>0</v>
      </c>
      <c r="H41" s="72">
        <v>0</v>
      </c>
      <c r="I41" s="72">
        <f t="shared" ref="I41:I42" si="2">SUM(E41:H41)</f>
        <v>346500</v>
      </c>
      <c r="L41" s="1"/>
    </row>
    <row r="42" spans="1:19" x14ac:dyDescent="0.45">
      <c r="A42" s="13" t="s">
        <v>62</v>
      </c>
      <c r="B42" s="14">
        <v>5000</v>
      </c>
      <c r="C42" s="209">
        <v>79</v>
      </c>
      <c r="D42" s="188">
        <v>523700</v>
      </c>
      <c r="E42" s="72">
        <f>C42*E39</f>
        <v>158000</v>
      </c>
      <c r="F42" s="72">
        <f>C42*F39</f>
        <v>237000</v>
      </c>
      <c r="G42" s="72">
        <f>D42-E42-F42</f>
        <v>128700</v>
      </c>
      <c r="H42" s="72"/>
      <c r="I42" s="72">
        <f t="shared" si="2"/>
        <v>523700</v>
      </c>
      <c r="L42" s="1"/>
    </row>
    <row r="43" spans="1:19" x14ac:dyDescent="0.45">
      <c r="A43" s="13" t="s">
        <v>44</v>
      </c>
      <c r="B43" s="16">
        <v>10000</v>
      </c>
      <c r="C43" s="210">
        <v>56</v>
      </c>
      <c r="D43" s="214">
        <v>1920250</v>
      </c>
      <c r="E43" s="73">
        <f>$C43*E$39</f>
        <v>112000</v>
      </c>
      <c r="F43" s="73">
        <f>C43*F39</f>
        <v>168000</v>
      </c>
      <c r="G43" s="73">
        <f>C43*G39</f>
        <v>280000</v>
      </c>
      <c r="H43" s="73">
        <f>D43-E43-F43-G43</f>
        <v>1360250</v>
      </c>
      <c r="I43" s="73">
        <f>SUM(E43:H43)</f>
        <v>1920250</v>
      </c>
      <c r="L43" s="1"/>
    </row>
    <row r="44" spans="1:19" x14ac:dyDescent="0.45">
      <c r="A44" s="13"/>
      <c r="B44" s="14"/>
      <c r="C44" s="74">
        <f>SUM(C40:C43)</f>
        <v>463</v>
      </c>
      <c r="D44" s="6">
        <f>SUM(D40:D43)</f>
        <v>2917110</v>
      </c>
      <c r="E44" s="74">
        <f>SUM(E40:E43)</f>
        <v>598660</v>
      </c>
      <c r="F44" s="74">
        <f t="shared" ref="F44:G44" si="3">SUM(F40:F43)</f>
        <v>549500</v>
      </c>
      <c r="G44" s="74">
        <f t="shared" si="3"/>
        <v>408700</v>
      </c>
      <c r="H44" s="74">
        <f>SUM(H40:H43)</f>
        <v>1360250</v>
      </c>
      <c r="I44" s="74">
        <f>SUM(I40:I43)</f>
        <v>2917110</v>
      </c>
      <c r="J44" s="110"/>
    </row>
    <row r="45" spans="1:19" x14ac:dyDescent="0.45">
      <c r="A45" s="13"/>
      <c r="B45" s="14"/>
      <c r="E45" s="14"/>
      <c r="F45" s="14"/>
      <c r="G45" s="14"/>
      <c r="H45" s="14"/>
      <c r="I45" s="14"/>
    </row>
    <row r="46" spans="1:19" x14ac:dyDescent="0.45">
      <c r="A46" s="18" t="s">
        <v>49</v>
      </c>
      <c r="B46" s="18"/>
      <c r="E46" s="14"/>
      <c r="F46" s="14"/>
      <c r="G46" s="14"/>
      <c r="H46" s="14"/>
      <c r="I46" s="14"/>
    </row>
    <row r="47" spans="1:19" x14ac:dyDescent="0.45">
      <c r="A47" s="13"/>
      <c r="B47" s="11" t="s">
        <v>45</v>
      </c>
      <c r="C47" s="12" t="s">
        <v>46</v>
      </c>
      <c r="D47" s="213" t="s">
        <v>47</v>
      </c>
      <c r="E47" s="12" t="s">
        <v>50</v>
      </c>
      <c r="F47" s="12" t="s">
        <v>51</v>
      </c>
      <c r="G47" s="14"/>
      <c r="H47" s="14"/>
      <c r="I47" s="14"/>
    </row>
    <row r="48" spans="1:19" x14ac:dyDescent="0.45">
      <c r="A48" s="13" t="s">
        <v>43</v>
      </c>
      <c r="B48" s="14">
        <f>B40</f>
        <v>2000</v>
      </c>
      <c r="C48" s="15">
        <f>C44</f>
        <v>463</v>
      </c>
      <c r="D48" s="188">
        <f>E44</f>
        <v>598660</v>
      </c>
      <c r="E48" s="19">
        <f>RatesW!$F$13</f>
        <v>21.42</v>
      </c>
      <c r="F48" s="9">
        <f>E48*C48</f>
        <v>9917.4600000000009</v>
      </c>
      <c r="G48" s="14"/>
    </row>
    <row r="49" spans="1:12" x14ac:dyDescent="0.45">
      <c r="A49" s="13" t="s">
        <v>62</v>
      </c>
      <c r="B49" s="14">
        <f>B41</f>
        <v>3000</v>
      </c>
      <c r="C49" s="15"/>
      <c r="D49" s="188">
        <f>F44</f>
        <v>549500</v>
      </c>
      <c r="E49" s="19">
        <f>RatesW!$F$14</f>
        <v>8.48</v>
      </c>
      <c r="F49" s="6">
        <f t="shared" ref="F49:F50" si="4">E49*(D49/1000)</f>
        <v>4659.76</v>
      </c>
      <c r="G49" s="14"/>
    </row>
    <row r="50" spans="1:12" x14ac:dyDescent="0.45">
      <c r="A50" s="13" t="s">
        <v>62</v>
      </c>
      <c r="B50" s="14">
        <f>B42</f>
        <v>5000</v>
      </c>
      <c r="C50" s="15"/>
      <c r="D50" s="188">
        <f>G44</f>
        <v>408700</v>
      </c>
      <c r="E50" s="19">
        <f>RatesW!$F$15</f>
        <v>7.57</v>
      </c>
      <c r="F50" s="6">
        <f t="shared" si="4"/>
        <v>3093.8589999999999</v>
      </c>
      <c r="G50" s="14"/>
    </row>
    <row r="51" spans="1:12" x14ac:dyDescent="0.45">
      <c r="A51" s="13" t="s">
        <v>44</v>
      </c>
      <c r="B51" s="16">
        <f>B43</f>
        <v>10000</v>
      </c>
      <c r="C51" s="20"/>
      <c r="D51" s="214">
        <f>H44</f>
        <v>1360250</v>
      </c>
      <c r="E51" s="198">
        <f>RatesW!$F$16</f>
        <v>6.68</v>
      </c>
      <c r="F51" s="77">
        <f>E51*(D51/1000)</f>
        <v>9086.4699999999993</v>
      </c>
      <c r="G51" s="14"/>
    </row>
    <row r="52" spans="1:12" x14ac:dyDescent="0.45">
      <c r="A52" s="13"/>
      <c r="B52" s="14" t="s">
        <v>48</v>
      </c>
      <c r="C52" s="3">
        <f>SUM(C48:C51)</f>
        <v>463</v>
      </c>
      <c r="D52" s="6">
        <f>SUM(D48:D51)</f>
        <v>2917110</v>
      </c>
      <c r="F52" s="9">
        <f>SUM(F48:F51)</f>
        <v>26757.548999999999</v>
      </c>
      <c r="G52" s="68"/>
      <c r="H52" s="14"/>
      <c r="I52" s="176"/>
    </row>
    <row r="53" spans="1:12" x14ac:dyDescent="0.45">
      <c r="A53" s="13"/>
      <c r="B53" s="14"/>
      <c r="C53" s="22"/>
      <c r="D53" s="6"/>
      <c r="F53" s="19"/>
      <c r="G53" s="14"/>
      <c r="H53" s="14"/>
      <c r="I53" s="14"/>
    </row>
    <row r="54" spans="1:12" ht="15.75" x14ac:dyDescent="0.5">
      <c r="A54" s="123" t="s">
        <v>261</v>
      </c>
    </row>
    <row r="55" spans="1:12" x14ac:dyDescent="0.45">
      <c r="E55" s="2" t="s">
        <v>43</v>
      </c>
      <c r="F55" s="2" t="s">
        <v>62</v>
      </c>
      <c r="G55" s="2" t="s">
        <v>62</v>
      </c>
      <c r="H55" s="2" t="s">
        <v>44</v>
      </c>
      <c r="L55" s="1"/>
    </row>
    <row r="56" spans="1:12" x14ac:dyDescent="0.45">
      <c r="B56" s="11" t="s">
        <v>45</v>
      </c>
      <c r="C56" s="12" t="s">
        <v>46</v>
      </c>
      <c r="D56" s="213" t="s">
        <v>47</v>
      </c>
      <c r="E56" s="12">
        <f>B57</f>
        <v>2000</v>
      </c>
      <c r="F56" s="12">
        <f>B58</f>
        <v>3000</v>
      </c>
      <c r="G56" s="12">
        <f>B59</f>
        <v>5000</v>
      </c>
      <c r="H56" s="12">
        <f>B60</f>
        <v>10000</v>
      </c>
      <c r="I56" s="11" t="s">
        <v>48</v>
      </c>
      <c r="L56" s="1"/>
    </row>
    <row r="57" spans="1:12" x14ac:dyDescent="0.45">
      <c r="A57" s="13" t="s">
        <v>43</v>
      </c>
      <c r="B57" s="14">
        <v>2000</v>
      </c>
      <c r="C57" s="209">
        <v>74</v>
      </c>
      <c r="D57" s="188">
        <v>39940</v>
      </c>
      <c r="E57" s="72">
        <f>D57</f>
        <v>39940</v>
      </c>
      <c r="F57" s="72">
        <v>0</v>
      </c>
      <c r="G57" s="72">
        <v>0</v>
      </c>
      <c r="H57" s="72">
        <v>0</v>
      </c>
      <c r="I57" s="72">
        <f>SUM(E57:H57)</f>
        <v>39940</v>
      </c>
      <c r="L57" s="1"/>
    </row>
    <row r="58" spans="1:12" x14ac:dyDescent="0.45">
      <c r="A58" s="13" t="s">
        <v>62</v>
      </c>
      <c r="B58" s="14">
        <v>3000</v>
      </c>
      <c r="C58" s="209">
        <v>21</v>
      </c>
      <c r="D58" s="188">
        <v>69460</v>
      </c>
      <c r="E58" s="72">
        <f>C58*E56</f>
        <v>42000</v>
      </c>
      <c r="F58" s="72">
        <f>D58-E58</f>
        <v>27460</v>
      </c>
      <c r="G58" s="72">
        <v>0</v>
      </c>
      <c r="H58" s="72">
        <v>0</v>
      </c>
      <c r="I58" s="72">
        <f t="shared" ref="I58:I59" si="5">SUM(E58:H58)</f>
        <v>69460</v>
      </c>
      <c r="L58" s="1"/>
    </row>
    <row r="59" spans="1:12" x14ac:dyDescent="0.45">
      <c r="A59" s="13" t="s">
        <v>62</v>
      </c>
      <c r="B59" s="14">
        <v>5000</v>
      </c>
      <c r="C59" s="209">
        <v>5</v>
      </c>
      <c r="D59" s="188">
        <v>38100</v>
      </c>
      <c r="E59" s="72">
        <f>C59*E56</f>
        <v>10000</v>
      </c>
      <c r="F59" s="72">
        <f>C59*F56</f>
        <v>15000</v>
      </c>
      <c r="G59" s="72">
        <f>D59-E59-F59</f>
        <v>13100</v>
      </c>
      <c r="H59" s="72"/>
      <c r="I59" s="72">
        <f t="shared" si="5"/>
        <v>38100</v>
      </c>
      <c r="L59" s="1"/>
    </row>
    <row r="60" spans="1:12" x14ac:dyDescent="0.45">
      <c r="A60" s="13" t="s">
        <v>44</v>
      </c>
      <c r="B60" s="16">
        <v>10000</v>
      </c>
      <c r="C60" s="210">
        <v>0</v>
      </c>
      <c r="D60" s="214">
        <v>0</v>
      </c>
      <c r="E60" s="73">
        <f>$C60*E$39</f>
        <v>0</v>
      </c>
      <c r="F60" s="73">
        <f>C60*F56</f>
        <v>0</v>
      </c>
      <c r="G60" s="73">
        <f>C60*G56</f>
        <v>0</v>
      </c>
      <c r="H60" s="73">
        <f>D60-E60-F60-G60</f>
        <v>0</v>
      </c>
      <c r="I60" s="73">
        <f>SUM(E60:H60)</f>
        <v>0</v>
      </c>
      <c r="L60" s="1"/>
    </row>
    <row r="61" spans="1:12" x14ac:dyDescent="0.45">
      <c r="A61" s="13"/>
      <c r="B61" s="14"/>
      <c r="C61" s="3">
        <f>SUM(C57:C60)</f>
        <v>100</v>
      </c>
      <c r="D61" s="6">
        <f>SUM(D57:D60)</f>
        <v>147500</v>
      </c>
      <c r="E61" s="74">
        <f>SUM(E57:E60)</f>
        <v>91940</v>
      </c>
      <c r="F61" s="74">
        <f t="shared" ref="F61:G61" si="6">SUM(F57:F60)</f>
        <v>42460</v>
      </c>
      <c r="G61" s="74">
        <f t="shared" si="6"/>
        <v>13100</v>
      </c>
      <c r="H61" s="74">
        <f>SUM(H57:H60)</f>
        <v>0</v>
      </c>
      <c r="I61" s="74">
        <f>SUM(I57:I60)</f>
        <v>147500</v>
      </c>
      <c r="J61" s="110"/>
    </row>
    <row r="62" spans="1:12" x14ac:dyDescent="0.45">
      <c r="A62" s="13"/>
      <c r="B62" s="14"/>
      <c r="E62" s="14"/>
      <c r="F62" s="14"/>
      <c r="G62" s="14"/>
      <c r="H62" s="14"/>
      <c r="I62" s="14"/>
    </row>
    <row r="63" spans="1:12" x14ac:dyDescent="0.45">
      <c r="A63" s="18" t="s">
        <v>49</v>
      </c>
      <c r="B63" s="18"/>
      <c r="E63" s="14"/>
      <c r="F63" s="14"/>
      <c r="G63" s="14"/>
      <c r="H63" s="14"/>
      <c r="I63" s="14"/>
    </row>
    <row r="64" spans="1:12" x14ac:dyDescent="0.45">
      <c r="A64" s="13"/>
      <c r="B64" s="11" t="s">
        <v>45</v>
      </c>
      <c r="C64" s="12" t="s">
        <v>46</v>
      </c>
      <c r="D64" s="213" t="s">
        <v>47</v>
      </c>
      <c r="E64" s="12" t="s">
        <v>50</v>
      </c>
      <c r="F64" s="12" t="s">
        <v>51</v>
      </c>
      <c r="G64" s="14"/>
      <c r="H64" s="14"/>
      <c r="I64" s="14"/>
    </row>
    <row r="65" spans="1:12" x14ac:dyDescent="0.45">
      <c r="A65" s="13" t="s">
        <v>43</v>
      </c>
      <c r="B65" s="14">
        <f>B57</f>
        <v>2000</v>
      </c>
      <c r="C65" s="15">
        <f>C61</f>
        <v>100</v>
      </c>
      <c r="D65" s="188">
        <f>E61</f>
        <v>91940</v>
      </c>
      <c r="E65" s="19">
        <f>RatesW!$F$13</f>
        <v>21.42</v>
      </c>
      <c r="F65" s="9">
        <f>E65*C65</f>
        <v>2142</v>
      </c>
      <c r="G65" s="14"/>
    </row>
    <row r="66" spans="1:12" x14ac:dyDescent="0.45">
      <c r="A66" s="13" t="s">
        <v>62</v>
      </c>
      <c r="B66" s="14">
        <f>B58</f>
        <v>3000</v>
      </c>
      <c r="C66" s="15"/>
      <c r="D66" s="188">
        <f>F61</f>
        <v>42460</v>
      </c>
      <c r="E66" s="19">
        <f>RatesW!$F$14</f>
        <v>8.48</v>
      </c>
      <c r="F66" s="6">
        <f t="shared" ref="F66:F67" si="7">E66*(D66/1000)</f>
        <v>360.06080000000003</v>
      </c>
      <c r="G66" s="14"/>
    </row>
    <row r="67" spans="1:12" x14ac:dyDescent="0.45">
      <c r="A67" s="13" t="s">
        <v>62</v>
      </c>
      <c r="B67" s="14">
        <f>B59</f>
        <v>5000</v>
      </c>
      <c r="C67" s="15"/>
      <c r="D67" s="188">
        <f>G61</f>
        <v>13100</v>
      </c>
      <c r="E67" s="19">
        <f>RatesW!$F$15</f>
        <v>7.57</v>
      </c>
      <c r="F67" s="6">
        <f t="shared" si="7"/>
        <v>99.167000000000002</v>
      </c>
      <c r="G67" s="14"/>
    </row>
    <row r="68" spans="1:12" x14ac:dyDescent="0.45">
      <c r="A68" s="13" t="s">
        <v>44</v>
      </c>
      <c r="B68" s="16">
        <f>B60</f>
        <v>10000</v>
      </c>
      <c r="C68" s="20"/>
      <c r="D68" s="214">
        <f>H61</f>
        <v>0</v>
      </c>
      <c r="E68" s="198">
        <f>RatesW!$F$16</f>
        <v>6.68</v>
      </c>
      <c r="F68" s="77">
        <f>E68*(D68/1000)</f>
        <v>0</v>
      </c>
      <c r="G68" s="14"/>
    </row>
    <row r="69" spans="1:12" x14ac:dyDescent="0.45">
      <c r="A69" s="13"/>
      <c r="B69" s="14" t="s">
        <v>48</v>
      </c>
      <c r="C69" s="3">
        <f>SUM(C65:C68)</f>
        <v>100</v>
      </c>
      <c r="D69" s="6">
        <f>SUM(D65:D68)</f>
        <v>147500</v>
      </c>
      <c r="F69" s="9">
        <f>SUM(F65:F68)</f>
        <v>2601.2278000000001</v>
      </c>
      <c r="G69" s="68"/>
      <c r="H69" s="14"/>
      <c r="I69" s="176"/>
    </row>
    <row r="70" spans="1:12" x14ac:dyDescent="0.45">
      <c r="A70" s="13"/>
      <c r="B70" s="14"/>
      <c r="C70" s="22"/>
      <c r="D70" s="6"/>
      <c r="F70" s="19"/>
      <c r="G70" s="14"/>
      <c r="H70" s="14"/>
      <c r="I70" s="14"/>
    </row>
    <row r="71" spans="1:12" ht="15.75" x14ac:dyDescent="0.5">
      <c r="A71" s="123" t="s">
        <v>266</v>
      </c>
    </row>
    <row r="72" spans="1:12" x14ac:dyDescent="0.45">
      <c r="E72" s="2" t="s">
        <v>43</v>
      </c>
      <c r="F72" s="2" t="s">
        <v>62</v>
      </c>
      <c r="G72" s="2" t="s">
        <v>62</v>
      </c>
      <c r="H72" s="2" t="s">
        <v>44</v>
      </c>
      <c r="L72" s="1"/>
    </row>
    <row r="73" spans="1:12" x14ac:dyDescent="0.45">
      <c r="B73" s="11" t="s">
        <v>45</v>
      </c>
      <c r="C73" s="12" t="s">
        <v>46</v>
      </c>
      <c r="D73" s="213" t="s">
        <v>47</v>
      </c>
      <c r="E73" s="12">
        <f>B74</f>
        <v>2000</v>
      </c>
      <c r="F73" s="12">
        <f>B75</f>
        <v>3000</v>
      </c>
      <c r="G73" s="12">
        <f>B76</f>
        <v>5000</v>
      </c>
      <c r="H73" s="12">
        <f>B77</f>
        <v>10000</v>
      </c>
      <c r="I73" s="11" t="s">
        <v>48</v>
      </c>
      <c r="L73" s="1"/>
    </row>
    <row r="74" spans="1:12" x14ac:dyDescent="0.45">
      <c r="A74" s="13" t="s">
        <v>43</v>
      </c>
      <c r="B74" s="14">
        <v>2000</v>
      </c>
      <c r="C74" s="209">
        <v>60</v>
      </c>
      <c r="D74" s="188">
        <v>55390</v>
      </c>
      <c r="E74" s="72">
        <f>D74</f>
        <v>55390</v>
      </c>
      <c r="F74" s="72">
        <v>0</v>
      </c>
      <c r="G74" s="72">
        <v>0</v>
      </c>
      <c r="H74" s="72">
        <v>0</v>
      </c>
      <c r="I74" s="72">
        <f>SUM(E74:H74)</f>
        <v>55390</v>
      </c>
      <c r="L74" s="1"/>
    </row>
    <row r="75" spans="1:12" x14ac:dyDescent="0.45">
      <c r="A75" s="13" t="s">
        <v>62</v>
      </c>
      <c r="B75" s="14">
        <v>3000</v>
      </c>
      <c r="C75" s="209">
        <v>58</v>
      </c>
      <c r="D75" s="188">
        <v>189990</v>
      </c>
      <c r="E75" s="72">
        <f>C75*E73</f>
        <v>116000</v>
      </c>
      <c r="F75" s="72">
        <f>D75-E75</f>
        <v>73990</v>
      </c>
      <c r="G75" s="72">
        <v>0</v>
      </c>
      <c r="H75" s="72">
        <v>0</v>
      </c>
      <c r="I75" s="72">
        <f t="shared" ref="I75:I76" si="8">SUM(E75:H75)</f>
        <v>189990</v>
      </c>
      <c r="L75" s="1"/>
    </row>
    <row r="76" spans="1:12" x14ac:dyDescent="0.45">
      <c r="A76" s="13" t="s">
        <v>62</v>
      </c>
      <c r="B76" s="14">
        <v>5000</v>
      </c>
      <c r="C76" s="209">
        <v>28</v>
      </c>
      <c r="D76" s="188">
        <v>188500</v>
      </c>
      <c r="E76" s="72">
        <f>C76*E73</f>
        <v>56000</v>
      </c>
      <c r="F76" s="72">
        <f>C76*F73</f>
        <v>84000</v>
      </c>
      <c r="G76" s="72">
        <f>D76-E76-F76</f>
        <v>48500</v>
      </c>
      <c r="H76" s="72"/>
      <c r="I76" s="72">
        <f t="shared" si="8"/>
        <v>188500</v>
      </c>
      <c r="L76" s="1"/>
    </row>
    <row r="77" spans="1:12" x14ac:dyDescent="0.45">
      <c r="A77" s="13" t="s">
        <v>44</v>
      </c>
      <c r="B77" s="16">
        <v>10000</v>
      </c>
      <c r="C77" s="210">
        <v>3</v>
      </c>
      <c r="D77" s="214">
        <v>51200</v>
      </c>
      <c r="E77" s="73">
        <f>$C77*E$39</f>
        <v>6000</v>
      </c>
      <c r="F77" s="73">
        <f>C77*F73</f>
        <v>9000</v>
      </c>
      <c r="G77" s="73">
        <f>C77*G73</f>
        <v>15000</v>
      </c>
      <c r="H77" s="73">
        <f>D77-E77-F77-G77</f>
        <v>21200</v>
      </c>
      <c r="I77" s="73">
        <f>SUM(E77:H77)</f>
        <v>51200</v>
      </c>
      <c r="L77" s="1"/>
    </row>
    <row r="78" spans="1:12" x14ac:dyDescent="0.45">
      <c r="A78" s="13"/>
      <c r="B78" s="14"/>
      <c r="C78" s="3">
        <f>SUM(C74:C77)</f>
        <v>149</v>
      </c>
      <c r="D78" s="6">
        <f>SUM(D74:D77)</f>
        <v>485080</v>
      </c>
      <c r="E78" s="74">
        <f>SUM(E74:E77)</f>
        <v>233390</v>
      </c>
      <c r="F78" s="74">
        <f t="shared" ref="F78:G78" si="9">SUM(F74:F77)</f>
        <v>166990</v>
      </c>
      <c r="G78" s="74">
        <f t="shared" si="9"/>
        <v>63500</v>
      </c>
      <c r="H78" s="74">
        <f>SUM(H74:H77)</f>
        <v>21200</v>
      </c>
      <c r="I78" s="74">
        <f>SUM(I74:I77)</f>
        <v>485080</v>
      </c>
      <c r="J78" s="110"/>
    </row>
    <row r="79" spans="1:12" x14ac:dyDescent="0.45">
      <c r="A79" s="13"/>
      <c r="B79" s="14"/>
      <c r="E79" s="14"/>
      <c r="F79" s="14"/>
      <c r="G79" s="14"/>
      <c r="H79" s="14"/>
      <c r="I79" s="14"/>
    </row>
    <row r="80" spans="1:12" x14ac:dyDescent="0.45">
      <c r="A80" s="18" t="s">
        <v>49</v>
      </c>
      <c r="B80" s="18"/>
      <c r="E80" s="14"/>
      <c r="F80" s="14"/>
      <c r="G80" s="14"/>
      <c r="H80" s="14"/>
      <c r="I80" s="14"/>
    </row>
    <row r="81" spans="1:12" x14ac:dyDescent="0.45">
      <c r="A81" s="13"/>
      <c r="B81" s="11" t="s">
        <v>45</v>
      </c>
      <c r="C81" s="12" t="s">
        <v>46</v>
      </c>
      <c r="D81" s="213" t="s">
        <v>47</v>
      </c>
      <c r="E81" s="12" t="s">
        <v>50</v>
      </c>
      <c r="F81" s="12" t="s">
        <v>51</v>
      </c>
      <c r="G81" s="14"/>
      <c r="H81" s="14"/>
      <c r="I81" s="14"/>
    </row>
    <row r="82" spans="1:12" x14ac:dyDescent="0.45">
      <c r="A82" s="13" t="s">
        <v>43</v>
      </c>
      <c r="B82" s="14">
        <f>B74</f>
        <v>2000</v>
      </c>
      <c r="C82" s="15">
        <f>C78</f>
        <v>149</v>
      </c>
      <c r="D82" s="188">
        <f>E78</f>
        <v>233390</v>
      </c>
      <c r="E82" s="19">
        <f>RatesW!$F$13</f>
        <v>21.42</v>
      </c>
      <c r="F82" s="9">
        <f>E82*C82</f>
        <v>3191.5800000000004</v>
      </c>
      <c r="G82" s="14"/>
    </row>
    <row r="83" spans="1:12" x14ac:dyDescent="0.45">
      <c r="A83" s="13" t="s">
        <v>62</v>
      </c>
      <c r="B83" s="14">
        <f>B75</f>
        <v>3000</v>
      </c>
      <c r="C83" s="15"/>
      <c r="D83" s="188">
        <f>F78</f>
        <v>166990</v>
      </c>
      <c r="E83" s="19">
        <f>RatesW!$F$14</f>
        <v>8.48</v>
      </c>
      <c r="F83" s="6">
        <f t="shared" ref="F83:F84" si="10">E83*(D83/1000)</f>
        <v>1416.0752000000002</v>
      </c>
      <c r="G83" s="14"/>
    </row>
    <row r="84" spans="1:12" x14ac:dyDescent="0.45">
      <c r="A84" s="13" t="s">
        <v>62</v>
      </c>
      <c r="B84" s="14">
        <f>B76</f>
        <v>5000</v>
      </c>
      <c r="C84" s="15"/>
      <c r="D84" s="188">
        <f>G78</f>
        <v>63500</v>
      </c>
      <c r="E84" s="19">
        <f>RatesW!$F$15</f>
        <v>7.57</v>
      </c>
      <c r="F84" s="6">
        <f t="shared" si="10"/>
        <v>480.69499999999999</v>
      </c>
      <c r="G84" s="14"/>
    </row>
    <row r="85" spans="1:12" x14ac:dyDescent="0.45">
      <c r="A85" s="13" t="s">
        <v>44</v>
      </c>
      <c r="B85" s="16">
        <f>B77</f>
        <v>10000</v>
      </c>
      <c r="C85" s="20"/>
      <c r="D85" s="214">
        <f>H78</f>
        <v>21200</v>
      </c>
      <c r="E85" s="198">
        <f>RatesW!$F$16</f>
        <v>6.68</v>
      </c>
      <c r="F85" s="77">
        <f>E85*(D85/1000)</f>
        <v>141.61599999999999</v>
      </c>
      <c r="G85" s="14"/>
    </row>
    <row r="86" spans="1:12" x14ac:dyDescent="0.45">
      <c r="A86" s="13"/>
      <c r="B86" s="14" t="s">
        <v>48</v>
      </c>
      <c r="C86" s="3">
        <f>SUM(C82:C85)</f>
        <v>149</v>
      </c>
      <c r="D86" s="6">
        <f>SUM(D82:D85)</f>
        <v>485080</v>
      </c>
      <c r="F86" s="9">
        <f>SUM(F82:F85)</f>
        <v>5229.9662000000008</v>
      </c>
      <c r="G86" s="68"/>
      <c r="H86" s="14"/>
      <c r="I86" s="176"/>
    </row>
    <row r="87" spans="1:12" x14ac:dyDescent="0.45">
      <c r="A87" s="13"/>
      <c r="B87" s="14"/>
      <c r="C87" s="74"/>
      <c r="D87" s="174"/>
      <c r="E87" s="207"/>
      <c r="F87" s="208"/>
      <c r="G87" s="14"/>
      <c r="L87" s="6"/>
    </row>
    <row r="88" spans="1:12" ht="15.75" x14ac:dyDescent="0.5">
      <c r="A88" s="123" t="s">
        <v>268</v>
      </c>
      <c r="L88" s="6"/>
    </row>
    <row r="89" spans="1:12" x14ac:dyDescent="0.45">
      <c r="E89" s="2" t="s">
        <v>43</v>
      </c>
      <c r="F89" s="2" t="s">
        <v>62</v>
      </c>
      <c r="G89" s="2" t="s">
        <v>62</v>
      </c>
      <c r="H89" s="2" t="s">
        <v>44</v>
      </c>
      <c r="L89" s="6"/>
    </row>
    <row r="90" spans="1:12" x14ac:dyDescent="0.45">
      <c r="B90" s="11" t="s">
        <v>45</v>
      </c>
      <c r="C90" s="12" t="s">
        <v>46</v>
      </c>
      <c r="D90" s="213" t="s">
        <v>47</v>
      </c>
      <c r="E90" s="12">
        <f>B91</f>
        <v>2000</v>
      </c>
      <c r="F90" s="12">
        <f>B92</f>
        <v>3000</v>
      </c>
      <c r="G90" s="12">
        <f>B93</f>
        <v>5000</v>
      </c>
      <c r="H90" s="12">
        <f>B94</f>
        <v>10000</v>
      </c>
      <c r="I90" s="11" t="s">
        <v>48</v>
      </c>
      <c r="L90" s="6"/>
    </row>
    <row r="91" spans="1:12" x14ac:dyDescent="0.45">
      <c r="A91" s="13" t="s">
        <v>43</v>
      </c>
      <c r="B91" s="14">
        <v>2000</v>
      </c>
      <c r="C91" s="209">
        <v>19</v>
      </c>
      <c r="D91" s="188">
        <v>9040</v>
      </c>
      <c r="E91" s="72">
        <f>D91</f>
        <v>9040</v>
      </c>
      <c r="F91" s="72">
        <v>0</v>
      </c>
      <c r="G91" s="72">
        <v>0</v>
      </c>
      <c r="H91" s="72">
        <v>0</v>
      </c>
      <c r="I91" s="72">
        <f>SUM(E91:H91)</f>
        <v>9040</v>
      </c>
      <c r="L91" s="6"/>
    </row>
    <row r="92" spans="1:12" x14ac:dyDescent="0.45">
      <c r="A92" s="13" t="s">
        <v>62</v>
      </c>
      <c r="B92" s="14">
        <v>3000</v>
      </c>
      <c r="C92" s="209">
        <v>1</v>
      </c>
      <c r="D92" s="188">
        <v>2300</v>
      </c>
      <c r="E92" s="72">
        <f>C92*E90</f>
        <v>2000</v>
      </c>
      <c r="F92" s="72">
        <f>D92-E92</f>
        <v>300</v>
      </c>
      <c r="G92" s="72">
        <v>0</v>
      </c>
      <c r="H92" s="72">
        <v>0</v>
      </c>
      <c r="I92" s="72">
        <f t="shared" ref="I92:I93" si="11">SUM(E92:H92)</f>
        <v>2300</v>
      </c>
      <c r="L92" s="6"/>
    </row>
    <row r="93" spans="1:12" x14ac:dyDescent="0.45">
      <c r="A93" s="13" t="s">
        <v>62</v>
      </c>
      <c r="B93" s="14">
        <v>5000</v>
      </c>
      <c r="C93" s="209">
        <v>0</v>
      </c>
      <c r="D93" s="188">
        <v>0</v>
      </c>
      <c r="E93" s="72">
        <f>C93*E90</f>
        <v>0</v>
      </c>
      <c r="F93" s="72">
        <f>C93*F90</f>
        <v>0</v>
      </c>
      <c r="G93" s="72">
        <f>D93-E93-F93</f>
        <v>0</v>
      </c>
      <c r="H93" s="72"/>
      <c r="I93" s="72">
        <f t="shared" si="11"/>
        <v>0</v>
      </c>
      <c r="L93" s="6"/>
    </row>
    <row r="94" spans="1:12" x14ac:dyDescent="0.45">
      <c r="A94" s="13" t="s">
        <v>44</v>
      </c>
      <c r="B94" s="16">
        <v>10000</v>
      </c>
      <c r="C94" s="210">
        <v>0</v>
      </c>
      <c r="D94" s="214">
        <v>0</v>
      </c>
      <c r="E94" s="73">
        <f>$C94*E$39</f>
        <v>0</v>
      </c>
      <c r="F94" s="73">
        <f>C94*F90</f>
        <v>0</v>
      </c>
      <c r="G94" s="73">
        <f>C94*G90</f>
        <v>0</v>
      </c>
      <c r="H94" s="73">
        <f>D94-E94-F94-G94</f>
        <v>0</v>
      </c>
      <c r="I94" s="73">
        <f>SUM(E94:H94)</f>
        <v>0</v>
      </c>
      <c r="L94" s="6"/>
    </row>
    <row r="95" spans="1:12" x14ac:dyDescent="0.45">
      <c r="A95" s="13"/>
      <c r="B95" s="14"/>
      <c r="C95" s="3">
        <f>SUM(C91:C94)</f>
        <v>20</v>
      </c>
      <c r="D95" s="6">
        <f>SUM(D91:D94)</f>
        <v>11340</v>
      </c>
      <c r="E95" s="74">
        <f>SUM(E91:E94)</f>
        <v>11040</v>
      </c>
      <c r="F95" s="74">
        <f t="shared" ref="F95:G95" si="12">SUM(F91:F94)</f>
        <v>300</v>
      </c>
      <c r="G95" s="74">
        <f t="shared" si="12"/>
        <v>0</v>
      </c>
      <c r="H95" s="74">
        <f>SUM(H91:H94)</f>
        <v>0</v>
      </c>
      <c r="I95" s="74">
        <f>SUM(I91:I94)</f>
        <v>11340</v>
      </c>
      <c r="L95" s="6"/>
    </row>
    <row r="96" spans="1:12" x14ac:dyDescent="0.45">
      <c r="A96" s="13"/>
      <c r="B96" s="14"/>
      <c r="E96" s="14"/>
      <c r="F96" s="14"/>
      <c r="G96" s="14"/>
      <c r="H96" s="14"/>
      <c r="I96" s="14"/>
      <c r="L96" s="6"/>
    </row>
    <row r="97" spans="1:12" x14ac:dyDescent="0.45">
      <c r="A97" s="18" t="s">
        <v>49</v>
      </c>
      <c r="B97" s="18"/>
      <c r="E97" s="14"/>
      <c r="F97" s="14"/>
      <c r="G97" s="14"/>
      <c r="H97" s="14"/>
      <c r="I97" s="14"/>
      <c r="L97" s="6"/>
    </row>
    <row r="98" spans="1:12" x14ac:dyDescent="0.45">
      <c r="A98" s="13"/>
      <c r="B98" s="11"/>
      <c r="C98" s="12" t="s">
        <v>46</v>
      </c>
      <c r="D98" s="213" t="s">
        <v>47</v>
      </c>
      <c r="E98" s="12" t="s">
        <v>50</v>
      </c>
      <c r="F98" s="12" t="s">
        <v>51</v>
      </c>
      <c r="G98" s="14"/>
      <c r="H98" s="14"/>
      <c r="I98" s="14"/>
      <c r="L98" s="6"/>
    </row>
    <row r="99" spans="1:12" x14ac:dyDescent="0.45">
      <c r="A99" s="13" t="s">
        <v>43</v>
      </c>
      <c r="B99" s="14">
        <f>B91</f>
        <v>2000</v>
      </c>
      <c r="C99" s="15">
        <f>C95</f>
        <v>20</v>
      </c>
      <c r="D99" s="188">
        <f>E95</f>
        <v>11040</v>
      </c>
      <c r="E99" s="19">
        <f>RatesW!$F$13</f>
        <v>21.42</v>
      </c>
      <c r="F99" s="9">
        <f>E99*C99</f>
        <v>428.40000000000003</v>
      </c>
      <c r="G99" s="14"/>
      <c r="L99" s="6"/>
    </row>
    <row r="100" spans="1:12" x14ac:dyDescent="0.45">
      <c r="A100" s="13" t="s">
        <v>62</v>
      </c>
      <c r="B100" s="14">
        <f>B92</f>
        <v>3000</v>
      </c>
      <c r="C100" s="15"/>
      <c r="D100" s="188">
        <f>F95</f>
        <v>300</v>
      </c>
      <c r="E100" s="19">
        <f>RatesW!$F$14</f>
        <v>8.48</v>
      </c>
      <c r="F100" s="6">
        <f t="shared" ref="F100:F101" si="13">E100*(D100/1000)</f>
        <v>2.544</v>
      </c>
      <c r="G100" s="14"/>
      <c r="L100" s="6"/>
    </row>
    <row r="101" spans="1:12" x14ac:dyDescent="0.45">
      <c r="A101" s="13" t="s">
        <v>62</v>
      </c>
      <c r="B101" s="14">
        <f>B93</f>
        <v>5000</v>
      </c>
      <c r="C101" s="15"/>
      <c r="D101" s="188">
        <f>G95</f>
        <v>0</v>
      </c>
      <c r="E101" s="19">
        <f>RatesW!$F$15</f>
        <v>7.57</v>
      </c>
      <c r="F101" s="6">
        <f t="shared" si="13"/>
        <v>0</v>
      </c>
      <c r="G101" s="14"/>
      <c r="L101" s="6"/>
    </row>
    <row r="102" spans="1:12" x14ac:dyDescent="0.45">
      <c r="A102" s="13" t="s">
        <v>44</v>
      </c>
      <c r="B102" s="16">
        <f>B94</f>
        <v>10000</v>
      </c>
      <c r="C102" s="20"/>
      <c r="D102" s="214">
        <f>H95</f>
        <v>0</v>
      </c>
      <c r="E102" s="198">
        <f>RatesW!$F$16</f>
        <v>6.68</v>
      </c>
      <c r="F102" s="77">
        <f>E102*(D102/1000)</f>
        <v>0</v>
      </c>
      <c r="G102" s="14"/>
      <c r="L102" s="6"/>
    </row>
    <row r="103" spans="1:12" x14ac:dyDescent="0.45">
      <c r="A103" s="13"/>
      <c r="B103" s="14" t="s">
        <v>48</v>
      </c>
      <c r="C103" s="3">
        <f>SUM(C99:C102)</f>
        <v>20</v>
      </c>
      <c r="D103" s="6">
        <f>SUM(D99:D102)</f>
        <v>11340</v>
      </c>
      <c r="F103" s="9">
        <f>SUM(F99:F102)</f>
        <v>430.94400000000002</v>
      </c>
      <c r="G103" s="68"/>
      <c r="H103" s="14"/>
      <c r="I103" s="176"/>
      <c r="L103" s="6"/>
    </row>
    <row r="104" spans="1:12" x14ac:dyDescent="0.45">
      <c r="A104" s="13"/>
      <c r="B104" s="14"/>
      <c r="C104" s="6"/>
      <c r="D104" s="6"/>
      <c r="F104" s="208"/>
      <c r="G104" s="14"/>
      <c r="H104" s="14"/>
      <c r="I104" s="14"/>
      <c r="L104" s="6"/>
    </row>
    <row r="105" spans="1:12" x14ac:dyDescent="0.45">
      <c r="D105" s="6"/>
      <c r="L105" s="6"/>
    </row>
    <row r="106" spans="1:12" x14ac:dyDescent="0.45">
      <c r="D106" s="6"/>
      <c r="L106" s="6"/>
    </row>
    <row r="107" spans="1:12" x14ac:dyDescent="0.45">
      <c r="D107" s="6"/>
      <c r="L107" s="6"/>
    </row>
    <row r="108" spans="1:12" x14ac:dyDescent="0.45">
      <c r="D108" s="6"/>
      <c r="L108" s="6"/>
    </row>
    <row r="109" spans="1:12" x14ac:dyDescent="0.45">
      <c r="D109" s="6"/>
      <c r="L109" s="6"/>
    </row>
  </sheetData>
  <mergeCells count="1">
    <mergeCell ref="A2:I2"/>
  </mergeCells>
  <printOptions horizontalCentered="1"/>
  <pageMargins left="0.85" right="0.6" top="0.9" bottom="1" header="0.3" footer="0.3"/>
  <pageSetup scale="69" fitToHeight="0" orientation="portrait" horizontalDpi="4294967293" r:id="rId1"/>
  <rowBreaks count="1" manualBreakCount="1">
    <brk id="53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81"/>
  <sheetViews>
    <sheetView topLeftCell="A5" workbookViewId="0">
      <selection sqref="A1:J81"/>
    </sheetView>
  </sheetViews>
  <sheetFormatPr defaultRowHeight="15" x14ac:dyDescent="0.4"/>
  <cols>
    <col min="1" max="1" width="8.44140625" customWidth="1"/>
    <col min="2" max="2" width="8.6640625" customWidth="1"/>
    <col min="3" max="3" width="8" customWidth="1"/>
    <col min="4" max="4" width="11.5546875" customWidth="1"/>
    <col min="5" max="5" width="9.77734375" customWidth="1"/>
    <col min="6" max="6" width="10.33203125" customWidth="1"/>
    <col min="7" max="7" width="9.77734375" customWidth="1"/>
    <col min="8" max="8" width="10.109375" customWidth="1"/>
    <col min="9" max="9" width="11" customWidth="1"/>
    <col min="10" max="10" width="11.94140625" customWidth="1"/>
  </cols>
  <sheetData>
    <row r="1" spans="1:16" ht="18" x14ac:dyDescent="0.55000000000000004">
      <c r="A1" s="348" t="s">
        <v>364</v>
      </c>
      <c r="B1" s="348"/>
      <c r="C1" s="348"/>
      <c r="D1" s="348"/>
      <c r="E1" s="348"/>
      <c r="F1" s="348"/>
      <c r="G1" s="348"/>
      <c r="H1" s="177"/>
      <c r="I1" s="187"/>
      <c r="J1" s="3"/>
      <c r="K1" s="3"/>
      <c r="L1" s="3"/>
      <c r="M1" s="3"/>
      <c r="N1" s="3"/>
      <c r="O1" s="3"/>
      <c r="P1" s="3"/>
    </row>
    <row r="2" spans="1:16" ht="18" x14ac:dyDescent="0.45">
      <c r="A2" s="337" t="s">
        <v>269</v>
      </c>
      <c r="B2" s="337"/>
      <c r="C2" s="337"/>
      <c r="D2" s="337"/>
      <c r="E2" s="337"/>
      <c r="F2" s="337"/>
      <c r="G2" s="337"/>
      <c r="H2" s="124"/>
      <c r="I2" s="180"/>
      <c r="J2" s="3"/>
      <c r="K2" s="3"/>
      <c r="L2" s="3"/>
      <c r="M2" s="3"/>
      <c r="N2" s="3"/>
      <c r="O2" s="3"/>
      <c r="P2" s="3"/>
    </row>
    <row r="3" spans="1:16" ht="15.4" x14ac:dyDescent="0.45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</row>
    <row r="4" spans="1:16" ht="15.4" x14ac:dyDescent="0.45">
      <c r="A4" s="1"/>
      <c r="B4" s="75" t="s">
        <v>77</v>
      </c>
      <c r="C4" s="1"/>
      <c r="D4" s="1"/>
      <c r="E4" s="1"/>
      <c r="F4" s="1"/>
      <c r="H4" s="1"/>
      <c r="I4" s="3"/>
      <c r="J4" s="3"/>
      <c r="K4" s="3"/>
      <c r="L4" s="3"/>
      <c r="M4" s="3"/>
      <c r="N4" s="3"/>
      <c r="O4" s="3"/>
      <c r="P4" s="3"/>
    </row>
    <row r="5" spans="1:16" ht="15.4" x14ac:dyDescent="0.45">
      <c r="A5" s="1"/>
      <c r="B5" s="127"/>
      <c r="C5" s="20"/>
      <c r="D5" s="11" t="s">
        <v>66</v>
      </c>
      <c r="E5" s="11" t="s">
        <v>42</v>
      </c>
      <c r="F5" s="11" t="s">
        <v>41</v>
      </c>
      <c r="H5" s="2"/>
      <c r="I5" s="3"/>
      <c r="J5" s="3"/>
      <c r="K5" s="3"/>
      <c r="L5" s="3"/>
      <c r="M5" s="3"/>
      <c r="N5" s="3"/>
      <c r="O5" s="3"/>
      <c r="P5" s="3"/>
    </row>
    <row r="6" spans="1:16" ht="15.4" x14ac:dyDescent="0.45">
      <c r="A6" s="1"/>
      <c r="B6" s="302" t="s">
        <v>336</v>
      </c>
      <c r="C6" s="1"/>
      <c r="D6" s="327">
        <f>C29</f>
        <v>1819</v>
      </c>
      <c r="E6" s="327">
        <f>D29</f>
        <v>5364920</v>
      </c>
      <c r="F6" s="328">
        <f>F29</f>
        <v>77288.054799999998</v>
      </c>
      <c r="H6" s="2"/>
      <c r="I6" s="3"/>
      <c r="J6" s="3"/>
      <c r="K6" s="3"/>
      <c r="L6" s="3"/>
      <c r="M6" s="3"/>
      <c r="N6" s="3"/>
      <c r="O6" s="3"/>
      <c r="P6" s="3"/>
    </row>
    <row r="7" spans="1:16" ht="15.4" x14ac:dyDescent="0.45">
      <c r="A7" s="1"/>
      <c r="B7" s="302" t="s">
        <v>337</v>
      </c>
      <c r="C7" s="1"/>
      <c r="D7" s="327">
        <f>C42</f>
        <v>215</v>
      </c>
      <c r="E7" s="327">
        <f>D42</f>
        <v>782110</v>
      </c>
      <c r="F7" s="328">
        <f>F42</f>
        <v>10014.2834</v>
      </c>
      <c r="H7" s="2"/>
      <c r="I7" s="3"/>
      <c r="J7" s="3"/>
      <c r="K7" s="3"/>
      <c r="L7" s="3"/>
      <c r="M7" s="3"/>
      <c r="N7" s="3"/>
      <c r="O7" s="3"/>
      <c r="P7" s="3"/>
    </row>
    <row r="8" spans="1:16" ht="15.4" x14ac:dyDescent="0.45">
      <c r="A8" s="1"/>
      <c r="B8" s="1" t="s">
        <v>273</v>
      </c>
      <c r="C8" s="1"/>
      <c r="D8" s="3">
        <f>C55</f>
        <v>67</v>
      </c>
      <c r="E8" s="66">
        <f>D55</f>
        <v>43000</v>
      </c>
      <c r="F8" s="5">
        <f>F55</f>
        <v>1928.41</v>
      </c>
      <c r="H8" s="68"/>
      <c r="I8" s="3"/>
      <c r="J8" s="3"/>
      <c r="K8" s="3"/>
      <c r="L8" s="3"/>
      <c r="M8" s="3"/>
      <c r="N8" s="3"/>
      <c r="O8" s="3"/>
      <c r="P8" s="3"/>
    </row>
    <row r="9" spans="1:16" ht="15.4" x14ac:dyDescent="0.45">
      <c r="A9" s="1"/>
      <c r="B9" s="1" t="s">
        <v>274</v>
      </c>
      <c r="C9" s="1"/>
      <c r="D9" s="3">
        <f>C68</f>
        <v>43</v>
      </c>
      <c r="E9" s="66">
        <f>D68</f>
        <v>184000</v>
      </c>
      <c r="F9" s="5">
        <f>F68</f>
        <v>2166.67</v>
      </c>
      <c r="H9" s="68"/>
      <c r="I9" s="3"/>
      <c r="J9" s="3"/>
      <c r="K9" s="3"/>
      <c r="L9" s="3"/>
      <c r="M9" s="3"/>
      <c r="N9" s="3"/>
      <c r="O9" s="3"/>
      <c r="P9" s="3"/>
    </row>
    <row r="10" spans="1:16" ht="15.4" x14ac:dyDescent="0.45">
      <c r="A10" s="1"/>
      <c r="B10" s="1" t="s">
        <v>275</v>
      </c>
      <c r="C10" s="1"/>
      <c r="D10" s="77">
        <f>C81</f>
        <v>11</v>
      </c>
      <c r="E10" s="211">
        <f>D81</f>
        <v>9100</v>
      </c>
      <c r="F10" s="175">
        <f>F81</f>
        <v>328.72399999999993</v>
      </c>
      <c r="H10" s="68"/>
      <c r="I10" s="3"/>
      <c r="J10" s="3"/>
      <c r="K10" s="3"/>
      <c r="L10" s="3"/>
      <c r="M10" s="3"/>
      <c r="N10" s="3"/>
      <c r="O10" s="3"/>
      <c r="P10" s="3"/>
    </row>
    <row r="11" spans="1:16" ht="15.4" x14ac:dyDescent="0.45">
      <c r="A11" s="1"/>
      <c r="B11" s="1" t="s">
        <v>38</v>
      </c>
      <c r="C11" s="1"/>
      <c r="D11" s="39">
        <f>SUM(D6:D10)</f>
        <v>2155</v>
      </c>
      <c r="E11" s="126">
        <f>SUM(E6:E10)</f>
        <v>6383130</v>
      </c>
      <c r="F11" s="71">
        <f>SUM(F6:F10)</f>
        <v>91726.142200000002</v>
      </c>
      <c r="H11" s="71"/>
      <c r="I11" s="188"/>
      <c r="J11" s="3"/>
      <c r="K11" s="3"/>
      <c r="L11" s="3"/>
      <c r="M11" s="3"/>
      <c r="N11" s="3"/>
      <c r="O11" s="3"/>
      <c r="P11" s="3"/>
    </row>
    <row r="12" spans="1:16" ht="15.4" x14ac:dyDescent="0.45">
      <c r="A12" s="1"/>
      <c r="B12" s="1"/>
      <c r="C12" s="1"/>
      <c r="D12" s="1"/>
      <c r="E12" s="126" t="s">
        <v>127</v>
      </c>
      <c r="F12" s="216">
        <f>Adjustments!B12</f>
        <v>-3945.15</v>
      </c>
      <c r="H12" s="71"/>
      <c r="I12" s="188"/>
      <c r="J12" s="3"/>
      <c r="K12" s="3"/>
      <c r="L12" s="3"/>
      <c r="M12" s="3"/>
      <c r="N12" s="3"/>
      <c r="O12" s="3"/>
      <c r="P12" s="3"/>
    </row>
    <row r="13" spans="1:16" ht="15.4" x14ac:dyDescent="0.45">
      <c r="A13" s="1"/>
      <c r="B13" s="1"/>
      <c r="C13" s="1"/>
      <c r="D13" s="1"/>
      <c r="E13" s="126" t="s">
        <v>128</v>
      </c>
      <c r="F13" s="71">
        <f>F11+F12</f>
        <v>87780.992200000008</v>
      </c>
      <c r="H13" s="71"/>
      <c r="I13" s="188"/>
      <c r="J13" s="3"/>
      <c r="K13" s="3"/>
      <c r="L13" s="3"/>
      <c r="M13" s="3"/>
      <c r="N13" s="3"/>
      <c r="O13" s="3"/>
      <c r="P13" s="3"/>
    </row>
    <row r="14" spans="1:16" ht="15.4" x14ac:dyDescent="0.45">
      <c r="A14" s="1"/>
      <c r="B14" s="1"/>
      <c r="C14" s="1"/>
      <c r="D14" s="1"/>
      <c r="E14" s="126" t="s">
        <v>125</v>
      </c>
      <c r="F14" s="216">
        <f>-SAOs!D10</f>
        <v>-97834.900000000009</v>
      </c>
      <c r="H14" s="71"/>
      <c r="I14" s="188"/>
      <c r="J14" s="3"/>
      <c r="K14" s="3"/>
      <c r="L14" s="3"/>
      <c r="M14" s="3"/>
      <c r="N14" s="3"/>
      <c r="O14" s="3"/>
      <c r="P14" s="3"/>
    </row>
    <row r="15" spans="1:16" ht="15.4" x14ac:dyDescent="0.45">
      <c r="A15" s="1"/>
      <c r="B15" s="1"/>
      <c r="C15" s="1"/>
      <c r="D15" s="1"/>
      <c r="E15" s="126" t="s">
        <v>126</v>
      </c>
      <c r="F15" s="71">
        <f>F13+F14</f>
        <v>-10053.907800000001</v>
      </c>
      <c r="G15" s="176">
        <f>-F15/F14</f>
        <v>-0.1027640218367883</v>
      </c>
      <c r="H15" s="71" t="s">
        <v>351</v>
      </c>
      <c r="I15" s="188"/>
      <c r="J15" s="3"/>
      <c r="K15" s="3"/>
      <c r="L15" s="3"/>
      <c r="M15" s="3"/>
      <c r="N15" s="3"/>
      <c r="O15" s="3"/>
      <c r="P15" s="3"/>
    </row>
    <row r="16" spans="1:16" ht="15.4" x14ac:dyDescent="0.45">
      <c r="A16" s="1"/>
      <c r="B16" s="1"/>
      <c r="C16" s="1"/>
      <c r="D16" s="1"/>
      <c r="E16" s="178"/>
      <c r="F16" s="71"/>
      <c r="H16" s="71"/>
      <c r="I16" s="188"/>
      <c r="J16" s="3"/>
      <c r="K16" s="3"/>
      <c r="L16" s="3"/>
      <c r="M16" s="3"/>
      <c r="N16" s="3"/>
      <c r="O16" s="3"/>
      <c r="P16" s="3"/>
    </row>
    <row r="17" spans="1:16" ht="15.4" x14ac:dyDescent="0.45">
      <c r="A17" s="1"/>
      <c r="B17" s="1"/>
      <c r="C17" s="1"/>
      <c r="D17" s="1"/>
      <c r="E17" s="1"/>
      <c r="F17" s="71"/>
      <c r="G17" s="71"/>
      <c r="H17" s="1"/>
      <c r="I17" s="3"/>
      <c r="J17" s="3"/>
      <c r="K17" s="3"/>
      <c r="L17" s="3"/>
      <c r="M17" s="3"/>
      <c r="N17" s="3"/>
      <c r="O17" s="3"/>
      <c r="P17" s="3"/>
    </row>
    <row r="18" spans="1:16" ht="15.75" x14ac:dyDescent="0.5">
      <c r="A18" s="123" t="s">
        <v>334</v>
      </c>
      <c r="B18" s="1"/>
      <c r="C18" s="1"/>
      <c r="D18" s="1"/>
      <c r="E18" s="1"/>
      <c r="F18" s="1"/>
      <c r="G18" s="1"/>
      <c r="H18" s="1"/>
      <c r="I18" s="3"/>
      <c r="J18" s="3"/>
      <c r="K18" s="3"/>
      <c r="L18" s="3"/>
      <c r="M18" s="3"/>
      <c r="N18" s="3"/>
      <c r="O18" s="3"/>
      <c r="P18" s="3"/>
    </row>
    <row r="19" spans="1:16" ht="15.4" x14ac:dyDescent="0.45">
      <c r="A19" s="1"/>
      <c r="B19" s="1"/>
      <c r="C19" s="1"/>
      <c r="D19" s="1"/>
      <c r="E19" s="2" t="s">
        <v>43</v>
      </c>
      <c r="F19" s="2" t="s">
        <v>44</v>
      </c>
      <c r="G19" s="1"/>
      <c r="I19" s="3"/>
      <c r="J19" s="3"/>
      <c r="K19" s="3"/>
      <c r="L19" s="3"/>
      <c r="M19" s="3"/>
      <c r="N19" s="3"/>
      <c r="O19" s="3"/>
      <c r="P19" s="3"/>
    </row>
    <row r="20" spans="1:16" ht="15.4" x14ac:dyDescent="0.45">
      <c r="A20" s="1"/>
      <c r="B20" s="11" t="s">
        <v>45</v>
      </c>
      <c r="C20" s="12" t="s">
        <v>46</v>
      </c>
      <c r="D20" s="12" t="s">
        <v>47</v>
      </c>
      <c r="E20" s="12">
        <f>B21</f>
        <v>0</v>
      </c>
      <c r="F20" s="12">
        <f>B22</f>
        <v>0</v>
      </c>
      <c r="G20" s="11" t="s">
        <v>48</v>
      </c>
      <c r="I20" s="3"/>
      <c r="J20" s="3"/>
      <c r="K20" s="3"/>
      <c r="L20" s="3"/>
      <c r="M20" s="3"/>
      <c r="N20" s="3"/>
      <c r="O20" s="3"/>
      <c r="P20" s="3"/>
    </row>
    <row r="21" spans="1:16" ht="15.4" x14ac:dyDescent="0.45">
      <c r="A21" s="13" t="s">
        <v>43</v>
      </c>
      <c r="B21" s="14">
        <v>0</v>
      </c>
      <c r="C21" s="72">
        <v>1819</v>
      </c>
      <c r="D21" s="72">
        <v>0</v>
      </c>
      <c r="E21" s="72">
        <f>D21</f>
        <v>0</v>
      </c>
      <c r="F21" s="72">
        <v>0</v>
      </c>
      <c r="G21" s="72">
        <f>SUM(E21:F21)</f>
        <v>0</v>
      </c>
      <c r="I21" s="3"/>
      <c r="J21" s="3"/>
      <c r="K21" s="3"/>
      <c r="L21" s="3"/>
      <c r="M21" s="3"/>
      <c r="N21" s="3"/>
      <c r="O21" s="3"/>
      <c r="P21" s="3"/>
    </row>
    <row r="22" spans="1:16" ht="15.4" x14ac:dyDescent="0.45">
      <c r="A22" s="13" t="s">
        <v>44</v>
      </c>
      <c r="B22" s="16">
        <v>0</v>
      </c>
      <c r="C22" s="73">
        <v>0</v>
      </c>
      <c r="D22" s="73">
        <v>5364920</v>
      </c>
      <c r="E22" s="73">
        <f>C22*E$46</f>
        <v>0</v>
      </c>
      <c r="F22" s="73">
        <f>D22-E22</f>
        <v>5364920</v>
      </c>
      <c r="G22" s="73">
        <f>SUM(E22:F22)</f>
        <v>5364920</v>
      </c>
      <c r="I22" s="3"/>
      <c r="J22" s="3"/>
      <c r="K22" s="3"/>
      <c r="L22" s="3"/>
      <c r="M22" s="3"/>
      <c r="N22" s="3"/>
      <c r="O22" s="3"/>
      <c r="P22" s="3"/>
    </row>
    <row r="23" spans="1:16" ht="15.4" x14ac:dyDescent="0.45">
      <c r="A23" s="13"/>
      <c r="B23" s="14"/>
      <c r="C23" s="74">
        <f>SUM(C21:C22)</f>
        <v>1819</v>
      </c>
      <c r="D23" s="74">
        <f>SUM(D21:D22)</f>
        <v>5364920</v>
      </c>
      <c r="E23" s="74">
        <f>SUM(E21:E22)</f>
        <v>0</v>
      </c>
      <c r="F23" s="74">
        <f>SUM(F21:F22)</f>
        <v>5364920</v>
      </c>
      <c r="G23" s="74">
        <f>SUM(G21:G22)</f>
        <v>5364920</v>
      </c>
      <c r="I23" s="3"/>
      <c r="J23" s="3"/>
      <c r="K23" s="3"/>
      <c r="L23" s="3"/>
      <c r="M23" s="3"/>
      <c r="N23" s="3"/>
      <c r="O23" s="3"/>
      <c r="P23" s="3"/>
    </row>
    <row r="24" spans="1:16" ht="15.4" x14ac:dyDescent="0.45">
      <c r="A24" s="13"/>
      <c r="B24" s="14"/>
      <c r="C24" s="1"/>
      <c r="D24" s="14"/>
      <c r="E24" s="14"/>
      <c r="F24" s="14"/>
      <c r="G24" s="14"/>
      <c r="H24" s="14"/>
      <c r="I24" s="3"/>
      <c r="J24" s="3"/>
      <c r="K24" s="3"/>
      <c r="L24" s="3"/>
      <c r="M24" s="3"/>
      <c r="N24" s="3"/>
      <c r="O24" s="3"/>
      <c r="P24" s="3"/>
    </row>
    <row r="25" spans="1:16" ht="15.4" x14ac:dyDescent="0.45">
      <c r="A25" s="18" t="s">
        <v>49</v>
      </c>
      <c r="B25" s="18"/>
      <c r="C25" s="1"/>
      <c r="D25" s="14"/>
      <c r="E25" s="14"/>
      <c r="F25" s="14"/>
      <c r="G25" s="14"/>
      <c r="H25" s="14"/>
      <c r="I25" s="3"/>
      <c r="J25" s="3"/>
      <c r="K25" s="3"/>
      <c r="L25" s="3"/>
      <c r="M25" s="3"/>
      <c r="N25" s="3"/>
      <c r="O25" s="3"/>
      <c r="P25" s="3"/>
    </row>
    <row r="26" spans="1:16" ht="15.4" x14ac:dyDescent="0.45">
      <c r="A26" s="13"/>
      <c r="B26" s="11" t="s">
        <v>45</v>
      </c>
      <c r="C26" s="12" t="s">
        <v>46</v>
      </c>
      <c r="D26" s="11" t="s">
        <v>47</v>
      </c>
      <c r="E26" s="12" t="s">
        <v>50</v>
      </c>
      <c r="F26" s="12" t="s">
        <v>51</v>
      </c>
      <c r="G26" s="14"/>
      <c r="H26" s="14"/>
      <c r="I26" s="3"/>
      <c r="J26" s="3"/>
      <c r="K26" s="3"/>
      <c r="L26" s="3"/>
      <c r="M26" s="3"/>
      <c r="N26" s="3"/>
      <c r="O26" s="3"/>
      <c r="P26" s="3"/>
    </row>
    <row r="27" spans="1:16" ht="15.4" x14ac:dyDescent="0.45">
      <c r="A27" s="13" t="s">
        <v>43</v>
      </c>
      <c r="B27" s="14">
        <f>B21</f>
        <v>0</v>
      </c>
      <c r="C27" s="15">
        <f>C23</f>
        <v>1819</v>
      </c>
      <c r="D27" s="72">
        <f>E23</f>
        <v>0</v>
      </c>
      <c r="E27" s="19">
        <f>RatesS!F13</f>
        <v>24.97</v>
      </c>
      <c r="F27" s="9">
        <f>E27*C27</f>
        <v>45420.43</v>
      </c>
      <c r="G27" s="14"/>
      <c r="H27" s="1"/>
      <c r="I27" s="3"/>
      <c r="J27" s="3"/>
      <c r="K27" s="3"/>
      <c r="L27" s="3"/>
      <c r="M27" s="3"/>
      <c r="N27" s="3"/>
      <c r="O27" s="3"/>
      <c r="P27" s="3"/>
    </row>
    <row r="28" spans="1:16" ht="15.4" x14ac:dyDescent="0.45">
      <c r="A28" s="13" t="s">
        <v>44</v>
      </c>
      <c r="B28" s="16">
        <f>B22</f>
        <v>0</v>
      </c>
      <c r="C28" s="20"/>
      <c r="D28" s="73">
        <f>F23</f>
        <v>5364920</v>
      </c>
      <c r="E28" s="21">
        <f>RatesS!F14</f>
        <v>5.94</v>
      </c>
      <c r="F28" s="77">
        <f>E28*(D28/1000)</f>
        <v>31867.624800000001</v>
      </c>
      <c r="G28" s="14"/>
      <c r="H28" s="1"/>
      <c r="I28" s="3"/>
      <c r="J28" s="3"/>
      <c r="K28" s="3"/>
      <c r="L28" s="3"/>
      <c r="M28" s="3"/>
      <c r="N28" s="3"/>
      <c r="O28" s="3"/>
      <c r="P28" s="3"/>
    </row>
    <row r="29" spans="1:16" ht="15.4" x14ac:dyDescent="0.45">
      <c r="A29" s="13"/>
      <c r="B29" s="14" t="s">
        <v>48</v>
      </c>
      <c r="C29" s="3">
        <f>SUM(C27:C28)</f>
        <v>1819</v>
      </c>
      <c r="D29" s="74">
        <f>SUM(D27:D28)</f>
        <v>5364920</v>
      </c>
      <c r="E29" s="1"/>
      <c r="F29" s="9">
        <f>SUM(F27:F28)</f>
        <v>77288.054799999998</v>
      </c>
      <c r="G29" s="14"/>
      <c r="H29" s="14"/>
      <c r="I29" s="3"/>
      <c r="J29" s="3"/>
      <c r="K29" s="3"/>
      <c r="L29" s="3"/>
      <c r="M29" s="3"/>
      <c r="N29" s="3"/>
      <c r="O29" s="3"/>
      <c r="P29" s="3"/>
    </row>
    <row r="30" spans="1:16" ht="15.4" x14ac:dyDescent="0.45">
      <c r="I30" s="3"/>
      <c r="J30" s="3"/>
      <c r="K30" s="3"/>
      <c r="L30" s="3"/>
      <c r="M30" s="3"/>
      <c r="N30" s="3"/>
      <c r="O30" s="3"/>
      <c r="P30" s="3"/>
    </row>
    <row r="31" spans="1:16" ht="15.75" x14ac:dyDescent="0.5">
      <c r="A31" s="123" t="s">
        <v>335</v>
      </c>
      <c r="B31" s="1"/>
      <c r="C31" s="1"/>
      <c r="D31" s="1"/>
      <c r="E31" s="1"/>
      <c r="F31" s="1"/>
      <c r="G31" s="1"/>
      <c r="H31" s="1"/>
      <c r="I31" s="3"/>
      <c r="J31" s="3"/>
      <c r="K31" s="3"/>
      <c r="L31" s="3"/>
      <c r="M31" s="3"/>
      <c r="N31" s="3"/>
      <c r="O31" s="3"/>
      <c r="P31" s="3"/>
    </row>
    <row r="32" spans="1:16" ht="15.4" x14ac:dyDescent="0.45">
      <c r="A32" s="1"/>
      <c r="B32" s="1"/>
      <c r="C32" s="1"/>
      <c r="D32" s="1"/>
      <c r="E32" s="2" t="s">
        <v>43</v>
      </c>
      <c r="F32" s="2" t="s">
        <v>44</v>
      </c>
      <c r="G32" s="1"/>
      <c r="I32" s="3"/>
      <c r="J32" s="3"/>
      <c r="K32" s="3"/>
      <c r="L32" s="3"/>
      <c r="M32" s="3"/>
      <c r="N32" s="3"/>
      <c r="O32" s="3"/>
      <c r="P32" s="3"/>
    </row>
    <row r="33" spans="1:16" ht="15.4" x14ac:dyDescent="0.45">
      <c r="A33" s="1"/>
      <c r="B33" s="11" t="s">
        <v>45</v>
      </c>
      <c r="C33" s="12" t="s">
        <v>46</v>
      </c>
      <c r="D33" s="12" t="s">
        <v>47</v>
      </c>
      <c r="E33" s="12">
        <f>B34</f>
        <v>0</v>
      </c>
      <c r="F33" s="12">
        <f>B35</f>
        <v>0</v>
      </c>
      <c r="G33" s="11" t="s">
        <v>48</v>
      </c>
      <c r="I33" s="3"/>
      <c r="J33" s="3"/>
      <c r="K33" s="3"/>
      <c r="L33" s="3"/>
      <c r="M33" s="3"/>
      <c r="N33" s="3"/>
      <c r="O33" s="3"/>
      <c r="P33" s="3"/>
    </row>
    <row r="34" spans="1:16" ht="15.4" x14ac:dyDescent="0.45">
      <c r="A34" s="13" t="s">
        <v>43</v>
      </c>
      <c r="B34" s="14">
        <v>0</v>
      </c>
      <c r="C34" s="72">
        <v>215</v>
      </c>
      <c r="D34" s="72">
        <v>0</v>
      </c>
      <c r="E34" s="72">
        <f>D34</f>
        <v>0</v>
      </c>
      <c r="F34" s="72">
        <v>0</v>
      </c>
      <c r="G34" s="72">
        <f>SUM(E34:F34)</f>
        <v>0</v>
      </c>
      <c r="I34" s="3"/>
      <c r="J34" s="3"/>
      <c r="K34" s="3"/>
      <c r="L34" s="3"/>
      <c r="M34" s="3"/>
      <c r="N34" s="3"/>
      <c r="O34" s="3"/>
      <c r="P34" s="3"/>
    </row>
    <row r="35" spans="1:16" ht="15.4" x14ac:dyDescent="0.45">
      <c r="A35" s="13" t="s">
        <v>44</v>
      </c>
      <c r="B35" s="16">
        <v>0</v>
      </c>
      <c r="C35" s="73">
        <v>0</v>
      </c>
      <c r="D35" s="73">
        <v>782110</v>
      </c>
      <c r="E35" s="73">
        <f>C35*E$46</f>
        <v>0</v>
      </c>
      <c r="F35" s="73">
        <f>D35-E35</f>
        <v>782110</v>
      </c>
      <c r="G35" s="73">
        <f>SUM(E35:F35)</f>
        <v>782110</v>
      </c>
      <c r="I35" s="3"/>
      <c r="J35" s="3"/>
      <c r="K35" s="3"/>
      <c r="L35" s="3"/>
      <c r="M35" s="3"/>
      <c r="N35" s="3"/>
      <c r="O35" s="3"/>
      <c r="P35" s="3"/>
    </row>
    <row r="36" spans="1:16" ht="15.4" x14ac:dyDescent="0.45">
      <c r="A36" s="13"/>
      <c r="B36" s="14"/>
      <c r="C36" s="74">
        <f>SUM(C34:C35)</f>
        <v>215</v>
      </c>
      <c r="D36" s="74">
        <f>SUM(D34:D35)</f>
        <v>782110</v>
      </c>
      <c r="E36" s="74">
        <f>SUM(E34:E35)</f>
        <v>0</v>
      </c>
      <c r="F36" s="74">
        <f>SUM(F34:F35)</f>
        <v>782110</v>
      </c>
      <c r="G36" s="74">
        <f>SUM(G34:G35)</f>
        <v>782110</v>
      </c>
      <c r="I36" s="3"/>
      <c r="J36" s="3"/>
      <c r="K36" s="3"/>
      <c r="L36" s="3"/>
      <c r="M36" s="3"/>
      <c r="N36" s="3"/>
      <c r="O36" s="3"/>
      <c r="P36" s="3"/>
    </row>
    <row r="37" spans="1:16" ht="15.4" x14ac:dyDescent="0.45">
      <c r="A37" s="13"/>
      <c r="B37" s="14"/>
      <c r="C37" s="1"/>
      <c r="D37" s="14"/>
      <c r="E37" s="14"/>
      <c r="F37" s="14"/>
      <c r="G37" s="14"/>
      <c r="H37" s="14"/>
      <c r="I37" s="3"/>
      <c r="J37" s="3"/>
      <c r="K37" s="3"/>
      <c r="L37" s="3"/>
      <c r="M37" s="3"/>
      <c r="N37" s="3"/>
      <c r="O37" s="3"/>
      <c r="P37" s="3"/>
    </row>
    <row r="38" spans="1:16" ht="15.4" x14ac:dyDescent="0.45">
      <c r="A38" s="18" t="s">
        <v>49</v>
      </c>
      <c r="B38" s="18"/>
      <c r="C38" s="1"/>
      <c r="D38" s="14"/>
      <c r="E38" s="14"/>
      <c r="F38" s="14"/>
      <c r="G38" s="14"/>
      <c r="H38" s="14"/>
      <c r="I38" s="3"/>
      <c r="J38" s="3"/>
      <c r="K38" s="3"/>
      <c r="L38" s="3"/>
      <c r="M38" s="3"/>
      <c r="N38" s="3"/>
      <c r="O38" s="3"/>
      <c r="P38" s="3"/>
    </row>
    <row r="39" spans="1:16" ht="15.4" x14ac:dyDescent="0.45">
      <c r="A39" s="13"/>
      <c r="B39" s="11" t="s">
        <v>45</v>
      </c>
      <c r="C39" s="12" t="s">
        <v>46</v>
      </c>
      <c r="D39" s="11" t="s">
        <v>47</v>
      </c>
      <c r="E39" s="12" t="s">
        <v>50</v>
      </c>
      <c r="F39" s="12" t="s">
        <v>51</v>
      </c>
      <c r="G39" s="14"/>
      <c r="H39" s="14"/>
      <c r="I39" s="3"/>
      <c r="J39" s="3"/>
      <c r="K39" s="3"/>
      <c r="L39" s="3"/>
      <c r="M39" s="3"/>
      <c r="N39" s="3"/>
      <c r="O39" s="3"/>
      <c r="P39" s="3"/>
    </row>
    <row r="40" spans="1:16" ht="15.4" x14ac:dyDescent="0.45">
      <c r="A40" s="13" t="s">
        <v>43</v>
      </c>
      <c r="B40" s="14">
        <f>B34</f>
        <v>0</v>
      </c>
      <c r="C40" s="15">
        <f>C36</f>
        <v>215</v>
      </c>
      <c r="D40" s="72">
        <f>E36</f>
        <v>0</v>
      </c>
      <c r="E40" s="19">
        <f>RatesS!F13</f>
        <v>24.97</v>
      </c>
      <c r="F40" s="9">
        <f>E40*C40</f>
        <v>5368.55</v>
      </c>
      <c r="G40" s="14"/>
      <c r="H40" s="1"/>
      <c r="I40" s="3"/>
      <c r="J40" s="3"/>
      <c r="K40" s="3"/>
      <c r="L40" s="3"/>
      <c r="M40" s="3"/>
      <c r="N40" s="3"/>
      <c r="O40" s="3"/>
      <c r="P40" s="3"/>
    </row>
    <row r="41" spans="1:16" ht="15.4" x14ac:dyDescent="0.45">
      <c r="A41" s="13" t="s">
        <v>44</v>
      </c>
      <c r="B41" s="16">
        <f>B35</f>
        <v>0</v>
      </c>
      <c r="C41" s="20"/>
      <c r="D41" s="73">
        <f>F36</f>
        <v>782110</v>
      </c>
      <c r="E41" s="21">
        <f>RatesS!F14</f>
        <v>5.94</v>
      </c>
      <c r="F41" s="77">
        <f>E41*(D41/1000)</f>
        <v>4645.7334000000001</v>
      </c>
      <c r="G41" s="14"/>
      <c r="H41" s="1"/>
      <c r="I41" s="3"/>
      <c r="J41" s="3"/>
      <c r="K41" s="3"/>
      <c r="L41" s="3"/>
      <c r="M41" s="3"/>
      <c r="N41" s="3"/>
      <c r="O41" s="3"/>
      <c r="P41" s="3"/>
    </row>
    <row r="42" spans="1:16" ht="15.4" x14ac:dyDescent="0.45">
      <c r="A42" s="13"/>
      <c r="B42" s="14" t="s">
        <v>48</v>
      </c>
      <c r="C42" s="3">
        <f>SUM(C40:C41)</f>
        <v>215</v>
      </c>
      <c r="D42" s="74">
        <f>SUM(D40:D41)</f>
        <v>782110</v>
      </c>
      <c r="E42" s="1"/>
      <c r="F42" s="9">
        <f>SUM(F40:F41)</f>
        <v>10014.2834</v>
      </c>
      <c r="G42" s="14"/>
      <c r="H42" s="14"/>
      <c r="I42" s="3"/>
      <c r="J42" s="3"/>
      <c r="K42" s="3"/>
      <c r="L42" s="3"/>
      <c r="M42" s="3"/>
      <c r="N42" s="3"/>
      <c r="O42" s="3"/>
      <c r="P42" s="3"/>
    </row>
    <row r="44" spans="1:16" ht="15.75" x14ac:dyDescent="0.5">
      <c r="A44" s="123" t="s">
        <v>271</v>
      </c>
      <c r="B44" s="1"/>
      <c r="C44" s="1"/>
      <c r="D44" s="1"/>
      <c r="E44" s="1"/>
      <c r="F44" s="1"/>
      <c r="G44" s="1"/>
      <c r="H44" s="1"/>
      <c r="I44" s="3"/>
      <c r="J44" s="3"/>
      <c r="K44" s="3"/>
      <c r="L44" s="3"/>
      <c r="M44" s="3"/>
      <c r="N44" s="3"/>
      <c r="O44" s="3"/>
      <c r="P44" s="3"/>
    </row>
    <row r="45" spans="1:16" ht="15.4" x14ac:dyDescent="0.45">
      <c r="A45" s="1"/>
      <c r="B45" s="1"/>
      <c r="C45" s="1"/>
      <c r="D45" s="1"/>
      <c r="E45" s="2" t="s">
        <v>43</v>
      </c>
      <c r="F45" s="2" t="s">
        <v>44</v>
      </c>
      <c r="G45" s="1"/>
      <c r="I45" s="3"/>
      <c r="J45" s="3"/>
      <c r="K45" s="3"/>
      <c r="L45" s="3"/>
      <c r="M45" s="3"/>
      <c r="N45" s="3"/>
      <c r="O45" s="3"/>
      <c r="P45" s="3"/>
    </row>
    <row r="46" spans="1:16" ht="15.4" x14ac:dyDescent="0.45">
      <c r="A46" s="1"/>
      <c r="B46" s="11" t="s">
        <v>45</v>
      </c>
      <c r="C46" s="12" t="s">
        <v>46</v>
      </c>
      <c r="D46" s="12" t="s">
        <v>47</v>
      </c>
      <c r="E46" s="12">
        <f>B47</f>
        <v>0</v>
      </c>
      <c r="F46" s="12">
        <f>B48</f>
        <v>0</v>
      </c>
      <c r="G46" s="11" t="s">
        <v>48</v>
      </c>
      <c r="I46" s="3"/>
      <c r="J46" s="3"/>
      <c r="K46" s="3"/>
      <c r="L46" s="3"/>
      <c r="M46" s="3"/>
      <c r="N46" s="3"/>
      <c r="O46" s="3"/>
      <c r="P46" s="3"/>
    </row>
    <row r="47" spans="1:16" ht="15.4" x14ac:dyDescent="0.45">
      <c r="A47" s="13" t="s">
        <v>43</v>
      </c>
      <c r="B47" s="14">
        <v>0</v>
      </c>
      <c r="C47" s="72">
        <v>67</v>
      </c>
      <c r="D47" s="72">
        <v>0</v>
      </c>
      <c r="E47" s="72">
        <f>D47</f>
        <v>0</v>
      </c>
      <c r="F47" s="72">
        <v>0</v>
      </c>
      <c r="G47" s="72">
        <f>SUM(E47:F47)</f>
        <v>0</v>
      </c>
      <c r="I47" s="3"/>
      <c r="J47" s="3"/>
      <c r="K47" s="3"/>
      <c r="L47" s="3"/>
      <c r="M47" s="3"/>
      <c r="N47" s="3"/>
      <c r="O47" s="3"/>
      <c r="P47" s="3"/>
    </row>
    <row r="48" spans="1:16" ht="15.4" x14ac:dyDescent="0.45">
      <c r="A48" s="13" t="s">
        <v>44</v>
      </c>
      <c r="B48" s="16">
        <v>0</v>
      </c>
      <c r="C48" s="73">
        <v>0</v>
      </c>
      <c r="D48" s="73">
        <v>43000</v>
      </c>
      <c r="E48" s="73">
        <f>C48*E$46</f>
        <v>0</v>
      </c>
      <c r="F48" s="73">
        <f>D48-E48</f>
        <v>43000</v>
      </c>
      <c r="G48" s="73">
        <f>SUM(E48:F48)</f>
        <v>43000</v>
      </c>
      <c r="I48" s="3"/>
      <c r="J48" s="3"/>
      <c r="K48" s="3"/>
      <c r="L48" s="3"/>
      <c r="M48" s="3"/>
      <c r="N48" s="3"/>
      <c r="O48" s="3"/>
      <c r="P48" s="3"/>
    </row>
    <row r="49" spans="1:16" ht="15.4" x14ac:dyDescent="0.45">
      <c r="A49" s="13"/>
      <c r="B49" s="14"/>
      <c r="C49" s="74">
        <f>SUM(C47:C48)</f>
        <v>67</v>
      </c>
      <c r="D49" s="74">
        <f>SUM(D47:D48)</f>
        <v>43000</v>
      </c>
      <c r="E49" s="74">
        <f>SUM(E47:E48)</f>
        <v>0</v>
      </c>
      <c r="F49" s="74">
        <f>SUM(F47:F48)</f>
        <v>43000</v>
      </c>
      <c r="G49" s="74">
        <f>SUM(G47:G48)</f>
        <v>43000</v>
      </c>
      <c r="I49" s="3"/>
      <c r="J49" s="3"/>
      <c r="K49" s="3"/>
      <c r="L49" s="3"/>
      <c r="M49" s="3"/>
      <c r="N49" s="3"/>
      <c r="O49" s="3"/>
      <c r="P49" s="3"/>
    </row>
    <row r="50" spans="1:16" ht="15.4" x14ac:dyDescent="0.45">
      <c r="A50" s="13"/>
      <c r="B50" s="14"/>
      <c r="C50" s="1"/>
      <c r="D50" s="14"/>
      <c r="E50" s="14"/>
      <c r="F50" s="14"/>
      <c r="G50" s="14"/>
      <c r="H50" s="14"/>
      <c r="I50" s="3"/>
      <c r="J50" s="3"/>
      <c r="K50" s="3"/>
      <c r="L50" s="3"/>
      <c r="M50" s="3"/>
      <c r="N50" s="3"/>
      <c r="O50" s="3"/>
      <c r="P50" s="3"/>
    </row>
    <row r="51" spans="1:16" ht="15.4" x14ac:dyDescent="0.45">
      <c r="A51" s="18" t="s">
        <v>49</v>
      </c>
      <c r="B51" s="18"/>
      <c r="C51" s="1"/>
      <c r="D51" s="14"/>
      <c r="E51" s="14"/>
      <c r="F51" s="14"/>
      <c r="G51" s="14"/>
      <c r="H51" s="14"/>
      <c r="I51" s="3"/>
      <c r="J51" s="3"/>
      <c r="K51" s="3"/>
      <c r="L51" s="3"/>
      <c r="M51" s="3"/>
      <c r="N51" s="3"/>
      <c r="O51" s="3"/>
      <c r="P51" s="3"/>
    </row>
    <row r="52" spans="1:16" ht="15.4" x14ac:dyDescent="0.45">
      <c r="A52" s="13"/>
      <c r="B52" s="11" t="s">
        <v>45</v>
      </c>
      <c r="C52" s="12" t="s">
        <v>46</v>
      </c>
      <c r="D52" s="11" t="s">
        <v>47</v>
      </c>
      <c r="E52" s="12" t="s">
        <v>50</v>
      </c>
      <c r="F52" s="12" t="s">
        <v>51</v>
      </c>
      <c r="G52" s="14"/>
      <c r="H52" s="14"/>
      <c r="I52" s="3"/>
      <c r="J52" s="3"/>
      <c r="K52" s="3"/>
      <c r="L52" s="3"/>
      <c r="M52" s="3"/>
      <c r="N52" s="3"/>
      <c r="O52" s="3"/>
      <c r="P52" s="3"/>
    </row>
    <row r="53" spans="1:16" ht="15.4" x14ac:dyDescent="0.45">
      <c r="A53" s="13" t="s">
        <v>43</v>
      </c>
      <c r="B53" s="14">
        <f>B47</f>
        <v>0</v>
      </c>
      <c r="C53" s="15">
        <f>C49</f>
        <v>67</v>
      </c>
      <c r="D53" s="72">
        <f>E49</f>
        <v>0</v>
      </c>
      <c r="E53" s="19">
        <f>RatesS!F13</f>
        <v>24.97</v>
      </c>
      <c r="F53" s="9">
        <f>E53*C53</f>
        <v>1672.99</v>
      </c>
      <c r="G53" s="14"/>
      <c r="H53" s="1"/>
      <c r="I53" s="3"/>
      <c r="J53" s="3"/>
      <c r="K53" s="3"/>
      <c r="L53" s="3"/>
      <c r="M53" s="3"/>
      <c r="N53" s="3"/>
      <c r="O53" s="3"/>
      <c r="P53" s="3"/>
    </row>
    <row r="54" spans="1:16" ht="15.4" x14ac:dyDescent="0.45">
      <c r="A54" s="13" t="s">
        <v>44</v>
      </c>
      <c r="B54" s="16">
        <f>B48</f>
        <v>0</v>
      </c>
      <c r="C54" s="20"/>
      <c r="D54" s="73">
        <f>F49</f>
        <v>43000</v>
      </c>
      <c r="E54" s="21">
        <f>RatesS!F14</f>
        <v>5.94</v>
      </c>
      <c r="F54" s="77">
        <f>E54*(D54/1000)</f>
        <v>255.42000000000002</v>
      </c>
      <c r="G54" s="14"/>
      <c r="H54" s="1"/>
      <c r="I54" s="3"/>
      <c r="J54" s="3"/>
      <c r="K54" s="3"/>
      <c r="L54" s="3"/>
      <c r="M54" s="3"/>
      <c r="N54" s="3"/>
      <c r="O54" s="3"/>
      <c r="P54" s="3"/>
    </row>
    <row r="55" spans="1:16" ht="15.4" x14ac:dyDescent="0.45">
      <c r="A55" s="13"/>
      <c r="B55" s="14" t="s">
        <v>48</v>
      </c>
      <c r="C55" s="3">
        <f>SUM(C53:C54)</f>
        <v>67</v>
      </c>
      <c r="D55" s="74">
        <f>SUM(D53:D54)</f>
        <v>43000</v>
      </c>
      <c r="E55" s="1"/>
      <c r="F55" s="9">
        <f>SUM(F53:F54)</f>
        <v>1928.41</v>
      </c>
      <c r="G55" s="14"/>
      <c r="H55" s="14"/>
      <c r="I55" s="3"/>
      <c r="J55" s="3"/>
      <c r="K55" s="3"/>
      <c r="L55" s="3"/>
      <c r="M55" s="3"/>
      <c r="N55" s="3"/>
      <c r="O55" s="3"/>
      <c r="P55" s="3"/>
    </row>
    <row r="56" spans="1:16" ht="15.4" x14ac:dyDescent="0.45">
      <c r="I56" s="3"/>
      <c r="J56" s="3"/>
      <c r="K56" s="3"/>
      <c r="L56" s="3"/>
      <c r="M56" s="3"/>
      <c r="N56" s="3"/>
      <c r="O56" s="3"/>
      <c r="P56" s="3"/>
    </row>
    <row r="57" spans="1:16" ht="15.75" x14ac:dyDescent="0.5">
      <c r="A57" s="123" t="s">
        <v>270</v>
      </c>
      <c r="B57" s="1"/>
      <c r="C57" s="1"/>
      <c r="D57" s="1"/>
      <c r="E57" s="1"/>
      <c r="F57" s="1"/>
      <c r="G57" s="1"/>
      <c r="H57" s="1"/>
      <c r="I57" s="3"/>
      <c r="J57" s="3"/>
      <c r="K57" s="3"/>
      <c r="L57" s="3"/>
      <c r="M57" s="3"/>
      <c r="N57" s="3"/>
      <c r="O57" s="3"/>
      <c r="P57" s="3"/>
    </row>
    <row r="58" spans="1:16" ht="15.4" x14ac:dyDescent="0.45">
      <c r="A58" s="1"/>
      <c r="B58" s="1"/>
      <c r="C58" s="1"/>
      <c r="D58" s="1"/>
      <c r="E58" s="2" t="s">
        <v>43</v>
      </c>
      <c r="F58" s="2" t="s">
        <v>44</v>
      </c>
      <c r="G58" s="1"/>
      <c r="I58" s="3"/>
      <c r="J58" s="3"/>
      <c r="K58" s="3"/>
      <c r="L58" s="3"/>
      <c r="M58" s="3"/>
      <c r="N58" s="3"/>
      <c r="O58" s="3"/>
      <c r="P58" s="3"/>
    </row>
    <row r="59" spans="1:16" ht="15.4" x14ac:dyDescent="0.45">
      <c r="A59" s="1"/>
      <c r="B59" s="11" t="s">
        <v>45</v>
      </c>
      <c r="C59" s="12" t="s">
        <v>46</v>
      </c>
      <c r="D59" s="12" t="s">
        <v>47</v>
      </c>
      <c r="E59" s="12">
        <f>B60</f>
        <v>0</v>
      </c>
      <c r="F59" s="12">
        <f>B61</f>
        <v>0</v>
      </c>
      <c r="G59" s="11" t="s">
        <v>48</v>
      </c>
      <c r="I59" s="3"/>
      <c r="J59" s="3"/>
      <c r="K59" s="3"/>
      <c r="L59" s="3"/>
      <c r="M59" s="3"/>
      <c r="N59" s="3"/>
      <c r="O59" s="3"/>
      <c r="P59" s="3"/>
    </row>
    <row r="60" spans="1:16" ht="15.4" x14ac:dyDescent="0.45">
      <c r="A60" s="13" t="s">
        <v>43</v>
      </c>
      <c r="B60" s="14">
        <v>0</v>
      </c>
      <c r="C60" s="72">
        <v>43</v>
      </c>
      <c r="D60" s="72">
        <v>0</v>
      </c>
      <c r="E60" s="72">
        <f>D60</f>
        <v>0</v>
      </c>
      <c r="F60" s="72">
        <v>0</v>
      </c>
      <c r="G60" s="72">
        <f>SUM(E60:F60)</f>
        <v>0</v>
      </c>
      <c r="I60" s="3"/>
      <c r="J60" s="3"/>
      <c r="K60" s="3"/>
      <c r="L60" s="3"/>
      <c r="M60" s="3"/>
      <c r="N60" s="3"/>
      <c r="O60" s="3"/>
      <c r="P60" s="3"/>
    </row>
    <row r="61" spans="1:16" ht="15.4" x14ac:dyDescent="0.45">
      <c r="A61" s="13" t="s">
        <v>44</v>
      </c>
      <c r="B61" s="16">
        <v>0</v>
      </c>
      <c r="C61" s="73">
        <v>0</v>
      </c>
      <c r="D61" s="73">
        <v>184000</v>
      </c>
      <c r="E61" s="73">
        <f>C61*E$46</f>
        <v>0</v>
      </c>
      <c r="F61" s="73">
        <f>D61-E61</f>
        <v>184000</v>
      </c>
      <c r="G61" s="73">
        <f>SUM(E61:F61)</f>
        <v>184000</v>
      </c>
      <c r="I61" s="3"/>
      <c r="J61" s="3"/>
      <c r="K61" s="3"/>
      <c r="L61" s="3"/>
      <c r="M61" s="3"/>
      <c r="N61" s="3"/>
      <c r="O61" s="3"/>
      <c r="P61" s="3"/>
    </row>
    <row r="62" spans="1:16" ht="15.4" x14ac:dyDescent="0.45">
      <c r="A62" s="13"/>
      <c r="B62" s="14"/>
      <c r="C62" s="74">
        <f>SUM(C60:C61)</f>
        <v>43</v>
      </c>
      <c r="D62" s="74">
        <f>SUM(D60:D61)</f>
        <v>184000</v>
      </c>
      <c r="E62" s="74">
        <f>SUM(E60:E61)</f>
        <v>0</v>
      </c>
      <c r="F62" s="74">
        <f>SUM(F60:F61)</f>
        <v>184000</v>
      </c>
      <c r="G62" s="74">
        <f>SUM(G60:G61)</f>
        <v>184000</v>
      </c>
      <c r="I62" s="3"/>
      <c r="J62" s="3"/>
      <c r="K62" s="3"/>
      <c r="L62" s="3"/>
      <c r="M62" s="3"/>
      <c r="N62" s="3"/>
      <c r="O62" s="3"/>
      <c r="P62" s="3"/>
    </row>
    <row r="63" spans="1:16" ht="15.4" x14ac:dyDescent="0.45">
      <c r="A63" s="13"/>
      <c r="B63" s="14"/>
      <c r="C63" s="1"/>
      <c r="D63" s="14"/>
      <c r="E63" s="14"/>
      <c r="F63" s="14"/>
      <c r="G63" s="14"/>
      <c r="H63" s="14"/>
      <c r="I63" s="3"/>
      <c r="J63" s="3"/>
      <c r="K63" s="3"/>
      <c r="L63" s="3"/>
      <c r="M63" s="3"/>
      <c r="N63" s="3"/>
      <c r="O63" s="3"/>
      <c r="P63" s="3"/>
    </row>
    <row r="64" spans="1:16" ht="15.4" x14ac:dyDescent="0.45">
      <c r="A64" s="18" t="s">
        <v>49</v>
      </c>
      <c r="B64" s="18"/>
      <c r="C64" s="1"/>
      <c r="D64" s="14"/>
      <c r="E64" s="14"/>
      <c r="F64" s="14"/>
      <c r="G64" s="14"/>
      <c r="H64" s="14"/>
      <c r="I64" s="3"/>
      <c r="J64" s="3"/>
      <c r="K64" s="3"/>
      <c r="L64" s="3"/>
      <c r="M64" s="3"/>
      <c r="N64" s="3"/>
      <c r="O64" s="3"/>
      <c r="P64" s="3"/>
    </row>
    <row r="65" spans="1:16" ht="15.4" x14ac:dyDescent="0.45">
      <c r="A65" s="13"/>
      <c r="B65" s="11" t="s">
        <v>45</v>
      </c>
      <c r="C65" s="12" t="s">
        <v>46</v>
      </c>
      <c r="D65" s="11" t="s">
        <v>47</v>
      </c>
      <c r="E65" s="12" t="s">
        <v>50</v>
      </c>
      <c r="F65" s="12" t="s">
        <v>51</v>
      </c>
      <c r="G65" s="14"/>
      <c r="H65" s="14"/>
      <c r="I65" s="3"/>
      <c r="J65" s="3"/>
      <c r="K65" s="3"/>
      <c r="L65" s="3"/>
      <c r="M65" s="3"/>
      <c r="N65" s="3"/>
      <c r="O65" s="3"/>
      <c r="P65" s="3"/>
    </row>
    <row r="66" spans="1:16" ht="15.4" x14ac:dyDescent="0.45">
      <c r="A66" s="13" t="s">
        <v>43</v>
      </c>
      <c r="B66" s="14">
        <f>B60</f>
        <v>0</v>
      </c>
      <c r="C66" s="15">
        <f>C62</f>
        <v>43</v>
      </c>
      <c r="D66" s="72">
        <f>E62</f>
        <v>0</v>
      </c>
      <c r="E66" s="19">
        <f>RatesS!F13</f>
        <v>24.97</v>
      </c>
      <c r="F66" s="9">
        <f>E66*C66</f>
        <v>1073.71</v>
      </c>
      <c r="G66" s="14"/>
      <c r="H66" s="1"/>
      <c r="I66" s="3"/>
      <c r="J66" s="3"/>
      <c r="K66" s="3"/>
      <c r="L66" s="3"/>
      <c r="M66" s="3"/>
      <c r="N66" s="3"/>
      <c r="O66" s="3"/>
      <c r="P66" s="3"/>
    </row>
    <row r="67" spans="1:16" ht="15.4" x14ac:dyDescent="0.45">
      <c r="A67" s="13" t="s">
        <v>44</v>
      </c>
      <c r="B67" s="16">
        <f>B61</f>
        <v>0</v>
      </c>
      <c r="C67" s="20"/>
      <c r="D67" s="73">
        <f>F62</f>
        <v>184000</v>
      </c>
      <c r="E67" s="21">
        <f>RatesS!F14</f>
        <v>5.94</v>
      </c>
      <c r="F67" s="77">
        <f>E67*(D67/1000)</f>
        <v>1092.96</v>
      </c>
      <c r="G67" s="14"/>
      <c r="H67" s="1"/>
      <c r="I67" s="3"/>
      <c r="J67" s="3"/>
      <c r="K67" s="3"/>
      <c r="L67" s="3"/>
      <c r="M67" s="3"/>
      <c r="N67" s="3"/>
      <c r="O67" s="3"/>
      <c r="P67" s="3"/>
    </row>
    <row r="68" spans="1:16" ht="15.4" x14ac:dyDescent="0.45">
      <c r="A68" s="13"/>
      <c r="B68" s="14" t="s">
        <v>48</v>
      </c>
      <c r="C68" s="3">
        <f>SUM(C66:C67)</f>
        <v>43</v>
      </c>
      <c r="D68" s="74">
        <f>SUM(D66:D67)</f>
        <v>184000</v>
      </c>
      <c r="E68" s="1"/>
      <c r="F68" s="9">
        <f>SUM(F66:F67)</f>
        <v>2166.67</v>
      </c>
      <c r="G68" s="14"/>
      <c r="H68" s="14"/>
      <c r="I68" s="3"/>
      <c r="J68" s="3"/>
      <c r="K68" s="3"/>
      <c r="L68" s="3"/>
      <c r="M68" s="3"/>
      <c r="N68" s="3"/>
      <c r="O68" s="3"/>
      <c r="P68" s="3"/>
    </row>
    <row r="70" spans="1:16" ht="15.75" x14ac:dyDescent="0.5">
      <c r="A70" s="123" t="s">
        <v>272</v>
      </c>
      <c r="B70" s="1"/>
      <c r="C70" s="1"/>
      <c r="D70" s="1"/>
      <c r="E70" s="1"/>
      <c r="F70" s="1"/>
      <c r="G70" s="1"/>
      <c r="H70" s="1"/>
      <c r="I70" s="3"/>
      <c r="J70" s="3"/>
      <c r="K70" s="3"/>
      <c r="L70" s="3"/>
      <c r="M70" s="3"/>
      <c r="N70" s="3"/>
      <c r="O70" s="3"/>
      <c r="P70" s="3"/>
    </row>
    <row r="71" spans="1:16" ht="15.4" x14ac:dyDescent="0.45">
      <c r="A71" s="1"/>
      <c r="B71" s="1"/>
      <c r="C71" s="1"/>
      <c r="D71" s="1"/>
      <c r="E71" s="2" t="s">
        <v>43</v>
      </c>
      <c r="F71" s="2" t="s">
        <v>44</v>
      </c>
      <c r="G71" s="1"/>
      <c r="I71" s="3"/>
      <c r="J71" s="3"/>
      <c r="K71" s="3"/>
      <c r="L71" s="3"/>
      <c r="M71" s="3"/>
      <c r="N71" s="3"/>
      <c r="O71" s="3"/>
      <c r="P71" s="3"/>
    </row>
    <row r="72" spans="1:16" ht="15.4" x14ac:dyDescent="0.45">
      <c r="A72" s="1"/>
      <c r="B72" s="11" t="s">
        <v>45</v>
      </c>
      <c r="C72" s="12" t="s">
        <v>46</v>
      </c>
      <c r="D72" s="12" t="s">
        <v>47</v>
      </c>
      <c r="E72" s="12">
        <f>B73</f>
        <v>0</v>
      </c>
      <c r="F72" s="12">
        <f>B74</f>
        <v>0</v>
      </c>
      <c r="G72" s="11" t="s">
        <v>48</v>
      </c>
      <c r="I72" s="3"/>
      <c r="J72" s="3"/>
      <c r="K72" s="3"/>
      <c r="L72" s="3"/>
      <c r="M72" s="3"/>
      <c r="N72" s="3"/>
      <c r="O72" s="3"/>
      <c r="P72" s="3"/>
    </row>
    <row r="73" spans="1:16" ht="15.4" x14ac:dyDescent="0.45">
      <c r="A73" s="13" t="s">
        <v>43</v>
      </c>
      <c r="B73" s="14">
        <v>0</v>
      </c>
      <c r="C73" s="72">
        <v>11</v>
      </c>
      <c r="D73" s="72">
        <v>0</v>
      </c>
      <c r="E73" s="72">
        <f>D73</f>
        <v>0</v>
      </c>
      <c r="F73" s="72">
        <v>0</v>
      </c>
      <c r="G73" s="72">
        <f>SUM(E73:F73)</f>
        <v>0</v>
      </c>
      <c r="I73" s="3"/>
      <c r="J73" s="3"/>
      <c r="K73" s="3"/>
      <c r="L73" s="3"/>
      <c r="M73" s="3"/>
      <c r="N73" s="3"/>
      <c r="O73" s="3"/>
      <c r="P73" s="3"/>
    </row>
    <row r="74" spans="1:16" ht="15.4" x14ac:dyDescent="0.45">
      <c r="A74" s="13" t="s">
        <v>44</v>
      </c>
      <c r="B74" s="16">
        <v>0</v>
      </c>
      <c r="C74" s="73">
        <v>0</v>
      </c>
      <c r="D74" s="73">
        <v>9100</v>
      </c>
      <c r="E74" s="73">
        <f>C74*E$46</f>
        <v>0</v>
      </c>
      <c r="F74" s="73">
        <f>D74-E74</f>
        <v>9100</v>
      </c>
      <c r="G74" s="73">
        <f>SUM(E74:F74)</f>
        <v>9100</v>
      </c>
      <c r="I74" s="3"/>
      <c r="J74" s="3"/>
      <c r="K74" s="3"/>
      <c r="L74" s="3"/>
      <c r="M74" s="3"/>
      <c r="N74" s="3"/>
      <c r="O74" s="3"/>
      <c r="P74" s="3"/>
    </row>
    <row r="75" spans="1:16" ht="15.4" x14ac:dyDescent="0.45">
      <c r="A75" s="13"/>
      <c r="B75" s="14"/>
      <c r="C75" s="74">
        <f>SUM(C73:C74)</f>
        <v>11</v>
      </c>
      <c r="D75" s="74">
        <f>SUM(D73:D74)</f>
        <v>9100</v>
      </c>
      <c r="E75" s="74">
        <f>SUM(E73:E74)</f>
        <v>0</v>
      </c>
      <c r="F75" s="74">
        <f>SUM(F73:F74)</f>
        <v>9100</v>
      </c>
      <c r="G75" s="74">
        <f>SUM(G73:G74)</f>
        <v>9100</v>
      </c>
      <c r="I75" s="3"/>
      <c r="J75" s="3"/>
      <c r="K75" s="3"/>
      <c r="L75" s="3"/>
      <c r="M75" s="3"/>
      <c r="N75" s="3"/>
      <c r="O75" s="3"/>
      <c r="P75" s="3"/>
    </row>
    <row r="76" spans="1:16" ht="15.4" x14ac:dyDescent="0.45">
      <c r="A76" s="13"/>
      <c r="B76" s="14"/>
      <c r="C76" s="1"/>
      <c r="D76" s="14"/>
      <c r="E76" s="14"/>
      <c r="F76" s="14"/>
      <c r="G76" s="14"/>
      <c r="H76" s="14"/>
      <c r="I76" s="3"/>
      <c r="J76" s="3"/>
      <c r="K76" s="3"/>
      <c r="L76" s="3"/>
      <c r="M76" s="3"/>
      <c r="N76" s="3"/>
      <c r="O76" s="3"/>
      <c r="P76" s="3"/>
    </row>
    <row r="77" spans="1:16" ht="15.4" x14ac:dyDescent="0.45">
      <c r="A77" s="18" t="s">
        <v>49</v>
      </c>
      <c r="B77" s="18"/>
      <c r="C77" s="1"/>
      <c r="D77" s="14"/>
      <c r="E77" s="14"/>
      <c r="F77" s="14"/>
      <c r="G77" s="14"/>
      <c r="H77" s="14"/>
      <c r="I77" s="3"/>
      <c r="J77" s="3"/>
      <c r="K77" s="3"/>
      <c r="L77" s="3"/>
      <c r="M77" s="3"/>
      <c r="N77" s="3"/>
      <c r="O77" s="3"/>
      <c r="P77" s="3"/>
    </row>
    <row r="78" spans="1:16" ht="15.4" x14ac:dyDescent="0.45">
      <c r="A78" s="13"/>
      <c r="B78" s="11" t="s">
        <v>45</v>
      </c>
      <c r="C78" s="12" t="s">
        <v>46</v>
      </c>
      <c r="D78" s="11" t="s">
        <v>47</v>
      </c>
      <c r="E78" s="12" t="s">
        <v>50</v>
      </c>
      <c r="F78" s="12" t="s">
        <v>51</v>
      </c>
      <c r="G78" s="14"/>
      <c r="H78" s="14"/>
      <c r="I78" s="3"/>
      <c r="J78" s="3"/>
      <c r="K78" s="3"/>
      <c r="L78" s="3"/>
      <c r="M78" s="3"/>
      <c r="N78" s="3"/>
      <c r="O78" s="3"/>
      <c r="P78" s="3"/>
    </row>
    <row r="79" spans="1:16" ht="15.4" x14ac:dyDescent="0.45">
      <c r="A79" s="13" t="s">
        <v>43</v>
      </c>
      <c r="B79" s="14">
        <f>B73</f>
        <v>0</v>
      </c>
      <c r="C79" s="15">
        <f>C75</f>
        <v>11</v>
      </c>
      <c r="D79" s="72">
        <f>E75</f>
        <v>0</v>
      </c>
      <c r="E79" s="19">
        <f>RatesS!F13</f>
        <v>24.97</v>
      </c>
      <c r="F79" s="9">
        <f>E79*C79</f>
        <v>274.66999999999996</v>
      </c>
      <c r="G79" s="14"/>
      <c r="H79" s="1"/>
      <c r="I79" s="3"/>
      <c r="J79" s="3"/>
      <c r="K79" s="3"/>
      <c r="L79" s="3"/>
      <c r="M79" s="3"/>
      <c r="N79" s="3"/>
      <c r="O79" s="3"/>
      <c r="P79" s="3"/>
    </row>
    <row r="80" spans="1:16" ht="15.4" x14ac:dyDescent="0.45">
      <c r="A80" s="13" t="s">
        <v>44</v>
      </c>
      <c r="B80" s="16">
        <f>B74</f>
        <v>0</v>
      </c>
      <c r="C80" s="20"/>
      <c r="D80" s="73">
        <f>F75</f>
        <v>9100</v>
      </c>
      <c r="E80" s="21">
        <f>RatesS!F14</f>
        <v>5.94</v>
      </c>
      <c r="F80" s="77">
        <f>E80*(D80/1000)</f>
        <v>54.054000000000002</v>
      </c>
      <c r="G80" s="14"/>
      <c r="H80" s="1"/>
      <c r="I80" s="3"/>
      <c r="J80" s="3"/>
      <c r="K80" s="3"/>
      <c r="L80" s="3"/>
      <c r="M80" s="3"/>
      <c r="N80" s="3"/>
      <c r="O80" s="3"/>
      <c r="P80" s="3"/>
    </row>
    <row r="81" spans="1:16" ht="15.4" x14ac:dyDescent="0.45">
      <c r="A81" s="13"/>
      <c r="B81" s="14" t="s">
        <v>48</v>
      </c>
      <c r="C81" s="3">
        <f>SUM(C79:C80)</f>
        <v>11</v>
      </c>
      <c r="D81" s="74">
        <f>SUM(D79:D80)</f>
        <v>9100</v>
      </c>
      <c r="E81" s="1"/>
      <c r="F81" s="9">
        <f>SUM(F79:F80)</f>
        <v>328.72399999999993</v>
      </c>
      <c r="G81" s="14"/>
      <c r="H81" s="14"/>
      <c r="I81" s="3"/>
      <c r="J81" s="3"/>
      <c r="K81" s="3"/>
      <c r="L81" s="3"/>
      <c r="M81" s="3"/>
      <c r="N81" s="3"/>
      <c r="O81" s="3"/>
      <c r="P81" s="3"/>
    </row>
  </sheetData>
  <mergeCells count="2">
    <mergeCell ref="A1:G1"/>
    <mergeCell ref="A2:G2"/>
  </mergeCells>
  <printOptions horizontalCentered="1"/>
  <pageMargins left="0.85" right="0.7" top="1.25" bottom="0.75" header="0.3" footer="0.3"/>
  <pageSetup scale="7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E03B0-53E0-4360-90CC-E848F7617365}">
  <sheetPr>
    <pageSetUpPr fitToPage="1"/>
  </sheetPr>
  <dimension ref="A1:S109"/>
  <sheetViews>
    <sheetView zoomScaleNormal="100" workbookViewId="0">
      <selection sqref="A1:J103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1.5546875" style="3" customWidth="1"/>
    <col min="5" max="5" width="9.77734375" style="1" customWidth="1"/>
    <col min="6" max="6" width="10.33203125" style="1" customWidth="1"/>
    <col min="7" max="7" width="9.5546875" style="1" bestFit="1" customWidth="1"/>
    <col min="8" max="9" width="9.77734375" style="1" customWidth="1"/>
    <col min="10" max="11" width="9.88671875" style="1" bestFit="1" customWidth="1"/>
    <col min="12" max="12" width="10.5546875" style="3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70" t="s">
        <v>232</v>
      </c>
      <c r="B1" s="8"/>
      <c r="C1" s="8"/>
      <c r="D1" s="212"/>
      <c r="E1" s="8"/>
      <c r="F1" s="8"/>
      <c r="G1" s="8"/>
      <c r="H1" s="8"/>
      <c r="I1" s="8"/>
    </row>
    <row r="2" spans="1:17" ht="18" x14ac:dyDescent="0.45">
      <c r="A2" s="337" t="s">
        <v>258</v>
      </c>
      <c r="B2" s="337"/>
      <c r="C2" s="337"/>
      <c r="D2" s="337"/>
      <c r="E2" s="337"/>
      <c r="F2" s="337"/>
      <c r="G2" s="337"/>
      <c r="H2" s="337"/>
      <c r="I2" s="337"/>
    </row>
    <row r="3" spans="1:17" x14ac:dyDescent="0.45">
      <c r="M3" s="3"/>
      <c r="Q3" s="3"/>
    </row>
    <row r="4" spans="1:17" ht="16.5" x14ac:dyDescent="0.75">
      <c r="C4" s="75" t="s">
        <v>77</v>
      </c>
      <c r="M4" s="71"/>
      <c r="Q4" s="125"/>
    </row>
    <row r="5" spans="1:17" x14ac:dyDescent="0.45">
      <c r="C5" s="127"/>
      <c r="D5" s="77"/>
      <c r="E5" s="11" t="s">
        <v>66</v>
      </c>
      <c r="F5" s="11" t="s">
        <v>42</v>
      </c>
      <c r="G5" s="11" t="s">
        <v>41</v>
      </c>
      <c r="H5" s="2"/>
      <c r="J5" s="133"/>
      <c r="K5" s="3"/>
      <c r="L5" s="133"/>
      <c r="M5" s="3"/>
      <c r="Q5" s="39"/>
    </row>
    <row r="6" spans="1:17" x14ac:dyDescent="0.45">
      <c r="C6" s="1" t="s">
        <v>262</v>
      </c>
      <c r="E6" s="3">
        <f>C27</f>
        <v>3075</v>
      </c>
      <c r="F6" s="66">
        <f>D27</f>
        <v>9873578</v>
      </c>
      <c r="G6" s="68">
        <f>F35</f>
        <v>151312.4368</v>
      </c>
      <c r="H6" s="68"/>
      <c r="J6" s="133"/>
      <c r="K6" s="39"/>
    </row>
    <row r="7" spans="1:17" x14ac:dyDescent="0.45">
      <c r="C7" s="1" t="s">
        <v>263</v>
      </c>
      <c r="E7" s="3">
        <f>C44</f>
        <v>463</v>
      </c>
      <c r="F7" s="66">
        <f>D44</f>
        <v>2917110</v>
      </c>
      <c r="G7" s="3">
        <f>F52</f>
        <v>38882.127500000002</v>
      </c>
      <c r="H7" s="3"/>
      <c r="J7" s="133"/>
      <c r="K7" s="3"/>
    </row>
    <row r="8" spans="1:17" x14ac:dyDescent="0.45">
      <c r="C8" s="1" t="s">
        <v>264</v>
      </c>
      <c r="E8" s="3">
        <f>C69</f>
        <v>100</v>
      </c>
      <c r="F8" s="66">
        <f>D69</f>
        <v>147500</v>
      </c>
      <c r="G8" s="3">
        <f>F69</f>
        <v>3779.2071999999998</v>
      </c>
      <c r="H8" s="3"/>
      <c r="J8" s="133"/>
      <c r="K8" s="3"/>
    </row>
    <row r="9" spans="1:17" x14ac:dyDescent="0.45">
      <c r="C9" s="1" t="s">
        <v>265</v>
      </c>
      <c r="E9" s="6">
        <f>C86</f>
        <v>149</v>
      </c>
      <c r="F9" s="306">
        <f>D86</f>
        <v>485080</v>
      </c>
      <c r="G9" s="6">
        <f>F86</f>
        <v>7598.5487999999996</v>
      </c>
      <c r="H9" s="3"/>
      <c r="J9" s="133"/>
      <c r="K9" s="3"/>
    </row>
    <row r="10" spans="1:17" x14ac:dyDescent="0.45">
      <c r="C10" s="1" t="s">
        <v>267</v>
      </c>
      <c r="E10" s="77">
        <f>C103</f>
        <v>20</v>
      </c>
      <c r="F10" s="211">
        <f>D103</f>
        <v>11340</v>
      </c>
      <c r="G10" s="77">
        <f>F103</f>
        <v>626.096</v>
      </c>
      <c r="H10" s="3"/>
      <c r="J10" s="133"/>
      <c r="K10" s="3"/>
    </row>
    <row r="11" spans="1:17" x14ac:dyDescent="0.45">
      <c r="C11" s="1" t="s">
        <v>38</v>
      </c>
      <c r="E11" s="39">
        <f>SUM(E6:E10)</f>
        <v>3807</v>
      </c>
      <c r="F11" s="39">
        <f t="shared" ref="F11:G11" si="0">SUM(F6:F10)</f>
        <v>13434608</v>
      </c>
      <c r="G11" s="39">
        <f t="shared" si="0"/>
        <v>202198.41629999998</v>
      </c>
      <c r="H11" s="5"/>
      <c r="J11" s="133"/>
      <c r="K11" s="39"/>
      <c r="M11" s="67"/>
    </row>
    <row r="12" spans="1:17" x14ac:dyDescent="0.45">
      <c r="C12" s="1" t="s">
        <v>127</v>
      </c>
      <c r="E12" s="39"/>
      <c r="F12" s="6"/>
      <c r="G12" s="313">
        <f>Adjustments!B7</f>
        <v>-13570.55</v>
      </c>
      <c r="H12" s="5"/>
      <c r="J12" s="133"/>
      <c r="K12" s="39"/>
      <c r="M12" s="67"/>
    </row>
    <row r="13" spans="1:17" x14ac:dyDescent="0.45">
      <c r="C13" s="1" t="s">
        <v>128</v>
      </c>
      <c r="E13" s="39"/>
      <c r="F13" s="6"/>
      <c r="G13" s="175">
        <f>G11+G12</f>
        <v>188627.86629999999</v>
      </c>
      <c r="H13" s="5"/>
      <c r="J13" s="133"/>
      <c r="K13" s="39"/>
      <c r="M13" s="67"/>
    </row>
    <row r="14" spans="1:17" x14ac:dyDescent="0.45">
      <c r="C14" s="1" t="s">
        <v>338</v>
      </c>
      <c r="E14" s="39"/>
      <c r="F14" s="6"/>
      <c r="G14" s="175">
        <f>-SAOw!G41</f>
        <v>-218759.22852455219</v>
      </c>
      <c r="H14" s="5"/>
      <c r="J14" s="133"/>
      <c r="K14" s="67"/>
    </row>
    <row r="15" spans="1:17" x14ac:dyDescent="0.45">
      <c r="C15" s="1" t="s">
        <v>129</v>
      </c>
      <c r="D15" s="188"/>
      <c r="F15" s="126"/>
      <c r="G15" s="71">
        <f>G13+G14</f>
        <v>-30131.362224552198</v>
      </c>
      <c r="H15" s="200">
        <f>G15/-G14</f>
        <v>-0.13773755936047488</v>
      </c>
      <c r="I15" s="71"/>
      <c r="J15" s="133"/>
      <c r="O15" s="39"/>
    </row>
    <row r="16" spans="1:17" x14ac:dyDescent="0.45">
      <c r="D16" s="188"/>
      <c r="F16" s="126"/>
      <c r="G16" s="174"/>
      <c r="I16" s="71"/>
      <c r="J16" s="133"/>
    </row>
    <row r="17" spans="1:19" x14ac:dyDescent="0.45">
      <c r="D17" s="188"/>
      <c r="F17" s="126"/>
      <c r="G17" s="188"/>
      <c r="I17" s="71"/>
    </row>
    <row r="18" spans="1:19" x14ac:dyDescent="0.45">
      <c r="F18" s="173"/>
      <c r="G18" s="71"/>
    </row>
    <row r="19" spans="1:19" x14ac:dyDescent="0.45">
      <c r="F19" s="71"/>
      <c r="G19" s="71"/>
    </row>
    <row r="20" spans="1:19" ht="15.75" x14ac:dyDescent="0.5">
      <c r="A20" s="123" t="s">
        <v>259</v>
      </c>
      <c r="N20"/>
      <c r="O20"/>
      <c r="P20"/>
      <c r="Q20"/>
      <c r="R20"/>
      <c r="S20"/>
    </row>
    <row r="21" spans="1:19" ht="15.4" x14ac:dyDescent="0.45">
      <c r="E21" s="2" t="s">
        <v>43</v>
      </c>
      <c r="F21" s="2" t="s">
        <v>62</v>
      </c>
      <c r="G21" s="2" t="s">
        <v>62</v>
      </c>
      <c r="H21" s="2" t="s">
        <v>44</v>
      </c>
      <c r="K21"/>
      <c r="L21"/>
      <c r="M21"/>
      <c r="N21"/>
      <c r="O21"/>
      <c r="P21"/>
    </row>
    <row r="22" spans="1:19" ht="15.4" x14ac:dyDescent="0.45">
      <c r="B22" s="11" t="s">
        <v>45</v>
      </c>
      <c r="C22" s="12" t="s">
        <v>46</v>
      </c>
      <c r="D22" s="213" t="s">
        <v>47</v>
      </c>
      <c r="E22" s="12">
        <f>B23</f>
        <v>2000</v>
      </c>
      <c r="F22" s="12">
        <f>B24</f>
        <v>3000</v>
      </c>
      <c r="G22" s="12">
        <f>B25</f>
        <v>5000</v>
      </c>
      <c r="H22" s="12">
        <f>B26</f>
        <v>10000</v>
      </c>
      <c r="I22" s="11" t="s">
        <v>48</v>
      </c>
      <c r="K22"/>
      <c r="L22"/>
      <c r="M22"/>
      <c r="N22"/>
      <c r="O22"/>
      <c r="P22"/>
    </row>
    <row r="23" spans="1:19" ht="15.4" x14ac:dyDescent="0.45">
      <c r="A23" s="13" t="s">
        <v>43</v>
      </c>
      <c r="B23" s="14">
        <v>2000</v>
      </c>
      <c r="C23" s="209">
        <f>ExBAw!C23</f>
        <v>1149</v>
      </c>
      <c r="D23" s="209">
        <f>ExBAw!D23</f>
        <v>1327158</v>
      </c>
      <c r="E23" s="72">
        <f>D23</f>
        <v>1327158</v>
      </c>
      <c r="F23" s="72">
        <v>0</v>
      </c>
      <c r="G23" s="72">
        <v>0</v>
      </c>
      <c r="H23" s="72">
        <v>0</v>
      </c>
      <c r="I23" s="72">
        <f>SUM(E23:H23)</f>
        <v>1327158</v>
      </c>
      <c r="K23"/>
      <c r="L23"/>
      <c r="M23"/>
      <c r="N23"/>
      <c r="O23"/>
      <c r="P23"/>
    </row>
    <row r="24" spans="1:19" ht="15.4" x14ac:dyDescent="0.45">
      <c r="A24" s="13" t="s">
        <v>62</v>
      </c>
      <c r="B24" s="14">
        <v>3000</v>
      </c>
      <c r="C24" s="209">
        <f>ExBAw!C24</f>
        <v>1448</v>
      </c>
      <c r="D24" s="209">
        <f>ExBAw!D24</f>
        <v>4826720</v>
      </c>
      <c r="E24" s="72">
        <f>C24*E$22</f>
        <v>2896000</v>
      </c>
      <c r="F24" s="72">
        <f>D24-E24</f>
        <v>1930720</v>
      </c>
      <c r="G24" s="72">
        <v>0</v>
      </c>
      <c r="H24" s="72">
        <v>0</v>
      </c>
      <c r="I24" s="72">
        <f>SUM(E24:H24)</f>
        <v>4826720</v>
      </c>
      <c r="K24"/>
      <c r="L24"/>
      <c r="M24"/>
      <c r="N24"/>
      <c r="O24"/>
      <c r="P24"/>
    </row>
    <row r="25" spans="1:19" ht="15.4" x14ac:dyDescent="0.45">
      <c r="A25" s="13" t="s">
        <v>62</v>
      </c>
      <c r="B25" s="14">
        <v>5000</v>
      </c>
      <c r="C25" s="209">
        <f>ExBAw!C25</f>
        <v>413</v>
      </c>
      <c r="D25" s="209">
        <f>ExBAw!D25</f>
        <v>2711860</v>
      </c>
      <c r="E25" s="72">
        <f>C25*E$22</f>
        <v>826000</v>
      </c>
      <c r="F25" s="72">
        <f>$C25*F$22</f>
        <v>1239000</v>
      </c>
      <c r="G25" s="72">
        <f>D25-(F25+E25)</f>
        <v>646860</v>
      </c>
      <c r="H25" s="72">
        <v>0</v>
      </c>
      <c r="I25" s="72">
        <f>SUM(E25:H25)</f>
        <v>2711860</v>
      </c>
      <c r="K25"/>
      <c r="L25"/>
      <c r="M25"/>
      <c r="N25"/>
      <c r="O25"/>
      <c r="P25"/>
    </row>
    <row r="26" spans="1:19" ht="15.4" x14ac:dyDescent="0.45">
      <c r="A26" s="13" t="s">
        <v>44</v>
      </c>
      <c r="B26" s="16">
        <v>10000</v>
      </c>
      <c r="C26" s="209">
        <f>ExBAw!C26</f>
        <v>65</v>
      </c>
      <c r="D26" s="209">
        <f>ExBAw!D26</f>
        <v>1007840</v>
      </c>
      <c r="E26" s="73">
        <f>C26*E$22</f>
        <v>130000</v>
      </c>
      <c r="F26" s="73">
        <f>$C26*F$22</f>
        <v>195000</v>
      </c>
      <c r="G26" s="73">
        <f>$C26*G$22</f>
        <v>325000</v>
      </c>
      <c r="H26" s="73">
        <f>D26-E26-F26-G26</f>
        <v>357840</v>
      </c>
      <c r="I26" s="73">
        <f>SUM(E26:H26)</f>
        <v>1007840</v>
      </c>
      <c r="K26"/>
      <c r="L26"/>
      <c r="M26"/>
      <c r="N26"/>
      <c r="O26"/>
      <c r="P26"/>
    </row>
    <row r="27" spans="1:19" ht="15.4" x14ac:dyDescent="0.45">
      <c r="A27" s="13"/>
      <c r="B27" s="14" t="s">
        <v>48</v>
      </c>
      <c r="C27" s="74">
        <f t="shared" ref="C27:I27" si="1">SUM(C23:C26)</f>
        <v>3075</v>
      </c>
      <c r="D27" s="6">
        <f t="shared" si="1"/>
        <v>9873578</v>
      </c>
      <c r="E27" s="74">
        <f t="shared" si="1"/>
        <v>5179158</v>
      </c>
      <c r="F27" s="74">
        <f t="shared" si="1"/>
        <v>3364720</v>
      </c>
      <c r="G27" s="74">
        <f t="shared" si="1"/>
        <v>971860</v>
      </c>
      <c r="H27" s="74">
        <f t="shared" si="1"/>
        <v>357840</v>
      </c>
      <c r="I27" s="74">
        <f t="shared" si="1"/>
        <v>9873578</v>
      </c>
      <c r="J27" s="3"/>
      <c r="K27"/>
      <c r="L27"/>
      <c r="M27"/>
      <c r="N27"/>
      <c r="O27"/>
      <c r="P27"/>
    </row>
    <row r="28" spans="1:19" ht="15.4" x14ac:dyDescent="0.45">
      <c r="A28" s="13"/>
      <c r="B28" s="14"/>
      <c r="E28" s="14"/>
      <c r="F28" s="14"/>
      <c r="G28" s="14"/>
      <c r="H28" s="14"/>
      <c r="I28" s="14"/>
      <c r="N28"/>
      <c r="O28"/>
      <c r="P28"/>
      <c r="Q28"/>
      <c r="R28"/>
      <c r="S28"/>
    </row>
    <row r="29" spans="1:19" ht="15.4" x14ac:dyDescent="0.45">
      <c r="A29" s="18" t="s">
        <v>49</v>
      </c>
      <c r="B29" s="18"/>
      <c r="E29" s="14"/>
      <c r="F29" s="14"/>
      <c r="G29" s="14"/>
      <c r="H29" s="14"/>
      <c r="I29" s="14"/>
      <c r="N29"/>
      <c r="O29"/>
      <c r="P29"/>
      <c r="Q29"/>
      <c r="R29"/>
      <c r="S29"/>
    </row>
    <row r="30" spans="1:19" ht="15.4" x14ac:dyDescent="0.45">
      <c r="A30" s="13"/>
      <c r="B30" s="11" t="s">
        <v>45</v>
      </c>
      <c r="C30" s="12" t="s">
        <v>46</v>
      </c>
      <c r="D30" s="213" t="s">
        <v>47</v>
      </c>
      <c r="E30" s="12" t="s">
        <v>50</v>
      </c>
      <c r="F30" s="12" t="s">
        <v>51</v>
      </c>
      <c r="G30" s="14"/>
      <c r="H30" s="14"/>
      <c r="I30" s="14"/>
      <c r="N30"/>
      <c r="O30"/>
      <c r="P30"/>
      <c r="Q30"/>
      <c r="R30"/>
      <c r="S30"/>
    </row>
    <row r="31" spans="1:19" ht="15.4" x14ac:dyDescent="0.45">
      <c r="A31" s="13" t="s">
        <v>43</v>
      </c>
      <c r="B31" s="14">
        <f>B23</f>
        <v>2000</v>
      </c>
      <c r="C31" s="15">
        <f>C27</f>
        <v>3075</v>
      </c>
      <c r="D31" s="188">
        <f>E27</f>
        <v>5179158</v>
      </c>
      <c r="E31" s="19">
        <f>RatesW!$L$13</f>
        <v>31.12</v>
      </c>
      <c r="F31" s="9">
        <f>E31*C31</f>
        <v>95694</v>
      </c>
      <c r="G31" s="14"/>
      <c r="N31"/>
      <c r="O31"/>
      <c r="P31"/>
      <c r="Q31"/>
      <c r="R31"/>
      <c r="S31"/>
    </row>
    <row r="32" spans="1:19" ht="15.4" x14ac:dyDescent="0.45">
      <c r="A32" s="13" t="s">
        <v>62</v>
      </c>
      <c r="B32" s="14">
        <f>B24</f>
        <v>3000</v>
      </c>
      <c r="D32" s="188">
        <f>F27</f>
        <v>3364720</v>
      </c>
      <c r="E32" s="19">
        <f>RatesW!$L$14</f>
        <v>12.32</v>
      </c>
      <c r="F32" s="3">
        <f>E32*(D32/1000)</f>
        <v>41453.350399999996</v>
      </c>
      <c r="G32" s="14"/>
      <c r="N32"/>
      <c r="O32"/>
      <c r="P32"/>
      <c r="Q32"/>
      <c r="R32"/>
      <c r="S32"/>
    </row>
    <row r="33" spans="1:19" ht="15.4" x14ac:dyDescent="0.45">
      <c r="A33" s="13" t="s">
        <v>62</v>
      </c>
      <c r="B33" s="14">
        <f>B25</f>
        <v>5000</v>
      </c>
      <c r="D33" s="188">
        <f>G27</f>
        <v>971860</v>
      </c>
      <c r="E33" s="19">
        <f>RatesW!$L$15</f>
        <v>11</v>
      </c>
      <c r="F33" s="3">
        <f>E33*(D33/1000)</f>
        <v>10690.460000000001</v>
      </c>
      <c r="G33" s="14"/>
      <c r="N33"/>
      <c r="O33"/>
      <c r="P33"/>
      <c r="Q33"/>
      <c r="R33"/>
      <c r="S33"/>
    </row>
    <row r="34" spans="1:19" x14ac:dyDescent="0.45">
      <c r="A34" s="13" t="s">
        <v>44</v>
      </c>
      <c r="B34" s="16">
        <f>B26</f>
        <v>10000</v>
      </c>
      <c r="C34" s="20"/>
      <c r="D34" s="214">
        <f>H27</f>
        <v>357840</v>
      </c>
      <c r="E34" s="198">
        <f>RatesW!$L$16</f>
        <v>9.7100000000000009</v>
      </c>
      <c r="F34" s="77">
        <f>E34*(D34/1000)</f>
        <v>3474.6264000000001</v>
      </c>
      <c r="G34" s="14"/>
      <c r="Q34" s="3">
        <f>Q28/12</f>
        <v>0</v>
      </c>
    </row>
    <row r="35" spans="1:19" x14ac:dyDescent="0.45">
      <c r="A35" s="13"/>
      <c r="B35" s="14" t="s">
        <v>48</v>
      </c>
      <c r="C35" s="3">
        <f>SUM(C31:C34)</f>
        <v>3075</v>
      </c>
      <c r="D35" s="6">
        <f>SUM(D31:D34)</f>
        <v>9873578</v>
      </c>
      <c r="F35" s="9">
        <f>SUM(F31:F34)</f>
        <v>151312.4368</v>
      </c>
      <c r="G35" s="68"/>
      <c r="H35" s="14"/>
      <c r="I35" s="176"/>
    </row>
    <row r="36" spans="1:19" x14ac:dyDescent="0.45">
      <c r="A36" s="13"/>
      <c r="B36" s="14"/>
      <c r="C36" s="3"/>
      <c r="D36" s="6"/>
      <c r="F36" s="9"/>
      <c r="G36" s="14"/>
      <c r="H36" s="14"/>
      <c r="I36" s="14"/>
    </row>
    <row r="37" spans="1:19" ht="15.75" x14ac:dyDescent="0.5">
      <c r="A37" s="123" t="s">
        <v>260</v>
      </c>
    </row>
    <row r="38" spans="1:19" x14ac:dyDescent="0.45">
      <c r="E38" s="2" t="s">
        <v>43</v>
      </c>
      <c r="F38" s="2" t="s">
        <v>62</v>
      </c>
      <c r="G38" s="2" t="s">
        <v>62</v>
      </c>
      <c r="H38" s="2" t="s">
        <v>44</v>
      </c>
      <c r="L38" s="1"/>
    </row>
    <row r="39" spans="1:19" x14ac:dyDescent="0.45">
      <c r="B39" s="11" t="s">
        <v>45</v>
      </c>
      <c r="C39" s="12" t="s">
        <v>46</v>
      </c>
      <c r="D39" s="213" t="s">
        <v>47</v>
      </c>
      <c r="E39" s="12">
        <f>B40</f>
        <v>2000</v>
      </c>
      <c r="F39" s="12">
        <f>B41</f>
        <v>3000</v>
      </c>
      <c r="G39" s="12">
        <f>B42</f>
        <v>5000</v>
      </c>
      <c r="H39" s="12">
        <f>B43</f>
        <v>10000</v>
      </c>
      <c r="I39" s="11" t="s">
        <v>48</v>
      </c>
      <c r="L39" s="1"/>
    </row>
    <row r="40" spans="1:19" x14ac:dyDescent="0.45">
      <c r="A40" s="13" t="s">
        <v>43</v>
      </c>
      <c r="B40" s="14">
        <v>2000</v>
      </c>
      <c r="C40" s="209">
        <f>ExBAw!C40</f>
        <v>227</v>
      </c>
      <c r="D40" s="209">
        <f>ExBAw!D40</f>
        <v>126660</v>
      </c>
      <c r="E40" s="72">
        <f>D40</f>
        <v>126660</v>
      </c>
      <c r="F40" s="72">
        <v>0</v>
      </c>
      <c r="G40" s="72">
        <v>0</v>
      </c>
      <c r="H40" s="72">
        <v>0</v>
      </c>
      <c r="I40" s="72">
        <f>SUM(E40:H40)</f>
        <v>126660</v>
      </c>
      <c r="L40" s="1"/>
    </row>
    <row r="41" spans="1:19" x14ac:dyDescent="0.45">
      <c r="A41" s="13" t="s">
        <v>62</v>
      </c>
      <c r="B41" s="14">
        <v>3000</v>
      </c>
      <c r="C41" s="209">
        <f>ExBAw!C41</f>
        <v>101</v>
      </c>
      <c r="D41" s="209">
        <f>ExBAw!D41</f>
        <v>346500</v>
      </c>
      <c r="E41" s="72">
        <f>C41*E39</f>
        <v>202000</v>
      </c>
      <c r="F41" s="72">
        <f>D41-E41</f>
        <v>144500</v>
      </c>
      <c r="G41" s="72">
        <v>0</v>
      </c>
      <c r="H41" s="72">
        <v>0</v>
      </c>
      <c r="I41" s="72">
        <f t="shared" ref="I41:I42" si="2">SUM(E41:H41)</f>
        <v>346500</v>
      </c>
      <c r="L41" s="1"/>
    </row>
    <row r="42" spans="1:19" x14ac:dyDescent="0.45">
      <c r="A42" s="13" t="s">
        <v>62</v>
      </c>
      <c r="B42" s="14">
        <v>5000</v>
      </c>
      <c r="C42" s="209">
        <f>ExBAw!C42</f>
        <v>79</v>
      </c>
      <c r="D42" s="209">
        <f>ExBAw!D42</f>
        <v>523700</v>
      </c>
      <c r="E42" s="72">
        <f>C42*E39</f>
        <v>158000</v>
      </c>
      <c r="F42" s="72">
        <f>C42*F39</f>
        <v>237000</v>
      </c>
      <c r="G42" s="72">
        <f>D42-E42-F42</f>
        <v>128700</v>
      </c>
      <c r="H42" s="72"/>
      <c r="I42" s="72">
        <f t="shared" si="2"/>
        <v>523700</v>
      </c>
      <c r="L42" s="1"/>
    </row>
    <row r="43" spans="1:19" x14ac:dyDescent="0.45">
      <c r="A43" s="13" t="s">
        <v>44</v>
      </c>
      <c r="B43" s="16">
        <v>10000</v>
      </c>
      <c r="C43" s="209">
        <f>ExBAw!C43</f>
        <v>56</v>
      </c>
      <c r="D43" s="209">
        <f>ExBAw!D43</f>
        <v>1920250</v>
      </c>
      <c r="E43" s="73">
        <f>$C43*E$39</f>
        <v>112000</v>
      </c>
      <c r="F43" s="73">
        <f>C43*F39</f>
        <v>168000</v>
      </c>
      <c r="G43" s="73">
        <f>C43*G39</f>
        <v>280000</v>
      </c>
      <c r="H43" s="73">
        <f>D43-E43-F43-G43</f>
        <v>1360250</v>
      </c>
      <c r="I43" s="73">
        <f>SUM(E43:H43)</f>
        <v>1920250</v>
      </c>
      <c r="L43" s="1"/>
    </row>
    <row r="44" spans="1:19" x14ac:dyDescent="0.45">
      <c r="A44" s="13"/>
      <c r="B44" s="14"/>
      <c r="C44" s="74">
        <f>SUM(C40:C43)</f>
        <v>463</v>
      </c>
      <c r="D44" s="6">
        <f>SUM(D40:D43)</f>
        <v>2917110</v>
      </c>
      <c r="E44" s="74">
        <f>SUM(E40:E43)</f>
        <v>598660</v>
      </c>
      <c r="F44" s="74">
        <f t="shared" ref="F44:G44" si="3">SUM(F40:F43)</f>
        <v>549500</v>
      </c>
      <c r="G44" s="74">
        <f t="shared" si="3"/>
        <v>408700</v>
      </c>
      <c r="H44" s="74">
        <f>SUM(H40:H43)</f>
        <v>1360250</v>
      </c>
      <c r="I44" s="74">
        <f>SUM(I40:I43)</f>
        <v>2917110</v>
      </c>
      <c r="J44" s="110"/>
    </row>
    <row r="45" spans="1:19" x14ac:dyDescent="0.45">
      <c r="A45" s="13"/>
      <c r="B45" s="14"/>
      <c r="E45" s="14"/>
      <c r="F45" s="14"/>
      <c r="G45" s="14"/>
      <c r="H45" s="14"/>
      <c r="I45" s="14"/>
    </row>
    <row r="46" spans="1:19" x14ac:dyDescent="0.45">
      <c r="A46" s="18" t="s">
        <v>49</v>
      </c>
      <c r="B46" s="18"/>
      <c r="E46" s="14"/>
      <c r="F46" s="14"/>
      <c r="G46" s="14"/>
      <c r="H46" s="14"/>
      <c r="I46" s="14"/>
    </row>
    <row r="47" spans="1:19" x14ac:dyDescent="0.45">
      <c r="A47" s="13"/>
      <c r="B47" s="11" t="s">
        <v>45</v>
      </c>
      <c r="C47" s="12" t="s">
        <v>46</v>
      </c>
      <c r="D47" s="213" t="s">
        <v>47</v>
      </c>
      <c r="E47" s="12" t="s">
        <v>50</v>
      </c>
      <c r="F47" s="12" t="s">
        <v>51</v>
      </c>
      <c r="G47" s="14"/>
      <c r="H47" s="14"/>
      <c r="I47" s="14"/>
    </row>
    <row r="48" spans="1:19" x14ac:dyDescent="0.45">
      <c r="A48" s="13" t="s">
        <v>43</v>
      </c>
      <c r="B48" s="14">
        <f>B40</f>
        <v>2000</v>
      </c>
      <c r="C48" s="15">
        <f>C44</f>
        <v>463</v>
      </c>
      <c r="D48" s="188">
        <f>E44</f>
        <v>598660</v>
      </c>
      <c r="E48" s="19">
        <f>RatesW!$L$13</f>
        <v>31.12</v>
      </c>
      <c r="F48" s="9">
        <f>E48*C48</f>
        <v>14408.560000000001</v>
      </c>
      <c r="G48" s="14"/>
    </row>
    <row r="49" spans="1:12" x14ac:dyDescent="0.45">
      <c r="A49" s="13" t="s">
        <v>62</v>
      </c>
      <c r="B49" s="14">
        <f>B41</f>
        <v>3000</v>
      </c>
      <c r="C49" s="15"/>
      <c r="D49" s="188">
        <f>F44</f>
        <v>549500</v>
      </c>
      <c r="E49" s="19">
        <f>RatesW!$L$14</f>
        <v>12.32</v>
      </c>
      <c r="F49" s="6">
        <f t="shared" ref="F49:F50" si="4">E49*(D49/1000)</f>
        <v>6769.84</v>
      </c>
      <c r="G49" s="14"/>
    </row>
    <row r="50" spans="1:12" x14ac:dyDescent="0.45">
      <c r="A50" s="13" t="s">
        <v>62</v>
      </c>
      <c r="B50" s="14">
        <f>B42</f>
        <v>5000</v>
      </c>
      <c r="C50" s="15"/>
      <c r="D50" s="188">
        <f>G44</f>
        <v>408700</v>
      </c>
      <c r="E50" s="19">
        <f>RatesW!$L$15</f>
        <v>11</v>
      </c>
      <c r="F50" s="6">
        <f t="shared" si="4"/>
        <v>4495.7</v>
      </c>
      <c r="G50" s="14"/>
    </row>
    <row r="51" spans="1:12" x14ac:dyDescent="0.45">
      <c r="A51" s="13" t="s">
        <v>44</v>
      </c>
      <c r="B51" s="16">
        <f>B43</f>
        <v>10000</v>
      </c>
      <c r="C51" s="20"/>
      <c r="D51" s="214">
        <f>H44</f>
        <v>1360250</v>
      </c>
      <c r="E51" s="198">
        <f>RatesW!$L$16</f>
        <v>9.7100000000000009</v>
      </c>
      <c r="F51" s="77">
        <f>E51*(D51/1000)</f>
        <v>13208.027500000002</v>
      </c>
      <c r="G51" s="14"/>
    </row>
    <row r="52" spans="1:12" x14ac:dyDescent="0.45">
      <c r="A52" s="13"/>
      <c r="B52" s="14" t="s">
        <v>48</v>
      </c>
      <c r="C52" s="3">
        <f>SUM(C48:C51)</f>
        <v>463</v>
      </c>
      <c r="D52" s="6">
        <f>SUM(D48:D51)</f>
        <v>2917110</v>
      </c>
      <c r="F52" s="9">
        <f>SUM(F48:F51)</f>
        <v>38882.127500000002</v>
      </c>
      <c r="G52" s="68"/>
      <c r="H52" s="14"/>
      <c r="I52" s="176"/>
    </row>
    <row r="53" spans="1:12" x14ac:dyDescent="0.45">
      <c r="A53" s="13"/>
      <c r="B53" s="14"/>
      <c r="C53" s="22"/>
      <c r="D53" s="6"/>
      <c r="F53" s="19"/>
      <c r="G53" s="14"/>
      <c r="H53" s="14"/>
      <c r="I53" s="14"/>
    </row>
    <row r="54" spans="1:12" ht="15.75" x14ac:dyDescent="0.5">
      <c r="A54" s="123" t="s">
        <v>261</v>
      </c>
    </row>
    <row r="55" spans="1:12" x14ac:dyDescent="0.45">
      <c r="E55" s="2" t="s">
        <v>43</v>
      </c>
      <c r="F55" s="2" t="s">
        <v>62</v>
      </c>
      <c r="G55" s="2" t="s">
        <v>62</v>
      </c>
      <c r="H55" s="2" t="s">
        <v>44</v>
      </c>
      <c r="L55" s="1"/>
    </row>
    <row r="56" spans="1:12" x14ac:dyDescent="0.45">
      <c r="B56" s="11" t="s">
        <v>45</v>
      </c>
      <c r="C56" s="12" t="s">
        <v>46</v>
      </c>
      <c r="D56" s="213" t="s">
        <v>47</v>
      </c>
      <c r="E56" s="12">
        <f>B57</f>
        <v>2000</v>
      </c>
      <c r="F56" s="12">
        <f>B58</f>
        <v>3000</v>
      </c>
      <c r="G56" s="12">
        <f>B59</f>
        <v>5000</v>
      </c>
      <c r="H56" s="12">
        <f>B60</f>
        <v>10000</v>
      </c>
      <c r="I56" s="11" t="s">
        <v>48</v>
      </c>
      <c r="L56" s="1"/>
    </row>
    <row r="57" spans="1:12" x14ac:dyDescent="0.45">
      <c r="A57" s="13" t="s">
        <v>43</v>
      </c>
      <c r="B57" s="14">
        <v>2000</v>
      </c>
      <c r="C57" s="209">
        <f>ExBAw!C57</f>
        <v>74</v>
      </c>
      <c r="D57" s="209">
        <f>ExBAw!D57</f>
        <v>39940</v>
      </c>
      <c r="E57" s="72">
        <f>D57</f>
        <v>39940</v>
      </c>
      <c r="F57" s="72">
        <v>0</v>
      </c>
      <c r="G57" s="72">
        <v>0</v>
      </c>
      <c r="H57" s="72">
        <v>0</v>
      </c>
      <c r="I57" s="72">
        <f>SUM(E57:H57)</f>
        <v>39940</v>
      </c>
      <c r="L57" s="1"/>
    </row>
    <row r="58" spans="1:12" x14ac:dyDescent="0.45">
      <c r="A58" s="13" t="s">
        <v>62</v>
      </c>
      <c r="B58" s="14">
        <v>3000</v>
      </c>
      <c r="C58" s="209">
        <f>ExBAw!C58</f>
        <v>21</v>
      </c>
      <c r="D58" s="209">
        <f>ExBAw!D58</f>
        <v>69460</v>
      </c>
      <c r="E58" s="72">
        <f>C58*E56</f>
        <v>42000</v>
      </c>
      <c r="F58" s="72">
        <f>D58-E58</f>
        <v>27460</v>
      </c>
      <c r="G58" s="72">
        <v>0</v>
      </c>
      <c r="H58" s="72">
        <v>0</v>
      </c>
      <c r="I58" s="72">
        <f t="shared" ref="I58:I59" si="5">SUM(E58:H58)</f>
        <v>69460</v>
      </c>
      <c r="L58" s="1"/>
    </row>
    <row r="59" spans="1:12" x14ac:dyDescent="0.45">
      <c r="A59" s="13" t="s">
        <v>62</v>
      </c>
      <c r="B59" s="14">
        <v>5000</v>
      </c>
      <c r="C59" s="209">
        <f>ExBAw!C59</f>
        <v>5</v>
      </c>
      <c r="D59" s="209">
        <f>ExBAw!D59</f>
        <v>38100</v>
      </c>
      <c r="E59" s="72">
        <f>C59*E56</f>
        <v>10000</v>
      </c>
      <c r="F59" s="72">
        <f>C59*F56</f>
        <v>15000</v>
      </c>
      <c r="G59" s="72">
        <f>D59-E59-F59</f>
        <v>13100</v>
      </c>
      <c r="H59" s="72"/>
      <c r="I59" s="72">
        <f t="shared" si="5"/>
        <v>38100</v>
      </c>
      <c r="L59" s="1"/>
    </row>
    <row r="60" spans="1:12" x14ac:dyDescent="0.45">
      <c r="A60" s="13" t="s">
        <v>44</v>
      </c>
      <c r="B60" s="16">
        <v>10000</v>
      </c>
      <c r="C60" s="209">
        <f>ExBAw!C60</f>
        <v>0</v>
      </c>
      <c r="D60" s="209">
        <f>ExBAw!D60</f>
        <v>0</v>
      </c>
      <c r="E60" s="73">
        <f>$C60*E$39</f>
        <v>0</v>
      </c>
      <c r="F60" s="73">
        <f>C60*F56</f>
        <v>0</v>
      </c>
      <c r="G60" s="73">
        <f>C60*G56</f>
        <v>0</v>
      </c>
      <c r="H60" s="73">
        <f>D60-E60-F60-G60</f>
        <v>0</v>
      </c>
      <c r="I60" s="73">
        <f>SUM(E60:H60)</f>
        <v>0</v>
      </c>
      <c r="L60" s="1"/>
    </row>
    <row r="61" spans="1:12" x14ac:dyDescent="0.45">
      <c r="A61" s="13"/>
      <c r="B61" s="14"/>
      <c r="C61" s="3">
        <f>SUM(C57:C60)</f>
        <v>100</v>
      </c>
      <c r="D61" s="6">
        <f>SUM(D57:D60)</f>
        <v>147500</v>
      </c>
      <c r="E61" s="74">
        <f>SUM(E57:E60)</f>
        <v>91940</v>
      </c>
      <c r="F61" s="74">
        <f t="shared" ref="F61:G61" si="6">SUM(F57:F60)</f>
        <v>42460</v>
      </c>
      <c r="G61" s="74">
        <f t="shared" si="6"/>
        <v>13100</v>
      </c>
      <c r="H61" s="74">
        <f>SUM(H57:H60)</f>
        <v>0</v>
      </c>
      <c r="I61" s="74">
        <f>SUM(I57:I60)</f>
        <v>147500</v>
      </c>
      <c r="J61" s="110"/>
    </row>
    <row r="62" spans="1:12" x14ac:dyDescent="0.45">
      <c r="A62" s="13"/>
      <c r="B62" s="14"/>
      <c r="E62" s="14"/>
      <c r="F62" s="14"/>
      <c r="G62" s="14"/>
      <c r="H62" s="14"/>
      <c r="I62" s="14"/>
    </row>
    <row r="63" spans="1:12" x14ac:dyDescent="0.45">
      <c r="A63" s="18" t="s">
        <v>49</v>
      </c>
      <c r="B63" s="18"/>
      <c r="E63" s="14"/>
      <c r="F63" s="14"/>
      <c r="G63" s="14"/>
      <c r="H63" s="14"/>
      <c r="I63" s="14"/>
    </row>
    <row r="64" spans="1:12" x14ac:dyDescent="0.45">
      <c r="A64" s="13"/>
      <c r="B64" s="11" t="s">
        <v>45</v>
      </c>
      <c r="C64" s="12" t="s">
        <v>46</v>
      </c>
      <c r="D64" s="213" t="s">
        <v>47</v>
      </c>
      <c r="E64" s="12" t="s">
        <v>50</v>
      </c>
      <c r="F64" s="12" t="s">
        <v>51</v>
      </c>
      <c r="G64" s="14"/>
      <c r="H64" s="14"/>
      <c r="I64" s="14"/>
    </row>
    <row r="65" spans="1:12" x14ac:dyDescent="0.45">
      <c r="A65" s="13" t="s">
        <v>43</v>
      </c>
      <c r="B65" s="14">
        <f>B57</f>
        <v>2000</v>
      </c>
      <c r="C65" s="15">
        <f>C61</f>
        <v>100</v>
      </c>
      <c r="D65" s="188">
        <f>E61</f>
        <v>91940</v>
      </c>
      <c r="E65" s="19">
        <f>RatesW!$L$13</f>
        <v>31.12</v>
      </c>
      <c r="F65" s="9">
        <f>E65*C65</f>
        <v>3112</v>
      </c>
      <c r="G65" s="14"/>
    </row>
    <row r="66" spans="1:12" x14ac:dyDescent="0.45">
      <c r="A66" s="13" t="s">
        <v>62</v>
      </c>
      <c r="B66" s="14">
        <f>B58</f>
        <v>3000</v>
      </c>
      <c r="C66" s="15"/>
      <c r="D66" s="188">
        <f>F61</f>
        <v>42460</v>
      </c>
      <c r="E66" s="19">
        <f>RatesW!$L$14</f>
        <v>12.32</v>
      </c>
      <c r="F66" s="6">
        <f t="shared" ref="F66:F67" si="7">E66*(D66/1000)</f>
        <v>523.10720000000003</v>
      </c>
      <c r="G66" s="14"/>
    </row>
    <row r="67" spans="1:12" x14ac:dyDescent="0.45">
      <c r="A67" s="13" t="s">
        <v>62</v>
      </c>
      <c r="B67" s="14">
        <f>B59</f>
        <v>5000</v>
      </c>
      <c r="C67" s="15"/>
      <c r="D67" s="188">
        <f>G61</f>
        <v>13100</v>
      </c>
      <c r="E67" s="19">
        <f>RatesW!$L$15</f>
        <v>11</v>
      </c>
      <c r="F67" s="6">
        <f t="shared" si="7"/>
        <v>144.1</v>
      </c>
      <c r="G67" s="14"/>
    </row>
    <row r="68" spans="1:12" x14ac:dyDescent="0.45">
      <c r="A68" s="13" t="s">
        <v>44</v>
      </c>
      <c r="B68" s="16">
        <f>B60</f>
        <v>10000</v>
      </c>
      <c r="C68" s="20"/>
      <c r="D68" s="214">
        <f>H61</f>
        <v>0</v>
      </c>
      <c r="E68" s="198">
        <f>RatesW!$L$16</f>
        <v>9.7100000000000009</v>
      </c>
      <c r="F68" s="77">
        <f>E68*(D68/1000)</f>
        <v>0</v>
      </c>
      <c r="G68" s="14"/>
    </row>
    <row r="69" spans="1:12" x14ac:dyDescent="0.45">
      <c r="A69" s="13"/>
      <c r="B69" s="14" t="s">
        <v>48</v>
      </c>
      <c r="C69" s="3">
        <f>SUM(C65:C68)</f>
        <v>100</v>
      </c>
      <c r="D69" s="6">
        <f>SUM(D65:D68)</f>
        <v>147500</v>
      </c>
      <c r="F69" s="9">
        <f>SUM(F65:F68)</f>
        <v>3779.2071999999998</v>
      </c>
      <c r="G69" s="68"/>
      <c r="H69" s="14"/>
      <c r="I69" s="176"/>
    </row>
    <row r="70" spans="1:12" x14ac:dyDescent="0.45">
      <c r="A70" s="13"/>
      <c r="B70" s="14"/>
      <c r="C70" s="22"/>
      <c r="D70" s="6"/>
      <c r="F70" s="19"/>
      <c r="G70" s="14"/>
      <c r="H70" s="14"/>
      <c r="I70" s="14"/>
    </row>
    <row r="71" spans="1:12" ht="15.75" x14ac:dyDescent="0.5">
      <c r="A71" s="123" t="s">
        <v>266</v>
      </c>
    </row>
    <row r="72" spans="1:12" x14ac:dyDescent="0.45">
      <c r="E72" s="2" t="s">
        <v>43</v>
      </c>
      <c r="F72" s="2" t="s">
        <v>62</v>
      </c>
      <c r="G72" s="2" t="s">
        <v>62</v>
      </c>
      <c r="H72" s="2" t="s">
        <v>44</v>
      </c>
      <c r="L72" s="1"/>
    </row>
    <row r="73" spans="1:12" x14ac:dyDescent="0.45">
      <c r="B73" s="11" t="s">
        <v>45</v>
      </c>
      <c r="C73" s="12" t="s">
        <v>46</v>
      </c>
      <c r="D73" s="213" t="s">
        <v>47</v>
      </c>
      <c r="E73" s="12">
        <f>B74</f>
        <v>2000</v>
      </c>
      <c r="F73" s="12">
        <f>B75</f>
        <v>3000</v>
      </c>
      <c r="G73" s="12">
        <f>B76</f>
        <v>5000</v>
      </c>
      <c r="H73" s="12">
        <f>B77</f>
        <v>10000</v>
      </c>
      <c r="I73" s="11" t="s">
        <v>48</v>
      </c>
      <c r="L73" s="1"/>
    </row>
    <row r="74" spans="1:12" x14ac:dyDescent="0.45">
      <c r="A74" s="13" t="s">
        <v>43</v>
      </c>
      <c r="B74" s="14">
        <v>2000</v>
      </c>
      <c r="C74" s="209">
        <f>ExBAw!C74</f>
        <v>60</v>
      </c>
      <c r="D74" s="209">
        <f>ExBAw!D74</f>
        <v>55390</v>
      </c>
      <c r="E74" s="72">
        <f>D74</f>
        <v>55390</v>
      </c>
      <c r="F74" s="72">
        <v>0</v>
      </c>
      <c r="G74" s="72">
        <v>0</v>
      </c>
      <c r="H74" s="72">
        <v>0</v>
      </c>
      <c r="I74" s="72">
        <f>SUM(E74:H74)</f>
        <v>55390</v>
      </c>
      <c r="L74" s="1"/>
    </row>
    <row r="75" spans="1:12" x14ac:dyDescent="0.45">
      <c r="A75" s="13" t="s">
        <v>62</v>
      </c>
      <c r="B75" s="14">
        <v>3000</v>
      </c>
      <c r="C75" s="209">
        <f>ExBAw!C75</f>
        <v>58</v>
      </c>
      <c r="D75" s="209">
        <f>ExBAw!D75</f>
        <v>189990</v>
      </c>
      <c r="E75" s="72">
        <f>C75*E73</f>
        <v>116000</v>
      </c>
      <c r="F75" s="72">
        <f>D75-E75</f>
        <v>73990</v>
      </c>
      <c r="G75" s="72">
        <v>0</v>
      </c>
      <c r="H75" s="72">
        <v>0</v>
      </c>
      <c r="I75" s="72">
        <f t="shared" ref="I75:I76" si="8">SUM(E75:H75)</f>
        <v>189990</v>
      </c>
      <c r="L75" s="1"/>
    </row>
    <row r="76" spans="1:12" x14ac:dyDescent="0.45">
      <c r="A76" s="13" t="s">
        <v>62</v>
      </c>
      <c r="B76" s="14">
        <v>5000</v>
      </c>
      <c r="C76" s="209">
        <f>ExBAw!C76</f>
        <v>28</v>
      </c>
      <c r="D76" s="209">
        <f>ExBAw!D76</f>
        <v>188500</v>
      </c>
      <c r="E76" s="72">
        <f>C76*E73</f>
        <v>56000</v>
      </c>
      <c r="F76" s="72">
        <f>C76*F73</f>
        <v>84000</v>
      </c>
      <c r="G76" s="72">
        <f>D76-E76-F76</f>
        <v>48500</v>
      </c>
      <c r="H76" s="72"/>
      <c r="I76" s="72">
        <f t="shared" si="8"/>
        <v>188500</v>
      </c>
      <c r="L76" s="1"/>
    </row>
    <row r="77" spans="1:12" x14ac:dyDescent="0.45">
      <c r="A77" s="13" t="s">
        <v>44</v>
      </c>
      <c r="B77" s="16">
        <v>10000</v>
      </c>
      <c r="C77" s="209">
        <f>ExBAw!C77</f>
        <v>3</v>
      </c>
      <c r="D77" s="209">
        <f>ExBAw!D77</f>
        <v>51200</v>
      </c>
      <c r="E77" s="73">
        <f>$C77*E$39</f>
        <v>6000</v>
      </c>
      <c r="F77" s="73">
        <f>C77*F73</f>
        <v>9000</v>
      </c>
      <c r="G77" s="73">
        <f>C77*G73</f>
        <v>15000</v>
      </c>
      <c r="H77" s="73">
        <f>D77-E77-F77-G77</f>
        <v>21200</v>
      </c>
      <c r="I77" s="73">
        <f>SUM(E77:H77)</f>
        <v>51200</v>
      </c>
      <c r="L77" s="1"/>
    </row>
    <row r="78" spans="1:12" x14ac:dyDescent="0.45">
      <c r="A78" s="13"/>
      <c r="B78" s="14"/>
      <c r="C78" s="3">
        <f>SUM(C74:C77)</f>
        <v>149</v>
      </c>
      <c r="D78" s="6">
        <f>SUM(D74:D77)</f>
        <v>485080</v>
      </c>
      <c r="E78" s="74">
        <f>SUM(E74:E77)</f>
        <v>233390</v>
      </c>
      <c r="F78" s="74">
        <f t="shared" ref="F78:G78" si="9">SUM(F74:F77)</f>
        <v>166990</v>
      </c>
      <c r="G78" s="74">
        <f t="shared" si="9"/>
        <v>63500</v>
      </c>
      <c r="H78" s="74">
        <f>SUM(H74:H77)</f>
        <v>21200</v>
      </c>
      <c r="I78" s="74">
        <f>SUM(I74:I77)</f>
        <v>485080</v>
      </c>
      <c r="J78" s="110"/>
    </row>
    <row r="79" spans="1:12" x14ac:dyDescent="0.45">
      <c r="A79" s="13"/>
      <c r="B79" s="14"/>
      <c r="E79" s="14"/>
      <c r="F79" s="14"/>
      <c r="G79" s="14"/>
      <c r="H79" s="14"/>
      <c r="I79" s="14"/>
    </row>
    <row r="80" spans="1:12" x14ac:dyDescent="0.45">
      <c r="A80" s="18" t="s">
        <v>49</v>
      </c>
      <c r="B80" s="18"/>
      <c r="E80" s="14"/>
      <c r="F80" s="14"/>
      <c r="G80" s="14"/>
      <c r="H80" s="14"/>
      <c r="I80" s="14"/>
    </row>
    <row r="81" spans="1:12" x14ac:dyDescent="0.45">
      <c r="A81" s="13"/>
      <c r="B81" s="11" t="s">
        <v>45</v>
      </c>
      <c r="C81" s="12" t="s">
        <v>46</v>
      </c>
      <c r="D81" s="213" t="s">
        <v>47</v>
      </c>
      <c r="E81" s="12" t="s">
        <v>50</v>
      </c>
      <c r="F81" s="12" t="s">
        <v>51</v>
      </c>
      <c r="G81" s="14"/>
      <c r="H81" s="14"/>
      <c r="I81" s="14"/>
    </row>
    <row r="82" spans="1:12" x14ac:dyDescent="0.45">
      <c r="A82" s="13" t="s">
        <v>43</v>
      </c>
      <c r="B82" s="14">
        <f>B74</f>
        <v>2000</v>
      </c>
      <c r="C82" s="15">
        <f>C78</f>
        <v>149</v>
      </c>
      <c r="D82" s="188">
        <f>E78</f>
        <v>233390</v>
      </c>
      <c r="E82" s="19">
        <f>RatesW!$L$13</f>
        <v>31.12</v>
      </c>
      <c r="F82" s="9">
        <f>E82*C82</f>
        <v>4636.88</v>
      </c>
      <c r="G82" s="14"/>
    </row>
    <row r="83" spans="1:12" x14ac:dyDescent="0.45">
      <c r="A83" s="13" t="s">
        <v>62</v>
      </c>
      <c r="B83" s="14">
        <f>B75</f>
        <v>3000</v>
      </c>
      <c r="C83" s="15"/>
      <c r="D83" s="188">
        <f>F78</f>
        <v>166990</v>
      </c>
      <c r="E83" s="19">
        <f>RatesW!$L$14</f>
        <v>12.32</v>
      </c>
      <c r="F83" s="6">
        <f t="shared" ref="F83:F84" si="10">E83*(D83/1000)</f>
        <v>2057.3168000000001</v>
      </c>
      <c r="G83" s="14"/>
    </row>
    <row r="84" spans="1:12" x14ac:dyDescent="0.45">
      <c r="A84" s="13" t="s">
        <v>62</v>
      </c>
      <c r="B84" s="14">
        <f>B76</f>
        <v>5000</v>
      </c>
      <c r="C84" s="15"/>
      <c r="D84" s="188">
        <f>G78</f>
        <v>63500</v>
      </c>
      <c r="E84" s="19">
        <f>RatesW!$L$15</f>
        <v>11</v>
      </c>
      <c r="F84" s="6">
        <f t="shared" si="10"/>
        <v>698.5</v>
      </c>
      <c r="G84" s="14"/>
    </row>
    <row r="85" spans="1:12" x14ac:dyDescent="0.45">
      <c r="A85" s="13" t="s">
        <v>44</v>
      </c>
      <c r="B85" s="16">
        <f>B77</f>
        <v>10000</v>
      </c>
      <c r="C85" s="20"/>
      <c r="D85" s="214">
        <f>H78</f>
        <v>21200</v>
      </c>
      <c r="E85" s="198">
        <f>RatesW!$L$16</f>
        <v>9.7100000000000009</v>
      </c>
      <c r="F85" s="77">
        <f>E85*(D85/1000)</f>
        <v>205.852</v>
      </c>
      <c r="G85" s="14"/>
    </row>
    <row r="86" spans="1:12" x14ac:dyDescent="0.45">
      <c r="A86" s="13"/>
      <c r="B86" s="14" t="s">
        <v>48</v>
      </c>
      <c r="C86" s="3">
        <f>SUM(C82:C85)</f>
        <v>149</v>
      </c>
      <c r="D86" s="6">
        <f>SUM(D82:D85)</f>
        <v>485080</v>
      </c>
      <c r="F86" s="9">
        <f>SUM(F82:F85)</f>
        <v>7598.5487999999996</v>
      </c>
      <c r="G86" s="68"/>
      <c r="H86" s="14"/>
      <c r="I86" s="176"/>
    </row>
    <row r="87" spans="1:12" x14ac:dyDescent="0.45">
      <c r="A87" s="13"/>
      <c r="B87" s="14"/>
      <c r="C87" s="74"/>
      <c r="D87" s="174"/>
      <c r="E87" s="207"/>
      <c r="F87" s="208"/>
      <c r="G87" s="14"/>
      <c r="L87" s="6"/>
    </row>
    <row r="88" spans="1:12" ht="15.75" x14ac:dyDescent="0.5">
      <c r="A88" s="123" t="s">
        <v>268</v>
      </c>
      <c r="L88" s="6"/>
    </row>
    <row r="89" spans="1:12" x14ac:dyDescent="0.45">
      <c r="E89" s="2" t="s">
        <v>43</v>
      </c>
      <c r="F89" s="2" t="s">
        <v>62</v>
      </c>
      <c r="G89" s="2" t="s">
        <v>62</v>
      </c>
      <c r="H89" s="2" t="s">
        <v>44</v>
      </c>
      <c r="L89" s="6"/>
    </row>
    <row r="90" spans="1:12" x14ac:dyDescent="0.45">
      <c r="B90" s="11" t="s">
        <v>45</v>
      </c>
      <c r="C90" s="12" t="s">
        <v>46</v>
      </c>
      <c r="D90" s="213" t="s">
        <v>47</v>
      </c>
      <c r="E90" s="12">
        <f>B91</f>
        <v>2000</v>
      </c>
      <c r="F90" s="12">
        <f>B92</f>
        <v>3000</v>
      </c>
      <c r="G90" s="12">
        <f>B93</f>
        <v>5000</v>
      </c>
      <c r="H90" s="12">
        <f>B94</f>
        <v>10000</v>
      </c>
      <c r="I90" s="11" t="s">
        <v>48</v>
      </c>
      <c r="L90" s="6"/>
    </row>
    <row r="91" spans="1:12" x14ac:dyDescent="0.45">
      <c r="A91" s="13" t="s">
        <v>43</v>
      </c>
      <c r="B91" s="14">
        <v>2000</v>
      </c>
      <c r="C91" s="209">
        <f>ExBAw!C91</f>
        <v>19</v>
      </c>
      <c r="D91" s="209">
        <f>ExBAw!D91</f>
        <v>9040</v>
      </c>
      <c r="E91" s="72">
        <f>D91</f>
        <v>9040</v>
      </c>
      <c r="F91" s="72">
        <v>0</v>
      </c>
      <c r="G91" s="72">
        <v>0</v>
      </c>
      <c r="H91" s="72">
        <v>0</v>
      </c>
      <c r="I91" s="72">
        <f>SUM(E91:H91)</f>
        <v>9040</v>
      </c>
      <c r="L91" s="6"/>
    </row>
    <row r="92" spans="1:12" x14ac:dyDescent="0.45">
      <c r="A92" s="13" t="s">
        <v>62</v>
      </c>
      <c r="B92" s="14">
        <v>3000</v>
      </c>
      <c r="C92" s="209">
        <f>ExBAw!C92</f>
        <v>1</v>
      </c>
      <c r="D92" s="209">
        <f>ExBAw!D92</f>
        <v>2300</v>
      </c>
      <c r="E92" s="72">
        <f>C92*E90</f>
        <v>2000</v>
      </c>
      <c r="F92" s="72">
        <f>D92-E92</f>
        <v>300</v>
      </c>
      <c r="G92" s="72">
        <v>0</v>
      </c>
      <c r="H92" s="72">
        <v>0</v>
      </c>
      <c r="I92" s="72">
        <f t="shared" ref="I92:I93" si="11">SUM(E92:H92)</f>
        <v>2300</v>
      </c>
      <c r="L92" s="6"/>
    </row>
    <row r="93" spans="1:12" x14ac:dyDescent="0.45">
      <c r="A93" s="13" t="s">
        <v>62</v>
      </c>
      <c r="B93" s="14">
        <v>5000</v>
      </c>
      <c r="C93" s="209">
        <f>ExBAw!C93</f>
        <v>0</v>
      </c>
      <c r="D93" s="209">
        <f>ExBAw!D93</f>
        <v>0</v>
      </c>
      <c r="E93" s="72">
        <f>C93*E90</f>
        <v>0</v>
      </c>
      <c r="F93" s="72">
        <f>C93*F90</f>
        <v>0</v>
      </c>
      <c r="G93" s="72">
        <f>D93-E93-F93</f>
        <v>0</v>
      </c>
      <c r="H93" s="72"/>
      <c r="I93" s="72">
        <f t="shared" si="11"/>
        <v>0</v>
      </c>
      <c r="L93" s="6"/>
    </row>
    <row r="94" spans="1:12" x14ac:dyDescent="0.45">
      <c r="A94" s="13" t="s">
        <v>44</v>
      </c>
      <c r="B94" s="16">
        <v>10000</v>
      </c>
      <c r="C94" s="209">
        <f>ExBAw!C94</f>
        <v>0</v>
      </c>
      <c r="D94" s="209">
        <f>ExBAw!D94</f>
        <v>0</v>
      </c>
      <c r="E94" s="73">
        <f>$C94*E$39</f>
        <v>0</v>
      </c>
      <c r="F94" s="73">
        <f>C94*F90</f>
        <v>0</v>
      </c>
      <c r="G94" s="73">
        <f>C94*G90</f>
        <v>0</v>
      </c>
      <c r="H94" s="73">
        <f>D94-E94-F94-G94</f>
        <v>0</v>
      </c>
      <c r="I94" s="73">
        <f>SUM(E94:H94)</f>
        <v>0</v>
      </c>
      <c r="L94" s="6"/>
    </row>
    <row r="95" spans="1:12" x14ac:dyDescent="0.45">
      <c r="A95" s="13"/>
      <c r="B95" s="14"/>
      <c r="C95" s="3">
        <f>SUM(C91:C94)</f>
        <v>20</v>
      </c>
      <c r="D95" s="6">
        <f>SUM(D91:D94)</f>
        <v>11340</v>
      </c>
      <c r="E95" s="74">
        <f>SUM(E91:E94)</f>
        <v>11040</v>
      </c>
      <c r="F95" s="74">
        <f t="shared" ref="F95:G95" si="12">SUM(F91:F94)</f>
        <v>300</v>
      </c>
      <c r="G95" s="74">
        <f t="shared" si="12"/>
        <v>0</v>
      </c>
      <c r="H95" s="74">
        <f>SUM(H91:H94)</f>
        <v>0</v>
      </c>
      <c r="I95" s="74">
        <f>SUM(I91:I94)</f>
        <v>11340</v>
      </c>
      <c r="L95" s="6"/>
    </row>
    <row r="96" spans="1:12" x14ac:dyDescent="0.45">
      <c r="A96" s="13"/>
      <c r="B96" s="14"/>
      <c r="E96" s="14"/>
      <c r="F96" s="14"/>
      <c r="G96" s="14"/>
      <c r="H96" s="14"/>
      <c r="I96" s="14"/>
      <c r="L96" s="6"/>
    </row>
    <row r="97" spans="1:12" x14ac:dyDescent="0.45">
      <c r="A97" s="18" t="s">
        <v>49</v>
      </c>
      <c r="B97" s="18"/>
      <c r="E97" s="14"/>
      <c r="F97" s="14"/>
      <c r="G97" s="14"/>
      <c r="H97" s="14"/>
      <c r="I97" s="14"/>
      <c r="L97" s="6"/>
    </row>
    <row r="98" spans="1:12" x14ac:dyDescent="0.45">
      <c r="A98" s="13"/>
      <c r="B98" s="11"/>
      <c r="C98" s="12" t="s">
        <v>46</v>
      </c>
      <c r="D98" s="213" t="s">
        <v>47</v>
      </c>
      <c r="E98" s="12" t="s">
        <v>50</v>
      </c>
      <c r="F98" s="12" t="s">
        <v>51</v>
      </c>
      <c r="G98" s="14"/>
      <c r="H98" s="14"/>
      <c r="I98" s="14"/>
      <c r="L98" s="6"/>
    </row>
    <row r="99" spans="1:12" x14ac:dyDescent="0.45">
      <c r="A99" s="13" t="s">
        <v>43</v>
      </c>
      <c r="B99" s="14">
        <f>B91</f>
        <v>2000</v>
      </c>
      <c r="C99" s="15">
        <f>C95</f>
        <v>20</v>
      </c>
      <c r="D99" s="188">
        <f>E95</f>
        <v>11040</v>
      </c>
      <c r="E99" s="19">
        <f>RatesW!$L$13</f>
        <v>31.12</v>
      </c>
      <c r="F99" s="9">
        <f>E99*C99</f>
        <v>622.4</v>
      </c>
      <c r="G99" s="14"/>
      <c r="L99" s="6"/>
    </row>
    <row r="100" spans="1:12" x14ac:dyDescent="0.45">
      <c r="A100" s="13" t="s">
        <v>62</v>
      </c>
      <c r="B100" s="14">
        <f>B92</f>
        <v>3000</v>
      </c>
      <c r="C100" s="15"/>
      <c r="D100" s="188">
        <f>F95</f>
        <v>300</v>
      </c>
      <c r="E100" s="19">
        <f>RatesW!$L$14</f>
        <v>12.32</v>
      </c>
      <c r="F100" s="6">
        <f t="shared" ref="F100:F101" si="13">E100*(D100/1000)</f>
        <v>3.6959999999999997</v>
      </c>
      <c r="G100" s="14"/>
      <c r="L100" s="6"/>
    </row>
    <row r="101" spans="1:12" x14ac:dyDescent="0.45">
      <c r="A101" s="13" t="s">
        <v>62</v>
      </c>
      <c r="B101" s="14">
        <f>B93</f>
        <v>5000</v>
      </c>
      <c r="C101" s="15"/>
      <c r="D101" s="188">
        <f>G95</f>
        <v>0</v>
      </c>
      <c r="E101" s="19">
        <f>RatesW!$L$15</f>
        <v>11</v>
      </c>
      <c r="F101" s="6">
        <f t="shared" si="13"/>
        <v>0</v>
      </c>
      <c r="G101" s="14"/>
      <c r="L101" s="6"/>
    </row>
    <row r="102" spans="1:12" x14ac:dyDescent="0.45">
      <c r="A102" s="13" t="s">
        <v>44</v>
      </c>
      <c r="B102" s="16">
        <f>B94</f>
        <v>10000</v>
      </c>
      <c r="C102" s="20"/>
      <c r="D102" s="214">
        <f>H95</f>
        <v>0</v>
      </c>
      <c r="E102" s="198">
        <f>RatesW!$L$16</f>
        <v>9.7100000000000009</v>
      </c>
      <c r="F102" s="77">
        <f>E102*(D102/1000)</f>
        <v>0</v>
      </c>
      <c r="G102" s="14"/>
      <c r="L102" s="6"/>
    </row>
    <row r="103" spans="1:12" x14ac:dyDescent="0.45">
      <c r="A103" s="13"/>
      <c r="B103" s="14" t="s">
        <v>48</v>
      </c>
      <c r="C103" s="3">
        <f>SUM(C99:C102)</f>
        <v>20</v>
      </c>
      <c r="D103" s="6">
        <f>SUM(D99:D102)</f>
        <v>11340</v>
      </c>
      <c r="F103" s="9">
        <f>SUM(F99:F102)</f>
        <v>626.096</v>
      </c>
      <c r="G103" s="68"/>
      <c r="H103" s="14"/>
      <c r="I103" s="176"/>
      <c r="L103" s="6"/>
    </row>
    <row r="104" spans="1:12" x14ac:dyDescent="0.45">
      <c r="A104" s="13"/>
      <c r="B104" s="14"/>
      <c r="C104" s="6"/>
      <c r="D104" s="6"/>
      <c r="F104" s="208"/>
      <c r="G104" s="14"/>
      <c r="H104" s="14"/>
      <c r="I104" s="14"/>
      <c r="L104" s="6"/>
    </row>
    <row r="105" spans="1:12" x14ac:dyDescent="0.45">
      <c r="D105" s="6"/>
      <c r="L105" s="6"/>
    </row>
    <row r="106" spans="1:12" x14ac:dyDescent="0.45">
      <c r="D106" s="6"/>
      <c r="L106" s="6"/>
    </row>
    <row r="107" spans="1:12" x14ac:dyDescent="0.45">
      <c r="D107" s="6"/>
      <c r="L107" s="6"/>
    </row>
    <row r="108" spans="1:12" x14ac:dyDescent="0.45">
      <c r="D108" s="6"/>
      <c r="L108" s="6"/>
    </row>
    <row r="109" spans="1:12" x14ac:dyDescent="0.45">
      <c r="D109" s="6"/>
      <c r="L109" s="6"/>
    </row>
  </sheetData>
  <mergeCells count="1">
    <mergeCell ref="A2:I2"/>
  </mergeCells>
  <printOptions horizontalCentered="1"/>
  <pageMargins left="0.85" right="0.6" top="0.9" bottom="1" header="0.3" footer="0.3"/>
  <pageSetup scale="78" fitToHeight="0" orientation="portrait" horizontalDpi="4294967293" r:id="rId1"/>
  <rowBreaks count="1" manualBreakCount="1">
    <brk id="53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9047-CB9F-4612-B34B-3EBFBAD19AE8}">
  <sheetPr>
    <pageSetUpPr fitToPage="1"/>
  </sheetPr>
  <dimension ref="A1:P81"/>
  <sheetViews>
    <sheetView workbookViewId="0">
      <selection activeCell="H27" sqref="H27"/>
    </sheetView>
  </sheetViews>
  <sheetFormatPr defaultRowHeight="15" x14ac:dyDescent="0.4"/>
  <cols>
    <col min="1" max="1" width="8.44140625" customWidth="1"/>
    <col min="2" max="2" width="8.6640625" customWidth="1"/>
    <col min="3" max="3" width="8" customWidth="1"/>
    <col min="4" max="4" width="11.5546875" customWidth="1"/>
    <col min="5" max="5" width="9.77734375" customWidth="1"/>
    <col min="6" max="6" width="10.33203125" customWidth="1"/>
    <col min="7" max="7" width="9.77734375" customWidth="1"/>
    <col min="8" max="8" width="10.109375" customWidth="1"/>
    <col min="9" max="9" width="11" customWidth="1"/>
  </cols>
  <sheetData>
    <row r="1" spans="1:16" ht="18" x14ac:dyDescent="0.55000000000000004">
      <c r="A1" s="348" t="s">
        <v>232</v>
      </c>
      <c r="B1" s="348"/>
      <c r="C1" s="348"/>
      <c r="D1" s="348"/>
      <c r="E1" s="348"/>
      <c r="F1" s="348"/>
      <c r="G1" s="348"/>
      <c r="H1" s="177"/>
      <c r="I1" s="187"/>
      <c r="J1" s="3"/>
      <c r="K1" s="3"/>
      <c r="L1" s="3"/>
      <c r="M1" s="3"/>
      <c r="N1" s="3"/>
      <c r="O1" s="3"/>
      <c r="P1" s="3"/>
    </row>
    <row r="2" spans="1:16" ht="18" x14ac:dyDescent="0.45">
      <c r="A2" s="337" t="s">
        <v>269</v>
      </c>
      <c r="B2" s="337"/>
      <c r="C2" s="337"/>
      <c r="D2" s="337"/>
      <c r="E2" s="337"/>
      <c r="F2" s="337"/>
      <c r="G2" s="337"/>
      <c r="H2" s="124"/>
      <c r="I2" s="180"/>
      <c r="J2" s="3"/>
      <c r="K2" s="3"/>
      <c r="L2" s="3"/>
      <c r="M2" s="3"/>
      <c r="N2" s="3"/>
      <c r="O2" s="3"/>
      <c r="P2" s="3"/>
    </row>
    <row r="3" spans="1:16" ht="15.4" x14ac:dyDescent="0.45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</row>
    <row r="4" spans="1:16" ht="15.4" x14ac:dyDescent="0.45">
      <c r="A4" s="1"/>
      <c r="B4" s="75" t="s">
        <v>77</v>
      </c>
      <c r="C4" s="1"/>
      <c r="D4" s="1"/>
      <c r="E4" s="1"/>
      <c r="F4" s="1"/>
      <c r="H4" s="1"/>
      <c r="I4" s="3"/>
      <c r="J4" s="3"/>
      <c r="K4" s="3"/>
      <c r="L4" s="3"/>
      <c r="M4" s="3"/>
      <c r="N4" s="3"/>
      <c r="O4" s="3"/>
      <c r="P4" s="3"/>
    </row>
    <row r="5" spans="1:16" ht="15.4" x14ac:dyDescent="0.45">
      <c r="A5" s="1"/>
      <c r="B5" s="127"/>
      <c r="C5" s="20"/>
      <c r="D5" s="11" t="s">
        <v>66</v>
      </c>
      <c r="E5" s="11" t="s">
        <v>42</v>
      </c>
      <c r="F5" s="11" t="s">
        <v>41</v>
      </c>
      <c r="H5" s="2"/>
      <c r="I5" s="3"/>
      <c r="J5" s="3"/>
      <c r="K5" s="3"/>
      <c r="L5" s="3"/>
      <c r="M5" s="3"/>
      <c r="N5" s="3"/>
      <c r="O5" s="3"/>
      <c r="P5" s="3"/>
    </row>
    <row r="6" spans="1:16" ht="15.4" x14ac:dyDescent="0.45">
      <c r="A6" s="1"/>
      <c r="B6" s="302" t="s">
        <v>336</v>
      </c>
      <c r="C6" s="1"/>
      <c r="D6" s="327">
        <f>C29</f>
        <v>1819</v>
      </c>
      <c r="E6" s="327">
        <f>D29</f>
        <v>5364920</v>
      </c>
      <c r="F6" s="328">
        <f>F29</f>
        <v>137164.33679999999</v>
      </c>
      <c r="H6" s="2"/>
      <c r="I6" s="3"/>
      <c r="J6" s="3"/>
      <c r="K6" s="3"/>
      <c r="L6" s="3"/>
      <c r="M6" s="3"/>
      <c r="N6" s="3"/>
      <c r="O6" s="3"/>
      <c r="P6" s="3"/>
    </row>
    <row r="7" spans="1:16" ht="15.4" x14ac:dyDescent="0.45">
      <c r="A7" s="1"/>
      <c r="B7" s="302" t="s">
        <v>337</v>
      </c>
      <c r="C7" s="1"/>
      <c r="D7" s="327">
        <f>C42</f>
        <v>215</v>
      </c>
      <c r="E7" s="327">
        <f>D42</f>
        <v>782110</v>
      </c>
      <c r="F7" s="328">
        <f>F42</f>
        <v>17772.239399999999</v>
      </c>
      <c r="H7" s="2"/>
      <c r="I7" s="3"/>
      <c r="J7" s="3"/>
      <c r="K7" s="3"/>
      <c r="L7" s="3"/>
      <c r="M7" s="3"/>
      <c r="N7" s="3"/>
      <c r="O7" s="3"/>
      <c r="P7" s="3"/>
    </row>
    <row r="8" spans="1:16" ht="15.4" x14ac:dyDescent="0.45">
      <c r="A8" s="1"/>
      <c r="B8" s="1" t="s">
        <v>273</v>
      </c>
      <c r="C8" s="1"/>
      <c r="D8" s="3">
        <f>C55</f>
        <v>67</v>
      </c>
      <c r="E8" s="66">
        <f>D55</f>
        <v>43000</v>
      </c>
      <c r="F8" s="5">
        <f>F55</f>
        <v>3422.66</v>
      </c>
      <c r="H8" s="68"/>
      <c r="I8" s="3"/>
      <c r="J8" s="3"/>
      <c r="K8" s="3"/>
      <c r="L8" s="3"/>
      <c r="M8" s="3"/>
      <c r="N8" s="3"/>
      <c r="O8" s="3"/>
      <c r="P8" s="3"/>
    </row>
    <row r="9" spans="1:16" ht="15.4" x14ac:dyDescent="0.45">
      <c r="A9" s="1"/>
      <c r="B9" s="1" t="s">
        <v>274</v>
      </c>
      <c r="C9" s="1"/>
      <c r="D9" s="3">
        <f>C68</f>
        <v>43</v>
      </c>
      <c r="E9" s="66">
        <f>D68</f>
        <v>184000</v>
      </c>
      <c r="F9" s="5">
        <f>F68</f>
        <v>3845.12</v>
      </c>
      <c r="H9" s="68"/>
      <c r="I9" s="3"/>
      <c r="J9" s="3"/>
      <c r="K9" s="3"/>
      <c r="L9" s="3"/>
      <c r="M9" s="3"/>
      <c r="N9" s="3"/>
      <c r="O9" s="3"/>
      <c r="P9" s="3"/>
    </row>
    <row r="10" spans="1:16" ht="15.4" x14ac:dyDescent="0.45">
      <c r="A10" s="1"/>
      <c r="B10" s="1" t="s">
        <v>275</v>
      </c>
      <c r="C10" s="1"/>
      <c r="D10" s="77">
        <f>C81</f>
        <v>11</v>
      </c>
      <c r="E10" s="211">
        <f>D81</f>
        <v>9100</v>
      </c>
      <c r="F10" s="175">
        <f>F81</f>
        <v>583.43399999999997</v>
      </c>
      <c r="H10" s="68"/>
      <c r="I10" s="3"/>
      <c r="J10" s="3"/>
      <c r="K10" s="3"/>
      <c r="L10" s="3"/>
      <c r="M10" s="3"/>
      <c r="N10" s="3"/>
      <c r="O10" s="3"/>
      <c r="P10" s="3"/>
    </row>
    <row r="11" spans="1:16" ht="15.4" x14ac:dyDescent="0.45">
      <c r="A11" s="1"/>
      <c r="B11" s="1" t="s">
        <v>38</v>
      </c>
      <c r="C11" s="1"/>
      <c r="D11" s="39">
        <f>SUM(D6:D10)</f>
        <v>2155</v>
      </c>
      <c r="E11" s="126">
        <f>SUM(E6:E10)</f>
        <v>6383130</v>
      </c>
      <c r="F11" s="71">
        <f>SUM(F6:F10)</f>
        <v>162787.79019999999</v>
      </c>
      <c r="H11" s="71"/>
      <c r="I11" s="188"/>
      <c r="J11" s="3"/>
      <c r="K11" s="3"/>
      <c r="L11" s="3"/>
      <c r="M11" s="3"/>
      <c r="N11" s="3"/>
      <c r="O11" s="3"/>
      <c r="P11" s="3"/>
    </row>
    <row r="12" spans="1:16" ht="15.4" x14ac:dyDescent="0.45">
      <c r="A12" s="1"/>
      <c r="B12" s="1"/>
      <c r="C12" s="1"/>
      <c r="D12" s="1"/>
      <c r="E12" s="126" t="s">
        <v>127</v>
      </c>
      <c r="F12" s="216">
        <f>Adjustments!B12</f>
        <v>-3945.15</v>
      </c>
      <c r="H12" s="71"/>
      <c r="I12" s="188"/>
      <c r="J12" s="3"/>
      <c r="K12" s="3"/>
      <c r="L12" s="3"/>
      <c r="M12" s="3"/>
      <c r="N12" s="3"/>
      <c r="O12" s="3"/>
      <c r="P12" s="3"/>
    </row>
    <row r="13" spans="1:16" ht="15.4" x14ac:dyDescent="0.45">
      <c r="A13" s="1"/>
      <c r="B13" s="1"/>
      <c r="C13" s="1"/>
      <c r="D13" s="1"/>
      <c r="E13" s="126" t="s">
        <v>128</v>
      </c>
      <c r="F13" s="71">
        <f>F11+F12</f>
        <v>158842.64019999999</v>
      </c>
      <c r="H13" s="71"/>
      <c r="I13" s="188"/>
      <c r="J13" s="3"/>
      <c r="K13" s="3"/>
      <c r="L13" s="3"/>
      <c r="M13" s="3"/>
      <c r="N13" s="3"/>
      <c r="O13" s="3"/>
      <c r="P13" s="3"/>
    </row>
    <row r="14" spans="1:16" ht="15.4" x14ac:dyDescent="0.45">
      <c r="A14" s="1"/>
      <c r="B14" s="1"/>
      <c r="C14" s="1"/>
      <c r="D14" s="1"/>
      <c r="E14" s="126" t="s">
        <v>338</v>
      </c>
      <c r="F14" s="216">
        <f>-SAOs!G50</f>
        <v>-173642.70368729849</v>
      </c>
      <c r="H14" s="71"/>
      <c r="I14" s="188"/>
      <c r="J14" s="3"/>
      <c r="K14" s="3"/>
      <c r="L14" s="3"/>
      <c r="M14" s="3"/>
      <c r="N14" s="3"/>
      <c r="O14" s="3"/>
      <c r="P14" s="3"/>
    </row>
    <row r="15" spans="1:16" ht="15.4" x14ac:dyDescent="0.45">
      <c r="A15" s="1"/>
      <c r="B15" s="1"/>
      <c r="C15" s="1"/>
      <c r="D15" s="1"/>
      <c r="E15" s="126" t="s">
        <v>129</v>
      </c>
      <c r="F15" s="71">
        <f>F13+F14</f>
        <v>-14800.063487298496</v>
      </c>
      <c r="G15" s="176">
        <f>-F15/F14</f>
        <v>-8.523285558805245E-2</v>
      </c>
      <c r="H15" s="71"/>
      <c r="I15" s="188"/>
      <c r="J15" s="3"/>
      <c r="K15" s="3"/>
      <c r="L15" s="3"/>
      <c r="M15" s="3"/>
      <c r="N15" s="3"/>
      <c r="O15" s="3"/>
      <c r="P15" s="3"/>
    </row>
    <row r="16" spans="1:16" ht="15.4" x14ac:dyDescent="0.45">
      <c r="A16" s="1"/>
      <c r="B16" s="1"/>
      <c r="C16" s="1"/>
      <c r="D16" s="1"/>
      <c r="E16" s="178"/>
      <c r="F16" s="71"/>
      <c r="H16" s="71"/>
      <c r="I16" s="188"/>
      <c r="J16" s="3"/>
      <c r="K16" s="3"/>
      <c r="L16" s="3"/>
      <c r="M16" s="3"/>
      <c r="N16" s="3"/>
      <c r="O16" s="3"/>
      <c r="P16" s="3"/>
    </row>
    <row r="17" spans="1:16" ht="15.4" x14ac:dyDescent="0.45">
      <c r="A17" s="1"/>
      <c r="B17" s="1"/>
      <c r="C17" s="1"/>
      <c r="D17" s="1"/>
      <c r="E17" s="1"/>
      <c r="F17" s="71"/>
      <c r="G17" s="71"/>
      <c r="H17" s="1"/>
      <c r="I17" s="3"/>
      <c r="J17" s="3"/>
      <c r="K17" s="3"/>
      <c r="L17" s="3"/>
      <c r="M17" s="3"/>
      <c r="N17" s="3"/>
      <c r="O17" s="3"/>
      <c r="P17" s="3"/>
    </row>
    <row r="18" spans="1:16" ht="15.75" x14ac:dyDescent="0.5">
      <c r="A18" s="123" t="s">
        <v>334</v>
      </c>
      <c r="B18" s="1"/>
      <c r="C18" s="1"/>
      <c r="D18" s="1"/>
      <c r="E18" s="1"/>
      <c r="F18" s="1"/>
      <c r="G18" s="1"/>
      <c r="H18" s="1"/>
      <c r="I18" s="3"/>
      <c r="J18" s="3"/>
      <c r="K18" s="3"/>
      <c r="L18" s="3"/>
      <c r="M18" s="3"/>
      <c r="N18" s="3"/>
      <c r="O18" s="3"/>
      <c r="P18" s="3"/>
    </row>
    <row r="19" spans="1:16" ht="15.4" x14ac:dyDescent="0.45">
      <c r="A19" s="1"/>
      <c r="B19" s="1"/>
      <c r="C19" s="1"/>
      <c r="D19" s="1"/>
      <c r="E19" s="2" t="s">
        <v>43</v>
      </c>
      <c r="F19" s="2" t="s">
        <v>44</v>
      </c>
      <c r="G19" s="1"/>
      <c r="I19" s="3"/>
      <c r="J19" s="3"/>
      <c r="K19" s="3"/>
      <c r="L19" s="3"/>
      <c r="M19" s="3"/>
      <c r="N19" s="3"/>
      <c r="O19" s="3"/>
      <c r="P19" s="3"/>
    </row>
    <row r="20" spans="1:16" ht="15.4" x14ac:dyDescent="0.45">
      <c r="A20" s="1"/>
      <c r="B20" s="11" t="s">
        <v>45</v>
      </c>
      <c r="C20" s="12" t="s">
        <v>46</v>
      </c>
      <c r="D20" s="12" t="s">
        <v>47</v>
      </c>
      <c r="E20" s="12">
        <f>B21</f>
        <v>0</v>
      </c>
      <c r="F20" s="12">
        <f>B22</f>
        <v>0</v>
      </c>
      <c r="G20" s="11" t="s">
        <v>48</v>
      </c>
      <c r="I20" s="3"/>
      <c r="J20" s="3"/>
      <c r="K20" s="3"/>
      <c r="L20" s="3"/>
      <c r="M20" s="3"/>
      <c r="N20" s="3"/>
      <c r="O20" s="3"/>
      <c r="P20" s="3"/>
    </row>
    <row r="21" spans="1:16" ht="15.4" x14ac:dyDescent="0.45">
      <c r="A21" s="13" t="s">
        <v>43</v>
      </c>
      <c r="B21" s="14">
        <v>0</v>
      </c>
      <c r="C21" s="72">
        <f>ExBAs!C21</f>
        <v>1819</v>
      </c>
      <c r="D21" s="72">
        <f>ExBAs!D21</f>
        <v>0</v>
      </c>
      <c r="E21" s="72">
        <f>D21</f>
        <v>0</v>
      </c>
      <c r="F21" s="72">
        <v>0</v>
      </c>
      <c r="G21" s="72">
        <f>SUM(E21:F21)</f>
        <v>0</v>
      </c>
      <c r="I21" s="3"/>
      <c r="J21" s="3"/>
      <c r="K21" s="3"/>
      <c r="L21" s="3"/>
      <c r="M21" s="3"/>
      <c r="N21" s="3"/>
      <c r="O21" s="3"/>
      <c r="P21" s="3"/>
    </row>
    <row r="22" spans="1:16" ht="15.4" x14ac:dyDescent="0.45">
      <c r="A22" s="13" t="s">
        <v>44</v>
      </c>
      <c r="B22" s="16">
        <v>0</v>
      </c>
      <c r="C22" s="72">
        <f>ExBAs!C22</f>
        <v>0</v>
      </c>
      <c r="D22" s="72">
        <f>ExBAs!D22</f>
        <v>5364920</v>
      </c>
      <c r="E22" s="73">
        <f>C22*E$46</f>
        <v>0</v>
      </c>
      <c r="F22" s="73">
        <f>D22-E22</f>
        <v>5364920</v>
      </c>
      <c r="G22" s="73">
        <f>SUM(E22:F22)</f>
        <v>5364920</v>
      </c>
      <c r="I22" s="3"/>
      <c r="J22" s="3"/>
      <c r="K22" s="3"/>
      <c r="L22" s="3"/>
      <c r="M22" s="3"/>
      <c r="N22" s="3"/>
      <c r="O22" s="3"/>
      <c r="P22" s="3"/>
    </row>
    <row r="23" spans="1:16" ht="15.4" x14ac:dyDescent="0.45">
      <c r="A23" s="13"/>
      <c r="B23" s="14"/>
      <c r="C23" s="74">
        <f>SUM(C21:C22)</f>
        <v>1819</v>
      </c>
      <c r="D23" s="74">
        <f>SUM(D21:D22)</f>
        <v>5364920</v>
      </c>
      <c r="E23" s="74">
        <f>SUM(E21:E22)</f>
        <v>0</v>
      </c>
      <c r="F23" s="74">
        <f>SUM(F21:F22)</f>
        <v>5364920</v>
      </c>
      <c r="G23" s="74">
        <f>SUM(G21:G22)</f>
        <v>5364920</v>
      </c>
      <c r="I23" s="3"/>
      <c r="J23" s="3"/>
      <c r="K23" s="3"/>
      <c r="L23" s="3"/>
      <c r="M23" s="3"/>
      <c r="N23" s="3"/>
      <c r="O23" s="3"/>
      <c r="P23" s="3"/>
    </row>
    <row r="24" spans="1:16" ht="15.4" x14ac:dyDescent="0.45">
      <c r="A24" s="13"/>
      <c r="B24" s="14"/>
      <c r="C24" s="1"/>
      <c r="D24" s="14"/>
      <c r="E24" s="14"/>
      <c r="F24" s="14"/>
      <c r="G24" s="14"/>
      <c r="H24" s="14"/>
      <c r="I24" s="3"/>
      <c r="J24" s="3"/>
      <c r="K24" s="3"/>
      <c r="L24" s="3"/>
      <c r="M24" s="3"/>
      <c r="N24" s="3"/>
      <c r="O24" s="3"/>
      <c r="P24" s="3"/>
    </row>
    <row r="25" spans="1:16" ht="15.4" x14ac:dyDescent="0.45">
      <c r="A25" s="18" t="s">
        <v>49</v>
      </c>
      <c r="B25" s="18"/>
      <c r="C25" s="1"/>
      <c r="D25" s="14"/>
      <c r="E25" s="14"/>
      <c r="F25" s="14"/>
      <c r="G25" s="14"/>
      <c r="H25" s="14"/>
      <c r="I25" s="3"/>
      <c r="J25" s="3"/>
      <c r="K25" s="3"/>
      <c r="L25" s="3"/>
      <c r="M25" s="3"/>
      <c r="N25" s="3"/>
      <c r="O25" s="3"/>
      <c r="P25" s="3"/>
    </row>
    <row r="26" spans="1:16" ht="15.4" x14ac:dyDescent="0.45">
      <c r="A26" s="13"/>
      <c r="B26" s="11" t="s">
        <v>45</v>
      </c>
      <c r="C26" s="12" t="s">
        <v>46</v>
      </c>
      <c r="D26" s="11" t="s">
        <v>47</v>
      </c>
      <c r="E26" s="12" t="s">
        <v>50</v>
      </c>
      <c r="F26" s="12" t="s">
        <v>51</v>
      </c>
      <c r="G26" s="14"/>
      <c r="H26" s="14"/>
      <c r="I26" s="3"/>
      <c r="J26" s="3"/>
      <c r="K26" s="3"/>
      <c r="L26" s="3"/>
      <c r="M26" s="3"/>
      <c r="N26" s="3"/>
      <c r="O26" s="3"/>
      <c r="P26" s="3"/>
    </row>
    <row r="27" spans="1:16" ht="15.4" x14ac:dyDescent="0.45">
      <c r="A27" s="13" t="s">
        <v>43</v>
      </c>
      <c r="B27" s="14">
        <f>B21</f>
        <v>0</v>
      </c>
      <c r="C27" s="15">
        <f>C23</f>
        <v>1819</v>
      </c>
      <c r="D27" s="72">
        <f>E23</f>
        <v>0</v>
      </c>
      <c r="E27" s="19">
        <f>RatesS!$L$13</f>
        <v>44.32</v>
      </c>
      <c r="F27" s="9">
        <f>E27*C27</f>
        <v>80618.080000000002</v>
      </c>
      <c r="G27" s="14"/>
      <c r="H27" s="1"/>
      <c r="I27" s="3"/>
      <c r="J27" s="3"/>
      <c r="K27" s="3"/>
      <c r="L27" s="3"/>
      <c r="M27" s="3"/>
      <c r="N27" s="3"/>
      <c r="O27" s="3"/>
      <c r="P27" s="3"/>
    </row>
    <row r="28" spans="1:16" ht="15.4" x14ac:dyDescent="0.45">
      <c r="A28" s="13" t="s">
        <v>44</v>
      </c>
      <c r="B28" s="16">
        <f>B22</f>
        <v>0</v>
      </c>
      <c r="C28" s="20"/>
      <c r="D28" s="73">
        <f>F23</f>
        <v>5364920</v>
      </c>
      <c r="E28" s="21">
        <f>RatesS!$L$14</f>
        <v>10.54</v>
      </c>
      <c r="F28" s="77">
        <f>E28*(D28/1000)</f>
        <v>56546.256799999996</v>
      </c>
      <c r="G28" s="14"/>
      <c r="H28" s="1"/>
      <c r="I28" s="3"/>
      <c r="J28" s="3"/>
      <c r="K28" s="3"/>
      <c r="L28" s="3"/>
      <c r="M28" s="3"/>
      <c r="N28" s="3"/>
      <c r="O28" s="3"/>
      <c r="P28" s="3"/>
    </row>
    <row r="29" spans="1:16" ht="15.4" x14ac:dyDescent="0.45">
      <c r="A29" s="13"/>
      <c r="B29" s="14" t="s">
        <v>48</v>
      </c>
      <c r="C29" s="3">
        <f>SUM(C27:C28)</f>
        <v>1819</v>
      </c>
      <c r="D29" s="74">
        <f>SUM(D27:D28)</f>
        <v>5364920</v>
      </c>
      <c r="E29" s="1"/>
      <c r="F29" s="9">
        <f>SUM(F27:F28)</f>
        <v>137164.33679999999</v>
      </c>
      <c r="G29" s="14"/>
      <c r="H29" s="14"/>
      <c r="I29" s="3"/>
      <c r="J29" s="3"/>
      <c r="K29" s="3"/>
      <c r="L29" s="3"/>
      <c r="M29" s="3"/>
      <c r="N29" s="3"/>
      <c r="O29" s="3"/>
      <c r="P29" s="3"/>
    </row>
    <row r="30" spans="1:16" ht="15.4" x14ac:dyDescent="0.45">
      <c r="I30" s="3"/>
      <c r="J30" s="3"/>
      <c r="K30" s="3"/>
      <c r="L30" s="3"/>
      <c r="M30" s="3"/>
      <c r="N30" s="3"/>
      <c r="O30" s="3"/>
      <c r="P30" s="3"/>
    </row>
    <row r="31" spans="1:16" ht="15.75" x14ac:dyDescent="0.5">
      <c r="A31" s="123" t="s">
        <v>335</v>
      </c>
      <c r="B31" s="1"/>
      <c r="C31" s="1"/>
      <c r="D31" s="1"/>
      <c r="E31" s="1"/>
      <c r="F31" s="1"/>
      <c r="G31" s="1"/>
      <c r="H31" s="1"/>
      <c r="I31" s="3"/>
      <c r="J31" s="3"/>
      <c r="K31" s="3"/>
      <c r="L31" s="3"/>
      <c r="M31" s="3"/>
      <c r="N31" s="3"/>
      <c r="O31" s="3"/>
      <c r="P31" s="3"/>
    </row>
    <row r="32" spans="1:16" ht="15.4" x14ac:dyDescent="0.45">
      <c r="A32" s="1"/>
      <c r="B32" s="1"/>
      <c r="C32" s="1"/>
      <c r="D32" s="1"/>
      <c r="E32" s="2" t="s">
        <v>43</v>
      </c>
      <c r="F32" s="2" t="s">
        <v>44</v>
      </c>
      <c r="G32" s="1"/>
      <c r="I32" s="3"/>
      <c r="J32" s="3"/>
      <c r="K32" s="3"/>
      <c r="L32" s="3"/>
      <c r="M32" s="3"/>
      <c r="N32" s="3"/>
      <c r="O32" s="3"/>
      <c r="P32" s="3"/>
    </row>
    <row r="33" spans="1:16" ht="15.4" x14ac:dyDescent="0.45">
      <c r="A33" s="1"/>
      <c r="B33" s="11" t="s">
        <v>45</v>
      </c>
      <c r="C33" s="12" t="s">
        <v>46</v>
      </c>
      <c r="D33" s="12" t="s">
        <v>47</v>
      </c>
      <c r="E33" s="12">
        <f>B34</f>
        <v>0</v>
      </c>
      <c r="F33" s="12">
        <f>B35</f>
        <v>0</v>
      </c>
      <c r="G33" s="11" t="s">
        <v>48</v>
      </c>
      <c r="I33" s="3"/>
      <c r="J33" s="3"/>
      <c r="K33" s="3"/>
      <c r="L33" s="3"/>
      <c r="M33" s="3"/>
      <c r="N33" s="3"/>
      <c r="O33" s="3"/>
      <c r="P33" s="3"/>
    </row>
    <row r="34" spans="1:16" ht="15.4" x14ac:dyDescent="0.45">
      <c r="A34" s="13" t="s">
        <v>43</v>
      </c>
      <c r="B34" s="14">
        <v>0</v>
      </c>
      <c r="C34" s="72">
        <f>ExBAs!C34</f>
        <v>215</v>
      </c>
      <c r="D34" s="72">
        <f>ExBAs!D34</f>
        <v>0</v>
      </c>
      <c r="E34" s="72">
        <f>D34</f>
        <v>0</v>
      </c>
      <c r="F34" s="72">
        <v>0</v>
      </c>
      <c r="G34" s="72">
        <f>SUM(E34:F34)</f>
        <v>0</v>
      </c>
      <c r="I34" s="3"/>
      <c r="J34" s="3"/>
      <c r="K34" s="3"/>
      <c r="L34" s="3"/>
      <c r="M34" s="3"/>
      <c r="N34" s="3"/>
      <c r="O34" s="3"/>
      <c r="P34" s="3"/>
    </row>
    <row r="35" spans="1:16" ht="15.4" x14ac:dyDescent="0.45">
      <c r="A35" s="13" t="s">
        <v>44</v>
      </c>
      <c r="B35" s="16">
        <v>0</v>
      </c>
      <c r="C35" s="72">
        <f>ExBAs!C35</f>
        <v>0</v>
      </c>
      <c r="D35" s="72">
        <f>ExBAs!D35</f>
        <v>782110</v>
      </c>
      <c r="E35" s="73">
        <f>C35*E$46</f>
        <v>0</v>
      </c>
      <c r="F35" s="73">
        <f>D35-E35</f>
        <v>782110</v>
      </c>
      <c r="G35" s="73">
        <f>SUM(E35:F35)</f>
        <v>782110</v>
      </c>
      <c r="I35" s="3"/>
      <c r="J35" s="3"/>
      <c r="K35" s="3"/>
      <c r="L35" s="3"/>
      <c r="M35" s="3"/>
      <c r="N35" s="3"/>
      <c r="O35" s="3"/>
      <c r="P35" s="3"/>
    </row>
    <row r="36" spans="1:16" ht="15.4" x14ac:dyDescent="0.45">
      <c r="A36" s="13"/>
      <c r="B36" s="14"/>
      <c r="C36" s="74">
        <f>SUM(C34:C35)</f>
        <v>215</v>
      </c>
      <c r="D36" s="74">
        <f>SUM(D34:D35)</f>
        <v>782110</v>
      </c>
      <c r="E36" s="74">
        <f>SUM(E34:E35)</f>
        <v>0</v>
      </c>
      <c r="F36" s="74">
        <f>SUM(F34:F35)</f>
        <v>782110</v>
      </c>
      <c r="G36" s="74">
        <f>SUM(G34:G35)</f>
        <v>782110</v>
      </c>
      <c r="I36" s="3"/>
      <c r="J36" s="3"/>
      <c r="K36" s="3"/>
      <c r="L36" s="3"/>
      <c r="M36" s="3"/>
      <c r="N36" s="3"/>
      <c r="O36" s="3"/>
      <c r="P36" s="3"/>
    </row>
    <row r="37" spans="1:16" ht="15.4" x14ac:dyDescent="0.45">
      <c r="A37" s="13"/>
      <c r="B37" s="14"/>
      <c r="C37" s="1"/>
      <c r="D37" s="14"/>
      <c r="E37" s="14"/>
      <c r="F37" s="14"/>
      <c r="G37" s="14"/>
      <c r="H37" s="14"/>
      <c r="I37" s="3"/>
      <c r="J37" s="3"/>
      <c r="K37" s="3"/>
      <c r="L37" s="3"/>
      <c r="M37" s="3"/>
      <c r="N37" s="3"/>
      <c r="O37" s="3"/>
      <c r="P37" s="3"/>
    </row>
    <row r="38" spans="1:16" ht="15.4" x14ac:dyDescent="0.45">
      <c r="A38" s="18" t="s">
        <v>49</v>
      </c>
      <c r="B38" s="18"/>
      <c r="C38" s="1"/>
      <c r="D38" s="14"/>
      <c r="E38" s="14"/>
      <c r="F38" s="14"/>
      <c r="G38" s="14"/>
      <c r="H38" s="14"/>
      <c r="I38" s="3"/>
      <c r="J38" s="3"/>
      <c r="K38" s="3"/>
      <c r="L38" s="3"/>
      <c r="M38" s="3"/>
      <c r="N38" s="3"/>
      <c r="O38" s="3"/>
      <c r="P38" s="3"/>
    </row>
    <row r="39" spans="1:16" ht="15.4" x14ac:dyDescent="0.45">
      <c r="A39" s="13"/>
      <c r="B39" s="11" t="s">
        <v>45</v>
      </c>
      <c r="C39" s="12" t="s">
        <v>46</v>
      </c>
      <c r="D39" s="11" t="s">
        <v>47</v>
      </c>
      <c r="E39" s="12" t="s">
        <v>50</v>
      </c>
      <c r="F39" s="12" t="s">
        <v>51</v>
      </c>
      <c r="G39" s="14"/>
      <c r="H39" s="14"/>
      <c r="I39" s="3"/>
      <c r="J39" s="3"/>
      <c r="K39" s="3"/>
      <c r="L39" s="3"/>
      <c r="M39" s="3"/>
      <c r="N39" s="3"/>
      <c r="O39" s="3"/>
      <c r="P39" s="3"/>
    </row>
    <row r="40" spans="1:16" ht="15.4" x14ac:dyDescent="0.45">
      <c r="A40" s="13" t="s">
        <v>43</v>
      </c>
      <c r="B40" s="14">
        <f>B34</f>
        <v>0</v>
      </c>
      <c r="C40" s="15">
        <f>C36</f>
        <v>215</v>
      </c>
      <c r="D40" s="72">
        <f>E36</f>
        <v>0</v>
      </c>
      <c r="E40" s="19">
        <f>RatesS!$L$13</f>
        <v>44.32</v>
      </c>
      <c r="F40" s="9">
        <f>E40*C40</f>
        <v>9528.7999999999993</v>
      </c>
      <c r="G40" s="14"/>
      <c r="H40" s="1"/>
      <c r="I40" s="3"/>
      <c r="J40" s="3"/>
      <c r="K40" s="3"/>
      <c r="L40" s="3"/>
      <c r="M40" s="3"/>
      <c r="N40" s="3"/>
      <c r="O40" s="3"/>
      <c r="P40" s="3"/>
    </row>
    <row r="41" spans="1:16" ht="15.4" x14ac:dyDescent="0.45">
      <c r="A41" s="13" t="s">
        <v>44</v>
      </c>
      <c r="B41" s="16">
        <f>B35</f>
        <v>0</v>
      </c>
      <c r="C41" s="20"/>
      <c r="D41" s="73">
        <f>F36</f>
        <v>782110</v>
      </c>
      <c r="E41" s="21">
        <f>RatesS!$L$14</f>
        <v>10.54</v>
      </c>
      <c r="F41" s="77">
        <f>E41*(D41/1000)</f>
        <v>8243.4393999999993</v>
      </c>
      <c r="G41" s="14"/>
      <c r="H41" s="1"/>
      <c r="I41" s="3"/>
      <c r="J41" s="3"/>
      <c r="K41" s="3"/>
      <c r="L41" s="3"/>
      <c r="M41" s="3"/>
      <c r="N41" s="3"/>
      <c r="O41" s="3"/>
      <c r="P41" s="3"/>
    </row>
    <row r="42" spans="1:16" ht="15.4" x14ac:dyDescent="0.45">
      <c r="A42" s="13"/>
      <c r="B42" s="14" t="s">
        <v>48</v>
      </c>
      <c r="C42" s="3">
        <f>SUM(C40:C41)</f>
        <v>215</v>
      </c>
      <c r="D42" s="74">
        <f>SUM(D40:D41)</f>
        <v>782110</v>
      </c>
      <c r="E42" s="1"/>
      <c r="F42" s="9">
        <f>SUM(F40:F41)</f>
        <v>17772.239399999999</v>
      </c>
      <c r="G42" s="14"/>
      <c r="H42" s="14"/>
      <c r="I42" s="3"/>
      <c r="J42" s="3"/>
      <c r="K42" s="3"/>
      <c r="L42" s="3"/>
      <c r="M42" s="3"/>
      <c r="N42" s="3"/>
      <c r="O42" s="3"/>
      <c r="P42" s="3"/>
    </row>
    <row r="44" spans="1:16" ht="15.75" x14ac:dyDescent="0.5">
      <c r="A44" s="123" t="s">
        <v>271</v>
      </c>
      <c r="B44" s="1"/>
      <c r="C44" s="1"/>
      <c r="D44" s="1"/>
      <c r="E44" s="1"/>
      <c r="F44" s="1"/>
      <c r="G44" s="1"/>
      <c r="H44" s="1"/>
      <c r="I44" s="3"/>
      <c r="J44" s="3"/>
      <c r="K44" s="3"/>
      <c r="L44" s="3"/>
      <c r="M44" s="3"/>
      <c r="N44" s="3"/>
      <c r="O44" s="3"/>
      <c r="P44" s="3"/>
    </row>
    <row r="45" spans="1:16" ht="15.4" x14ac:dyDescent="0.45">
      <c r="A45" s="1"/>
      <c r="B45" s="1"/>
      <c r="C45" s="1"/>
      <c r="D45" s="1"/>
      <c r="E45" s="2" t="s">
        <v>43</v>
      </c>
      <c r="F45" s="2" t="s">
        <v>44</v>
      </c>
      <c r="G45" s="1"/>
      <c r="I45" s="3"/>
      <c r="J45" s="3"/>
      <c r="K45" s="3"/>
      <c r="L45" s="3"/>
      <c r="M45" s="3"/>
      <c r="N45" s="3"/>
      <c r="O45" s="3"/>
      <c r="P45" s="3"/>
    </row>
    <row r="46" spans="1:16" ht="15.4" x14ac:dyDescent="0.45">
      <c r="A46" s="1"/>
      <c r="B46" s="11" t="s">
        <v>45</v>
      </c>
      <c r="C46" s="12" t="s">
        <v>46</v>
      </c>
      <c r="D46" s="12" t="s">
        <v>47</v>
      </c>
      <c r="E46" s="12">
        <f>B47</f>
        <v>0</v>
      </c>
      <c r="F46" s="12">
        <f>B48</f>
        <v>0</v>
      </c>
      <c r="G46" s="11" t="s">
        <v>48</v>
      </c>
      <c r="I46" s="3"/>
      <c r="J46" s="3"/>
      <c r="K46" s="3"/>
      <c r="L46" s="3"/>
      <c r="M46" s="3"/>
      <c r="N46" s="3"/>
      <c r="O46" s="3"/>
      <c r="P46" s="3"/>
    </row>
    <row r="47" spans="1:16" ht="15.4" x14ac:dyDescent="0.45">
      <c r="A47" s="13" t="s">
        <v>43</v>
      </c>
      <c r="B47" s="14">
        <v>0</v>
      </c>
      <c r="C47" s="72">
        <f>ExBAs!C47</f>
        <v>67</v>
      </c>
      <c r="D47" s="72">
        <f>ExBAs!D47</f>
        <v>0</v>
      </c>
      <c r="E47" s="72">
        <f>D47</f>
        <v>0</v>
      </c>
      <c r="F47" s="72">
        <v>0</v>
      </c>
      <c r="G47" s="72">
        <f>SUM(E47:F47)</f>
        <v>0</v>
      </c>
      <c r="I47" s="3"/>
      <c r="J47" s="3"/>
      <c r="K47" s="3"/>
      <c r="L47" s="3"/>
      <c r="M47" s="3"/>
      <c r="N47" s="3"/>
      <c r="O47" s="3"/>
      <c r="P47" s="3"/>
    </row>
    <row r="48" spans="1:16" ht="15.4" x14ac:dyDescent="0.45">
      <c r="A48" s="13" t="s">
        <v>44</v>
      </c>
      <c r="B48" s="16">
        <v>0</v>
      </c>
      <c r="C48" s="72">
        <f>ExBAs!C48</f>
        <v>0</v>
      </c>
      <c r="D48" s="72">
        <f>ExBAs!D48</f>
        <v>43000</v>
      </c>
      <c r="E48" s="73">
        <f>C48*E$46</f>
        <v>0</v>
      </c>
      <c r="F48" s="73">
        <f>D48-E48</f>
        <v>43000</v>
      </c>
      <c r="G48" s="73">
        <f>SUM(E48:F48)</f>
        <v>43000</v>
      </c>
      <c r="I48" s="3"/>
      <c r="J48" s="3"/>
      <c r="K48" s="3"/>
      <c r="L48" s="3"/>
      <c r="M48" s="3"/>
      <c r="N48" s="3"/>
      <c r="O48" s="3"/>
      <c r="P48" s="3"/>
    </row>
    <row r="49" spans="1:16" ht="15.4" x14ac:dyDescent="0.45">
      <c r="A49" s="13"/>
      <c r="B49" s="14"/>
      <c r="C49" s="74">
        <f>SUM(C47:C48)</f>
        <v>67</v>
      </c>
      <c r="D49" s="74">
        <f>SUM(D47:D48)</f>
        <v>43000</v>
      </c>
      <c r="E49" s="74">
        <f>SUM(E47:E48)</f>
        <v>0</v>
      </c>
      <c r="F49" s="74">
        <f>SUM(F47:F48)</f>
        <v>43000</v>
      </c>
      <c r="G49" s="74">
        <f>SUM(G47:G48)</f>
        <v>43000</v>
      </c>
      <c r="I49" s="3"/>
      <c r="J49" s="3"/>
      <c r="K49" s="3"/>
      <c r="L49" s="3"/>
      <c r="M49" s="3"/>
      <c r="N49" s="3"/>
      <c r="O49" s="3"/>
      <c r="P49" s="3"/>
    </row>
    <row r="50" spans="1:16" ht="15.4" x14ac:dyDescent="0.45">
      <c r="A50" s="13"/>
      <c r="B50" s="14"/>
      <c r="C50" s="1"/>
      <c r="D50" s="14"/>
      <c r="E50" s="14"/>
      <c r="F50" s="14"/>
      <c r="G50" s="14"/>
      <c r="H50" s="14"/>
      <c r="I50" s="3"/>
      <c r="J50" s="3"/>
      <c r="K50" s="3"/>
      <c r="L50" s="3"/>
      <c r="M50" s="3"/>
      <c r="N50" s="3"/>
      <c r="O50" s="3"/>
      <c r="P50" s="3"/>
    </row>
    <row r="51" spans="1:16" ht="15.4" x14ac:dyDescent="0.45">
      <c r="A51" s="18" t="s">
        <v>49</v>
      </c>
      <c r="B51" s="18"/>
      <c r="C51" s="1"/>
      <c r="D51" s="14"/>
      <c r="E51" s="14"/>
      <c r="F51" s="14"/>
      <c r="G51" s="14"/>
      <c r="H51" s="14"/>
      <c r="I51" s="3"/>
      <c r="J51" s="3"/>
      <c r="K51" s="3"/>
      <c r="L51" s="3"/>
      <c r="M51" s="3"/>
      <c r="N51" s="3"/>
      <c r="O51" s="3"/>
      <c r="P51" s="3"/>
    </row>
    <row r="52" spans="1:16" ht="15.4" x14ac:dyDescent="0.45">
      <c r="A52" s="13"/>
      <c r="B52" s="11" t="s">
        <v>45</v>
      </c>
      <c r="C52" s="12" t="s">
        <v>46</v>
      </c>
      <c r="D52" s="11" t="s">
        <v>47</v>
      </c>
      <c r="E52" s="12" t="s">
        <v>50</v>
      </c>
      <c r="F52" s="12" t="s">
        <v>51</v>
      </c>
      <c r="G52" s="14"/>
      <c r="H52" s="14"/>
      <c r="I52" s="3"/>
      <c r="J52" s="3"/>
      <c r="K52" s="3"/>
      <c r="L52" s="3"/>
      <c r="M52" s="3"/>
      <c r="N52" s="3"/>
      <c r="O52" s="3"/>
      <c r="P52" s="3"/>
    </row>
    <row r="53" spans="1:16" ht="15.4" x14ac:dyDescent="0.45">
      <c r="A53" s="13" t="s">
        <v>43</v>
      </c>
      <c r="B53" s="14">
        <f>B47</f>
        <v>0</v>
      </c>
      <c r="C53" s="15">
        <f>C49</f>
        <v>67</v>
      </c>
      <c r="D53" s="72">
        <f>E49</f>
        <v>0</v>
      </c>
      <c r="E53" s="19">
        <f>RatesS!$L$13</f>
        <v>44.32</v>
      </c>
      <c r="F53" s="9">
        <f>E53*C53</f>
        <v>2969.44</v>
      </c>
      <c r="G53" s="14"/>
      <c r="H53" s="1"/>
      <c r="I53" s="3"/>
      <c r="J53" s="3"/>
      <c r="K53" s="3"/>
      <c r="L53" s="3"/>
      <c r="M53" s="3"/>
      <c r="N53" s="3"/>
      <c r="O53" s="3"/>
      <c r="P53" s="3"/>
    </row>
    <row r="54" spans="1:16" ht="15.4" x14ac:dyDescent="0.45">
      <c r="A54" s="13" t="s">
        <v>44</v>
      </c>
      <c r="B54" s="16">
        <f>B48</f>
        <v>0</v>
      </c>
      <c r="C54" s="20"/>
      <c r="D54" s="73">
        <f>F49</f>
        <v>43000</v>
      </c>
      <c r="E54" s="21">
        <f>RatesS!$L$14</f>
        <v>10.54</v>
      </c>
      <c r="F54" s="77">
        <f>E54*(D54/1000)</f>
        <v>453.21999999999997</v>
      </c>
      <c r="G54" s="14"/>
      <c r="H54" s="1"/>
      <c r="I54" s="3"/>
      <c r="J54" s="3"/>
      <c r="K54" s="3"/>
      <c r="L54" s="3"/>
      <c r="M54" s="3"/>
      <c r="N54" s="3"/>
      <c r="O54" s="3"/>
      <c r="P54" s="3"/>
    </row>
    <row r="55" spans="1:16" ht="15.4" x14ac:dyDescent="0.45">
      <c r="A55" s="13"/>
      <c r="B55" s="14" t="s">
        <v>48</v>
      </c>
      <c r="C55" s="3">
        <f>SUM(C53:C54)</f>
        <v>67</v>
      </c>
      <c r="D55" s="74">
        <f>SUM(D53:D54)</f>
        <v>43000</v>
      </c>
      <c r="E55" s="1"/>
      <c r="F55" s="9">
        <f>SUM(F53:F54)</f>
        <v>3422.66</v>
      </c>
      <c r="G55" s="14"/>
      <c r="H55" s="14"/>
      <c r="I55" s="3"/>
      <c r="J55" s="3"/>
      <c r="K55" s="3"/>
      <c r="L55" s="3"/>
      <c r="M55" s="3"/>
      <c r="N55" s="3"/>
      <c r="O55" s="3"/>
      <c r="P55" s="3"/>
    </row>
    <row r="56" spans="1:16" ht="15.4" x14ac:dyDescent="0.45">
      <c r="I56" s="3"/>
      <c r="J56" s="3"/>
      <c r="K56" s="3"/>
      <c r="L56" s="3"/>
      <c r="M56" s="3"/>
      <c r="N56" s="3"/>
      <c r="O56" s="3"/>
      <c r="P56" s="3"/>
    </row>
    <row r="57" spans="1:16" ht="15.75" x14ac:dyDescent="0.5">
      <c r="A57" s="123" t="s">
        <v>270</v>
      </c>
      <c r="B57" s="1"/>
      <c r="C57" s="1"/>
      <c r="D57" s="1"/>
      <c r="E57" s="1"/>
      <c r="F57" s="1"/>
      <c r="G57" s="1"/>
      <c r="H57" s="1"/>
      <c r="I57" s="3"/>
      <c r="J57" s="3"/>
      <c r="K57" s="3"/>
      <c r="L57" s="3"/>
      <c r="M57" s="3"/>
      <c r="N57" s="3"/>
      <c r="O57" s="3"/>
      <c r="P57" s="3"/>
    </row>
    <row r="58" spans="1:16" ht="15.4" x14ac:dyDescent="0.45">
      <c r="A58" s="1"/>
      <c r="B58" s="1"/>
      <c r="C58" s="1"/>
      <c r="D58" s="1"/>
      <c r="E58" s="2" t="s">
        <v>43</v>
      </c>
      <c r="F58" s="2" t="s">
        <v>44</v>
      </c>
      <c r="G58" s="1"/>
      <c r="I58" s="3"/>
      <c r="J58" s="3"/>
      <c r="K58" s="3"/>
      <c r="L58" s="3"/>
      <c r="M58" s="3"/>
      <c r="N58" s="3"/>
      <c r="O58" s="3"/>
      <c r="P58" s="3"/>
    </row>
    <row r="59" spans="1:16" ht="15.4" x14ac:dyDescent="0.45">
      <c r="A59" s="1"/>
      <c r="B59" s="11" t="s">
        <v>45</v>
      </c>
      <c r="C59" s="12" t="s">
        <v>46</v>
      </c>
      <c r="D59" s="12" t="s">
        <v>47</v>
      </c>
      <c r="E59" s="12">
        <f>B60</f>
        <v>0</v>
      </c>
      <c r="F59" s="12">
        <f>B61</f>
        <v>0</v>
      </c>
      <c r="G59" s="11" t="s">
        <v>48</v>
      </c>
      <c r="I59" s="3"/>
      <c r="J59" s="3"/>
      <c r="K59" s="3"/>
      <c r="L59" s="3"/>
      <c r="M59" s="3"/>
      <c r="N59" s="3"/>
      <c r="O59" s="3"/>
      <c r="P59" s="3"/>
    </row>
    <row r="60" spans="1:16" ht="15.4" x14ac:dyDescent="0.45">
      <c r="A60" s="13" t="s">
        <v>43</v>
      </c>
      <c r="B60" s="14">
        <v>0</v>
      </c>
      <c r="C60" s="72">
        <f>ExBAs!C60</f>
        <v>43</v>
      </c>
      <c r="D60" s="72">
        <f>ExBAs!D60</f>
        <v>0</v>
      </c>
      <c r="E60" s="72">
        <f>D60</f>
        <v>0</v>
      </c>
      <c r="F60" s="72">
        <v>0</v>
      </c>
      <c r="G60" s="72">
        <f>SUM(E60:F60)</f>
        <v>0</v>
      </c>
      <c r="I60" s="3"/>
      <c r="J60" s="3"/>
      <c r="K60" s="3"/>
      <c r="L60" s="3"/>
      <c r="M60" s="3"/>
      <c r="N60" s="3"/>
      <c r="O60" s="3"/>
      <c r="P60" s="3"/>
    </row>
    <row r="61" spans="1:16" ht="15.4" x14ac:dyDescent="0.45">
      <c r="A61" s="13" t="s">
        <v>44</v>
      </c>
      <c r="B61" s="16">
        <v>0</v>
      </c>
      <c r="C61" s="72">
        <f>ExBAs!C61</f>
        <v>0</v>
      </c>
      <c r="D61" s="72">
        <f>ExBAs!D61</f>
        <v>184000</v>
      </c>
      <c r="E61" s="73">
        <f>C61*E$46</f>
        <v>0</v>
      </c>
      <c r="F61" s="73">
        <f>D61-E61</f>
        <v>184000</v>
      </c>
      <c r="G61" s="73">
        <f>SUM(E61:F61)</f>
        <v>184000</v>
      </c>
      <c r="I61" s="3"/>
      <c r="J61" s="3"/>
      <c r="K61" s="3"/>
      <c r="L61" s="3"/>
      <c r="M61" s="3"/>
      <c r="N61" s="3"/>
      <c r="O61" s="3"/>
      <c r="P61" s="3"/>
    </row>
    <row r="62" spans="1:16" ht="15.4" x14ac:dyDescent="0.45">
      <c r="A62" s="13"/>
      <c r="B62" s="14"/>
      <c r="C62" s="74">
        <f>SUM(C60:C61)</f>
        <v>43</v>
      </c>
      <c r="D62" s="74">
        <f>SUM(D60:D61)</f>
        <v>184000</v>
      </c>
      <c r="E62" s="74">
        <f>SUM(E60:E61)</f>
        <v>0</v>
      </c>
      <c r="F62" s="74">
        <f>SUM(F60:F61)</f>
        <v>184000</v>
      </c>
      <c r="G62" s="74">
        <f>SUM(G60:G61)</f>
        <v>184000</v>
      </c>
      <c r="I62" s="3"/>
      <c r="J62" s="3"/>
      <c r="K62" s="3"/>
      <c r="L62" s="3"/>
      <c r="M62" s="3"/>
      <c r="N62" s="3"/>
      <c r="O62" s="3"/>
      <c r="P62" s="3"/>
    </row>
    <row r="63" spans="1:16" ht="15.4" x14ac:dyDescent="0.45">
      <c r="A63" s="13"/>
      <c r="B63" s="14"/>
      <c r="C63" s="1"/>
      <c r="D63" s="14"/>
      <c r="E63" s="14"/>
      <c r="F63" s="14"/>
      <c r="G63" s="14"/>
      <c r="H63" s="14"/>
      <c r="I63" s="3"/>
      <c r="J63" s="3"/>
      <c r="K63" s="3"/>
      <c r="L63" s="3"/>
      <c r="M63" s="3"/>
      <c r="N63" s="3"/>
      <c r="O63" s="3"/>
      <c r="P63" s="3"/>
    </row>
    <row r="64" spans="1:16" ht="15.4" x14ac:dyDescent="0.45">
      <c r="A64" s="18" t="s">
        <v>49</v>
      </c>
      <c r="B64" s="18"/>
      <c r="C64" s="1"/>
      <c r="D64" s="14"/>
      <c r="E64" s="14"/>
      <c r="F64" s="14"/>
      <c r="G64" s="14"/>
      <c r="H64" s="14"/>
      <c r="I64" s="3"/>
      <c r="J64" s="3"/>
      <c r="K64" s="3"/>
      <c r="L64" s="3"/>
      <c r="M64" s="3"/>
      <c r="N64" s="3"/>
      <c r="O64" s="3"/>
      <c r="P64" s="3"/>
    </row>
    <row r="65" spans="1:16" ht="15.4" x14ac:dyDescent="0.45">
      <c r="A65" s="13"/>
      <c r="B65" s="11" t="s">
        <v>45</v>
      </c>
      <c r="C65" s="12" t="s">
        <v>46</v>
      </c>
      <c r="D65" s="11" t="s">
        <v>47</v>
      </c>
      <c r="E65" s="12" t="s">
        <v>50</v>
      </c>
      <c r="F65" s="12" t="s">
        <v>51</v>
      </c>
      <c r="G65" s="14"/>
      <c r="H65" s="14"/>
      <c r="I65" s="3"/>
      <c r="J65" s="3"/>
      <c r="K65" s="3"/>
      <c r="L65" s="3"/>
      <c r="M65" s="3"/>
      <c r="N65" s="3"/>
      <c r="O65" s="3"/>
      <c r="P65" s="3"/>
    </row>
    <row r="66" spans="1:16" ht="15.4" x14ac:dyDescent="0.45">
      <c r="A66" s="13" t="s">
        <v>43</v>
      </c>
      <c r="B66" s="14">
        <f>B60</f>
        <v>0</v>
      </c>
      <c r="C66" s="15">
        <f>C62</f>
        <v>43</v>
      </c>
      <c r="D66" s="72">
        <f>E62</f>
        <v>0</v>
      </c>
      <c r="E66" s="19">
        <f>RatesS!$L$13</f>
        <v>44.32</v>
      </c>
      <c r="F66" s="9">
        <f>E66*C66</f>
        <v>1905.76</v>
      </c>
      <c r="G66" s="14"/>
      <c r="H66" s="1"/>
      <c r="I66" s="3"/>
      <c r="J66" s="3"/>
      <c r="K66" s="3"/>
      <c r="L66" s="3"/>
      <c r="M66" s="3"/>
      <c r="N66" s="3"/>
      <c r="O66" s="3"/>
      <c r="P66" s="3"/>
    </row>
    <row r="67" spans="1:16" ht="15.4" x14ac:dyDescent="0.45">
      <c r="A67" s="13" t="s">
        <v>44</v>
      </c>
      <c r="B67" s="16">
        <f>B61</f>
        <v>0</v>
      </c>
      <c r="C67" s="20"/>
      <c r="D67" s="73">
        <f>F62</f>
        <v>184000</v>
      </c>
      <c r="E67" s="21">
        <f>RatesS!$L$14</f>
        <v>10.54</v>
      </c>
      <c r="F67" s="77">
        <f>E67*(D67/1000)</f>
        <v>1939.36</v>
      </c>
      <c r="G67" s="14"/>
      <c r="H67" s="1"/>
      <c r="I67" s="3"/>
      <c r="J67" s="3"/>
      <c r="K67" s="3"/>
      <c r="L67" s="3"/>
      <c r="M67" s="3"/>
      <c r="N67" s="3"/>
      <c r="O67" s="3"/>
      <c r="P67" s="3"/>
    </row>
    <row r="68" spans="1:16" ht="15.4" x14ac:dyDescent="0.45">
      <c r="A68" s="13"/>
      <c r="B68" s="14" t="s">
        <v>48</v>
      </c>
      <c r="C68" s="3">
        <f>SUM(C66:C67)</f>
        <v>43</v>
      </c>
      <c r="D68" s="74">
        <f>SUM(D66:D67)</f>
        <v>184000</v>
      </c>
      <c r="E68" s="1"/>
      <c r="F68" s="9">
        <f>SUM(F66:F67)</f>
        <v>3845.12</v>
      </c>
      <c r="G68" s="14"/>
      <c r="H68" s="14"/>
      <c r="I68" s="3"/>
      <c r="J68" s="3"/>
      <c r="K68" s="3"/>
      <c r="L68" s="3"/>
      <c r="M68" s="3"/>
      <c r="N68" s="3"/>
      <c r="O68" s="3"/>
      <c r="P68" s="3"/>
    </row>
    <row r="70" spans="1:16" ht="15.75" x14ac:dyDescent="0.5">
      <c r="A70" s="123" t="s">
        <v>272</v>
      </c>
      <c r="B70" s="1"/>
      <c r="C70" s="1"/>
      <c r="D70" s="1"/>
      <c r="E70" s="1"/>
      <c r="F70" s="1"/>
      <c r="G70" s="1"/>
      <c r="H70" s="1"/>
      <c r="I70" s="3"/>
      <c r="J70" s="3"/>
      <c r="K70" s="3"/>
      <c r="L70" s="3"/>
      <c r="M70" s="3"/>
      <c r="N70" s="3"/>
      <c r="O70" s="3"/>
      <c r="P70" s="3"/>
    </row>
    <row r="71" spans="1:16" ht="15.4" x14ac:dyDescent="0.45">
      <c r="A71" s="1"/>
      <c r="B71" s="1"/>
      <c r="C71" s="1"/>
      <c r="D71" s="1"/>
      <c r="E71" s="2" t="s">
        <v>43</v>
      </c>
      <c r="F71" s="2" t="s">
        <v>44</v>
      </c>
      <c r="G71" s="1"/>
      <c r="I71" s="3"/>
      <c r="J71" s="3"/>
      <c r="K71" s="3"/>
      <c r="L71" s="3"/>
      <c r="M71" s="3"/>
      <c r="N71" s="3"/>
      <c r="O71" s="3"/>
      <c r="P71" s="3"/>
    </row>
    <row r="72" spans="1:16" ht="15.4" x14ac:dyDescent="0.45">
      <c r="A72" s="1"/>
      <c r="B72" s="11" t="s">
        <v>45</v>
      </c>
      <c r="C72" s="12" t="s">
        <v>46</v>
      </c>
      <c r="D72" s="12" t="s">
        <v>47</v>
      </c>
      <c r="E72" s="12">
        <f>B73</f>
        <v>0</v>
      </c>
      <c r="F72" s="12">
        <f>B74</f>
        <v>0</v>
      </c>
      <c r="G72" s="11" t="s">
        <v>48</v>
      </c>
      <c r="I72" s="3"/>
      <c r="J72" s="3"/>
      <c r="K72" s="3"/>
      <c r="L72" s="3"/>
      <c r="M72" s="3"/>
      <c r="N72" s="3"/>
      <c r="O72" s="3"/>
      <c r="P72" s="3"/>
    </row>
    <row r="73" spans="1:16" ht="15.4" x14ac:dyDescent="0.45">
      <c r="A73" s="13" t="s">
        <v>43</v>
      </c>
      <c r="B73" s="14">
        <v>0</v>
      </c>
      <c r="C73" s="72">
        <f>ExBAs!C73</f>
        <v>11</v>
      </c>
      <c r="D73" s="72">
        <f>ExBAs!D73</f>
        <v>0</v>
      </c>
      <c r="E73" s="72">
        <f>D73</f>
        <v>0</v>
      </c>
      <c r="F73" s="72">
        <v>0</v>
      </c>
      <c r="G73" s="72">
        <f>SUM(E73:F73)</f>
        <v>0</v>
      </c>
      <c r="I73" s="3"/>
      <c r="J73" s="3"/>
      <c r="K73" s="3"/>
      <c r="L73" s="3"/>
      <c r="M73" s="3"/>
      <c r="N73" s="3"/>
      <c r="O73" s="3"/>
      <c r="P73" s="3"/>
    </row>
    <row r="74" spans="1:16" ht="15.4" x14ac:dyDescent="0.45">
      <c r="A74" s="13" t="s">
        <v>44</v>
      </c>
      <c r="B74" s="16">
        <v>0</v>
      </c>
      <c r="C74" s="72">
        <f>ExBAs!C74</f>
        <v>0</v>
      </c>
      <c r="D74" s="72">
        <f>ExBAs!D74</f>
        <v>9100</v>
      </c>
      <c r="E74" s="73">
        <f>C74*E$46</f>
        <v>0</v>
      </c>
      <c r="F74" s="73">
        <f>D74-E74</f>
        <v>9100</v>
      </c>
      <c r="G74" s="73">
        <f>SUM(E74:F74)</f>
        <v>9100</v>
      </c>
      <c r="I74" s="3"/>
      <c r="J74" s="3"/>
      <c r="K74" s="3"/>
      <c r="L74" s="3"/>
      <c r="M74" s="3"/>
      <c r="N74" s="3"/>
      <c r="O74" s="3"/>
      <c r="P74" s="3"/>
    </row>
    <row r="75" spans="1:16" ht="15.4" x14ac:dyDescent="0.45">
      <c r="A75" s="13"/>
      <c r="B75" s="14"/>
      <c r="C75" s="74">
        <f>SUM(C73:C74)</f>
        <v>11</v>
      </c>
      <c r="D75" s="74">
        <f>SUM(D73:D74)</f>
        <v>9100</v>
      </c>
      <c r="E75" s="74">
        <f>SUM(E73:E74)</f>
        <v>0</v>
      </c>
      <c r="F75" s="74">
        <f>SUM(F73:F74)</f>
        <v>9100</v>
      </c>
      <c r="G75" s="74">
        <f>SUM(G73:G74)</f>
        <v>9100</v>
      </c>
      <c r="I75" s="3"/>
      <c r="J75" s="3"/>
      <c r="K75" s="3"/>
      <c r="L75" s="3"/>
      <c r="M75" s="3"/>
      <c r="N75" s="3"/>
      <c r="O75" s="3"/>
      <c r="P75" s="3"/>
    </row>
    <row r="76" spans="1:16" ht="15.4" x14ac:dyDescent="0.45">
      <c r="A76" s="13"/>
      <c r="B76" s="14"/>
      <c r="C76" s="1"/>
      <c r="D76" s="14"/>
      <c r="E76" s="14"/>
      <c r="F76" s="14"/>
      <c r="G76" s="14"/>
      <c r="H76" s="14"/>
      <c r="I76" s="3"/>
      <c r="J76" s="3"/>
      <c r="K76" s="3"/>
      <c r="L76" s="3"/>
      <c r="M76" s="3"/>
      <c r="N76" s="3"/>
      <c r="O76" s="3"/>
      <c r="P76" s="3"/>
    </row>
    <row r="77" spans="1:16" ht="15.4" x14ac:dyDescent="0.45">
      <c r="A77" s="18" t="s">
        <v>49</v>
      </c>
      <c r="B77" s="18"/>
      <c r="C77" s="1"/>
      <c r="D77" s="14"/>
      <c r="E77" s="14"/>
      <c r="F77" s="14"/>
      <c r="G77" s="14"/>
      <c r="H77" s="14"/>
      <c r="I77" s="3"/>
      <c r="J77" s="3"/>
      <c r="K77" s="3"/>
      <c r="L77" s="3"/>
      <c r="M77" s="3"/>
      <c r="N77" s="3"/>
      <c r="O77" s="3"/>
      <c r="P77" s="3"/>
    </row>
    <row r="78" spans="1:16" ht="15.4" x14ac:dyDescent="0.45">
      <c r="A78" s="13"/>
      <c r="B78" s="11" t="s">
        <v>45</v>
      </c>
      <c r="C78" s="12" t="s">
        <v>46</v>
      </c>
      <c r="D78" s="11" t="s">
        <v>47</v>
      </c>
      <c r="E78" s="12" t="s">
        <v>50</v>
      </c>
      <c r="F78" s="12" t="s">
        <v>51</v>
      </c>
      <c r="G78" s="14"/>
      <c r="H78" s="14"/>
      <c r="I78" s="3"/>
      <c r="J78" s="3"/>
      <c r="K78" s="3"/>
      <c r="L78" s="3"/>
      <c r="M78" s="3"/>
      <c r="N78" s="3"/>
      <c r="O78" s="3"/>
      <c r="P78" s="3"/>
    </row>
    <row r="79" spans="1:16" ht="15.4" x14ac:dyDescent="0.45">
      <c r="A79" s="13" t="s">
        <v>43</v>
      </c>
      <c r="B79" s="14">
        <f>B73</f>
        <v>0</v>
      </c>
      <c r="C79" s="15">
        <f>C75</f>
        <v>11</v>
      </c>
      <c r="D79" s="72">
        <f>E75</f>
        <v>0</v>
      </c>
      <c r="E79" s="19">
        <f>RatesS!$L$13</f>
        <v>44.32</v>
      </c>
      <c r="F79" s="9">
        <f>E79*C79</f>
        <v>487.52</v>
      </c>
      <c r="G79" s="14"/>
      <c r="H79" s="1"/>
      <c r="I79" s="3"/>
      <c r="J79" s="3"/>
      <c r="K79" s="3"/>
      <c r="L79" s="3"/>
      <c r="M79" s="3"/>
      <c r="N79" s="3"/>
      <c r="O79" s="3"/>
      <c r="P79" s="3"/>
    </row>
    <row r="80" spans="1:16" ht="15.4" x14ac:dyDescent="0.45">
      <c r="A80" s="13" t="s">
        <v>44</v>
      </c>
      <c r="B80" s="16">
        <f>B74</f>
        <v>0</v>
      </c>
      <c r="C80" s="20"/>
      <c r="D80" s="73">
        <f>F75</f>
        <v>9100</v>
      </c>
      <c r="E80" s="21">
        <f>RatesS!$L$14</f>
        <v>10.54</v>
      </c>
      <c r="F80" s="77">
        <f>E80*(D80/1000)</f>
        <v>95.913999999999987</v>
      </c>
      <c r="G80" s="14"/>
      <c r="H80" s="1"/>
      <c r="I80" s="3"/>
      <c r="J80" s="3"/>
      <c r="K80" s="3"/>
      <c r="L80" s="3"/>
      <c r="M80" s="3"/>
      <c r="N80" s="3"/>
      <c r="O80" s="3"/>
      <c r="P80" s="3"/>
    </row>
    <row r="81" spans="1:16" ht="15.4" x14ac:dyDescent="0.45">
      <c r="A81" s="13"/>
      <c r="B81" s="14" t="s">
        <v>48</v>
      </c>
      <c r="C81" s="3">
        <f>SUM(C79:C80)</f>
        <v>11</v>
      </c>
      <c r="D81" s="74">
        <f>SUM(D79:D80)</f>
        <v>9100</v>
      </c>
      <c r="E81" s="1"/>
      <c r="F81" s="9">
        <f>SUM(F79:F80)</f>
        <v>583.43399999999997</v>
      </c>
      <c r="G81" s="14"/>
      <c r="H81" s="14"/>
      <c r="I81" s="3"/>
      <c r="J81" s="3"/>
      <c r="K81" s="3"/>
      <c r="L81" s="3"/>
      <c r="M81" s="3"/>
      <c r="N81" s="3"/>
      <c r="O81" s="3"/>
      <c r="P81" s="3"/>
    </row>
  </sheetData>
  <mergeCells count="2">
    <mergeCell ref="A1:G1"/>
    <mergeCell ref="A2:G2"/>
  </mergeCells>
  <printOptions horizontalCentered="1"/>
  <pageMargins left="0.85" right="0.7" top="1.2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D469-5B3B-4720-A199-5995E9D3702E}">
  <dimension ref="A1:D26"/>
  <sheetViews>
    <sheetView workbookViewId="0">
      <selection activeCell="H27" sqref="H27"/>
    </sheetView>
  </sheetViews>
  <sheetFormatPr defaultRowHeight="14.25" x14ac:dyDescent="0.45"/>
  <cols>
    <col min="1" max="16384" width="8.88671875" style="314"/>
  </cols>
  <sheetData>
    <row r="1" spans="1:4" x14ac:dyDescent="0.45">
      <c r="A1" s="320" t="s">
        <v>291</v>
      </c>
    </row>
    <row r="3" spans="1:4" x14ac:dyDescent="0.45">
      <c r="A3" s="320" t="s">
        <v>26</v>
      </c>
    </row>
    <row r="4" spans="1:4" x14ac:dyDescent="0.45">
      <c r="A4" s="314" t="s">
        <v>292</v>
      </c>
    </row>
    <row r="6" spans="1:4" x14ac:dyDescent="0.45">
      <c r="B6" s="315" t="s">
        <v>293</v>
      </c>
      <c r="C6" s="315" t="s">
        <v>294</v>
      </c>
      <c r="D6" s="315" t="s">
        <v>295</v>
      </c>
    </row>
    <row r="7" spans="1:4" x14ac:dyDescent="0.45">
      <c r="A7" s="314">
        <v>2021</v>
      </c>
      <c r="B7" s="319">
        <v>201.31</v>
      </c>
      <c r="C7" s="314">
        <v>28400</v>
      </c>
      <c r="D7" s="314">
        <f>B7/C7</f>
        <v>7.0883802816901409E-3</v>
      </c>
    </row>
    <row r="8" spans="1:4" x14ac:dyDescent="0.45">
      <c r="A8" s="314">
        <v>2022</v>
      </c>
      <c r="B8" s="319">
        <v>214.61</v>
      </c>
      <c r="C8" s="314">
        <v>23200</v>
      </c>
      <c r="D8" s="316">
        <f>B8/C8</f>
        <v>9.2504310344827586E-3</v>
      </c>
    </row>
    <row r="9" spans="1:4" x14ac:dyDescent="0.45">
      <c r="A9" s="315" t="s">
        <v>129</v>
      </c>
      <c r="D9" s="314">
        <f>D8-D7</f>
        <v>2.1620507527926177E-3</v>
      </c>
    </row>
    <row r="10" spans="1:4" x14ac:dyDescent="0.45">
      <c r="A10" s="315" t="s">
        <v>296</v>
      </c>
      <c r="D10" s="317">
        <f>D9/D7</f>
        <v>0.30501336932745687</v>
      </c>
    </row>
    <row r="12" spans="1:4" x14ac:dyDescent="0.45">
      <c r="A12" s="314" t="s">
        <v>297</v>
      </c>
      <c r="D12" s="319">
        <f>SAOw!D17</f>
        <v>1299.97</v>
      </c>
    </row>
    <row r="13" spans="1:4" x14ac:dyDescent="0.45">
      <c r="A13" s="314" t="s">
        <v>296</v>
      </c>
      <c r="D13" s="318">
        <f>D10</f>
        <v>0.30501336932745687</v>
      </c>
    </row>
    <row r="14" spans="1:4" x14ac:dyDescent="0.45">
      <c r="A14" s="314" t="s">
        <v>9</v>
      </c>
      <c r="D14" s="319">
        <f>ROUND(D12*D13,2)</f>
        <v>396.51</v>
      </c>
    </row>
    <row r="15" spans="1:4" x14ac:dyDescent="0.45">
      <c r="D15" s="319"/>
    </row>
    <row r="16" spans="1:4" x14ac:dyDescent="0.45">
      <c r="A16" s="320" t="s">
        <v>301</v>
      </c>
    </row>
    <row r="17" spans="1:4" x14ac:dyDescent="0.45">
      <c r="A17" s="314" t="s">
        <v>300</v>
      </c>
      <c r="B17" s="320"/>
      <c r="C17" s="320"/>
      <c r="D17" s="320"/>
    </row>
    <row r="18" spans="1:4" x14ac:dyDescent="0.45">
      <c r="B18" s="315" t="s">
        <v>293</v>
      </c>
      <c r="C18" s="315"/>
      <c r="D18" s="315"/>
    </row>
    <row r="19" spans="1:4" x14ac:dyDescent="0.45">
      <c r="A19" s="314">
        <v>2021</v>
      </c>
      <c r="B19" s="319">
        <v>387.75</v>
      </c>
    </row>
    <row r="20" spans="1:4" x14ac:dyDescent="0.45">
      <c r="A20" s="314">
        <v>2022</v>
      </c>
      <c r="B20" s="321">
        <v>394</v>
      </c>
    </row>
    <row r="21" spans="1:4" x14ac:dyDescent="0.45">
      <c r="A21" s="315" t="s">
        <v>129</v>
      </c>
      <c r="B21" s="322">
        <f>+B20-B19</f>
        <v>6.25</v>
      </c>
    </row>
    <row r="22" spans="1:4" x14ac:dyDescent="0.45">
      <c r="A22" s="315" t="s">
        <v>296</v>
      </c>
      <c r="B22" s="317">
        <f>+B21/B19</f>
        <v>1.6118633139909737E-2</v>
      </c>
    </row>
    <row r="24" spans="1:4" x14ac:dyDescent="0.45">
      <c r="A24" s="314" t="s">
        <v>302</v>
      </c>
      <c r="D24" s="323">
        <v>909.25</v>
      </c>
    </row>
    <row r="25" spans="1:4" x14ac:dyDescent="0.45">
      <c r="A25" s="314" t="s">
        <v>296</v>
      </c>
      <c r="D25" s="318">
        <f>B22</f>
        <v>1.6118633139909737E-2</v>
      </c>
    </row>
    <row r="26" spans="1:4" x14ac:dyDescent="0.45">
      <c r="A26" s="314" t="s">
        <v>9</v>
      </c>
      <c r="D26" s="319">
        <f>ROUND(D24*D25,2)</f>
        <v>14.66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Q53"/>
  <sheetViews>
    <sheetView showGridLines="0" workbookViewId="0">
      <selection sqref="A1:G53"/>
    </sheetView>
  </sheetViews>
  <sheetFormatPr defaultColWidth="8.77734375" defaultRowHeight="14.25" x14ac:dyDescent="0.45"/>
  <cols>
    <col min="1" max="1" width="3.6640625" style="3" customWidth="1"/>
    <col min="2" max="2" width="2.6640625" style="3" customWidth="1"/>
    <col min="3" max="3" width="33.33203125" style="3" customWidth="1"/>
    <col min="4" max="4" width="9.77734375" style="3" customWidth="1"/>
    <col min="5" max="5" width="10.21875" style="3" customWidth="1"/>
    <col min="6" max="6" width="4.88671875" style="139" customWidth="1"/>
    <col min="7" max="7" width="9.77734375" style="3" customWidth="1"/>
    <col min="8" max="8" width="4" style="3" customWidth="1"/>
    <col min="9" max="11" width="26.609375" style="3" customWidth="1"/>
    <col min="12" max="16384" width="8.77734375" style="3"/>
  </cols>
  <sheetData>
    <row r="1" spans="1:10" ht="18" x14ac:dyDescent="0.45">
      <c r="A1" s="339" t="s">
        <v>30</v>
      </c>
      <c r="B1" s="339"/>
      <c r="C1" s="339"/>
      <c r="D1" s="339"/>
      <c r="E1" s="339"/>
      <c r="F1" s="339"/>
      <c r="G1" s="339"/>
    </row>
    <row r="2" spans="1:10" ht="18" x14ac:dyDescent="0.45">
      <c r="A2" s="339" t="s">
        <v>234</v>
      </c>
      <c r="B2" s="339"/>
      <c r="C2" s="339"/>
      <c r="D2" s="339"/>
      <c r="E2" s="339"/>
      <c r="F2" s="339"/>
      <c r="G2" s="339"/>
    </row>
    <row r="3" spans="1:10" ht="18" x14ac:dyDescent="0.45">
      <c r="A3" s="339" t="s">
        <v>96</v>
      </c>
      <c r="B3" s="339"/>
      <c r="C3" s="339"/>
      <c r="D3" s="339"/>
      <c r="E3" s="339"/>
      <c r="F3" s="339"/>
      <c r="G3" s="339"/>
    </row>
    <row r="5" spans="1:10" ht="16.5" x14ac:dyDescent="0.75">
      <c r="D5" s="150" t="s">
        <v>76</v>
      </c>
      <c r="E5" s="150" t="s">
        <v>28</v>
      </c>
      <c r="F5" s="281" t="s">
        <v>40</v>
      </c>
      <c r="G5" s="150" t="s">
        <v>75</v>
      </c>
      <c r="I5" s="324" t="s">
        <v>314</v>
      </c>
      <c r="J5" s="324" t="s">
        <v>315</v>
      </c>
    </row>
    <row r="6" spans="1:10" x14ac:dyDescent="0.45">
      <c r="A6" s="151" t="s">
        <v>10</v>
      </c>
      <c r="B6" s="31"/>
      <c r="C6" s="31"/>
    </row>
    <row r="7" spans="1:10" x14ac:dyDescent="0.45">
      <c r="A7" s="151"/>
      <c r="B7" s="31" t="s">
        <v>255</v>
      </c>
      <c r="C7" s="31"/>
    </row>
    <row r="8" spans="1:10" x14ac:dyDescent="0.45">
      <c r="A8" s="31"/>
      <c r="C8" s="31" t="s">
        <v>246</v>
      </c>
      <c r="D8" s="3">
        <v>1169.52</v>
      </c>
      <c r="E8" s="3">
        <v>0</v>
      </c>
      <c r="F8" s="139" t="s">
        <v>356</v>
      </c>
      <c r="G8" s="3">
        <f>D8+E8</f>
        <v>1169.52</v>
      </c>
      <c r="H8" s="36"/>
      <c r="I8" s="289" t="s">
        <v>350</v>
      </c>
      <c r="J8" s="31" t="s">
        <v>352</v>
      </c>
    </row>
    <row r="9" spans="1:10" ht="16.5" x14ac:dyDescent="0.75">
      <c r="A9" s="31"/>
      <c r="C9" s="31" t="s">
        <v>339</v>
      </c>
      <c r="D9" s="65">
        <v>96665.38</v>
      </c>
      <c r="E9" s="300">
        <v>0</v>
      </c>
      <c r="F9" s="139" t="s">
        <v>356</v>
      </c>
      <c r="G9" s="65">
        <f>D9+E9</f>
        <v>96665.38</v>
      </c>
      <c r="H9" s="36"/>
      <c r="I9" s="289" t="s">
        <v>350</v>
      </c>
      <c r="J9" s="31" t="s">
        <v>352</v>
      </c>
    </row>
    <row r="10" spans="1:10" x14ac:dyDescent="0.45">
      <c r="A10" s="31"/>
      <c r="B10" s="31" t="s">
        <v>256</v>
      </c>
      <c r="C10" s="31"/>
      <c r="D10" s="3">
        <f>D8+D9</f>
        <v>97834.900000000009</v>
      </c>
      <c r="E10" s="3">
        <f>E8+E9</f>
        <v>0</v>
      </c>
      <c r="G10" s="3">
        <f>G8+G9</f>
        <v>97834.900000000009</v>
      </c>
      <c r="H10" s="36"/>
      <c r="I10" s="289"/>
    </row>
    <row r="11" spans="1:10" ht="16.5" x14ac:dyDescent="0.75">
      <c r="A11" s="31"/>
      <c r="B11" s="3" t="s">
        <v>247</v>
      </c>
      <c r="C11" s="31"/>
      <c r="D11" s="299">
        <v>3163.49</v>
      </c>
      <c r="E11" s="329">
        <v>0</v>
      </c>
      <c r="F11" s="215"/>
      <c r="G11" s="299">
        <f>D11+E11</f>
        <v>3163.49</v>
      </c>
      <c r="H11" s="36"/>
      <c r="I11" s="289"/>
    </row>
    <row r="12" spans="1:10" x14ac:dyDescent="0.45">
      <c r="A12" s="152" t="s">
        <v>11</v>
      </c>
      <c r="B12" s="31"/>
      <c r="C12" s="31"/>
      <c r="D12" s="3">
        <f>SUM(D10:D11)</f>
        <v>100998.39000000001</v>
      </c>
      <c r="E12" s="3">
        <f>SUM(E10:E11)</f>
        <v>0</v>
      </c>
      <c r="G12" s="3">
        <f>SUM(G10:G11)</f>
        <v>100998.39000000001</v>
      </c>
    </row>
    <row r="13" spans="1:10" x14ac:dyDescent="0.45">
      <c r="A13" s="31"/>
      <c r="B13" s="31"/>
      <c r="C13" s="31"/>
    </row>
    <row r="14" spans="1:10" x14ac:dyDescent="0.45">
      <c r="A14" s="151" t="s">
        <v>12</v>
      </c>
      <c r="B14" s="31"/>
      <c r="C14" s="31"/>
    </row>
    <row r="15" spans="1:10" x14ac:dyDescent="0.45">
      <c r="A15" s="31"/>
      <c r="B15" s="31" t="s">
        <v>87</v>
      </c>
      <c r="C15" s="31"/>
    </row>
    <row r="16" spans="1:10" x14ac:dyDescent="0.45">
      <c r="A16" s="31"/>
      <c r="B16" s="31"/>
      <c r="C16" s="3" t="s">
        <v>118</v>
      </c>
      <c r="D16" s="3">
        <v>0</v>
      </c>
      <c r="G16" s="3">
        <f t="shared" ref="G16:G34" si="0">D16+E16</f>
        <v>0</v>
      </c>
      <c r="H16" s="36"/>
    </row>
    <row r="17" spans="1:11" x14ac:dyDescent="0.45">
      <c r="A17" s="31"/>
      <c r="B17" s="31"/>
      <c r="C17" s="31" t="s">
        <v>88</v>
      </c>
      <c r="D17" s="3">
        <v>15914.84</v>
      </c>
      <c r="E17" s="3">
        <f>+Wages!F18</f>
        <v>11290.762666591248</v>
      </c>
      <c r="F17" s="139" t="s">
        <v>357</v>
      </c>
      <c r="G17" s="3">
        <f t="shared" si="0"/>
        <v>27205.60266659125</v>
      </c>
      <c r="H17" s="36"/>
      <c r="I17" s="3" t="s">
        <v>346</v>
      </c>
      <c r="J17" s="3" t="s">
        <v>348</v>
      </c>
    </row>
    <row r="18" spans="1:11" x14ac:dyDescent="0.45">
      <c r="A18" s="31"/>
      <c r="B18" s="31"/>
      <c r="C18" s="31" t="s">
        <v>252</v>
      </c>
      <c r="D18" s="3">
        <v>10678.8</v>
      </c>
      <c r="G18" s="3">
        <f t="shared" si="0"/>
        <v>10678.8</v>
      </c>
    </row>
    <row r="19" spans="1:11" x14ac:dyDescent="0.45">
      <c r="A19" s="31"/>
      <c r="B19" s="31"/>
      <c r="C19" s="31" t="s">
        <v>253</v>
      </c>
      <c r="D19" s="3">
        <v>19075.25</v>
      </c>
      <c r="E19" s="3">
        <f>'K&amp;M Changes S'!D26</f>
        <v>3272.44</v>
      </c>
      <c r="F19" s="139" t="s">
        <v>358</v>
      </c>
      <c r="G19" s="3">
        <f t="shared" ref="G19:G21" si="1">D19+E19</f>
        <v>22347.69</v>
      </c>
      <c r="I19" s="3" t="s">
        <v>317</v>
      </c>
      <c r="J19" s="3" t="s">
        <v>316</v>
      </c>
    </row>
    <row r="20" spans="1:11" x14ac:dyDescent="0.45">
      <c r="A20" s="31"/>
      <c r="B20" s="31"/>
      <c r="C20" s="31" t="s">
        <v>254</v>
      </c>
      <c r="D20" s="3">
        <v>4273.57</v>
      </c>
      <c r="E20" s="3">
        <f>'K&amp;M Changes S'!D14</f>
        <v>1303.5</v>
      </c>
      <c r="F20" s="139" t="s">
        <v>360</v>
      </c>
      <c r="G20" s="3">
        <f t="shared" si="1"/>
        <v>5577.07</v>
      </c>
      <c r="I20" s="3" t="s">
        <v>318</v>
      </c>
      <c r="J20" s="3" t="s">
        <v>320</v>
      </c>
    </row>
    <row r="21" spans="1:11" x14ac:dyDescent="0.45">
      <c r="A21" s="31"/>
      <c r="B21" s="31"/>
      <c r="C21" s="31" t="s">
        <v>86</v>
      </c>
      <c r="D21" s="3">
        <v>12475.03</v>
      </c>
      <c r="E21" s="3">
        <f>'K&amp;M Changes S'!D38</f>
        <v>6347.28</v>
      </c>
      <c r="F21" s="139" t="s">
        <v>359</v>
      </c>
      <c r="G21" s="3">
        <f t="shared" si="1"/>
        <v>18822.310000000001</v>
      </c>
      <c r="I21" s="3" t="s">
        <v>319</v>
      </c>
      <c r="J21" s="3" t="s">
        <v>321</v>
      </c>
    </row>
    <row r="22" spans="1:11" x14ac:dyDescent="0.45">
      <c r="A22" s="31"/>
      <c r="B22" s="31" t="s">
        <v>119</v>
      </c>
      <c r="C22" s="31"/>
    </row>
    <row r="23" spans="1:11" x14ac:dyDescent="0.45">
      <c r="A23" s="31"/>
      <c r="B23" s="31"/>
      <c r="C23" s="31" t="s">
        <v>250</v>
      </c>
      <c r="D23" s="3">
        <v>3072</v>
      </c>
      <c r="G23" s="3">
        <f t="shared" si="0"/>
        <v>3072</v>
      </c>
    </row>
    <row r="24" spans="1:11" x14ac:dyDescent="0.45">
      <c r="A24" s="31"/>
      <c r="B24" s="31"/>
      <c r="C24" s="31" t="s">
        <v>251</v>
      </c>
      <c r="D24" s="3">
        <v>3401.79</v>
      </c>
      <c r="G24" s="3">
        <f t="shared" si="0"/>
        <v>3401.79</v>
      </c>
    </row>
    <row r="25" spans="1:11" x14ac:dyDescent="0.45">
      <c r="A25" s="31"/>
      <c r="B25" s="31"/>
      <c r="C25" s="31" t="s">
        <v>120</v>
      </c>
      <c r="D25" s="3">
        <v>517.54</v>
      </c>
      <c r="G25" s="3">
        <f t="shared" si="0"/>
        <v>517.54</v>
      </c>
    </row>
    <row r="26" spans="1:11" x14ac:dyDescent="0.45">
      <c r="A26" s="31"/>
      <c r="B26" s="31" t="s">
        <v>89</v>
      </c>
      <c r="C26" s="31"/>
      <c r="K26" s="36"/>
    </row>
    <row r="27" spans="1:11" x14ac:dyDescent="0.45">
      <c r="A27" s="31"/>
      <c r="B27" s="31"/>
      <c r="C27" s="31" t="s">
        <v>121</v>
      </c>
      <c r="D27" s="3">
        <v>3048.3</v>
      </c>
      <c r="G27" s="3">
        <f t="shared" si="0"/>
        <v>3048.3</v>
      </c>
      <c r="I27" s="31"/>
      <c r="K27" s="36"/>
    </row>
    <row r="28" spans="1:11" x14ac:dyDescent="0.45">
      <c r="A28" s="31"/>
      <c r="B28" s="31"/>
      <c r="C28" s="31" t="s">
        <v>90</v>
      </c>
      <c r="D28" s="3">
        <v>5255.97</v>
      </c>
      <c r="G28" s="3">
        <f t="shared" si="0"/>
        <v>5255.97</v>
      </c>
      <c r="H28" s="36"/>
      <c r="K28" s="36"/>
    </row>
    <row r="29" spans="1:11" x14ac:dyDescent="0.45">
      <c r="A29" s="31"/>
      <c r="B29" s="31"/>
      <c r="C29" s="31" t="s">
        <v>91</v>
      </c>
      <c r="D29" s="3">
        <v>2136.4699999999998</v>
      </c>
      <c r="G29" s="3">
        <f t="shared" si="0"/>
        <v>2136.4699999999998</v>
      </c>
      <c r="K29" s="36"/>
    </row>
    <row r="30" spans="1:11" x14ac:dyDescent="0.45">
      <c r="A30" s="31"/>
      <c r="B30" s="31"/>
      <c r="C30" s="31" t="s">
        <v>122</v>
      </c>
      <c r="D30" s="3">
        <v>3915.21</v>
      </c>
      <c r="G30" s="3">
        <f t="shared" si="0"/>
        <v>3915.21</v>
      </c>
      <c r="K30" s="36"/>
    </row>
    <row r="31" spans="1:11" x14ac:dyDescent="0.45">
      <c r="A31" s="31"/>
      <c r="B31" s="31"/>
      <c r="C31" s="31" t="s">
        <v>24</v>
      </c>
      <c r="D31" s="3">
        <v>1815.01</v>
      </c>
      <c r="E31" s="3">
        <f>Medical!J20</f>
        <v>-103.8158663292991</v>
      </c>
      <c r="F31" s="139" t="s">
        <v>361</v>
      </c>
      <c r="G31" s="3">
        <f t="shared" si="0"/>
        <v>1711.1941336707009</v>
      </c>
      <c r="H31" s="36"/>
      <c r="I31" s="289" t="s">
        <v>353</v>
      </c>
      <c r="J31" s="3" t="s">
        <v>354</v>
      </c>
      <c r="K31" s="36"/>
    </row>
    <row r="32" spans="1:11" ht="16.5" x14ac:dyDescent="0.75">
      <c r="A32" s="31"/>
      <c r="B32" s="31"/>
      <c r="C32" s="31" t="s">
        <v>248</v>
      </c>
      <c r="D32" s="3">
        <v>345.37</v>
      </c>
      <c r="G32" s="3">
        <f>D32+E32</f>
        <v>345.37</v>
      </c>
      <c r="H32" s="36"/>
      <c r="I32" s="31"/>
      <c r="J32" s="65"/>
      <c r="K32" s="36"/>
    </row>
    <row r="33" spans="1:251" x14ac:dyDescent="0.45">
      <c r="A33" s="31"/>
      <c r="B33" s="31"/>
      <c r="C33" s="31" t="s">
        <v>92</v>
      </c>
      <c r="D33" s="3">
        <v>2654</v>
      </c>
      <c r="G33" s="3">
        <f t="shared" si="0"/>
        <v>2654</v>
      </c>
    </row>
    <row r="34" spans="1:251" x14ac:dyDescent="0.45">
      <c r="A34" s="31"/>
      <c r="B34" s="31"/>
      <c r="C34" s="31" t="s">
        <v>93</v>
      </c>
      <c r="D34" s="3">
        <v>453.93</v>
      </c>
      <c r="G34" s="3">
        <f t="shared" si="0"/>
        <v>453.93</v>
      </c>
      <c r="I34" s="289"/>
    </row>
    <row r="35" spans="1:251" ht="16.5" x14ac:dyDescent="0.75">
      <c r="A35" s="31"/>
      <c r="B35" s="31"/>
      <c r="C35" s="31" t="s">
        <v>249</v>
      </c>
      <c r="D35" s="65">
        <v>465.27</v>
      </c>
      <c r="E35" s="65"/>
      <c r="G35" s="65">
        <f>D35+E35</f>
        <v>465.27</v>
      </c>
      <c r="I35" s="289"/>
    </row>
    <row r="36" spans="1:251" ht="16.5" x14ac:dyDescent="0.75">
      <c r="A36" s="31"/>
      <c r="B36" s="152" t="s">
        <v>94</v>
      </c>
      <c r="C36" s="31"/>
      <c r="D36" s="65">
        <f>SUM(D16:D35)</f>
        <v>89498.349999999991</v>
      </c>
      <c r="E36" s="65">
        <f>SUM(E16:E35)</f>
        <v>22110.166800261948</v>
      </c>
      <c r="G36" s="65">
        <f>SUM(G16:G35)</f>
        <v>111608.51680026195</v>
      </c>
    </row>
    <row r="37" spans="1:251" x14ac:dyDescent="0.45">
      <c r="A37" s="31"/>
      <c r="B37" s="31" t="s">
        <v>20</v>
      </c>
      <c r="C37" s="31"/>
      <c r="D37" s="3">
        <v>44289.39</v>
      </c>
      <c r="E37" s="3">
        <f>Depreciation!K75</f>
        <v>-3739.1482952380957</v>
      </c>
      <c r="G37" s="3">
        <f t="shared" ref="G37" si="2">D37+E37</f>
        <v>40550.241704761902</v>
      </c>
      <c r="H37" s="36"/>
      <c r="I37" s="31"/>
    </row>
    <row r="38" spans="1:251" ht="16.5" x14ac:dyDescent="0.75">
      <c r="A38" s="31"/>
      <c r="B38" s="31" t="s">
        <v>21</v>
      </c>
      <c r="C38" s="31"/>
      <c r="D38" s="65">
        <v>3752.02</v>
      </c>
      <c r="E38" s="65">
        <f>+Wages!F28</f>
        <v>46.335939798801533</v>
      </c>
      <c r="F38" s="139" t="s">
        <v>362</v>
      </c>
      <c r="G38" s="65">
        <f>D38+E38</f>
        <v>3798.3559397988015</v>
      </c>
      <c r="H38" s="36"/>
      <c r="I38" s="31" t="s">
        <v>344</v>
      </c>
      <c r="J38" s="3" t="s">
        <v>349</v>
      </c>
    </row>
    <row r="39" spans="1:251" ht="16.5" x14ac:dyDescent="0.75">
      <c r="A39" s="152" t="s">
        <v>13</v>
      </c>
      <c r="B39" s="31"/>
      <c r="C39" s="31"/>
      <c r="D39" s="65">
        <f>SUM(D36:D38)</f>
        <v>137539.75999999998</v>
      </c>
      <c r="E39" s="65">
        <f>SUM(E36:E38)</f>
        <v>18417.354444822653</v>
      </c>
      <c r="G39" s="65">
        <f>SUM(G36:G38)</f>
        <v>155957.11444482266</v>
      </c>
    </row>
    <row r="40" spans="1:251" x14ac:dyDescent="0.45">
      <c r="A40" s="152" t="s">
        <v>32</v>
      </c>
      <c r="B40" s="31"/>
      <c r="C40" s="31"/>
      <c r="D40" s="3">
        <f>D12-D39</f>
        <v>-36541.369999999966</v>
      </c>
      <c r="E40" s="3">
        <f>E12-E39</f>
        <v>-18417.354444822653</v>
      </c>
      <c r="G40" s="3">
        <f>G12-G39</f>
        <v>-54958.724444822641</v>
      </c>
      <c r="I40" s="188"/>
      <c r="J40" s="188"/>
      <c r="K40" s="188"/>
      <c r="L40" s="188"/>
      <c r="M40" s="188"/>
    </row>
    <row r="41" spans="1:251" x14ac:dyDescent="0.45">
      <c r="A41" s="31"/>
      <c r="B41" s="31"/>
      <c r="C41" s="31"/>
      <c r="I41" s="188"/>
      <c r="J41" s="188"/>
      <c r="K41" s="188"/>
      <c r="L41" s="188"/>
      <c r="M41" s="188"/>
      <c r="P41" s="3" t="e">
        <f>#REF!</f>
        <v>#REF!</v>
      </c>
    </row>
    <row r="42" spans="1:251" s="27" customFormat="1" ht="15.75" x14ac:dyDescent="0.5">
      <c r="A42" s="338" t="s">
        <v>284</v>
      </c>
      <c r="B42" s="338"/>
      <c r="C42" s="338"/>
      <c r="D42" s="338"/>
      <c r="E42" s="338"/>
      <c r="F42" s="338"/>
      <c r="G42" s="338"/>
      <c r="H42" s="190"/>
      <c r="I42" s="1"/>
      <c r="J42" s="22"/>
      <c r="K42" s="22"/>
      <c r="L42" s="22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</row>
    <row r="43" spans="1:251" s="27" customFormat="1" ht="15.75" x14ac:dyDescent="0.5">
      <c r="A43" s="40" t="s">
        <v>14</v>
      </c>
      <c r="B43" s="22"/>
      <c r="C43" s="22"/>
      <c r="D43" s="308"/>
      <c r="E43" s="309"/>
      <c r="F43" s="22"/>
      <c r="G43" s="35">
        <f>G39</f>
        <v>155957.11444482266</v>
      </c>
      <c r="H43" s="190"/>
      <c r="I43" s="1"/>
      <c r="J43" s="22"/>
      <c r="K43" s="22"/>
      <c r="L43" s="22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</row>
    <row r="44" spans="1:251" s="27" customFormat="1" ht="17.649999999999999" x14ac:dyDescent="0.75">
      <c r="A44" s="22" t="s">
        <v>285</v>
      </c>
      <c r="B44" s="22"/>
      <c r="C44" s="22"/>
      <c r="D44" s="308"/>
      <c r="E44" s="310"/>
      <c r="F44" s="22"/>
      <c r="G44" s="312">
        <v>0.88</v>
      </c>
      <c r="H44" s="191"/>
      <c r="I44" s="1"/>
      <c r="J44" s="22"/>
      <c r="K44" s="22"/>
      <c r="L44" s="22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</row>
    <row r="45" spans="1:251" s="27" customFormat="1" ht="15.75" x14ac:dyDescent="0.5">
      <c r="A45" s="22" t="s">
        <v>286</v>
      </c>
      <c r="B45" s="22"/>
      <c r="C45" s="22"/>
      <c r="D45" s="35"/>
      <c r="E45" s="22"/>
      <c r="F45" s="22"/>
      <c r="G45" s="35">
        <f>G43/G44</f>
        <v>177223.99368729847</v>
      </c>
      <c r="H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</row>
    <row r="46" spans="1:251" s="27" customFormat="1" ht="17.649999999999999" x14ac:dyDescent="0.75">
      <c r="A46" s="22" t="s">
        <v>287</v>
      </c>
      <c r="B46" s="22"/>
      <c r="C46" s="22" t="s">
        <v>288</v>
      </c>
      <c r="D46" s="35"/>
      <c r="E46" s="22"/>
      <c r="F46" s="22"/>
      <c r="G46" s="301">
        <v>0</v>
      </c>
      <c r="H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</row>
    <row r="47" spans="1:251" s="27" customFormat="1" ht="15.75" x14ac:dyDescent="0.5">
      <c r="A47" s="40" t="s">
        <v>33</v>
      </c>
      <c r="B47" s="22"/>
      <c r="C47" s="22"/>
      <c r="D47" s="35"/>
      <c r="E47" s="22"/>
      <c r="F47" s="22"/>
      <c r="G47" s="35">
        <f>G45+G46</f>
        <v>177223.99368729847</v>
      </c>
      <c r="H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</row>
    <row r="48" spans="1:251" s="27" customFormat="1" ht="15.75" x14ac:dyDescent="0.5">
      <c r="A48" s="22" t="s">
        <v>289</v>
      </c>
      <c r="B48" s="22"/>
      <c r="C48" s="22" t="s">
        <v>17</v>
      </c>
      <c r="D48" s="35"/>
      <c r="E48" s="22"/>
      <c r="F48" s="22"/>
      <c r="G48" s="35">
        <f>-G11</f>
        <v>-3163.49</v>
      </c>
      <c r="H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</row>
    <row r="49" spans="1:251" s="27" customFormat="1" ht="16.5" x14ac:dyDescent="0.5">
      <c r="A49" s="22"/>
      <c r="B49" s="22"/>
      <c r="C49" s="29" t="s">
        <v>55</v>
      </c>
      <c r="D49" s="35"/>
      <c r="E49" s="22"/>
      <c r="F49" s="22"/>
      <c r="G49" s="305">
        <v>-417.8</v>
      </c>
      <c r="H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6"/>
      <c r="ID49" s="26"/>
      <c r="IE49" s="26"/>
      <c r="IF49" s="26"/>
      <c r="IG49" s="26"/>
      <c r="IH49" s="26"/>
      <c r="II49" s="26"/>
      <c r="IJ49" s="26"/>
      <c r="IK49" s="26"/>
      <c r="IL49" s="26"/>
      <c r="IM49" s="26"/>
      <c r="IN49" s="26"/>
      <c r="IO49" s="26"/>
      <c r="IP49" s="26"/>
      <c r="IQ49" s="26"/>
    </row>
    <row r="50" spans="1:251" s="27" customFormat="1" ht="15.75" x14ac:dyDescent="0.5">
      <c r="A50" s="40" t="s">
        <v>115</v>
      </c>
      <c r="B50" s="22"/>
      <c r="C50" s="22"/>
      <c r="D50" s="35"/>
      <c r="E50" s="22"/>
      <c r="F50" s="22"/>
      <c r="G50" s="35">
        <f>G47+G48+G49</f>
        <v>173642.70368729849</v>
      </c>
      <c r="H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  <c r="HY50" s="26"/>
      <c r="HZ50" s="26"/>
      <c r="IA50" s="26"/>
      <c r="IB50" s="26"/>
      <c r="IC50" s="26"/>
      <c r="ID50" s="26"/>
      <c r="IE50" s="26"/>
      <c r="IF50" s="26"/>
      <c r="IG50" s="26"/>
      <c r="IH50" s="26"/>
      <c r="II50" s="26"/>
      <c r="IJ50" s="26"/>
      <c r="IK50" s="26"/>
      <c r="IL50" s="26"/>
      <c r="IM50" s="26"/>
      <c r="IN50" s="26"/>
      <c r="IO50" s="26"/>
      <c r="IP50" s="26"/>
      <c r="IQ50" s="26"/>
    </row>
    <row r="51" spans="1:251" s="27" customFormat="1" ht="17.649999999999999" x14ac:dyDescent="0.75">
      <c r="A51" s="22" t="s">
        <v>289</v>
      </c>
      <c r="B51" s="22"/>
      <c r="C51" s="22" t="s">
        <v>290</v>
      </c>
      <c r="D51" s="35"/>
      <c r="E51" s="22"/>
      <c r="F51" s="22"/>
      <c r="G51" s="301">
        <f>-G10</f>
        <v>-97834.900000000009</v>
      </c>
      <c r="H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  <c r="HY51" s="26"/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</row>
    <row r="52" spans="1:251" s="27" customFormat="1" ht="15.75" x14ac:dyDescent="0.5">
      <c r="A52" s="40" t="s">
        <v>15</v>
      </c>
      <c r="B52" s="22"/>
      <c r="C52" s="22"/>
      <c r="D52" s="35"/>
      <c r="E52" s="22"/>
      <c r="F52" s="22"/>
      <c r="G52" s="35">
        <f>G50+G51</f>
        <v>75807.803687298481</v>
      </c>
      <c r="H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/>
      <c r="HX52" s="26"/>
      <c r="HY52" s="26"/>
      <c r="HZ52" s="26"/>
      <c r="IA52" s="26"/>
      <c r="IB52" s="26"/>
      <c r="IC52" s="26"/>
      <c r="ID52" s="26"/>
      <c r="IE52" s="26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</row>
    <row r="53" spans="1:251" s="27" customFormat="1" ht="15.75" x14ac:dyDescent="0.5">
      <c r="A53" s="40" t="s">
        <v>16</v>
      </c>
      <c r="B53" s="22"/>
      <c r="C53" s="22"/>
      <c r="D53" s="35"/>
      <c r="E53" s="22"/>
      <c r="F53" s="22"/>
      <c r="G53" s="311">
        <f>G52/-G51</f>
        <v>0.77485440969734187</v>
      </c>
      <c r="H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/>
      <c r="HX53" s="26"/>
      <c r="HY53" s="26"/>
      <c r="HZ53" s="26"/>
      <c r="IA53" s="26"/>
      <c r="IB53" s="26"/>
      <c r="IC53" s="26"/>
      <c r="ID53" s="26"/>
      <c r="IE53" s="26"/>
      <c r="IF53" s="26"/>
      <c r="IG53" s="26"/>
      <c r="IH53" s="26"/>
      <c r="II53" s="26"/>
      <c r="IJ53" s="26"/>
      <c r="IK53" s="26"/>
      <c r="IL53" s="26"/>
      <c r="IM53" s="26"/>
      <c r="IN53" s="26"/>
      <c r="IO53" s="26"/>
      <c r="IP53" s="26"/>
      <c r="IQ53" s="26"/>
    </row>
  </sheetData>
  <mergeCells count="4">
    <mergeCell ref="A2:G2"/>
    <mergeCell ref="A3:G3"/>
    <mergeCell ref="A1:G1"/>
    <mergeCell ref="A42:G42"/>
  </mergeCells>
  <printOptions horizontalCentered="1"/>
  <pageMargins left="0.7" right="0.7" top="0.75" bottom="0.75" header="0.3" footer="0.3"/>
  <pageSetup scale="86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9905B-C942-4FC9-B7BE-BADB2C5016F2}">
  <dimension ref="A1:D38"/>
  <sheetViews>
    <sheetView topLeftCell="A6" workbookViewId="0">
      <selection activeCell="H27" sqref="H27"/>
    </sheetView>
  </sheetViews>
  <sheetFormatPr defaultRowHeight="14.25" x14ac:dyDescent="0.45"/>
  <cols>
    <col min="1" max="3" width="8.88671875" style="314"/>
    <col min="4" max="4" width="9.0546875" style="314" bestFit="1" customWidth="1"/>
    <col min="5" max="16384" width="8.88671875" style="314"/>
  </cols>
  <sheetData>
    <row r="1" spans="1:4" x14ac:dyDescent="0.45">
      <c r="A1" s="320" t="s">
        <v>298</v>
      </c>
    </row>
    <row r="3" spans="1:4" x14ac:dyDescent="0.45">
      <c r="A3" s="320" t="s">
        <v>26</v>
      </c>
    </row>
    <row r="4" spans="1:4" x14ac:dyDescent="0.45">
      <c r="A4" s="314" t="s">
        <v>292</v>
      </c>
    </row>
    <row r="6" spans="1:4" x14ac:dyDescent="0.45">
      <c r="B6" s="315" t="s">
        <v>293</v>
      </c>
      <c r="C6" s="315" t="s">
        <v>294</v>
      </c>
      <c r="D6" s="315" t="s">
        <v>295</v>
      </c>
    </row>
    <row r="7" spans="1:4" x14ac:dyDescent="0.45">
      <c r="A7" s="314">
        <v>2021</v>
      </c>
      <c r="B7" s="319">
        <v>201.31</v>
      </c>
      <c r="C7" s="314">
        <v>28400</v>
      </c>
      <c r="D7" s="314">
        <f>B7/C7</f>
        <v>7.0883802816901409E-3</v>
      </c>
    </row>
    <row r="8" spans="1:4" x14ac:dyDescent="0.45">
      <c r="A8" s="314">
        <v>2022</v>
      </c>
      <c r="B8" s="319">
        <v>214.61</v>
      </c>
      <c r="C8" s="314">
        <v>23200</v>
      </c>
      <c r="D8" s="316">
        <f>B8/C8</f>
        <v>9.2504310344827586E-3</v>
      </c>
    </row>
    <row r="9" spans="1:4" x14ac:dyDescent="0.45">
      <c r="A9" s="315" t="s">
        <v>129</v>
      </c>
      <c r="D9" s="314">
        <f>D8-D7</f>
        <v>2.1620507527926177E-3</v>
      </c>
    </row>
    <row r="10" spans="1:4" x14ac:dyDescent="0.45">
      <c r="A10" s="315" t="s">
        <v>296</v>
      </c>
      <c r="D10" s="317">
        <f>D9/D7</f>
        <v>0.30501336932745687</v>
      </c>
    </row>
    <row r="12" spans="1:4" x14ac:dyDescent="0.45">
      <c r="A12" s="314" t="s">
        <v>297</v>
      </c>
      <c r="D12" s="319">
        <f>SAOs!D20</f>
        <v>4273.57</v>
      </c>
    </row>
    <row r="13" spans="1:4" x14ac:dyDescent="0.45">
      <c r="A13" s="314" t="s">
        <v>296</v>
      </c>
      <c r="D13" s="318">
        <f>D10</f>
        <v>0.30501336932745687</v>
      </c>
    </row>
    <row r="14" spans="1:4" x14ac:dyDescent="0.45">
      <c r="A14" s="314" t="s">
        <v>9</v>
      </c>
      <c r="D14" s="319">
        <f>ROUND(D12*D13,2)</f>
        <v>1303.5</v>
      </c>
    </row>
    <row r="15" spans="1:4" x14ac:dyDescent="0.45">
      <c r="D15" s="319"/>
    </row>
    <row r="16" spans="1:4" x14ac:dyDescent="0.45">
      <c r="A16" s="320" t="s">
        <v>299</v>
      </c>
    </row>
    <row r="17" spans="1:4" s="320" customFormat="1" x14ac:dyDescent="0.45">
      <c r="A17" s="314" t="s">
        <v>300</v>
      </c>
    </row>
    <row r="18" spans="1:4" x14ac:dyDescent="0.45">
      <c r="B18" s="315" t="s">
        <v>293</v>
      </c>
      <c r="C18" s="315"/>
      <c r="D18" s="315"/>
    </row>
    <row r="19" spans="1:4" x14ac:dyDescent="0.45">
      <c r="A19" s="314">
        <v>2021</v>
      </c>
      <c r="B19" s="319">
        <v>362.75</v>
      </c>
    </row>
    <row r="20" spans="1:4" x14ac:dyDescent="0.45">
      <c r="A20" s="314">
        <v>2022</v>
      </c>
      <c r="B20" s="321">
        <v>430.75</v>
      </c>
    </row>
    <row r="21" spans="1:4" x14ac:dyDescent="0.45">
      <c r="A21" s="315" t="s">
        <v>129</v>
      </c>
      <c r="B21" s="322">
        <f>+B20-B19</f>
        <v>68</v>
      </c>
    </row>
    <row r="22" spans="1:4" x14ac:dyDescent="0.45">
      <c r="A22" s="315" t="s">
        <v>296</v>
      </c>
      <c r="B22" s="317">
        <f>+B21/B19</f>
        <v>0.18745692625775329</v>
      </c>
    </row>
    <row r="24" spans="1:4" x14ac:dyDescent="0.45">
      <c r="A24" s="314" t="s">
        <v>302</v>
      </c>
      <c r="D24" s="323">
        <v>17457</v>
      </c>
    </row>
    <row r="25" spans="1:4" x14ac:dyDescent="0.45">
      <c r="A25" s="314" t="s">
        <v>296</v>
      </c>
      <c r="D25" s="318">
        <f>B22</f>
        <v>0.18745692625775329</v>
      </c>
    </row>
    <row r="26" spans="1:4" x14ac:dyDescent="0.45">
      <c r="A26" s="314" t="s">
        <v>9</v>
      </c>
      <c r="D26" s="319">
        <f>ROUND(D24*D25,2)</f>
        <v>3272.44</v>
      </c>
    </row>
    <row r="28" spans="1:4" x14ac:dyDescent="0.45">
      <c r="A28" s="320" t="s">
        <v>303</v>
      </c>
    </row>
    <row r="29" spans="1:4" x14ac:dyDescent="0.45">
      <c r="A29" s="314" t="s">
        <v>304</v>
      </c>
    </row>
    <row r="30" spans="1:4" x14ac:dyDescent="0.45">
      <c r="B30" s="315" t="s">
        <v>293</v>
      </c>
      <c r="C30" s="315"/>
      <c r="D30" s="315"/>
    </row>
    <row r="31" spans="1:4" x14ac:dyDescent="0.45">
      <c r="A31" s="314">
        <v>2021</v>
      </c>
      <c r="B31" s="319">
        <v>1451.3</v>
      </c>
    </row>
    <row r="32" spans="1:4" x14ac:dyDescent="0.45">
      <c r="A32" s="314">
        <v>2022</v>
      </c>
      <c r="B32" s="321">
        <v>2189.7199999999998</v>
      </c>
    </row>
    <row r="33" spans="1:4" x14ac:dyDescent="0.45">
      <c r="A33" s="315" t="s">
        <v>129</v>
      </c>
      <c r="B33" s="322">
        <f>+B32-B31</f>
        <v>738.41999999999985</v>
      </c>
    </row>
    <row r="34" spans="1:4" x14ac:dyDescent="0.45">
      <c r="A34" s="315" t="s">
        <v>296</v>
      </c>
      <c r="B34" s="317">
        <f>+B33/B31</f>
        <v>0.50879900778612275</v>
      </c>
    </row>
    <row r="36" spans="1:4" x14ac:dyDescent="0.45">
      <c r="A36" s="314" t="s">
        <v>305</v>
      </c>
      <c r="D36" s="323">
        <f>SAOs!D21</f>
        <v>12475.03</v>
      </c>
    </row>
    <row r="37" spans="1:4" x14ac:dyDescent="0.45">
      <c r="A37" s="314" t="s">
        <v>296</v>
      </c>
      <c r="D37" s="318">
        <f>B34</f>
        <v>0.50879900778612275</v>
      </c>
    </row>
    <row r="38" spans="1:4" x14ac:dyDescent="0.45">
      <c r="A38" s="314" t="s">
        <v>9</v>
      </c>
      <c r="D38" s="319">
        <f>ROUND(D36*D37,2)</f>
        <v>6347.28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FF69-8A7A-4C4F-84DD-B476A95EF8D4}">
  <dimension ref="A1:K38"/>
  <sheetViews>
    <sheetView workbookViewId="0">
      <selection activeCell="H27" sqref="H27"/>
    </sheetView>
  </sheetViews>
  <sheetFormatPr defaultRowHeight="14.25" x14ac:dyDescent="0.45"/>
  <cols>
    <col min="1" max="1" width="8.88671875" style="1"/>
    <col min="2" max="2" width="8.88671875" style="275"/>
    <col min="3" max="3" width="26.33203125" style="1" bestFit="1" customWidth="1"/>
    <col min="4" max="4" width="8.88671875" style="1"/>
    <col min="5" max="5" width="9.88671875" style="1" bestFit="1" customWidth="1"/>
    <col min="6" max="6" width="9.94140625" style="1" bestFit="1" customWidth="1"/>
    <col min="7" max="7" width="9.0546875" style="1" bestFit="1" customWidth="1"/>
    <col min="8" max="9" width="8.88671875" style="1"/>
    <col min="10" max="10" width="9.88671875" style="1" bestFit="1" customWidth="1"/>
    <col min="11" max="11" width="10.38671875" style="1" bestFit="1" customWidth="1"/>
    <col min="12" max="16384" width="8.88671875" style="1"/>
  </cols>
  <sheetData>
    <row r="1" spans="1:11" x14ac:dyDescent="0.45">
      <c r="A1" s="271" t="s">
        <v>184</v>
      </c>
      <c r="B1" s="275" t="s">
        <v>185</v>
      </c>
      <c r="C1" s="1" t="s">
        <v>186</v>
      </c>
      <c r="D1" s="272" t="s">
        <v>187</v>
      </c>
      <c r="E1" s="67" t="s">
        <v>188</v>
      </c>
      <c r="F1" s="67" t="s">
        <v>189</v>
      </c>
      <c r="G1" s="272" t="s">
        <v>190</v>
      </c>
      <c r="H1" s="272" t="s">
        <v>191</v>
      </c>
      <c r="I1" s="272" t="s">
        <v>192</v>
      </c>
      <c r="J1" s="67" t="s">
        <v>193</v>
      </c>
    </row>
    <row r="2" spans="1:11" x14ac:dyDescent="0.45">
      <c r="A2" s="273" t="s">
        <v>306</v>
      </c>
      <c r="B2" s="275">
        <f>42640/2080</f>
        <v>20.5</v>
      </c>
      <c r="D2" s="272">
        <v>2080</v>
      </c>
      <c r="E2" s="67">
        <f t="shared" ref="E2:E7" si="0">B2*D2</f>
        <v>42640</v>
      </c>
      <c r="F2" s="67"/>
      <c r="G2" s="272"/>
      <c r="H2" s="272">
        <v>0</v>
      </c>
      <c r="I2" s="272">
        <f t="shared" ref="I2:I7" si="1">B2*1.5*H2</f>
        <v>0</v>
      </c>
      <c r="J2" s="67">
        <f>E2+F2+G2+I2</f>
        <v>42640</v>
      </c>
    </row>
    <row r="3" spans="1:11" x14ac:dyDescent="0.45">
      <c r="A3" s="273" t="s">
        <v>307</v>
      </c>
      <c r="B3" s="275">
        <v>15.75</v>
      </c>
      <c r="D3" s="272">
        <v>500</v>
      </c>
      <c r="E3" s="67">
        <f t="shared" si="0"/>
        <v>7875</v>
      </c>
      <c r="F3" s="67"/>
      <c r="G3" s="272"/>
      <c r="H3" s="272">
        <v>0</v>
      </c>
      <c r="I3" s="272">
        <f t="shared" si="1"/>
        <v>0</v>
      </c>
      <c r="J3" s="67">
        <f t="shared" ref="J3:J7" si="2">E3+F3+G3+I3</f>
        <v>7875</v>
      </c>
    </row>
    <row r="4" spans="1:11" x14ac:dyDescent="0.45">
      <c r="A4" s="273" t="s">
        <v>308</v>
      </c>
      <c r="B4" s="275">
        <v>16.75</v>
      </c>
      <c r="D4" s="272">
        <v>300</v>
      </c>
      <c r="E4" s="67">
        <f t="shared" si="0"/>
        <v>5025</v>
      </c>
      <c r="F4" s="67"/>
      <c r="G4" s="272"/>
      <c r="H4" s="272">
        <v>0</v>
      </c>
      <c r="I4" s="272">
        <f t="shared" si="1"/>
        <v>0</v>
      </c>
      <c r="J4" s="67">
        <f t="shared" si="2"/>
        <v>5025</v>
      </c>
    </row>
    <row r="5" spans="1:11" x14ac:dyDescent="0.45">
      <c r="A5" s="273" t="s">
        <v>309</v>
      </c>
      <c r="B5" s="275">
        <v>15.25</v>
      </c>
      <c r="D5" s="272">
        <v>175</v>
      </c>
      <c r="E5" s="67">
        <f t="shared" si="0"/>
        <v>2668.75</v>
      </c>
      <c r="F5" s="67"/>
      <c r="G5" s="272"/>
      <c r="H5" s="272">
        <v>0</v>
      </c>
      <c r="I5" s="272">
        <f t="shared" si="1"/>
        <v>0</v>
      </c>
      <c r="J5" s="67">
        <f t="shared" si="2"/>
        <v>2668.75</v>
      </c>
    </row>
    <row r="6" spans="1:11" x14ac:dyDescent="0.45">
      <c r="A6" s="273" t="s">
        <v>310</v>
      </c>
      <c r="B6" s="275">
        <v>13</v>
      </c>
      <c r="D6" s="272">
        <v>1850</v>
      </c>
      <c r="E6" s="67">
        <f t="shared" si="0"/>
        <v>24050</v>
      </c>
      <c r="F6" s="67"/>
      <c r="G6" s="272"/>
      <c r="H6" s="272">
        <v>0</v>
      </c>
      <c r="I6" s="272">
        <f t="shared" si="1"/>
        <v>0</v>
      </c>
      <c r="J6" s="67">
        <f t="shared" si="2"/>
        <v>24050</v>
      </c>
    </row>
    <row r="7" spans="1:11" x14ac:dyDescent="0.45">
      <c r="A7" s="273" t="s">
        <v>311</v>
      </c>
      <c r="B7" s="275">
        <v>20</v>
      </c>
      <c r="D7" s="274">
        <v>960</v>
      </c>
      <c r="E7" s="276">
        <f t="shared" si="0"/>
        <v>19200</v>
      </c>
      <c r="F7" s="276"/>
      <c r="G7" s="274"/>
      <c r="H7" s="274">
        <v>0</v>
      </c>
      <c r="I7" s="274">
        <f t="shared" si="1"/>
        <v>0</v>
      </c>
      <c r="J7" s="276">
        <f t="shared" si="2"/>
        <v>19200</v>
      </c>
    </row>
    <row r="8" spans="1:11" x14ac:dyDescent="0.45">
      <c r="A8" s="271"/>
      <c r="C8" s="1" t="s">
        <v>79</v>
      </c>
      <c r="D8" s="272">
        <f t="shared" ref="D8:J8" si="3">SUM(D2:D7)</f>
        <v>5865</v>
      </c>
      <c r="E8" s="275">
        <f t="shared" si="3"/>
        <v>101458.75</v>
      </c>
      <c r="F8" s="275">
        <f t="shared" si="3"/>
        <v>0</v>
      </c>
      <c r="G8" s="275">
        <f t="shared" si="3"/>
        <v>0</v>
      </c>
      <c r="H8" s="153">
        <f t="shared" si="3"/>
        <v>0</v>
      </c>
      <c r="I8" s="275">
        <f t="shared" si="3"/>
        <v>0</v>
      </c>
      <c r="J8" s="275">
        <f t="shared" si="3"/>
        <v>101458.75</v>
      </c>
      <c r="K8" s="67"/>
    </row>
    <row r="10" spans="1:11" x14ac:dyDescent="0.45">
      <c r="A10" s="271"/>
      <c r="E10" s="272"/>
      <c r="F10" s="67" t="s">
        <v>28</v>
      </c>
      <c r="G10" s="67"/>
      <c r="H10" s="272"/>
      <c r="I10" s="272"/>
      <c r="J10" s="272"/>
      <c r="K10" s="67"/>
    </row>
    <row r="11" spans="1:11" x14ac:dyDescent="0.45">
      <c r="A11" s="271"/>
      <c r="C11" s="1" t="s">
        <v>194</v>
      </c>
      <c r="E11" s="272"/>
      <c r="F11" s="275">
        <f>J8</f>
        <v>101458.75</v>
      </c>
      <c r="G11" s="67"/>
      <c r="H11" s="272"/>
      <c r="I11" s="272"/>
      <c r="J11" s="272"/>
      <c r="K11" s="67"/>
    </row>
    <row r="12" spans="1:11" x14ac:dyDescent="0.45">
      <c r="A12" s="271"/>
      <c r="C12" s="1" t="s">
        <v>340</v>
      </c>
      <c r="E12" s="272"/>
      <c r="F12" s="275">
        <f>33012.12+60.29+2554.77+597.48+1653.23+386.62+1296.86+2736.62+149.93+35.05+231.13+54+186.36+111.85+344+80.45+255.32+166.44+221.29+51.82+178.7+107.22</f>
        <v>44471.55000000001</v>
      </c>
      <c r="G12" s="67" t="s">
        <v>342</v>
      </c>
      <c r="H12" s="272"/>
      <c r="I12" s="272"/>
      <c r="J12" s="272"/>
      <c r="K12" s="67"/>
    </row>
    <row r="13" spans="1:11" x14ac:dyDescent="0.45">
      <c r="A13" s="271"/>
      <c r="C13" s="1" t="s">
        <v>341</v>
      </c>
      <c r="E13" s="272"/>
      <c r="F13" s="286">
        <f>116.67+1552.59+363.11+1004.71+234.99+788.14+1663.06+91.12+21.31+140.4+32.88+113.28+67.96+209.04+48.88+155.17+101.17+134.66+31.49+108.6+65.19+6119.86+14147.5</f>
        <v>27311.78</v>
      </c>
      <c r="G13" s="67" t="s">
        <v>343</v>
      </c>
      <c r="H13" s="272"/>
      <c r="I13" s="272"/>
      <c r="J13" s="272"/>
      <c r="K13" s="67"/>
    </row>
    <row r="14" spans="1:11" x14ac:dyDescent="0.45">
      <c r="A14" s="271"/>
      <c r="C14" s="1" t="s">
        <v>200</v>
      </c>
      <c r="E14" s="272"/>
      <c r="F14" s="275">
        <f>F11-F12-F13</f>
        <v>29675.419999999991</v>
      </c>
      <c r="G14" s="67"/>
      <c r="H14" s="272"/>
      <c r="I14" s="272"/>
      <c r="J14" s="272"/>
      <c r="K14" s="67"/>
    </row>
    <row r="15" spans="1:11" x14ac:dyDescent="0.45">
      <c r="A15" s="271"/>
      <c r="C15" s="1" t="s">
        <v>201</v>
      </c>
      <c r="E15" s="272"/>
      <c r="F15" s="331">
        <f>F12/(F12+F13)</f>
        <v>0.61952475595657097</v>
      </c>
      <c r="G15" s="67"/>
      <c r="H15" s="272"/>
      <c r="I15" s="272"/>
      <c r="J15" s="272"/>
      <c r="K15" s="67"/>
    </row>
    <row r="16" spans="1:11" x14ac:dyDescent="0.45">
      <c r="A16" s="271"/>
      <c r="C16" s="1" t="s">
        <v>204</v>
      </c>
      <c r="E16" s="272"/>
      <c r="F16" s="330">
        <f>F13/(F12+F13)</f>
        <v>0.38047524404342892</v>
      </c>
      <c r="G16" s="67"/>
      <c r="H16" s="272"/>
      <c r="I16" s="272"/>
      <c r="J16" s="272"/>
      <c r="K16" s="67"/>
    </row>
    <row r="17" spans="1:11" x14ac:dyDescent="0.45">
      <c r="A17" s="271"/>
      <c r="C17" s="1" t="s">
        <v>202</v>
      </c>
      <c r="E17" s="272"/>
      <c r="F17" s="275">
        <f>F15*F14</f>
        <v>18384.657333408741</v>
      </c>
      <c r="G17" s="279"/>
      <c r="H17" s="272"/>
      <c r="I17" s="272"/>
      <c r="J17" s="272"/>
      <c r="K17" s="4"/>
    </row>
    <row r="18" spans="1:11" x14ac:dyDescent="0.45">
      <c r="A18" s="271"/>
      <c r="C18" s="1" t="s">
        <v>203</v>
      </c>
      <c r="E18" s="272"/>
      <c r="F18" s="275">
        <f>F16*F14</f>
        <v>11290.762666591248</v>
      </c>
      <c r="G18" s="279"/>
      <c r="H18" s="272"/>
      <c r="I18" s="272"/>
      <c r="J18" s="272"/>
      <c r="K18" s="231"/>
    </row>
    <row r="19" spans="1:11" x14ac:dyDescent="0.45">
      <c r="K19" s="110"/>
    </row>
    <row r="20" spans="1:11" x14ac:dyDescent="0.45">
      <c r="A20" s="271"/>
      <c r="C20" s="1" t="s">
        <v>195</v>
      </c>
      <c r="E20" s="272"/>
      <c r="F20" s="110">
        <f>F11</f>
        <v>101458.75</v>
      </c>
      <c r="G20" s="67"/>
      <c r="H20" s="272"/>
      <c r="I20" s="272"/>
      <c r="J20" s="272"/>
      <c r="K20" s="67"/>
    </row>
    <row r="21" spans="1:11" x14ac:dyDescent="0.45">
      <c r="A21" s="271"/>
      <c r="C21" s="1" t="s">
        <v>196</v>
      </c>
      <c r="E21" s="272"/>
      <c r="F21" s="267">
        <v>7.6499999999999999E-2</v>
      </c>
      <c r="G21" s="67"/>
      <c r="H21" s="272"/>
      <c r="I21" s="272"/>
      <c r="J21" s="272"/>
      <c r="K21" s="67"/>
    </row>
    <row r="22" spans="1:11" x14ac:dyDescent="0.45">
      <c r="A22" s="271"/>
      <c r="C22" s="1" t="s">
        <v>197</v>
      </c>
      <c r="E22" s="272"/>
      <c r="F22" s="275">
        <f>F20*F21</f>
        <v>7761.5943749999997</v>
      </c>
      <c r="G22" s="67"/>
      <c r="H22" s="272"/>
      <c r="I22" s="272"/>
      <c r="J22" s="272"/>
      <c r="K22" s="67"/>
    </row>
    <row r="23" spans="1:11" x14ac:dyDescent="0.45">
      <c r="A23" s="271"/>
      <c r="C23" s="1" t="s">
        <v>198</v>
      </c>
      <c r="E23" s="272"/>
      <c r="F23" s="277">
        <f>SAOw!D29+SAOs!D38</f>
        <v>7639.8099999999995</v>
      </c>
      <c r="G23" s="67"/>
      <c r="H23" s="272"/>
      <c r="I23" s="272"/>
      <c r="J23" s="272"/>
      <c r="K23" s="67"/>
    </row>
    <row r="24" spans="1:11" x14ac:dyDescent="0.45">
      <c r="A24" s="271"/>
      <c r="C24" s="1" t="s">
        <v>199</v>
      </c>
      <c r="E24" s="272"/>
      <c r="F24" s="275">
        <f>F22-F23</f>
        <v>121.78437500000018</v>
      </c>
      <c r="G24" s="67"/>
      <c r="H24" s="272"/>
      <c r="I24" s="272"/>
      <c r="J24" s="272"/>
      <c r="K24" s="67"/>
    </row>
    <row r="25" spans="1:11" x14ac:dyDescent="0.45">
      <c r="A25" s="271"/>
      <c r="C25" s="1" t="s">
        <v>201</v>
      </c>
      <c r="E25" s="272"/>
      <c r="F25" s="278">
        <f>F15</f>
        <v>0.61952475595657097</v>
      </c>
      <c r="G25" s="67"/>
      <c r="H25" s="272"/>
      <c r="I25" s="272"/>
      <c r="J25" s="272"/>
      <c r="K25" s="67"/>
    </row>
    <row r="26" spans="1:11" x14ac:dyDescent="0.45">
      <c r="A26" s="271"/>
      <c r="C26" s="1" t="s">
        <v>204</v>
      </c>
      <c r="E26" s="272"/>
      <c r="F26" s="267">
        <f>F16</f>
        <v>0.38047524404342892</v>
      </c>
      <c r="G26" s="67"/>
      <c r="H26" s="272"/>
      <c r="I26" s="272"/>
      <c r="J26" s="272"/>
      <c r="K26" s="67"/>
    </row>
    <row r="27" spans="1:11" x14ac:dyDescent="0.45">
      <c r="A27" s="271"/>
      <c r="C27" s="1" t="s">
        <v>202</v>
      </c>
      <c r="E27" s="272"/>
      <c r="F27" s="275">
        <f>F24*F25</f>
        <v>75.448435201198635</v>
      </c>
      <c r="G27" s="279"/>
      <c r="H27" s="272"/>
      <c r="I27" s="272"/>
      <c r="J27" s="272"/>
      <c r="K27" s="67"/>
    </row>
    <row r="28" spans="1:11" x14ac:dyDescent="0.45">
      <c r="A28" s="271"/>
      <c r="C28" s="1" t="s">
        <v>203</v>
      </c>
      <c r="E28" s="272"/>
      <c r="F28" s="275">
        <f>F26*F24</f>
        <v>46.335939798801533</v>
      </c>
      <c r="G28" s="279"/>
      <c r="H28" s="272"/>
      <c r="I28" s="272"/>
      <c r="J28" s="272"/>
      <c r="K28" s="67"/>
    </row>
    <row r="30" spans="1:11" x14ac:dyDescent="0.45">
      <c r="A30" s="271"/>
      <c r="C30" s="1" t="s">
        <v>195</v>
      </c>
      <c r="E30" s="272"/>
      <c r="F30" s="110">
        <f>J8</f>
        <v>101458.75</v>
      </c>
      <c r="G30" s="67"/>
      <c r="H30" s="272"/>
      <c r="I30" s="272"/>
      <c r="J30" s="272"/>
      <c r="K30" s="67"/>
    </row>
    <row r="31" spans="1:11" x14ac:dyDescent="0.45">
      <c r="A31" s="271"/>
      <c r="C31" s="1" t="s">
        <v>312</v>
      </c>
      <c r="E31" s="272"/>
      <c r="F31" s="267">
        <v>0</v>
      </c>
      <c r="G31" s="67"/>
      <c r="H31" s="272"/>
      <c r="I31" s="272"/>
      <c r="J31" s="272"/>
      <c r="K31" s="67"/>
    </row>
    <row r="32" spans="1:11" x14ac:dyDescent="0.45">
      <c r="A32" s="271"/>
      <c r="C32" s="1" t="s">
        <v>228</v>
      </c>
      <c r="E32" s="272"/>
      <c r="F32" s="275">
        <f>F30*F31</f>
        <v>0</v>
      </c>
      <c r="G32" s="67"/>
      <c r="H32" s="272"/>
      <c r="I32" s="272"/>
      <c r="J32" s="272"/>
      <c r="K32" s="67"/>
    </row>
    <row r="33" spans="3:11" x14ac:dyDescent="0.45">
      <c r="C33" s="1" t="s">
        <v>198</v>
      </c>
      <c r="E33" s="272"/>
      <c r="F33" s="277">
        <v>0</v>
      </c>
      <c r="G33" s="67"/>
      <c r="H33" s="272"/>
      <c r="I33" s="272"/>
      <c r="J33" s="272"/>
      <c r="K33" s="67"/>
    </row>
    <row r="34" spans="3:11" x14ac:dyDescent="0.45">
      <c r="C34" s="1" t="s">
        <v>199</v>
      </c>
      <c r="E34" s="272"/>
      <c r="F34" s="275">
        <f>F32-F33</f>
        <v>0</v>
      </c>
      <c r="G34" s="67"/>
      <c r="H34" s="272"/>
      <c r="I34" s="272"/>
      <c r="J34" s="272"/>
      <c r="K34" s="67"/>
    </row>
    <row r="35" spans="3:11" x14ac:dyDescent="0.45">
      <c r="C35" s="1" t="s">
        <v>201</v>
      </c>
      <c r="E35" s="272"/>
      <c r="F35" s="278">
        <f>F25</f>
        <v>0.61952475595657097</v>
      </c>
      <c r="G35" s="67"/>
      <c r="H35" s="272"/>
      <c r="I35" s="272"/>
      <c r="J35" s="272"/>
      <c r="K35" s="67"/>
    </row>
    <row r="36" spans="3:11" x14ac:dyDescent="0.45">
      <c r="C36" s="1" t="s">
        <v>204</v>
      </c>
      <c r="E36" s="272"/>
      <c r="F36" s="267">
        <f>F26</f>
        <v>0.38047524404342892</v>
      </c>
      <c r="G36" s="67"/>
      <c r="H36" s="272"/>
      <c r="I36" s="272"/>
      <c r="J36" s="272"/>
      <c r="K36" s="67"/>
    </row>
    <row r="37" spans="3:11" x14ac:dyDescent="0.45">
      <c r="C37" s="1" t="s">
        <v>202</v>
      </c>
      <c r="E37" s="272"/>
      <c r="F37" s="275">
        <f>F34*F35</f>
        <v>0</v>
      </c>
      <c r="G37" s="279"/>
      <c r="H37" s="272"/>
      <c r="I37" s="272"/>
      <c r="J37" s="272"/>
      <c r="K37" s="67"/>
    </row>
    <row r="38" spans="3:11" x14ac:dyDescent="0.45">
      <c r="C38" s="1" t="s">
        <v>203</v>
      </c>
      <c r="E38" s="272"/>
      <c r="F38" s="275">
        <f>F36*F34</f>
        <v>0</v>
      </c>
      <c r="G38" s="279"/>
      <c r="H38" s="272"/>
      <c r="I38" s="272"/>
      <c r="J38" s="272"/>
      <c r="K38" s="6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E80F-8CAC-4B50-B816-DA0D148E8505}">
  <dimension ref="A1:K20"/>
  <sheetViews>
    <sheetView workbookViewId="0">
      <selection activeCell="H27" sqref="H27"/>
    </sheetView>
  </sheetViews>
  <sheetFormatPr defaultRowHeight="14.25" x14ac:dyDescent="0.45"/>
  <cols>
    <col min="1" max="1" width="20.77734375" style="1" customWidth="1"/>
    <col min="2" max="3" width="8.88671875" style="275"/>
    <col min="4" max="5" width="8.88671875" style="1"/>
    <col min="6" max="6" width="9.0546875" style="275" bestFit="1" customWidth="1"/>
    <col min="7" max="7" width="9.5546875" style="275" bestFit="1" customWidth="1"/>
    <col min="8" max="8" width="8.88671875" style="1"/>
    <col min="9" max="9" width="9.0546875" style="275" bestFit="1" customWidth="1"/>
    <col min="10" max="10" width="9.5546875" style="1" bestFit="1" customWidth="1"/>
    <col min="11" max="16384" width="8.88671875" style="1"/>
  </cols>
  <sheetData>
    <row r="1" spans="1:11" x14ac:dyDescent="0.45">
      <c r="A1" s="1" t="s">
        <v>313</v>
      </c>
    </row>
    <row r="3" spans="1:11" x14ac:dyDescent="0.45">
      <c r="C3" s="283" t="s">
        <v>205</v>
      </c>
      <c r="D3" s="13"/>
      <c r="E3" s="13"/>
      <c r="F3" s="283" t="s">
        <v>206</v>
      </c>
      <c r="G3" s="283" t="s">
        <v>207</v>
      </c>
      <c r="H3" s="13" t="s">
        <v>208</v>
      </c>
      <c r="I3" s="283" t="s">
        <v>208</v>
      </c>
      <c r="J3" s="13" t="s">
        <v>209</v>
      </c>
    </row>
    <row r="4" spans="1:11" x14ac:dyDescent="0.45">
      <c r="B4" s="283" t="s">
        <v>205</v>
      </c>
      <c r="C4" s="283" t="s">
        <v>210</v>
      </c>
      <c r="D4" s="13" t="s">
        <v>211</v>
      </c>
      <c r="E4" s="13" t="s">
        <v>212</v>
      </c>
      <c r="F4" s="283" t="s">
        <v>213</v>
      </c>
      <c r="G4" s="283" t="s">
        <v>213</v>
      </c>
      <c r="H4" s="13" t="s">
        <v>214</v>
      </c>
      <c r="I4" s="283" t="s">
        <v>214</v>
      </c>
      <c r="J4" s="13" t="s">
        <v>215</v>
      </c>
    </row>
    <row r="5" spans="1:11" x14ac:dyDescent="0.45">
      <c r="A5" s="1" t="s">
        <v>216</v>
      </c>
      <c r="B5" s="283" t="s">
        <v>217</v>
      </c>
      <c r="C5" s="283" t="s">
        <v>218</v>
      </c>
      <c r="D5" s="13" t="s">
        <v>219</v>
      </c>
      <c r="E5" s="13" t="s">
        <v>219</v>
      </c>
      <c r="F5" s="283" t="s">
        <v>220</v>
      </c>
      <c r="G5" s="283" t="s">
        <v>220</v>
      </c>
      <c r="H5" s="13" t="s">
        <v>221</v>
      </c>
      <c r="I5" s="283" t="s">
        <v>220</v>
      </c>
      <c r="J5" s="13" t="s">
        <v>222</v>
      </c>
    </row>
    <row r="6" spans="1:11" x14ac:dyDescent="0.45">
      <c r="A6" s="1" t="s">
        <v>306</v>
      </c>
      <c r="B6" s="286">
        <v>435.42</v>
      </c>
      <c r="C6" s="286">
        <f>+B6-350</f>
        <v>85.420000000000016</v>
      </c>
      <c r="D6" s="267">
        <f t="shared" ref="D6" si="0">C6/B6</f>
        <v>0.19617840246199075</v>
      </c>
      <c r="E6" s="267">
        <f t="shared" ref="E6" si="1">1-D6</f>
        <v>0.80382159753800919</v>
      </c>
      <c r="F6" s="277">
        <f>B6*12</f>
        <v>5225.04</v>
      </c>
      <c r="G6" s="277">
        <f>E6*F6</f>
        <v>4199.9999999999991</v>
      </c>
      <c r="H6" s="282">
        <v>0.79</v>
      </c>
      <c r="I6" s="277">
        <f t="shared" ref="I6" si="2">F6*H6</f>
        <v>4127.7816000000003</v>
      </c>
      <c r="J6" s="284">
        <f t="shared" ref="J6" si="3">I6-G6</f>
        <v>-72.218399999998837</v>
      </c>
    </row>
    <row r="7" spans="1:11" x14ac:dyDescent="0.45">
      <c r="A7" s="1" t="s">
        <v>48</v>
      </c>
      <c r="B7" s="275">
        <f>SUM(B6:B6)</f>
        <v>435.42</v>
      </c>
      <c r="C7" s="275">
        <f>SUM(C5:C6)</f>
        <v>85.420000000000016</v>
      </c>
      <c r="F7" s="275">
        <f>SUM(F6:F6)</f>
        <v>5225.04</v>
      </c>
      <c r="G7" s="275">
        <f>SUM(G6:G6)</f>
        <v>4199.9999999999991</v>
      </c>
      <c r="I7" s="275">
        <f>SUM(I6:I6)</f>
        <v>4127.7816000000003</v>
      </c>
      <c r="J7" s="110">
        <f>SUM(J6:J6)</f>
        <v>-72.218399999998837</v>
      </c>
    </row>
    <row r="9" spans="1:11" x14ac:dyDescent="0.45">
      <c r="A9" s="1" t="s">
        <v>223</v>
      </c>
    </row>
    <row r="10" spans="1:11" x14ac:dyDescent="0.45">
      <c r="A10" s="1" t="s">
        <v>307</v>
      </c>
      <c r="B10" s="268">
        <v>20.9</v>
      </c>
      <c r="C10" s="275">
        <v>0</v>
      </c>
      <c r="D10" s="267">
        <f t="shared" ref="D10:D11" si="4">C10/B10</f>
        <v>0</v>
      </c>
      <c r="E10" s="267">
        <f t="shared" ref="E10:E11" si="5">1-D10</f>
        <v>1</v>
      </c>
      <c r="F10" s="275">
        <f>B10*12</f>
        <v>250.79999999999998</v>
      </c>
      <c r="G10" s="275">
        <f>E10*F10</f>
        <v>250.79999999999998</v>
      </c>
      <c r="H10" s="282">
        <v>0.6</v>
      </c>
      <c r="I10" s="275">
        <f t="shared" ref="I10:I11" si="6">F10*H10</f>
        <v>150.47999999999999</v>
      </c>
      <c r="J10" s="110">
        <f t="shared" ref="J10:J11" si="7">I10-G10</f>
        <v>-100.32</v>
      </c>
    </row>
    <row r="11" spans="1:11" x14ac:dyDescent="0.45">
      <c r="A11" s="1" t="s">
        <v>311</v>
      </c>
      <c r="B11" s="286">
        <v>20.9</v>
      </c>
      <c r="C11" s="277">
        <v>0</v>
      </c>
      <c r="D11" s="267">
        <f t="shared" si="4"/>
        <v>0</v>
      </c>
      <c r="E11" s="267">
        <f t="shared" si="5"/>
        <v>1</v>
      </c>
      <c r="F11" s="277">
        <f>B11*12</f>
        <v>250.79999999999998</v>
      </c>
      <c r="G11" s="277">
        <f>E11*F11</f>
        <v>250.79999999999998</v>
      </c>
      <c r="H11" s="282">
        <v>0.6</v>
      </c>
      <c r="I11" s="277">
        <f t="shared" si="6"/>
        <v>150.47999999999999</v>
      </c>
      <c r="J11" s="284">
        <f t="shared" si="7"/>
        <v>-100.32</v>
      </c>
    </row>
    <row r="12" spans="1:11" x14ac:dyDescent="0.45">
      <c r="A12" s="1" t="s">
        <v>224</v>
      </c>
      <c r="B12" s="268">
        <f t="shared" ref="B12:C12" si="8">SUM(B10:B11)</f>
        <v>41.8</v>
      </c>
      <c r="C12" s="275">
        <f t="shared" si="8"/>
        <v>0</v>
      </c>
      <c r="F12" s="275">
        <f>SUM(F10:F11)</f>
        <v>501.59999999999997</v>
      </c>
      <c r="G12" s="275">
        <f>SUM(G10:G11)</f>
        <v>501.59999999999997</v>
      </c>
      <c r="I12" s="275">
        <f>SUM(I10:I11)</f>
        <v>300.95999999999998</v>
      </c>
      <c r="J12" s="110">
        <f>SUM(J10:J11)</f>
        <v>-200.64</v>
      </c>
    </row>
    <row r="14" spans="1:11" x14ac:dyDescent="0.45">
      <c r="A14" s="1" t="s">
        <v>225</v>
      </c>
      <c r="J14" s="110">
        <f>J7+J12</f>
        <v>-272.85839999999882</v>
      </c>
    </row>
    <row r="15" spans="1:11" x14ac:dyDescent="0.45">
      <c r="J15" s="110"/>
    </row>
    <row r="16" spans="1:11" x14ac:dyDescent="0.45">
      <c r="A16" s="1" t="s">
        <v>201</v>
      </c>
      <c r="J16" s="332">
        <f>Wages!F15</f>
        <v>0.61952475595657097</v>
      </c>
      <c r="K16" s="67"/>
    </row>
    <row r="17" spans="1:11" x14ac:dyDescent="0.45">
      <c r="A17" s="1" t="s">
        <v>226</v>
      </c>
      <c r="J17" s="110">
        <f>J14*J16</f>
        <v>-169.0425336706997</v>
      </c>
    </row>
    <row r="18" spans="1:11" x14ac:dyDescent="0.45">
      <c r="J18" s="110"/>
    </row>
    <row r="19" spans="1:11" x14ac:dyDescent="0.45">
      <c r="A19" s="1" t="s">
        <v>204</v>
      </c>
      <c r="J19" s="332">
        <f>Wages!F16</f>
        <v>0.38047524404342892</v>
      </c>
      <c r="K19" s="67"/>
    </row>
    <row r="20" spans="1:11" x14ac:dyDescent="0.45">
      <c r="A20" s="1" t="s">
        <v>227</v>
      </c>
      <c r="J20" s="110">
        <f>J14*J19</f>
        <v>-103.8158663292991</v>
      </c>
    </row>
  </sheetData>
  <pageMargins left="0.7" right="0.7" top="0.75" bottom="0.75" header="0.3" footer="0.3"/>
  <pageSetup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7014-9138-4EA8-BD4C-4A4A86D801AE}">
  <dimension ref="A1:F37"/>
  <sheetViews>
    <sheetView topLeftCell="A15" workbookViewId="0">
      <selection activeCell="H27" sqref="H27"/>
    </sheetView>
  </sheetViews>
  <sheetFormatPr defaultRowHeight="15" x14ac:dyDescent="0.4"/>
  <cols>
    <col min="1" max="1" width="18.77734375" customWidth="1"/>
    <col min="2" max="2" width="9.88671875" bestFit="1" customWidth="1"/>
    <col min="3" max="3" width="8.94140625" bestFit="1" customWidth="1"/>
    <col min="4" max="4" width="9.71875" bestFit="1" customWidth="1"/>
  </cols>
  <sheetData>
    <row r="1" spans="1:6" ht="15.4" x14ac:dyDescent="0.45">
      <c r="A1" s="1" t="s">
        <v>165</v>
      </c>
      <c r="B1" s="1"/>
      <c r="C1" s="1"/>
      <c r="D1" s="1"/>
      <c r="E1" s="1"/>
      <c r="F1" s="1"/>
    </row>
    <row r="2" spans="1:6" ht="15.4" x14ac:dyDescent="0.45">
      <c r="A2" s="1" t="s">
        <v>166</v>
      </c>
      <c r="B2" s="1"/>
      <c r="C2" s="1">
        <v>0</v>
      </c>
      <c r="D2" s="1"/>
      <c r="E2" s="1"/>
      <c r="F2" s="1"/>
    </row>
    <row r="3" spans="1:6" ht="15.4" x14ac:dyDescent="0.45">
      <c r="A3" s="1" t="s">
        <v>167</v>
      </c>
      <c r="B3" s="1"/>
      <c r="C3" s="52">
        <v>18590</v>
      </c>
      <c r="D3" s="1"/>
      <c r="E3" s="1"/>
      <c r="F3" s="1"/>
    </row>
    <row r="4" spans="1:6" ht="15.4" x14ac:dyDescent="0.45">
      <c r="A4" s="1" t="s">
        <v>168</v>
      </c>
      <c r="B4" s="1"/>
      <c r="C4" s="22">
        <f>C2+C3</f>
        <v>18590</v>
      </c>
      <c r="D4" s="1"/>
      <c r="E4" s="1"/>
      <c r="F4" s="1"/>
    </row>
    <row r="5" spans="1:6" ht="15.4" x14ac:dyDescent="0.45">
      <c r="A5" s="1"/>
      <c r="B5" s="1"/>
      <c r="C5" s="1"/>
      <c r="D5" s="1"/>
      <c r="E5" s="1"/>
      <c r="F5" s="1"/>
    </row>
    <row r="6" spans="1:6" ht="15.4" x14ac:dyDescent="0.45">
      <c r="A6" s="1" t="s">
        <v>56</v>
      </c>
      <c r="B6" s="1"/>
      <c r="C6" s="22">
        <v>14462</v>
      </c>
      <c r="D6" s="1"/>
      <c r="E6" s="1"/>
      <c r="F6" s="1"/>
    </row>
    <row r="7" spans="1:6" ht="15.4" x14ac:dyDescent="0.45">
      <c r="A7" s="1"/>
      <c r="B7" s="1"/>
      <c r="C7" s="1"/>
      <c r="D7" s="1"/>
      <c r="E7" s="1"/>
      <c r="F7" s="1"/>
    </row>
    <row r="8" spans="1:6" ht="15.4" x14ac:dyDescent="0.45">
      <c r="A8" s="1" t="s">
        <v>57</v>
      </c>
      <c r="B8" s="1"/>
      <c r="C8" s="1"/>
      <c r="D8" s="1"/>
      <c r="E8" s="1"/>
      <c r="F8" s="1"/>
    </row>
    <row r="9" spans="1:6" ht="15.4" x14ac:dyDescent="0.45">
      <c r="A9" s="1" t="s">
        <v>245</v>
      </c>
      <c r="B9" s="1">
        <f>179+89</f>
        <v>268</v>
      </c>
      <c r="C9" s="1"/>
      <c r="D9" s="1"/>
      <c r="E9" s="1"/>
      <c r="F9" s="1"/>
    </row>
    <row r="10" spans="1:6" ht="15.4" x14ac:dyDescent="0.45">
      <c r="A10" s="1" t="s">
        <v>169</v>
      </c>
      <c r="B10" s="22">
        <v>1585</v>
      </c>
      <c r="C10" s="1"/>
      <c r="D10" s="1"/>
      <c r="E10" s="1"/>
      <c r="F10" s="1"/>
    </row>
    <row r="11" spans="1:6" ht="15.4" x14ac:dyDescent="0.45">
      <c r="A11" s="1" t="s">
        <v>170</v>
      </c>
      <c r="B11" s="22">
        <v>11</v>
      </c>
      <c r="C11" s="1"/>
      <c r="D11" s="1"/>
      <c r="E11" s="1"/>
      <c r="F11" s="1"/>
    </row>
    <row r="12" spans="1:6" ht="15.4" x14ac:dyDescent="0.45">
      <c r="A12" s="1" t="s">
        <v>171</v>
      </c>
      <c r="B12" s="1">
        <v>0</v>
      </c>
      <c r="C12" s="1"/>
      <c r="D12" s="1"/>
      <c r="E12" s="1"/>
      <c r="F12" s="1"/>
    </row>
    <row r="13" spans="1:6" ht="15.4" x14ac:dyDescent="0.45">
      <c r="A13" s="1" t="s">
        <v>172</v>
      </c>
      <c r="B13" s="1"/>
      <c r="C13" s="22">
        <f>SUM(B9:B12)</f>
        <v>1864</v>
      </c>
      <c r="D13" s="1"/>
      <c r="E13" s="1"/>
      <c r="F13" s="1"/>
    </row>
    <row r="14" spans="1:6" ht="15.4" x14ac:dyDescent="0.45">
      <c r="A14" s="1"/>
      <c r="B14" s="1"/>
      <c r="C14" s="1"/>
      <c r="D14" s="1"/>
      <c r="E14" s="1"/>
      <c r="F14" s="1"/>
    </row>
    <row r="15" spans="1:6" ht="15.4" x14ac:dyDescent="0.45">
      <c r="A15" s="1" t="s">
        <v>173</v>
      </c>
      <c r="B15" s="1"/>
      <c r="C15" s="1"/>
      <c r="D15" s="1"/>
      <c r="E15" s="1"/>
      <c r="F15" s="1"/>
    </row>
    <row r="16" spans="1:6" ht="15.4" x14ac:dyDescent="0.45">
      <c r="A16" s="1" t="s">
        <v>174</v>
      </c>
      <c r="B16" s="22">
        <v>260</v>
      </c>
      <c r="C16" s="1"/>
      <c r="D16" s="1"/>
      <c r="E16" s="1"/>
      <c r="F16" s="1"/>
    </row>
    <row r="17" spans="1:6" ht="15.4" x14ac:dyDescent="0.45">
      <c r="A17" s="1" t="s">
        <v>175</v>
      </c>
      <c r="B17" s="1">
        <v>0</v>
      </c>
      <c r="C17" s="1"/>
      <c r="D17" s="1"/>
      <c r="E17" s="1"/>
      <c r="F17" s="1"/>
    </row>
    <row r="18" spans="1:6" ht="15.4" x14ac:dyDescent="0.45">
      <c r="A18" s="1" t="s">
        <v>176</v>
      </c>
      <c r="B18" s="1">
        <v>632</v>
      </c>
      <c r="C18" s="1"/>
      <c r="D18" s="1"/>
      <c r="E18" s="1"/>
      <c r="F18" s="1"/>
    </row>
    <row r="19" spans="1:6" ht="15.4" x14ac:dyDescent="0.45">
      <c r="A19" s="1" t="s">
        <v>171</v>
      </c>
      <c r="B19" s="22">
        <f>461+911</f>
        <v>1372</v>
      </c>
      <c r="C19" s="1"/>
      <c r="D19" s="1"/>
      <c r="E19" s="1"/>
      <c r="F19" s="1"/>
    </row>
    <row r="20" spans="1:6" ht="15.4" x14ac:dyDescent="0.45">
      <c r="A20" s="1" t="s">
        <v>177</v>
      </c>
      <c r="B20" s="1"/>
      <c r="C20" s="52">
        <f>SUM(B16:B19)</f>
        <v>2264</v>
      </c>
      <c r="D20" s="1"/>
      <c r="E20" s="1"/>
      <c r="F20" s="1"/>
    </row>
    <row r="21" spans="1:6" ht="15.4" x14ac:dyDescent="0.45">
      <c r="A21" s="1" t="s">
        <v>178</v>
      </c>
      <c r="B21" s="1"/>
      <c r="C21" s="22">
        <f>C6+C13+C20</f>
        <v>18590</v>
      </c>
      <c r="D21" s="1"/>
      <c r="E21" s="1"/>
      <c r="F21" s="1"/>
    </row>
    <row r="22" spans="1:6" ht="15.4" x14ac:dyDescent="0.45">
      <c r="A22" s="1"/>
      <c r="B22" s="1"/>
      <c r="C22" s="1"/>
      <c r="D22" s="1"/>
      <c r="E22" s="1"/>
      <c r="F22" s="1"/>
    </row>
    <row r="23" spans="1:6" ht="15.4" x14ac:dyDescent="0.45">
      <c r="A23" s="1"/>
      <c r="B23" s="1"/>
      <c r="C23" s="1"/>
      <c r="D23" s="1"/>
      <c r="E23" s="1"/>
      <c r="F23" s="1"/>
    </row>
    <row r="24" spans="1:6" ht="15.4" x14ac:dyDescent="0.45">
      <c r="A24" s="1"/>
      <c r="B24" s="1"/>
      <c r="C24" s="1"/>
      <c r="D24" s="267">
        <f>C20/C4</f>
        <v>0.12178590640129101</v>
      </c>
      <c r="E24" s="1" t="s">
        <v>58</v>
      </c>
      <c r="F24" s="1"/>
    </row>
    <row r="25" spans="1:6" ht="15.4" x14ac:dyDescent="0.45">
      <c r="A25" s="1"/>
      <c r="B25" s="1"/>
      <c r="C25" s="1"/>
      <c r="D25" s="267">
        <v>0.15</v>
      </c>
      <c r="E25" s="1" t="s">
        <v>59</v>
      </c>
      <c r="F25" s="1"/>
    </row>
    <row r="26" spans="1:6" ht="15.4" x14ac:dyDescent="0.45">
      <c r="A26" s="1"/>
      <c r="B26" s="1"/>
      <c r="C26" s="1"/>
      <c r="D26" s="267">
        <v>0</v>
      </c>
      <c r="E26" s="1" t="s">
        <v>60</v>
      </c>
      <c r="F26" s="1"/>
    </row>
    <row r="27" spans="1:6" ht="15.4" x14ac:dyDescent="0.45">
      <c r="A27" s="1"/>
      <c r="B27" s="1"/>
      <c r="C27" s="1"/>
      <c r="D27" s="1"/>
      <c r="E27" s="1"/>
      <c r="F27" s="1"/>
    </row>
    <row r="28" spans="1:6" ht="15.4" x14ac:dyDescent="0.45">
      <c r="A28" s="1" t="s">
        <v>179</v>
      </c>
      <c r="B28" s="1"/>
      <c r="C28" s="1"/>
      <c r="D28" s="1" t="s">
        <v>9</v>
      </c>
      <c r="E28" s="1"/>
      <c r="F28" s="1"/>
    </row>
    <row r="29" spans="1:6" ht="15.4" x14ac:dyDescent="0.45">
      <c r="A29" s="1" t="s">
        <v>25</v>
      </c>
      <c r="B29" s="269">
        <f>SAOw!D16</f>
        <v>60046.68</v>
      </c>
      <c r="C29" s="1"/>
      <c r="D29" s="269">
        <f>B29*$D$26</f>
        <v>0</v>
      </c>
      <c r="E29" s="1"/>
      <c r="F29" s="1"/>
    </row>
    <row r="30" spans="1:6" ht="15.4" x14ac:dyDescent="0.45">
      <c r="A30" s="1" t="s">
        <v>26</v>
      </c>
      <c r="B30" s="269">
        <f>SAOw!D17</f>
        <v>1299.97</v>
      </c>
      <c r="C30" s="1"/>
      <c r="D30" s="269">
        <f t="shared" ref="D30:D31" si="0">B30*$D$26</f>
        <v>0</v>
      </c>
      <c r="E30" s="1"/>
      <c r="F30" s="1"/>
    </row>
    <row r="31" spans="1:6" ht="15.4" x14ac:dyDescent="0.45">
      <c r="A31" s="1" t="s">
        <v>86</v>
      </c>
      <c r="B31" s="270">
        <f>SAOw!D18</f>
        <v>0</v>
      </c>
      <c r="C31" s="1"/>
      <c r="D31" s="270">
        <f t="shared" si="0"/>
        <v>0</v>
      </c>
      <c r="E31" s="1"/>
      <c r="F31" s="1"/>
    </row>
    <row r="32" spans="1:6" ht="15.4" x14ac:dyDescent="0.45">
      <c r="A32" s="1" t="s">
        <v>79</v>
      </c>
      <c r="B32" s="269">
        <f>SUM(B29:B31)</f>
        <v>61346.65</v>
      </c>
      <c r="C32" s="1"/>
      <c r="D32" s="269">
        <f>SUM(D29:D31)</f>
        <v>0</v>
      </c>
      <c r="E32" s="1"/>
      <c r="F32" s="1"/>
    </row>
    <row r="33" spans="1:6" ht="15.4" x14ac:dyDescent="0.45">
      <c r="A33" s="1"/>
      <c r="B33" s="1"/>
      <c r="C33" s="1"/>
      <c r="D33" s="1"/>
      <c r="E33" s="1"/>
      <c r="F33" s="1"/>
    </row>
    <row r="34" spans="1:6" ht="15.4" x14ac:dyDescent="0.45">
      <c r="A34" s="1" t="s">
        <v>180</v>
      </c>
      <c r="B34" s="1"/>
      <c r="C34" s="1"/>
      <c r="D34" s="1"/>
      <c r="E34" s="1"/>
      <c r="F34" s="1"/>
    </row>
    <row r="35" spans="1:6" ht="15.4" x14ac:dyDescent="0.45">
      <c r="A35" s="1" t="s">
        <v>181</v>
      </c>
      <c r="B35" s="1"/>
      <c r="C35" s="1"/>
      <c r="D35" s="71">
        <f>D32</f>
        <v>0</v>
      </c>
      <c r="E35" s="1"/>
      <c r="F35" s="1"/>
    </row>
    <row r="36" spans="1:6" ht="15.4" x14ac:dyDescent="0.45">
      <c r="A36" s="1" t="s">
        <v>182</v>
      </c>
      <c r="B36" s="1"/>
      <c r="C36" s="1"/>
      <c r="D36" s="52">
        <f>ExBAw!E11</f>
        <v>3807</v>
      </c>
      <c r="E36" s="1"/>
      <c r="F36" s="1"/>
    </row>
    <row r="37" spans="1:6" ht="15.4" x14ac:dyDescent="0.45">
      <c r="A37" s="1" t="s">
        <v>183</v>
      </c>
      <c r="B37" s="1"/>
      <c r="C37" s="1"/>
      <c r="D37" s="268">
        <f>D35/D36</f>
        <v>0</v>
      </c>
      <c r="E37" s="1"/>
      <c r="F37" s="1"/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C78"/>
  <sheetViews>
    <sheetView showGridLines="0" workbookViewId="0">
      <selection sqref="A1:M78"/>
    </sheetView>
  </sheetViews>
  <sheetFormatPr defaultColWidth="8.88671875" defaultRowHeight="14.25" x14ac:dyDescent="0.45"/>
  <cols>
    <col min="1" max="1" width="1.88671875" style="1" customWidth="1"/>
    <col min="2" max="2" width="1.77734375" style="1" customWidth="1"/>
    <col min="3" max="3" width="1.6640625" style="22" customWidth="1"/>
    <col min="4" max="4" width="29.33203125" style="22" customWidth="1"/>
    <col min="5" max="5" width="7.77734375" style="235" customWidth="1"/>
    <col min="6" max="6" width="10.109375" style="243" customWidth="1"/>
    <col min="7" max="7" width="7.38671875" style="139" bestFit="1" customWidth="1"/>
    <col min="8" max="8" width="8.77734375" style="255" customWidth="1"/>
    <col min="9" max="9" width="5.77734375" style="57" customWidth="1"/>
    <col min="10" max="10" width="8.77734375" style="22" customWidth="1"/>
    <col min="11" max="11" width="10" style="22" customWidth="1"/>
    <col min="12" max="12" width="1.77734375" style="22" customWidth="1"/>
    <col min="13" max="13" width="2.33203125" style="22" customWidth="1"/>
    <col min="14" max="256" width="9.6640625" style="22" customWidth="1"/>
    <col min="257" max="16384" width="8.88671875" style="1"/>
  </cols>
  <sheetData>
    <row r="1" spans="2:25" x14ac:dyDescent="0.45">
      <c r="N1" s="42"/>
    </row>
    <row r="2" spans="2:25" x14ac:dyDescent="0.45">
      <c r="B2" s="43"/>
      <c r="C2" s="44"/>
      <c r="D2" s="44"/>
      <c r="E2" s="238"/>
      <c r="F2" s="244"/>
      <c r="G2" s="241"/>
      <c r="H2" s="256"/>
      <c r="I2" s="58"/>
      <c r="J2" s="44"/>
      <c r="K2" s="44"/>
      <c r="L2" s="45"/>
    </row>
    <row r="3" spans="2:25" ht="18" x14ac:dyDescent="0.55000000000000004">
      <c r="B3" s="46"/>
      <c r="C3" s="342" t="s">
        <v>39</v>
      </c>
      <c r="D3" s="342"/>
      <c r="E3" s="342"/>
      <c r="F3" s="342"/>
      <c r="G3" s="342"/>
      <c r="H3" s="342"/>
      <c r="I3" s="342"/>
      <c r="J3" s="342"/>
      <c r="K3" s="342"/>
      <c r="L3" s="48"/>
    </row>
    <row r="4" spans="2:25" ht="18" x14ac:dyDescent="0.55000000000000004">
      <c r="B4" s="46"/>
      <c r="C4" s="341" t="s">
        <v>1</v>
      </c>
      <c r="D4" s="341"/>
      <c r="E4" s="341"/>
      <c r="F4" s="341"/>
      <c r="G4" s="341"/>
      <c r="H4" s="341"/>
      <c r="I4" s="341"/>
      <c r="J4" s="341"/>
      <c r="K4" s="341"/>
      <c r="L4" s="48"/>
    </row>
    <row r="5" spans="2:25" ht="15" customHeight="1" x14ac:dyDescent="0.45">
      <c r="B5" s="46"/>
      <c r="C5" s="337" t="s">
        <v>234</v>
      </c>
      <c r="D5" s="337"/>
      <c r="E5" s="337"/>
      <c r="F5" s="337"/>
      <c r="G5" s="337"/>
      <c r="H5" s="337"/>
      <c r="I5" s="337"/>
      <c r="J5" s="337"/>
      <c r="K5" s="337"/>
      <c r="L5" s="48"/>
      <c r="Q5" s="64"/>
      <c r="R5" s="64"/>
      <c r="S5" s="64"/>
      <c r="T5" s="64"/>
      <c r="U5" s="64"/>
      <c r="V5" s="64"/>
      <c r="W5" s="64"/>
      <c r="X5" s="64"/>
      <c r="Y5" s="64"/>
    </row>
    <row r="6" spans="2:25" ht="15" customHeight="1" x14ac:dyDescent="0.45">
      <c r="B6" s="46"/>
      <c r="C6" s="124"/>
      <c r="D6" s="124"/>
      <c r="E6" s="124"/>
      <c r="F6" s="245"/>
      <c r="G6" s="232"/>
      <c r="H6" s="257"/>
      <c r="I6" s="124"/>
      <c r="J6" s="124"/>
      <c r="K6" s="124"/>
      <c r="L6" s="48"/>
      <c r="Q6" s="64"/>
      <c r="R6" s="64"/>
      <c r="S6" s="64"/>
      <c r="T6" s="64"/>
      <c r="U6" s="64"/>
      <c r="V6" s="64"/>
      <c r="W6" s="64"/>
      <c r="X6" s="64"/>
      <c r="Y6" s="64"/>
    </row>
    <row r="7" spans="2:25" ht="15" customHeight="1" x14ac:dyDescent="0.45">
      <c r="B7" s="46"/>
      <c r="F7" s="246"/>
      <c r="G7" s="215"/>
      <c r="H7" s="258"/>
      <c r="I7" s="59"/>
      <c r="K7" s="49" t="s">
        <v>34</v>
      </c>
      <c r="L7" s="48"/>
    </row>
    <row r="8" spans="2:25" ht="15" customHeight="1" x14ac:dyDescent="0.45">
      <c r="B8" s="46"/>
      <c r="C8" s="50"/>
      <c r="D8" s="50"/>
      <c r="E8" s="50" t="s">
        <v>4</v>
      </c>
      <c r="F8" s="247" t="s">
        <v>6</v>
      </c>
      <c r="G8" s="138" t="s">
        <v>53</v>
      </c>
      <c r="H8" s="259"/>
      <c r="I8" s="60" t="s">
        <v>29</v>
      </c>
      <c r="J8" s="47"/>
      <c r="K8" s="49" t="s">
        <v>35</v>
      </c>
      <c r="L8" s="48"/>
      <c r="N8" s="49"/>
    </row>
    <row r="9" spans="2:25" ht="15" customHeight="1" x14ac:dyDescent="0.45">
      <c r="B9" s="46"/>
      <c r="C9" s="49"/>
      <c r="D9" s="49" t="s">
        <v>2</v>
      </c>
      <c r="E9" s="49" t="s">
        <v>5</v>
      </c>
      <c r="F9" s="248" t="s">
        <v>78</v>
      </c>
      <c r="G9" s="138" t="s">
        <v>7</v>
      </c>
      <c r="H9" s="260" t="s">
        <v>8</v>
      </c>
      <c r="I9" s="61" t="s">
        <v>7</v>
      </c>
      <c r="J9" s="49" t="s">
        <v>8</v>
      </c>
      <c r="K9" s="49" t="s">
        <v>9</v>
      </c>
      <c r="L9" s="48"/>
      <c r="N9" s="49"/>
    </row>
    <row r="10" spans="2:25" ht="15" customHeight="1" x14ac:dyDescent="0.45">
      <c r="B10" s="46"/>
      <c r="C10" s="49"/>
      <c r="D10" s="49"/>
      <c r="E10" s="49"/>
      <c r="F10" s="248"/>
      <c r="G10" s="138"/>
      <c r="H10" s="260"/>
      <c r="I10" s="61"/>
      <c r="J10" s="49"/>
      <c r="K10" s="49"/>
      <c r="L10" s="48"/>
      <c r="N10" s="49"/>
    </row>
    <row r="11" spans="2:25" ht="24.95" hidden="1" customHeight="1" x14ac:dyDescent="0.5">
      <c r="B11" s="43"/>
      <c r="C11" s="340" t="s">
        <v>113</v>
      </c>
      <c r="D11" s="340"/>
      <c r="E11" s="171"/>
      <c r="F11" s="249"/>
      <c r="G11" s="233"/>
      <c r="H11" s="261"/>
      <c r="I11" s="172"/>
      <c r="J11" s="171"/>
      <c r="K11" s="171"/>
      <c r="L11" s="45"/>
      <c r="N11" s="49"/>
    </row>
    <row r="12" spans="2:25" ht="15" hidden="1" customHeight="1" x14ac:dyDescent="0.45">
      <c r="B12" s="46"/>
      <c r="C12" s="40"/>
      <c r="E12" s="38"/>
      <c r="F12" s="250"/>
      <c r="G12" s="215"/>
      <c r="H12" s="262"/>
      <c r="I12" s="59"/>
      <c r="J12" s="39"/>
      <c r="K12" s="39"/>
      <c r="L12" s="48"/>
      <c r="N12" s="49"/>
    </row>
    <row r="13" spans="2:25" ht="15" hidden="1" customHeight="1" x14ac:dyDescent="0.5">
      <c r="B13" s="46"/>
      <c r="C13" s="307" t="s">
        <v>276</v>
      </c>
      <c r="D13" s="240"/>
      <c r="E13" s="235" t="s">
        <v>277</v>
      </c>
      <c r="F13" s="246">
        <f>184700+900</f>
        <v>185600</v>
      </c>
      <c r="G13" s="215" t="s">
        <v>278</v>
      </c>
      <c r="H13" s="262">
        <f>4605.5+495</f>
        <v>5100.5</v>
      </c>
      <c r="I13" s="59">
        <v>40</v>
      </c>
      <c r="J13" s="235">
        <f t="shared" ref="J13" si="0">F13/I13</f>
        <v>4640</v>
      </c>
      <c r="K13" s="235">
        <f t="shared" ref="K13" si="1">J13-H13</f>
        <v>-460.5</v>
      </c>
      <c r="L13" s="48"/>
      <c r="N13" s="49"/>
    </row>
    <row r="14" spans="2:25" ht="15" hidden="1" customHeight="1" x14ac:dyDescent="0.45">
      <c r="B14" s="46"/>
      <c r="C14" s="40"/>
      <c r="E14" s="38"/>
      <c r="F14" s="250"/>
      <c r="G14" s="215"/>
      <c r="H14" s="262"/>
      <c r="I14" s="59"/>
      <c r="J14" s="39"/>
      <c r="K14" s="39"/>
      <c r="L14" s="48"/>
      <c r="N14" s="49"/>
    </row>
    <row r="15" spans="2:25" ht="15" hidden="1" customHeight="1" x14ac:dyDescent="0.45">
      <c r="B15" s="46"/>
      <c r="C15" s="40" t="s">
        <v>131</v>
      </c>
      <c r="E15" s="38"/>
      <c r="F15" s="250"/>
      <c r="G15" s="215"/>
      <c r="H15" s="262"/>
      <c r="I15" s="59"/>
      <c r="J15" s="5"/>
      <c r="K15" s="5"/>
      <c r="L15" s="48"/>
      <c r="N15" s="49"/>
    </row>
    <row r="16" spans="2:25" ht="15" hidden="1" customHeight="1" x14ac:dyDescent="0.45">
      <c r="B16" s="46"/>
      <c r="C16" s="49"/>
      <c r="D16" s="22" t="s">
        <v>132</v>
      </c>
      <c r="E16" s="235" t="s">
        <v>277</v>
      </c>
      <c r="F16" s="251">
        <f>98350+1300+23760+3945+63350+42300+3483.2+2596.85+544.25+26900</f>
        <v>266529.30000000005</v>
      </c>
      <c r="G16" s="215" t="s">
        <v>278</v>
      </c>
      <c r="H16" s="263">
        <f>7578.97+663.5</f>
        <v>8242.4700000000012</v>
      </c>
      <c r="I16" s="236">
        <v>37.5</v>
      </c>
      <c r="J16" s="235">
        <f>F16/I16</f>
        <v>7107.4480000000012</v>
      </c>
      <c r="K16" s="235">
        <f>J16-H16</f>
        <v>-1135.0219999999999</v>
      </c>
      <c r="L16" s="48"/>
      <c r="N16" s="49"/>
    </row>
    <row r="17" spans="2:263" ht="15" hidden="1" customHeight="1" x14ac:dyDescent="0.45">
      <c r="B17" s="46"/>
      <c r="C17" s="40"/>
      <c r="D17" s="22" t="s">
        <v>133</v>
      </c>
      <c r="E17" s="235" t="s">
        <v>277</v>
      </c>
      <c r="F17" s="250">
        <f>901+90+261.24+1819.69</f>
        <v>3071.9300000000003</v>
      </c>
      <c r="G17" s="215" t="s">
        <v>278</v>
      </c>
      <c r="H17" s="262">
        <v>426.55</v>
      </c>
      <c r="I17" s="59">
        <v>10</v>
      </c>
      <c r="J17" s="235">
        <f t="shared" ref="J17:J21" si="2">F17/I17</f>
        <v>307.19300000000004</v>
      </c>
      <c r="K17" s="235">
        <f t="shared" ref="K17:K21" si="3">J17-H17</f>
        <v>-119.35699999999997</v>
      </c>
      <c r="L17" s="48"/>
      <c r="N17" s="49"/>
    </row>
    <row r="18" spans="2:263" ht="15" hidden="1" customHeight="1" x14ac:dyDescent="0.45">
      <c r="B18" s="46"/>
      <c r="C18" s="37"/>
      <c r="D18" s="22" t="s">
        <v>134</v>
      </c>
      <c r="E18" s="235" t="s">
        <v>277</v>
      </c>
      <c r="F18" s="250">
        <v>0</v>
      </c>
      <c r="G18" s="215" t="s">
        <v>278</v>
      </c>
      <c r="H18" s="262">
        <v>0</v>
      </c>
      <c r="I18" s="59">
        <v>22.5</v>
      </c>
      <c r="J18" s="235">
        <f t="shared" si="2"/>
        <v>0</v>
      </c>
      <c r="K18" s="235">
        <f t="shared" si="3"/>
        <v>0</v>
      </c>
      <c r="L18" s="48"/>
      <c r="N18" s="49"/>
    </row>
    <row r="19" spans="2:263" ht="15" hidden="1" customHeight="1" x14ac:dyDescent="0.45">
      <c r="B19" s="46"/>
      <c r="C19" s="37"/>
      <c r="D19" s="22" t="s">
        <v>135</v>
      </c>
      <c r="E19" s="235" t="s">
        <v>277</v>
      </c>
      <c r="F19" s="250">
        <f>198.43+176.67+11.8+82.13+524+32.49</f>
        <v>1025.52</v>
      </c>
      <c r="G19" s="215" t="s">
        <v>278</v>
      </c>
      <c r="H19" s="262">
        <v>102.55</v>
      </c>
      <c r="I19" s="59">
        <v>12.5</v>
      </c>
      <c r="J19" s="235">
        <f t="shared" si="2"/>
        <v>82.041600000000003</v>
      </c>
      <c r="K19" s="235">
        <f t="shared" si="3"/>
        <v>-20.508399999999995</v>
      </c>
      <c r="L19" s="48"/>
      <c r="N19" s="49"/>
    </row>
    <row r="20" spans="2:263" ht="15" hidden="1" customHeight="1" x14ac:dyDescent="0.45">
      <c r="B20" s="46"/>
      <c r="C20" s="37"/>
      <c r="D20" s="22" t="s">
        <v>136</v>
      </c>
      <c r="E20" s="235" t="s">
        <v>277</v>
      </c>
      <c r="F20" s="250">
        <v>0</v>
      </c>
      <c r="G20" s="215" t="s">
        <v>278</v>
      </c>
      <c r="H20" s="262">
        <v>0</v>
      </c>
      <c r="I20" s="59">
        <v>17.5</v>
      </c>
      <c r="J20" s="235">
        <f t="shared" si="2"/>
        <v>0</v>
      </c>
      <c r="K20" s="235">
        <f t="shared" si="3"/>
        <v>0</v>
      </c>
      <c r="L20" s="48"/>
      <c r="N20" s="49"/>
    </row>
    <row r="21" spans="2:263" ht="15" hidden="1" customHeight="1" x14ac:dyDescent="0.45">
      <c r="B21" s="46"/>
      <c r="C21" s="37"/>
      <c r="D21" s="22" t="s">
        <v>137</v>
      </c>
      <c r="E21" s="235" t="s">
        <v>277</v>
      </c>
      <c r="F21" s="250">
        <v>0</v>
      </c>
      <c r="G21" s="215" t="s">
        <v>278</v>
      </c>
      <c r="H21" s="262">
        <v>0</v>
      </c>
      <c r="I21" s="59">
        <v>15</v>
      </c>
      <c r="J21" s="235">
        <f t="shared" si="2"/>
        <v>0</v>
      </c>
      <c r="K21" s="235">
        <f t="shared" si="3"/>
        <v>0</v>
      </c>
      <c r="L21" s="48"/>
      <c r="N21" s="49"/>
    </row>
    <row r="22" spans="2:263" ht="15" hidden="1" customHeight="1" x14ac:dyDescent="0.45">
      <c r="B22" s="46"/>
      <c r="C22" s="37"/>
      <c r="E22" s="38"/>
      <c r="F22" s="250"/>
      <c r="G22" s="215"/>
      <c r="H22" s="262"/>
      <c r="I22" s="59"/>
      <c r="J22" s="6"/>
      <c r="K22" s="6"/>
      <c r="L22" s="48"/>
      <c r="N22" s="49"/>
    </row>
    <row r="23" spans="2:263" ht="15" hidden="1" customHeight="1" x14ac:dyDescent="0.45">
      <c r="B23" s="46"/>
      <c r="C23" s="40" t="s">
        <v>138</v>
      </c>
      <c r="E23" s="38"/>
      <c r="F23" s="250"/>
      <c r="G23" s="215"/>
      <c r="H23" s="262"/>
      <c r="I23" s="59"/>
      <c r="J23" s="6"/>
      <c r="K23" s="6"/>
      <c r="L23" s="48"/>
      <c r="N23" s="49"/>
    </row>
    <row r="24" spans="2:263" ht="15" hidden="1" customHeight="1" x14ac:dyDescent="0.45">
      <c r="B24" s="46"/>
      <c r="C24" s="37"/>
      <c r="D24" s="22" t="s">
        <v>139</v>
      </c>
      <c r="E24" s="235" t="s">
        <v>277</v>
      </c>
      <c r="F24" s="250">
        <v>0</v>
      </c>
      <c r="G24" s="215" t="s">
        <v>278</v>
      </c>
      <c r="H24" s="262">
        <v>0</v>
      </c>
      <c r="I24" s="59">
        <v>62.5</v>
      </c>
      <c r="J24" s="235">
        <f t="shared" ref="J24:J25" si="4">F24/I24</f>
        <v>0</v>
      </c>
      <c r="K24" s="235">
        <f t="shared" ref="K24:K25" si="5">J24-H24</f>
        <v>0</v>
      </c>
      <c r="L24" s="48"/>
      <c r="N24" s="49"/>
    </row>
    <row r="25" spans="2:263" ht="15" hidden="1" customHeight="1" x14ac:dyDescent="0.45">
      <c r="B25" s="46"/>
      <c r="C25" s="37"/>
      <c r="D25" s="22" t="s">
        <v>140</v>
      </c>
      <c r="E25" s="235" t="s">
        <v>277</v>
      </c>
      <c r="F25" s="250">
        <v>0</v>
      </c>
      <c r="G25" s="215" t="s">
        <v>278</v>
      </c>
      <c r="H25" s="262">
        <v>0</v>
      </c>
      <c r="I25" s="59">
        <v>62.5</v>
      </c>
      <c r="J25" s="235">
        <f t="shared" si="4"/>
        <v>0</v>
      </c>
      <c r="K25" s="235">
        <f t="shared" si="5"/>
        <v>0</v>
      </c>
      <c r="L25" s="48"/>
      <c r="N25" s="49"/>
    </row>
    <row r="26" spans="2:263" ht="15" hidden="1" customHeight="1" x14ac:dyDescent="0.45">
      <c r="B26" s="46"/>
      <c r="C26" s="1"/>
      <c r="D26" s="1"/>
      <c r="E26" s="2"/>
      <c r="F26" s="252"/>
      <c r="G26" s="49"/>
      <c r="H26" s="262"/>
      <c r="I26" s="1"/>
      <c r="J26" s="37"/>
      <c r="L26" s="291"/>
      <c r="M26" s="6"/>
      <c r="N26" s="215"/>
      <c r="O26" s="6"/>
      <c r="P26" s="59"/>
      <c r="Q26" s="6"/>
      <c r="R26" s="6"/>
      <c r="S26" s="48"/>
      <c r="U26" s="49"/>
      <c r="IW26" s="22"/>
      <c r="IX26" s="22"/>
      <c r="IY26" s="22"/>
      <c r="IZ26" s="22"/>
      <c r="JA26" s="22"/>
      <c r="JB26" s="22"/>
      <c r="JC26" s="22"/>
    </row>
    <row r="27" spans="2:263" ht="15" hidden="1" customHeight="1" x14ac:dyDescent="0.45">
      <c r="B27" s="46"/>
      <c r="C27" s="40" t="s">
        <v>141</v>
      </c>
      <c r="E27" s="38"/>
      <c r="F27" s="250"/>
      <c r="G27" s="215"/>
      <c r="H27" s="262"/>
      <c r="I27" s="59"/>
      <c r="J27" s="6"/>
      <c r="K27" s="6"/>
      <c r="L27" s="48"/>
      <c r="N27" s="49"/>
    </row>
    <row r="28" spans="2:263" ht="15" hidden="1" customHeight="1" x14ac:dyDescent="0.45">
      <c r="B28" s="46"/>
      <c r="C28" s="37"/>
      <c r="D28" s="22" t="s">
        <v>132</v>
      </c>
      <c r="E28" s="235" t="s">
        <v>277</v>
      </c>
      <c r="F28" s="250">
        <v>0</v>
      </c>
      <c r="G28" s="215" t="s">
        <v>278</v>
      </c>
      <c r="H28" s="262">
        <v>0</v>
      </c>
      <c r="I28" s="59">
        <v>37.5</v>
      </c>
      <c r="J28" s="235">
        <f t="shared" ref="J28:J30" si="6">F28/I28</f>
        <v>0</v>
      </c>
      <c r="K28" s="235">
        <f t="shared" ref="K28:K30" si="7">J28-H28</f>
        <v>0</v>
      </c>
      <c r="L28" s="48"/>
      <c r="N28" s="49"/>
    </row>
    <row r="29" spans="2:263" ht="15" hidden="1" customHeight="1" x14ac:dyDescent="0.45">
      <c r="B29" s="46"/>
      <c r="C29" s="40"/>
      <c r="D29" s="22" t="s">
        <v>142</v>
      </c>
      <c r="E29" s="235" t="s">
        <v>277</v>
      </c>
      <c r="F29" s="250">
        <v>0</v>
      </c>
      <c r="G29" s="215" t="s">
        <v>278</v>
      </c>
      <c r="H29" s="262">
        <v>0</v>
      </c>
      <c r="I29" s="59">
        <v>10</v>
      </c>
      <c r="J29" s="235">
        <f t="shared" si="6"/>
        <v>0</v>
      </c>
      <c r="K29" s="235">
        <f t="shared" si="7"/>
        <v>0</v>
      </c>
      <c r="L29" s="48"/>
      <c r="N29" s="49"/>
    </row>
    <row r="30" spans="2:263" ht="15" hidden="1" customHeight="1" x14ac:dyDescent="0.45">
      <c r="B30" s="46"/>
      <c r="C30" s="37"/>
      <c r="D30" s="22" t="s">
        <v>143</v>
      </c>
      <c r="E30" s="235" t="s">
        <v>277</v>
      </c>
      <c r="F30" s="250">
        <f>2291+6050</f>
        <v>8341</v>
      </c>
      <c r="G30" s="215" t="s">
        <v>278</v>
      </c>
      <c r="H30" s="262">
        <v>347.3</v>
      </c>
      <c r="I30" s="59">
        <v>20</v>
      </c>
      <c r="J30" s="235">
        <f t="shared" si="6"/>
        <v>417.05</v>
      </c>
      <c r="K30" s="235">
        <f t="shared" si="7"/>
        <v>69.75</v>
      </c>
      <c r="L30" s="48"/>
      <c r="N30" s="49"/>
    </row>
    <row r="31" spans="2:263" ht="15" hidden="1" customHeight="1" x14ac:dyDescent="0.45">
      <c r="B31" s="46"/>
      <c r="C31" s="37"/>
      <c r="E31" s="137"/>
      <c r="F31" s="250"/>
      <c r="G31" s="215"/>
      <c r="H31" s="262"/>
      <c r="I31" s="59"/>
      <c r="J31" s="6"/>
      <c r="K31" s="6"/>
      <c r="L31" s="48"/>
      <c r="N31" s="49"/>
    </row>
    <row r="32" spans="2:263" ht="15" hidden="1" customHeight="1" x14ac:dyDescent="0.45">
      <c r="B32" s="46"/>
      <c r="C32" s="40" t="s">
        <v>144</v>
      </c>
      <c r="E32" s="137"/>
      <c r="F32" s="250"/>
      <c r="G32" s="215"/>
      <c r="H32" s="262"/>
      <c r="I32" s="59"/>
      <c r="J32" s="6"/>
      <c r="K32" s="6"/>
      <c r="L32" s="48"/>
      <c r="N32" s="49"/>
    </row>
    <row r="33" spans="2:14" ht="15" hidden="1" customHeight="1" x14ac:dyDescent="0.45">
      <c r="B33" s="46"/>
      <c r="C33" s="37"/>
      <c r="D33" s="22" t="s">
        <v>145</v>
      </c>
      <c r="E33" s="235" t="s">
        <v>277</v>
      </c>
      <c r="F33" s="250">
        <v>0</v>
      </c>
      <c r="G33" s="215" t="s">
        <v>278</v>
      </c>
      <c r="H33" s="262">
        <v>0</v>
      </c>
      <c r="I33" s="59">
        <v>50</v>
      </c>
      <c r="J33" s="235">
        <f t="shared" ref="J33:J35" si="8">F33/I33</f>
        <v>0</v>
      </c>
      <c r="K33" s="235">
        <f t="shared" ref="K33:K35" si="9">J33-H33</f>
        <v>0</v>
      </c>
      <c r="L33" s="48"/>
      <c r="N33" s="49"/>
    </row>
    <row r="34" spans="2:14" ht="15" hidden="1" customHeight="1" x14ac:dyDescent="0.45">
      <c r="B34" s="46"/>
      <c r="C34" s="37"/>
      <c r="D34" s="22" t="s">
        <v>146</v>
      </c>
      <c r="E34" s="235" t="s">
        <v>277</v>
      </c>
      <c r="F34" s="250">
        <f>395209.44+677941.31</f>
        <v>1073150.75</v>
      </c>
      <c r="G34" s="215" t="s">
        <v>278</v>
      </c>
      <c r="H34" s="262">
        <v>9880.24</v>
      </c>
      <c r="I34" s="59">
        <v>62.5</v>
      </c>
      <c r="J34" s="235">
        <f t="shared" si="8"/>
        <v>17170.412</v>
      </c>
      <c r="K34" s="235">
        <f t="shared" si="9"/>
        <v>7290.1720000000005</v>
      </c>
      <c r="L34" s="48"/>
      <c r="N34" s="49"/>
    </row>
    <row r="35" spans="2:14" ht="15" hidden="1" customHeight="1" x14ac:dyDescent="0.45">
      <c r="B35" s="46"/>
      <c r="C35" s="37"/>
      <c r="D35" s="22" t="s">
        <v>147</v>
      </c>
      <c r="E35" s="235" t="s">
        <v>277</v>
      </c>
      <c r="F35" s="250">
        <v>0</v>
      </c>
      <c r="G35" s="215" t="s">
        <v>278</v>
      </c>
      <c r="H35" s="250">
        <v>0</v>
      </c>
      <c r="I35" s="59">
        <v>45</v>
      </c>
      <c r="J35" s="235">
        <f t="shared" si="8"/>
        <v>0</v>
      </c>
      <c r="K35" s="235">
        <f t="shared" si="9"/>
        <v>0</v>
      </c>
      <c r="L35" s="48"/>
      <c r="N35" s="49"/>
    </row>
    <row r="36" spans="2:14" ht="15" hidden="1" customHeight="1" x14ac:dyDescent="0.45">
      <c r="B36" s="46"/>
      <c r="C36" s="40"/>
      <c r="D36" s="22" t="s">
        <v>148</v>
      </c>
      <c r="E36" s="235" t="s">
        <v>277</v>
      </c>
      <c r="F36" s="250">
        <f>2355.25+1124.68+1635+2098.07+1362.5+1308+981+1950.66+1743.3+776.49+1621.2+1010</f>
        <v>17966.149999999998</v>
      </c>
      <c r="G36" s="215" t="s">
        <v>278</v>
      </c>
      <c r="H36" s="262">
        <f>235.53+112.47+163.5+209.81+136.25+130.8+98.1+195.07+174.33+77.65+162.12+50.5</f>
        <v>1746.1299999999997</v>
      </c>
      <c r="I36" s="59">
        <v>15</v>
      </c>
      <c r="J36" s="235">
        <f t="shared" ref="J36:J41" si="10">F36/I36</f>
        <v>1197.7433333333331</v>
      </c>
      <c r="K36" s="235">
        <f t="shared" ref="K36:K41" si="11">J36-H36</f>
        <v>-548.38666666666654</v>
      </c>
      <c r="L36" s="48"/>
      <c r="N36" s="49"/>
    </row>
    <row r="37" spans="2:14" ht="15" hidden="1" customHeight="1" x14ac:dyDescent="0.45">
      <c r="B37" s="46"/>
      <c r="C37" s="37"/>
      <c r="D37" s="22" t="s">
        <v>149</v>
      </c>
      <c r="E37" s="235" t="s">
        <v>277</v>
      </c>
      <c r="F37" s="250">
        <v>0</v>
      </c>
      <c r="G37" s="215" t="s">
        <v>278</v>
      </c>
      <c r="H37" s="250">
        <v>0</v>
      </c>
      <c r="I37" s="59">
        <v>20</v>
      </c>
      <c r="J37" s="235">
        <f t="shared" si="10"/>
        <v>0</v>
      </c>
      <c r="K37" s="235">
        <f t="shared" si="11"/>
        <v>0</v>
      </c>
      <c r="L37" s="48"/>
      <c r="N37" s="49"/>
    </row>
    <row r="38" spans="2:14" ht="15" hidden="1" customHeight="1" x14ac:dyDescent="0.45">
      <c r="B38" s="46"/>
      <c r="C38" s="37"/>
      <c r="D38" s="22" t="s">
        <v>150</v>
      </c>
      <c r="E38" s="235" t="s">
        <v>277</v>
      </c>
      <c r="F38" s="250">
        <v>0</v>
      </c>
      <c r="G38" s="215" t="s">
        <v>278</v>
      </c>
      <c r="H38" s="250">
        <v>0</v>
      </c>
      <c r="I38" s="59">
        <v>37.5</v>
      </c>
      <c r="J38" s="235">
        <f t="shared" si="10"/>
        <v>0</v>
      </c>
      <c r="K38" s="235">
        <f t="shared" si="11"/>
        <v>0</v>
      </c>
      <c r="L38" s="48"/>
      <c r="N38" s="49"/>
    </row>
    <row r="39" spans="2:14" ht="15" hidden="1" customHeight="1" x14ac:dyDescent="0.45">
      <c r="B39" s="46"/>
      <c r="C39" s="40"/>
      <c r="D39" s="22" t="s">
        <v>151</v>
      </c>
      <c r="E39" s="235" t="s">
        <v>277</v>
      </c>
      <c r="F39" s="250">
        <f>1488.6+1500+1448.6+750+750+695+750+750+750+750+495+750+750+1000+1000+1055+1000+1000+1000+1500+1000+1000+1000+1000+1000+1000+1000</f>
        <v>26182.2</v>
      </c>
      <c r="G39" s="215" t="s">
        <v>278</v>
      </c>
      <c r="H39" s="262">
        <f>148.86+150+144.86+75+75+69.5+75+75+75+75+49.5+75+75+100+100+105.5+100+100+100+150+100+100+100+100+25+8.33+8.33</f>
        <v>2359.88</v>
      </c>
      <c r="I39" s="59">
        <v>40</v>
      </c>
      <c r="J39" s="235">
        <f t="shared" si="10"/>
        <v>654.55500000000006</v>
      </c>
      <c r="K39" s="235">
        <f t="shared" si="11"/>
        <v>-1705.325</v>
      </c>
      <c r="L39" s="48"/>
      <c r="N39" s="49"/>
    </row>
    <row r="40" spans="2:14" ht="15" hidden="1" customHeight="1" x14ac:dyDescent="0.45">
      <c r="B40" s="46"/>
      <c r="C40" s="37"/>
      <c r="D40" s="22" t="s">
        <v>152</v>
      </c>
      <c r="E40" s="235" t="s">
        <v>277</v>
      </c>
      <c r="F40" s="250">
        <f>120000+120000</f>
        <v>240000</v>
      </c>
      <c r="G40" s="215" t="s">
        <v>278</v>
      </c>
      <c r="H40" s="262">
        <v>6000</v>
      </c>
      <c r="I40" s="59">
        <v>45</v>
      </c>
      <c r="J40" s="235">
        <f t="shared" si="10"/>
        <v>5333.333333333333</v>
      </c>
      <c r="K40" s="235">
        <f t="shared" si="11"/>
        <v>-666.66666666666697</v>
      </c>
      <c r="L40" s="48"/>
      <c r="N40" s="49"/>
    </row>
    <row r="41" spans="2:14" ht="15" hidden="1" customHeight="1" x14ac:dyDescent="0.45">
      <c r="B41" s="46"/>
      <c r="C41" s="37"/>
      <c r="D41" s="22" t="s">
        <v>153</v>
      </c>
      <c r="E41" s="235" t="s">
        <v>277</v>
      </c>
      <c r="F41" s="250">
        <v>0</v>
      </c>
      <c r="G41" s="215" t="s">
        <v>278</v>
      </c>
      <c r="H41" s="262">
        <v>0</v>
      </c>
      <c r="I41" s="59">
        <v>15</v>
      </c>
      <c r="J41" s="235">
        <f t="shared" si="10"/>
        <v>0</v>
      </c>
      <c r="K41" s="235">
        <f t="shared" si="11"/>
        <v>0</v>
      </c>
      <c r="L41" s="48"/>
      <c r="N41" s="49"/>
    </row>
    <row r="42" spans="2:14" ht="15" hidden="1" customHeight="1" x14ac:dyDescent="0.45">
      <c r="B42" s="46"/>
      <c r="C42" s="37"/>
      <c r="E42" s="137"/>
      <c r="F42" s="250"/>
      <c r="G42" s="215"/>
      <c r="H42" s="262"/>
      <c r="I42" s="59"/>
      <c r="J42" s="5"/>
      <c r="K42" s="5"/>
      <c r="L42" s="48"/>
      <c r="N42" s="49"/>
    </row>
    <row r="43" spans="2:14" ht="15" hidden="1" customHeight="1" x14ac:dyDescent="0.45">
      <c r="B43" s="46"/>
      <c r="C43" s="40" t="s">
        <v>154</v>
      </c>
      <c r="D43" s="40"/>
      <c r="F43" s="246"/>
      <c r="G43" s="215"/>
      <c r="H43" s="264"/>
      <c r="I43" s="63"/>
      <c r="J43" s="41"/>
      <c r="K43" s="41"/>
      <c r="L43" s="48"/>
    </row>
    <row r="44" spans="2:14" ht="15" hidden="1" customHeight="1" x14ac:dyDescent="0.45">
      <c r="B44" s="46"/>
      <c r="D44" s="22" t="s">
        <v>155</v>
      </c>
      <c r="E44" s="235" t="s">
        <v>277</v>
      </c>
      <c r="F44" s="246">
        <v>0</v>
      </c>
      <c r="G44" s="215" t="s">
        <v>278</v>
      </c>
      <c r="H44" s="262">
        <v>0</v>
      </c>
      <c r="I44" s="59">
        <v>7</v>
      </c>
      <c r="J44" s="235">
        <f>F44/I44</f>
        <v>0</v>
      </c>
      <c r="K44" s="235">
        <f>J44-H44</f>
        <v>0</v>
      </c>
      <c r="L44" s="48"/>
    </row>
    <row r="45" spans="2:14" ht="15" hidden="1" customHeight="1" x14ac:dyDescent="0.5">
      <c r="B45" s="46"/>
      <c r="C45" s="240"/>
      <c r="D45" s="240"/>
      <c r="F45" s="246"/>
      <c r="G45" s="215"/>
      <c r="H45" s="264"/>
      <c r="I45" s="63"/>
      <c r="J45" s="41"/>
      <c r="K45" s="41"/>
      <c r="L45" s="48"/>
    </row>
    <row r="46" spans="2:14" ht="15" hidden="1" customHeight="1" x14ac:dyDescent="0.45">
      <c r="B46" s="46"/>
      <c r="C46" s="40" t="s">
        <v>156</v>
      </c>
      <c r="E46" s="38"/>
      <c r="F46" s="250"/>
      <c r="G46" s="215"/>
      <c r="H46" s="262"/>
      <c r="I46" s="59"/>
      <c r="J46" s="39"/>
      <c r="K46" s="39"/>
      <c r="L46" s="48"/>
    </row>
    <row r="47" spans="2:14" ht="15" hidden="1" customHeight="1" x14ac:dyDescent="0.45">
      <c r="B47" s="46"/>
      <c r="D47" s="22" t="s">
        <v>157</v>
      </c>
      <c r="E47" s="235" t="s">
        <v>277</v>
      </c>
      <c r="F47" s="250">
        <v>0</v>
      </c>
      <c r="G47" s="215" t="s">
        <v>278</v>
      </c>
      <c r="H47" s="262">
        <v>0</v>
      </c>
      <c r="I47" s="59">
        <v>62.5</v>
      </c>
      <c r="J47" s="235">
        <f t="shared" ref="J47:J48" si="12">F47/I47</f>
        <v>0</v>
      </c>
      <c r="K47" s="235">
        <f t="shared" ref="K47:K50" si="13">J47-H47</f>
        <v>0</v>
      </c>
      <c r="L47" s="48"/>
    </row>
    <row r="48" spans="2:14" ht="15" hidden="1" customHeight="1" x14ac:dyDescent="0.45">
      <c r="B48" s="46"/>
      <c r="D48" s="22" t="s">
        <v>158</v>
      </c>
      <c r="E48" s="235" t="s">
        <v>277</v>
      </c>
      <c r="F48" s="246">
        <v>0</v>
      </c>
      <c r="G48" s="215" t="s">
        <v>278</v>
      </c>
      <c r="H48" s="264">
        <v>0</v>
      </c>
      <c r="I48" s="59">
        <v>27.5</v>
      </c>
      <c r="J48" s="235">
        <f t="shared" si="12"/>
        <v>0</v>
      </c>
      <c r="K48" s="235">
        <f t="shared" si="13"/>
        <v>0</v>
      </c>
      <c r="L48" s="48"/>
    </row>
    <row r="49" spans="2:17" ht="15" hidden="1" customHeight="1" x14ac:dyDescent="0.45">
      <c r="B49" s="46"/>
      <c r="C49" s="40"/>
      <c r="D49" s="40"/>
      <c r="F49" s="246"/>
      <c r="G49" s="215"/>
      <c r="H49" s="264"/>
      <c r="I49" s="63"/>
      <c r="J49" s="41"/>
      <c r="K49" s="41"/>
      <c r="L49" s="48"/>
    </row>
    <row r="50" spans="2:17" ht="15" hidden="1" customHeight="1" x14ac:dyDescent="0.45">
      <c r="B50" s="46"/>
      <c r="C50" s="40" t="s">
        <v>159</v>
      </c>
      <c r="D50" s="40"/>
      <c r="E50" s="237"/>
      <c r="F50" s="242">
        <f>SUM(F13:F48)</f>
        <v>1821866.8499999999</v>
      </c>
      <c r="G50" s="234"/>
      <c r="H50" s="242">
        <v>34113.440000000002</v>
      </c>
      <c r="I50" s="63"/>
      <c r="J50" s="242">
        <f>SUM(J13:J48)</f>
        <v>36909.776266666668</v>
      </c>
      <c r="K50" s="50">
        <f t="shared" si="13"/>
        <v>2796.3362666666653</v>
      </c>
      <c r="L50" s="48"/>
    </row>
    <row r="51" spans="2:17" ht="15" hidden="1" customHeight="1" x14ac:dyDescent="0.45">
      <c r="B51" s="51"/>
      <c r="C51" s="52"/>
      <c r="D51" s="52"/>
      <c r="E51" s="239"/>
      <c r="F51" s="253"/>
      <c r="G51" s="213"/>
      <c r="H51" s="265"/>
      <c r="I51" s="62"/>
      <c r="J51" s="52"/>
      <c r="K51" s="53"/>
      <c r="L51" s="54"/>
      <c r="M51" s="55"/>
      <c r="Q51" s="189"/>
    </row>
    <row r="52" spans="2:17" ht="15" hidden="1" customHeight="1" x14ac:dyDescent="0.45">
      <c r="F52" s="250"/>
      <c r="G52" s="215"/>
      <c r="H52" s="262"/>
      <c r="I52" s="56"/>
    </row>
    <row r="53" spans="2:17" ht="15.75" x14ac:dyDescent="0.5">
      <c r="B53" s="43"/>
      <c r="C53" s="340" t="s">
        <v>114</v>
      </c>
      <c r="D53" s="340"/>
      <c r="E53" s="238"/>
      <c r="F53" s="254"/>
      <c r="G53" s="241"/>
      <c r="H53" s="266"/>
      <c r="I53" s="170"/>
      <c r="J53" s="169"/>
      <c r="K53" s="169"/>
      <c r="L53" s="45"/>
    </row>
    <row r="54" spans="2:17" ht="15.75" x14ac:dyDescent="0.5">
      <c r="B54" s="46"/>
      <c r="C54" s="240"/>
      <c r="D54" s="240"/>
      <c r="F54" s="246"/>
      <c r="G54" s="215"/>
      <c r="H54" s="264"/>
      <c r="I54" s="63"/>
      <c r="J54" s="41"/>
      <c r="K54" s="41"/>
      <c r="L54" s="48"/>
    </row>
    <row r="55" spans="2:17" ht="15.75" x14ac:dyDescent="0.5">
      <c r="B55" s="46"/>
      <c r="C55" s="307" t="s">
        <v>276</v>
      </c>
      <c r="D55" s="240"/>
      <c r="E55" s="235" t="s">
        <v>277</v>
      </c>
      <c r="F55" s="246">
        <f>46500+176598</f>
        <v>223098</v>
      </c>
      <c r="G55" s="215" t="s">
        <v>278</v>
      </c>
      <c r="H55" s="262">
        <f>1153+405+2654.29+929+1230.94</f>
        <v>6372.23</v>
      </c>
      <c r="I55" s="59">
        <v>40</v>
      </c>
      <c r="J55" s="235">
        <f t="shared" ref="J55" si="14">F55/I55</f>
        <v>5577.45</v>
      </c>
      <c r="K55" s="235">
        <f t="shared" ref="K55" si="15">J55-H55</f>
        <v>-794.77999999999975</v>
      </c>
      <c r="L55" s="48"/>
    </row>
    <row r="56" spans="2:17" x14ac:dyDescent="0.45">
      <c r="B56" s="46"/>
      <c r="D56" s="40"/>
      <c r="F56" s="246"/>
      <c r="G56" s="215"/>
      <c r="H56" s="264"/>
      <c r="I56" s="63"/>
      <c r="J56" s="235"/>
      <c r="K56" s="235"/>
      <c r="L56" s="48"/>
    </row>
    <row r="57" spans="2:17" x14ac:dyDescent="0.45">
      <c r="B57" s="46"/>
      <c r="C57" s="40" t="s">
        <v>157</v>
      </c>
      <c r="E57" s="235" t="s">
        <v>277</v>
      </c>
      <c r="F57" s="246">
        <f>2116.8+8224.14+8674.14+1578.15+330.75</f>
        <v>20923.98</v>
      </c>
      <c r="G57" s="215" t="s">
        <v>278</v>
      </c>
      <c r="H57" s="262">
        <v>1046.2</v>
      </c>
      <c r="I57" s="59">
        <v>20</v>
      </c>
      <c r="J57" s="235">
        <f t="shared" ref="J57" si="16">F57/I57</f>
        <v>1046.1990000000001</v>
      </c>
      <c r="K57" s="235">
        <f t="shared" ref="K57" si="17">J57-H57</f>
        <v>-9.9999999997635314E-4</v>
      </c>
      <c r="L57" s="48"/>
    </row>
    <row r="58" spans="2:17" x14ac:dyDescent="0.45">
      <c r="B58" s="46"/>
      <c r="D58" s="40"/>
      <c r="F58" s="246"/>
      <c r="G58" s="215"/>
      <c r="H58" s="264"/>
      <c r="I58" s="63"/>
      <c r="J58" s="235"/>
      <c r="K58" s="235"/>
      <c r="L58" s="48"/>
    </row>
    <row r="59" spans="2:17" x14ac:dyDescent="0.45">
      <c r="B59" s="46"/>
      <c r="C59" s="40" t="s">
        <v>105</v>
      </c>
      <c r="D59" s="40"/>
      <c r="F59" s="246"/>
      <c r="G59" s="215"/>
      <c r="H59" s="264"/>
      <c r="I59" s="63"/>
      <c r="J59" s="235"/>
      <c r="K59" s="235"/>
      <c r="L59" s="48"/>
    </row>
    <row r="60" spans="2:17" x14ac:dyDescent="0.45">
      <c r="B60" s="46"/>
      <c r="D60" s="22" t="s">
        <v>160</v>
      </c>
      <c r="E60" s="235" t="s">
        <v>277</v>
      </c>
      <c r="F60" s="246">
        <v>0</v>
      </c>
      <c r="G60" s="215" t="s">
        <v>278</v>
      </c>
      <c r="H60" s="262">
        <v>0</v>
      </c>
      <c r="I60" s="59">
        <v>52.5</v>
      </c>
      <c r="J60" s="235">
        <f t="shared" ref="J60" si="18">F60/I60</f>
        <v>0</v>
      </c>
      <c r="K60" s="235">
        <f t="shared" ref="K60" si="19">J60-H60</f>
        <v>0</v>
      </c>
      <c r="L60" s="48"/>
    </row>
    <row r="61" spans="2:17" x14ac:dyDescent="0.45">
      <c r="B61" s="46"/>
      <c r="D61" s="22" t="s">
        <v>161</v>
      </c>
      <c r="E61" s="235" t="s">
        <v>277</v>
      </c>
      <c r="F61" s="246">
        <f>75450+144848+17105</f>
        <v>237403</v>
      </c>
      <c r="G61" s="215" t="s">
        <v>278</v>
      </c>
      <c r="H61" s="262">
        <v>5935.08</v>
      </c>
      <c r="I61" s="59">
        <v>52.5</v>
      </c>
      <c r="J61" s="235">
        <f t="shared" ref="J61" si="20">F61/I61</f>
        <v>4521.9619047619044</v>
      </c>
      <c r="K61" s="235">
        <f t="shared" ref="K61" si="21">J61-H61</f>
        <v>-1413.1180952380955</v>
      </c>
      <c r="L61" s="48"/>
    </row>
    <row r="62" spans="2:17" x14ac:dyDescent="0.45">
      <c r="B62" s="46"/>
      <c r="D62" s="22" t="s">
        <v>162</v>
      </c>
      <c r="E62" s="235" t="s">
        <v>277</v>
      </c>
      <c r="F62" s="246">
        <f>10400+1500</f>
        <v>11900</v>
      </c>
      <c r="G62" s="215" t="s">
        <v>278</v>
      </c>
      <c r="H62" s="262">
        <f>260+75</f>
        <v>335</v>
      </c>
      <c r="I62" s="59">
        <v>35</v>
      </c>
      <c r="J62" s="235">
        <f t="shared" ref="J62" si="22">F62/I62</f>
        <v>340</v>
      </c>
      <c r="K62" s="235">
        <f t="shared" ref="K62" si="23">J62-H62</f>
        <v>5</v>
      </c>
      <c r="L62" s="48"/>
    </row>
    <row r="63" spans="2:17" x14ac:dyDescent="0.45">
      <c r="B63" s="46"/>
      <c r="D63" s="22" t="s">
        <v>151</v>
      </c>
      <c r="E63" s="235" t="s">
        <v>277</v>
      </c>
      <c r="F63" s="246">
        <v>16030</v>
      </c>
      <c r="G63" s="215" t="s">
        <v>278</v>
      </c>
      <c r="H63" s="262">
        <v>369.2</v>
      </c>
      <c r="I63" s="59">
        <v>40</v>
      </c>
      <c r="J63" s="235">
        <f t="shared" ref="J63" si="24">F63/I63</f>
        <v>400.75</v>
      </c>
      <c r="K63" s="235">
        <f t="shared" ref="K63" si="25">J63-H63</f>
        <v>31.550000000000011</v>
      </c>
      <c r="L63" s="48"/>
    </row>
    <row r="64" spans="2:17" x14ac:dyDescent="0.45">
      <c r="B64" s="46"/>
      <c r="F64" s="246"/>
      <c r="G64" s="215"/>
      <c r="H64" s="262"/>
      <c r="I64" s="59"/>
      <c r="J64" s="235"/>
      <c r="K64" s="235"/>
      <c r="L64" s="48"/>
    </row>
    <row r="65" spans="2:12" x14ac:dyDescent="0.45">
      <c r="B65" s="46"/>
      <c r="C65" s="40" t="s">
        <v>279</v>
      </c>
      <c r="D65" s="1"/>
      <c r="E65" s="235" t="s">
        <v>277</v>
      </c>
      <c r="F65" s="246">
        <f>25000+146404.32+4425+452.12+4080+390+390+4146+4255+893.3+89.99</f>
        <v>190525.72999999998</v>
      </c>
      <c r="G65" s="215" t="s">
        <v>278</v>
      </c>
      <c r="H65" s="262">
        <f>1250+4182.98+632.14+38.75+349.71+33.43+55.71+592.29+607.86+127.61+2.14</f>
        <v>7872.62</v>
      </c>
      <c r="I65" s="59">
        <v>35</v>
      </c>
      <c r="J65" s="235">
        <f t="shared" ref="J65" si="26">F65/I65</f>
        <v>5443.592285714285</v>
      </c>
      <c r="K65" s="235">
        <f t="shared" ref="K65" si="27">J65-H65</f>
        <v>-2429.0277142857149</v>
      </c>
      <c r="L65" s="48"/>
    </row>
    <row r="66" spans="2:12" x14ac:dyDescent="0.45">
      <c r="B66" s="46"/>
      <c r="C66" s="40"/>
      <c r="D66" s="1"/>
      <c r="F66" s="246"/>
      <c r="G66" s="215"/>
      <c r="H66" s="262"/>
      <c r="I66" s="59"/>
      <c r="J66" s="235"/>
      <c r="K66" s="235"/>
      <c r="L66" s="48"/>
    </row>
    <row r="67" spans="2:12" x14ac:dyDescent="0.45">
      <c r="B67" s="46"/>
      <c r="C67" s="40" t="s">
        <v>280</v>
      </c>
      <c r="D67" s="1"/>
      <c r="E67" s="235" t="s">
        <v>277</v>
      </c>
      <c r="F67" s="246">
        <f>188305.15+260828.13+2231.5+2431.57</f>
        <v>453796.35000000003</v>
      </c>
      <c r="G67" s="215" t="s">
        <v>278</v>
      </c>
      <c r="H67" s="262">
        <f>7532.21+10433.13+74.38+81.05</f>
        <v>18120.77</v>
      </c>
      <c r="I67" s="59">
        <v>35</v>
      </c>
      <c r="J67" s="235">
        <f t="shared" ref="J67" si="28">F67/I67</f>
        <v>12965.61</v>
      </c>
      <c r="K67" s="235">
        <f t="shared" ref="K67" si="29">J67-H67</f>
        <v>-5155.16</v>
      </c>
      <c r="L67" s="48"/>
    </row>
    <row r="68" spans="2:12" x14ac:dyDescent="0.45">
      <c r="B68" s="46"/>
      <c r="E68" s="38"/>
      <c r="F68" s="250"/>
      <c r="G68" s="215"/>
      <c r="H68" s="262"/>
      <c r="I68" s="59"/>
      <c r="J68" s="235"/>
      <c r="K68" s="235"/>
      <c r="L68" s="48"/>
    </row>
    <row r="69" spans="2:12" x14ac:dyDescent="0.45">
      <c r="B69" s="46"/>
      <c r="C69" s="40" t="s">
        <v>154</v>
      </c>
      <c r="E69" s="235" t="s">
        <v>277</v>
      </c>
      <c r="F69" s="246">
        <v>34476.959999999999</v>
      </c>
      <c r="G69" s="215" t="s">
        <v>278</v>
      </c>
      <c r="H69" s="262">
        <v>2306.06</v>
      </c>
      <c r="I69" s="59">
        <v>4</v>
      </c>
      <c r="J69" s="235">
        <f t="shared" ref="J69" si="30">F69/I69</f>
        <v>8619.24</v>
      </c>
      <c r="K69" s="235">
        <f t="shared" ref="K69" si="31">J69-H69</f>
        <v>6313.18</v>
      </c>
      <c r="L69" s="48"/>
    </row>
    <row r="70" spans="2:12" x14ac:dyDescent="0.45">
      <c r="B70" s="46"/>
      <c r="C70" s="40"/>
      <c r="E70" s="38"/>
      <c r="F70" s="250"/>
      <c r="G70" s="215"/>
      <c r="H70" s="262"/>
      <c r="I70" s="59"/>
      <c r="J70" s="235"/>
      <c r="K70" s="235"/>
      <c r="L70" s="48"/>
    </row>
    <row r="71" spans="2:12" x14ac:dyDescent="0.45">
      <c r="B71" s="46"/>
      <c r="C71" s="40" t="s">
        <v>163</v>
      </c>
      <c r="E71" s="235" t="s">
        <v>277</v>
      </c>
      <c r="F71" s="246">
        <v>371.17</v>
      </c>
      <c r="G71" s="215" t="s">
        <v>278</v>
      </c>
      <c r="H71" s="262">
        <v>16.940000000000001</v>
      </c>
      <c r="I71" s="59">
        <v>17.5</v>
      </c>
      <c r="J71" s="235">
        <f t="shared" ref="J71" si="32">F71/I71</f>
        <v>21.209714285714288</v>
      </c>
      <c r="K71" s="235">
        <f t="shared" ref="K71" si="33">J71-H71</f>
        <v>4.2697142857142865</v>
      </c>
      <c r="L71" s="48"/>
    </row>
    <row r="72" spans="2:12" x14ac:dyDescent="0.45">
      <c r="B72" s="46"/>
      <c r="C72" s="40"/>
      <c r="E72" s="38"/>
      <c r="F72" s="250"/>
      <c r="G72" s="215"/>
      <c r="H72" s="262"/>
      <c r="I72" s="59"/>
      <c r="J72" s="235"/>
      <c r="K72" s="235"/>
      <c r="L72" s="48"/>
    </row>
    <row r="73" spans="2:12" x14ac:dyDescent="0.45">
      <c r="B73" s="46"/>
      <c r="C73" s="40" t="s">
        <v>164</v>
      </c>
      <c r="E73" s="235" t="s">
        <v>277</v>
      </c>
      <c r="F73" s="246">
        <f>2540+8752+6526+1089+158.75+1105.86</f>
        <v>20171.61</v>
      </c>
      <c r="G73" s="215" t="s">
        <v>278</v>
      </c>
      <c r="H73" s="262">
        <f>362.86+1250.29+54.38+18.15+7.94+221.17</f>
        <v>1914.7900000000004</v>
      </c>
      <c r="I73" s="59">
        <v>12.5</v>
      </c>
      <c r="J73" s="235">
        <f t="shared" ref="J73" si="34">F73/I73</f>
        <v>1613.7288000000001</v>
      </c>
      <c r="K73" s="235">
        <f t="shared" ref="K73" si="35">J73-H73</f>
        <v>-301.06120000000033</v>
      </c>
      <c r="L73" s="48"/>
    </row>
    <row r="74" spans="2:12" x14ac:dyDescent="0.45">
      <c r="B74" s="46"/>
      <c r="D74" s="40"/>
      <c r="F74" s="246"/>
      <c r="G74" s="215"/>
      <c r="H74" s="264"/>
      <c r="I74" s="63"/>
      <c r="J74" s="41"/>
      <c r="K74" s="41"/>
      <c r="L74" s="48"/>
    </row>
    <row r="75" spans="2:12" x14ac:dyDescent="0.45">
      <c r="B75" s="46"/>
      <c r="D75" s="40" t="s">
        <v>106</v>
      </c>
      <c r="F75" s="264">
        <f>SUM(F55:F73)</f>
        <v>1208696.8</v>
      </c>
      <c r="G75" s="215"/>
      <c r="H75" s="264">
        <f>SUM(H55:H73)</f>
        <v>44288.89</v>
      </c>
      <c r="I75" s="63"/>
      <c r="J75" s="264">
        <f>SUM(J55:J73)</f>
        <v>40549.741704761902</v>
      </c>
      <c r="K75" s="264">
        <f>SUM(K55:K73)</f>
        <v>-3739.1482952380957</v>
      </c>
      <c r="L75" s="48"/>
    </row>
    <row r="76" spans="2:12" x14ac:dyDescent="0.45">
      <c r="B76" s="51"/>
      <c r="C76" s="52"/>
      <c r="D76" s="52"/>
      <c r="E76" s="239"/>
      <c r="F76" s="253"/>
      <c r="G76" s="213"/>
      <c r="H76" s="265"/>
      <c r="I76" s="62"/>
      <c r="J76" s="52"/>
      <c r="K76" s="53"/>
      <c r="L76" s="54"/>
    </row>
    <row r="78" spans="2:12" x14ac:dyDescent="0.45">
      <c r="D78" s="22" t="s">
        <v>107</v>
      </c>
    </row>
  </sheetData>
  <mergeCells count="5">
    <mergeCell ref="C53:D53"/>
    <mergeCell ref="C5:K5"/>
    <mergeCell ref="C4:K4"/>
    <mergeCell ref="C3:K3"/>
    <mergeCell ref="C11:D11"/>
  </mergeCells>
  <printOptions horizontalCentered="1"/>
  <pageMargins left="0.75" right="0.55000000000000004" top="0.75" bottom="0.25" header="0" footer="0"/>
  <pageSetup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3"/>
  <sheetViews>
    <sheetView showGridLines="0" workbookViewId="0">
      <selection sqref="A1:O34"/>
    </sheetView>
  </sheetViews>
  <sheetFormatPr defaultColWidth="8.88671875" defaultRowHeight="14.25" x14ac:dyDescent="0.45"/>
  <cols>
    <col min="1" max="1" width="1.6640625" style="15" customWidth="1"/>
    <col min="2" max="2" width="16.38671875" style="217" bestFit="1" customWidth="1"/>
    <col min="3" max="7" width="7.83203125" style="15" bestFit="1" customWidth="1"/>
    <col min="8" max="8" width="7.83203125" style="15" customWidth="1"/>
    <col min="9" max="12" width="7.83203125" style="15" bestFit="1" customWidth="1"/>
    <col min="13" max="13" width="10" style="15" customWidth="1"/>
    <col min="14" max="14" width="0.77734375" style="15" customWidth="1"/>
    <col min="15" max="15" width="2.21875" style="15" customWidth="1"/>
    <col min="16" max="16384" width="8.88671875" style="15"/>
  </cols>
  <sheetData>
    <row r="1" spans="1:19" ht="15.4" x14ac:dyDescent="0.45">
      <c r="A1"/>
    </row>
    <row r="2" spans="1:19" ht="15.4" x14ac:dyDescent="0.45">
      <c r="A2"/>
      <c r="B2" s="114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9" ht="18" x14ac:dyDescent="0.55000000000000004">
      <c r="A3"/>
      <c r="B3" s="343" t="s">
        <v>0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82"/>
    </row>
    <row r="4" spans="1:19" ht="18" x14ac:dyDescent="0.55000000000000004">
      <c r="A4"/>
      <c r="B4" s="345" t="s">
        <v>97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82"/>
    </row>
    <row r="5" spans="1:19" ht="15.75" x14ac:dyDescent="0.45">
      <c r="A5"/>
      <c r="B5" s="346" t="s">
        <v>234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82"/>
    </row>
    <row r="6" spans="1:19" ht="15.75" x14ac:dyDescent="0.5">
      <c r="A6"/>
      <c r="B6" s="347" t="s">
        <v>281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82"/>
    </row>
    <row r="7" spans="1:19" ht="15.4" x14ac:dyDescent="0.45">
      <c r="A7"/>
      <c r="B7" s="218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82"/>
    </row>
    <row r="8" spans="1:19" ht="15.4" hidden="1" x14ac:dyDescent="0.45">
      <c r="A8"/>
      <c r="B8" s="154"/>
      <c r="C8" s="114"/>
      <c r="D8" s="128"/>
      <c r="E8" s="114"/>
      <c r="F8" s="129"/>
      <c r="G8" s="114"/>
      <c r="H8" s="129"/>
      <c r="I8" s="114"/>
      <c r="J8" s="129"/>
      <c r="K8" s="114"/>
      <c r="L8" s="129"/>
      <c r="M8" s="128"/>
      <c r="N8" s="80"/>
    </row>
    <row r="9" spans="1:19" ht="15.75" hidden="1" customHeight="1" x14ac:dyDescent="0.45">
      <c r="A9"/>
      <c r="B9" s="158"/>
      <c r="C9" s="130" t="s">
        <v>98</v>
      </c>
      <c r="D9" s="112"/>
      <c r="E9" s="130" t="s">
        <v>99</v>
      </c>
      <c r="F9" s="155"/>
      <c r="G9" s="130" t="s">
        <v>100</v>
      </c>
      <c r="H9" s="155"/>
      <c r="I9" s="130" t="s">
        <v>101</v>
      </c>
      <c r="J9" s="155"/>
      <c r="K9" s="130" t="s">
        <v>282</v>
      </c>
      <c r="L9" s="155"/>
      <c r="N9" s="82"/>
    </row>
    <row r="10" spans="1:19" ht="16.5" hidden="1" x14ac:dyDescent="0.45">
      <c r="A10"/>
      <c r="B10" s="158"/>
      <c r="C10" s="115" t="s">
        <v>36</v>
      </c>
      <c r="D10" s="156" t="s">
        <v>37</v>
      </c>
      <c r="E10" s="115" t="s">
        <v>36</v>
      </c>
      <c r="F10" s="157" t="s">
        <v>37</v>
      </c>
      <c r="G10" s="115" t="s">
        <v>36</v>
      </c>
      <c r="H10" s="157" t="s">
        <v>37</v>
      </c>
      <c r="I10" s="115" t="s">
        <v>36</v>
      </c>
      <c r="J10" s="157" t="s">
        <v>37</v>
      </c>
      <c r="K10" s="115" t="s">
        <v>36</v>
      </c>
      <c r="L10" s="157" t="s">
        <v>37</v>
      </c>
      <c r="M10" s="131" t="s">
        <v>3</v>
      </c>
      <c r="N10" s="82"/>
    </row>
    <row r="11" spans="1:19" ht="17.649999999999999" hidden="1" x14ac:dyDescent="0.75">
      <c r="A11"/>
      <c r="B11" s="219" t="s">
        <v>95</v>
      </c>
      <c r="C11" s="115"/>
      <c r="D11" s="156"/>
      <c r="E11" s="115"/>
      <c r="F11" s="157"/>
      <c r="G11" s="115"/>
      <c r="H11" s="157"/>
      <c r="I11" s="115"/>
      <c r="J11" s="157"/>
      <c r="K11" s="115"/>
      <c r="L11" s="157"/>
      <c r="M11" s="131"/>
      <c r="N11" s="82"/>
    </row>
    <row r="12" spans="1:19" ht="15.4" hidden="1" x14ac:dyDescent="0.45">
      <c r="A12"/>
      <c r="B12" s="158"/>
      <c r="C12" s="116"/>
      <c r="D12" s="159"/>
      <c r="E12" s="116"/>
      <c r="F12" s="160"/>
      <c r="G12" s="116"/>
      <c r="H12" s="160"/>
      <c r="I12" s="116"/>
      <c r="J12" s="160"/>
      <c r="K12" s="116"/>
      <c r="L12" s="160"/>
      <c r="M12" s="132">
        <f t="shared" ref="M12:M14" si="0">SUM(C12:L12)</f>
        <v>0</v>
      </c>
      <c r="N12" s="82"/>
      <c r="S12" s="193"/>
    </row>
    <row r="13" spans="1:19" ht="15.4" hidden="1" x14ac:dyDescent="0.45">
      <c r="A13"/>
      <c r="B13" s="158" t="s">
        <v>283</v>
      </c>
      <c r="C13" s="117"/>
      <c r="D13" s="118"/>
      <c r="E13" s="117"/>
      <c r="F13" s="161"/>
      <c r="G13" s="117"/>
      <c r="H13" s="161"/>
      <c r="I13" s="117"/>
      <c r="J13" s="161"/>
      <c r="K13" s="117"/>
      <c r="L13" s="161"/>
      <c r="M13" s="162">
        <f t="shared" si="0"/>
        <v>0</v>
      </c>
      <c r="N13" s="82"/>
      <c r="S13" s="193"/>
    </row>
    <row r="14" spans="1:19" ht="15.4" hidden="1" x14ac:dyDescent="0.45">
      <c r="A14"/>
      <c r="B14" s="119"/>
      <c r="C14" s="165"/>
      <c r="D14" s="166"/>
      <c r="E14" s="165"/>
      <c r="F14" s="166"/>
      <c r="G14" s="165"/>
      <c r="H14" s="166"/>
      <c r="I14" s="165"/>
      <c r="J14" s="166"/>
      <c r="K14" s="165"/>
      <c r="L14" s="167"/>
      <c r="M14" s="222">
        <f t="shared" si="0"/>
        <v>0</v>
      </c>
      <c r="N14" s="82"/>
      <c r="S14" s="193"/>
    </row>
    <row r="15" spans="1:19" ht="15.4" hidden="1" x14ac:dyDescent="0.45">
      <c r="A15"/>
      <c r="B15" s="220" t="s">
        <v>38</v>
      </c>
      <c r="C15" s="168">
        <f t="shared" ref="C15:M15" si="1">SUM(C12:C14)</f>
        <v>0</v>
      </c>
      <c r="D15" s="168">
        <f t="shared" si="1"/>
        <v>0</v>
      </c>
      <c r="E15" s="168">
        <f t="shared" si="1"/>
        <v>0</v>
      </c>
      <c r="F15" s="168">
        <f t="shared" si="1"/>
        <v>0</v>
      </c>
      <c r="G15" s="168">
        <f t="shared" si="1"/>
        <v>0</v>
      </c>
      <c r="H15" s="168">
        <f t="shared" si="1"/>
        <v>0</v>
      </c>
      <c r="I15" s="168">
        <f t="shared" si="1"/>
        <v>0</v>
      </c>
      <c r="J15" s="168">
        <f t="shared" si="1"/>
        <v>0</v>
      </c>
      <c r="K15" s="168">
        <f t="shared" si="1"/>
        <v>0</v>
      </c>
      <c r="L15" s="168">
        <f t="shared" si="1"/>
        <v>0</v>
      </c>
      <c r="M15" s="168">
        <f t="shared" si="1"/>
        <v>0</v>
      </c>
      <c r="N15" s="85"/>
      <c r="P15" s="15">
        <f>SUM(C15:L15)</f>
        <v>0</v>
      </c>
    </row>
    <row r="16" spans="1:19" ht="15.4" hidden="1" x14ac:dyDescent="0.45">
      <c r="A16"/>
      <c r="B16" s="221"/>
      <c r="C16" s="120"/>
      <c r="D16" s="120"/>
      <c r="E16" s="120"/>
      <c r="F16" s="120"/>
      <c r="G16" s="120"/>
      <c r="H16" s="120"/>
      <c r="I16" s="120"/>
      <c r="J16" s="92"/>
      <c r="K16" s="92"/>
      <c r="L16" s="92"/>
      <c r="M16" s="120"/>
      <c r="N16" s="82"/>
    </row>
    <row r="17" spans="1:16" ht="15.4" hidden="1" x14ac:dyDescent="0.45">
      <c r="A17"/>
      <c r="B17" s="221"/>
      <c r="C17" s="122"/>
      <c r="D17" s="121"/>
      <c r="E17" s="122"/>
      <c r="F17" s="122"/>
      <c r="G17" s="122"/>
      <c r="H17" s="121" t="s">
        <v>102</v>
      </c>
      <c r="K17" s="83"/>
      <c r="L17" s="163"/>
      <c r="M17" s="122">
        <f>M15/5</f>
        <v>0</v>
      </c>
      <c r="N17" s="82"/>
    </row>
    <row r="18" spans="1:16" ht="15.4" hidden="1" x14ac:dyDescent="0.45">
      <c r="A18"/>
      <c r="B18" s="221"/>
      <c r="C18" s="121"/>
      <c r="D18" s="121"/>
      <c r="E18" s="121"/>
      <c r="F18" s="121"/>
      <c r="G18" s="121"/>
      <c r="H18" s="121" t="s">
        <v>104</v>
      </c>
      <c r="K18" s="83"/>
      <c r="L18" s="121"/>
      <c r="M18" s="122">
        <f>M17*0.2</f>
        <v>0</v>
      </c>
      <c r="N18" s="82"/>
      <c r="P18" s="15">
        <f>M18+M17</f>
        <v>0</v>
      </c>
    </row>
    <row r="19" spans="1:16" ht="15.4" hidden="1" x14ac:dyDescent="0.45">
      <c r="A19"/>
      <c r="B19" s="334"/>
      <c r="C19" s="335"/>
      <c r="D19" s="335"/>
      <c r="E19" s="335"/>
      <c r="F19" s="335"/>
      <c r="G19" s="335"/>
      <c r="H19" s="335"/>
      <c r="I19" s="17"/>
      <c r="J19" s="17"/>
      <c r="K19" s="335"/>
      <c r="L19" s="335"/>
      <c r="M19" s="336"/>
      <c r="N19" s="85"/>
    </row>
    <row r="20" spans="1:16" ht="15.4" hidden="1" x14ac:dyDescent="0.45">
      <c r="A20"/>
      <c r="B20" s="19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74"/>
    </row>
    <row r="21" spans="1:16" ht="15.4" hidden="1" x14ac:dyDescent="0.45">
      <c r="A21"/>
      <c r="B21" s="19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74"/>
    </row>
    <row r="22" spans="1:16" ht="15.4" customHeight="1" x14ac:dyDescent="0.45">
      <c r="A22"/>
      <c r="B22" s="154"/>
      <c r="C22" s="114"/>
      <c r="D22" s="128"/>
      <c r="E22" s="114"/>
      <c r="F22" s="129"/>
      <c r="G22" s="114"/>
      <c r="H22" s="129"/>
      <c r="I22" s="114"/>
      <c r="J22" s="129"/>
      <c r="K22" s="114"/>
      <c r="L22" s="129"/>
      <c r="M22" s="128"/>
      <c r="N22" s="80"/>
    </row>
    <row r="23" spans="1:16" ht="15.4" customHeight="1" x14ac:dyDescent="0.45">
      <c r="A23"/>
      <c r="B23" s="158"/>
      <c r="C23" s="130" t="s">
        <v>98</v>
      </c>
      <c r="D23" s="112"/>
      <c r="E23" s="130" t="s">
        <v>99</v>
      </c>
      <c r="F23" s="155"/>
      <c r="G23" s="130" t="s">
        <v>100</v>
      </c>
      <c r="H23" s="155"/>
      <c r="I23" s="130" t="s">
        <v>101</v>
      </c>
      <c r="J23" s="155"/>
      <c r="K23" s="130" t="s">
        <v>282</v>
      </c>
      <c r="L23" s="155"/>
      <c r="N23" s="82"/>
    </row>
    <row r="24" spans="1:16" ht="15.4" customHeight="1" x14ac:dyDescent="0.45">
      <c r="A24"/>
      <c r="B24" s="158"/>
      <c r="C24" s="115" t="s">
        <v>36</v>
      </c>
      <c r="D24" s="156" t="s">
        <v>37</v>
      </c>
      <c r="E24" s="115" t="s">
        <v>36</v>
      </c>
      <c r="F24" s="157" t="s">
        <v>37</v>
      </c>
      <c r="G24" s="115" t="s">
        <v>36</v>
      </c>
      <c r="H24" s="157" t="s">
        <v>37</v>
      </c>
      <c r="I24" s="115" t="s">
        <v>36</v>
      </c>
      <c r="J24" s="157" t="s">
        <v>37</v>
      </c>
      <c r="K24" s="115" t="s">
        <v>36</v>
      </c>
      <c r="L24" s="157" t="s">
        <v>37</v>
      </c>
      <c r="M24" s="131" t="s">
        <v>3</v>
      </c>
      <c r="N24" s="82"/>
    </row>
    <row r="25" spans="1:16" ht="16.5" x14ac:dyDescent="0.75">
      <c r="B25" s="219" t="s">
        <v>96</v>
      </c>
      <c r="C25" s="81"/>
      <c r="D25" s="82"/>
      <c r="E25" s="81"/>
      <c r="F25" s="82"/>
      <c r="G25" s="81"/>
      <c r="H25" s="82"/>
      <c r="I25" s="81"/>
      <c r="J25" s="82"/>
      <c r="K25" s="81"/>
      <c r="L25" s="82"/>
      <c r="M25" s="81"/>
      <c r="N25" s="82"/>
    </row>
    <row r="26" spans="1:16" ht="16.5" x14ac:dyDescent="0.75">
      <c r="B26" s="219"/>
      <c r="C26" s="81"/>
      <c r="D26" s="74"/>
      <c r="E26" s="81"/>
      <c r="F26" s="74"/>
      <c r="G26" s="81"/>
      <c r="H26" s="74"/>
      <c r="I26" s="81"/>
      <c r="J26" s="74"/>
      <c r="K26" s="81"/>
      <c r="L26" s="82"/>
      <c r="M26" s="74"/>
      <c r="N26" s="82"/>
    </row>
    <row r="27" spans="1:16" x14ac:dyDescent="0.45">
      <c r="B27" s="158" t="s">
        <v>283</v>
      </c>
      <c r="C27" s="81"/>
      <c r="D27" s="74"/>
      <c r="E27" s="81"/>
      <c r="F27" s="74"/>
      <c r="G27" s="81"/>
      <c r="H27" s="74"/>
      <c r="I27" s="81"/>
      <c r="J27" s="74"/>
      <c r="K27" s="81"/>
      <c r="L27" s="82"/>
      <c r="M27" s="162"/>
      <c r="N27" s="82"/>
    </row>
    <row r="28" spans="1:16" x14ac:dyDescent="0.45">
      <c r="B28" s="158"/>
      <c r="C28" s="84"/>
      <c r="D28" s="17"/>
      <c r="E28" s="84"/>
      <c r="F28" s="17"/>
      <c r="G28" s="84"/>
      <c r="H28" s="17"/>
      <c r="I28" s="84"/>
      <c r="J28" s="17"/>
      <c r="K28" s="84"/>
      <c r="L28" s="85"/>
      <c r="M28" s="222"/>
      <c r="N28" s="82"/>
    </row>
    <row r="29" spans="1:16" x14ac:dyDescent="0.45">
      <c r="B29" s="164" t="s">
        <v>38</v>
      </c>
      <c r="C29" s="117">
        <f>C27+C28</f>
        <v>0</v>
      </c>
      <c r="D29" s="117">
        <f t="shared" ref="D29:M29" si="2">D27+D28</f>
        <v>0</v>
      </c>
      <c r="E29" s="117">
        <f t="shared" si="2"/>
        <v>0</v>
      </c>
      <c r="F29" s="117">
        <f t="shared" si="2"/>
        <v>0</v>
      </c>
      <c r="G29" s="117">
        <f t="shared" si="2"/>
        <v>0</v>
      </c>
      <c r="H29" s="117">
        <f t="shared" si="2"/>
        <v>0</v>
      </c>
      <c r="I29" s="117">
        <f t="shared" si="2"/>
        <v>0</v>
      </c>
      <c r="J29" s="117">
        <f t="shared" si="2"/>
        <v>0</v>
      </c>
      <c r="K29" s="117">
        <f t="shared" si="2"/>
        <v>0</v>
      </c>
      <c r="L29" s="117">
        <f t="shared" si="2"/>
        <v>0</v>
      </c>
      <c r="M29" s="117">
        <f t="shared" si="2"/>
        <v>0</v>
      </c>
      <c r="N29" s="85"/>
      <c r="P29" s="15">
        <f>SUM(C29:L29)</f>
        <v>0</v>
      </c>
    </row>
    <row r="30" spans="1:16" x14ac:dyDescent="0.45">
      <c r="B30" s="114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/>
    </row>
    <row r="31" spans="1:16" x14ac:dyDescent="0.45">
      <c r="B31" s="218"/>
      <c r="C31" s="74"/>
      <c r="D31" s="74"/>
      <c r="E31" s="74"/>
      <c r="F31" s="74"/>
      <c r="G31" s="74"/>
      <c r="H31" s="83" t="s">
        <v>103</v>
      </c>
      <c r="J31" s="74"/>
      <c r="K31" s="83"/>
      <c r="L31" s="163"/>
      <c r="M31" s="163">
        <f>M29/5</f>
        <v>0</v>
      </c>
      <c r="N31" s="82"/>
    </row>
    <row r="32" spans="1:16" x14ac:dyDescent="0.45">
      <c r="B32" s="218"/>
      <c r="C32" s="74"/>
      <c r="D32" s="74"/>
      <c r="E32" s="74"/>
      <c r="F32" s="74"/>
      <c r="G32" s="74"/>
      <c r="H32" s="121" t="s">
        <v>104</v>
      </c>
      <c r="J32" s="74"/>
      <c r="K32" s="83"/>
      <c r="L32" s="83"/>
      <c r="M32" s="163">
        <f>M31*0.2</f>
        <v>0</v>
      </c>
      <c r="N32" s="82"/>
    </row>
    <row r="33" spans="2:14" x14ac:dyDescent="0.45">
      <c r="B33" s="220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85"/>
    </row>
  </sheetData>
  <mergeCells count="4">
    <mergeCell ref="B3:M3"/>
    <mergeCell ref="B4:M4"/>
    <mergeCell ref="B5:M5"/>
    <mergeCell ref="B6:M6"/>
  </mergeCells>
  <printOptions horizontalCentered="1"/>
  <pageMargins left="0.6" right="0.5" top="1.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SAOw</vt:lpstr>
      <vt:lpstr>K&amp;M Changes W</vt:lpstr>
      <vt:lpstr>SAOs</vt:lpstr>
      <vt:lpstr>K&amp;M Changes S</vt:lpstr>
      <vt:lpstr>Wages</vt:lpstr>
      <vt:lpstr>Medical</vt:lpstr>
      <vt:lpstr>Water Loss</vt:lpstr>
      <vt:lpstr>Depreciation</vt:lpstr>
      <vt:lpstr>Debt Service</vt:lpstr>
      <vt:lpstr>RatesW</vt:lpstr>
      <vt:lpstr>RatesS</vt:lpstr>
      <vt:lpstr>Bills</vt:lpstr>
      <vt:lpstr>Adjustments</vt:lpstr>
      <vt:lpstr>ExBAw</vt:lpstr>
      <vt:lpstr>ExBAs</vt:lpstr>
      <vt:lpstr>PrBAw</vt:lpstr>
      <vt:lpstr>PrBAs</vt:lpstr>
      <vt:lpstr>Bills!Print_Area</vt:lpstr>
      <vt:lpstr>'Debt Service'!Print_Area</vt:lpstr>
      <vt:lpstr>Depreciation!Print_Area</vt:lpstr>
      <vt:lpstr>ExBAs!Print_Area</vt:lpstr>
      <vt:lpstr>ExBAw!Print_Area</vt:lpstr>
      <vt:lpstr>PrBAs!Print_Area</vt:lpstr>
      <vt:lpstr>PrBAw!Print_Area</vt:lpstr>
      <vt:lpstr>RatesS!Print_Area</vt:lpstr>
      <vt:lpstr>RatesW!Print_Area</vt:lpstr>
      <vt:lpstr>SAOs!Print_Area</vt:lpstr>
      <vt:lpstr>SAOw!Print_Area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2023-03-24T22:43:28Z</cp:lastPrinted>
  <dcterms:created xsi:type="dcterms:W3CDTF">2016-05-18T14:12:06Z</dcterms:created>
  <dcterms:modified xsi:type="dcterms:W3CDTF">2023-03-30T18:20:14Z</dcterms:modified>
</cp:coreProperties>
</file>