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ROJECTS\Rowan\20020 - 2021 Water System Improvments\Funding\"/>
    </mc:Choice>
  </mc:AlternateContent>
  <xr:revisionPtr revIDLastSave="0" documentId="13_ncr:1_{9BEAA024-EC54-4561-BF1E-A7133B8850D0}" xr6:coauthVersionLast="47" xr6:coauthVersionMax="47" xr10:uidLastSave="{00000000-0000-0000-0000-000000000000}"/>
  <bookViews>
    <workbookView xWindow="-120" yWindow="-120" windowWidth="29040" windowHeight="15840" activeTab="2" xr2:uid="{0D004B23-381D-4EFD-923F-AB463C9C4B6D}"/>
  </bookViews>
  <sheets>
    <sheet name="Rowan Usage" sheetId="1" r:id="rId1"/>
    <sheet name="Existing Water Income" sheetId="2" r:id="rId2"/>
    <sheet name="Forecasted Water Income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C54" i="2"/>
  <c r="K54" i="2" s="1"/>
  <c r="K53" i="2"/>
  <c r="J53" i="2"/>
  <c r="C53" i="2"/>
  <c r="D53" i="2" s="1"/>
  <c r="L53" i="2" s="1"/>
  <c r="J52" i="2"/>
  <c r="J55" i="2" s="1"/>
  <c r="C52" i="2"/>
  <c r="K52" i="2" s="1"/>
  <c r="K55" i="2" s="1"/>
  <c r="K48" i="2"/>
  <c r="K49" i="2" s="1"/>
  <c r="J48" i="2"/>
  <c r="J49" i="2" s="1"/>
  <c r="C48" i="2"/>
  <c r="D48" i="2" s="1"/>
  <c r="L48" i="2" s="1"/>
  <c r="L49" i="2" s="1"/>
  <c r="E47" i="2"/>
  <c r="E49" i="2" s="1"/>
  <c r="D47" i="2"/>
  <c r="G47" i="2" s="1"/>
  <c r="G49" i="2" s="1"/>
  <c r="C47" i="2"/>
  <c r="K44" i="2"/>
  <c r="K45" i="2" s="1"/>
  <c r="J44" i="2"/>
  <c r="J45" i="2" s="1"/>
  <c r="D44" i="2"/>
  <c r="L44" i="2" s="1"/>
  <c r="L45" i="2" s="1"/>
  <c r="C44" i="2"/>
  <c r="K40" i="2"/>
  <c r="K41" i="2" s="1"/>
  <c r="J40" i="2"/>
  <c r="J41" i="2" s="1"/>
  <c r="C40" i="2"/>
  <c r="D40" i="2" s="1"/>
  <c r="L40" i="2" s="1"/>
  <c r="L41" i="2" s="1"/>
  <c r="E39" i="2"/>
  <c r="F39" i="2" s="1"/>
  <c r="F41" i="2" s="1"/>
  <c r="C39" i="2"/>
  <c r="D39" i="2" s="1"/>
  <c r="G39" i="2" s="1"/>
  <c r="G41" i="2" s="1"/>
  <c r="E36" i="2"/>
  <c r="K35" i="2"/>
  <c r="K36" i="2" s="1"/>
  <c r="J35" i="2"/>
  <c r="J36" i="2" s="1"/>
  <c r="C35" i="2"/>
  <c r="D35" i="2" s="1"/>
  <c r="L35" i="2" s="1"/>
  <c r="L36" i="2" s="1"/>
  <c r="E34" i="2"/>
  <c r="D34" i="2"/>
  <c r="G34" i="2" s="1"/>
  <c r="G36" i="2" s="1"/>
  <c r="C34" i="2"/>
  <c r="F34" i="2" s="1"/>
  <c r="F36" i="2" s="1"/>
  <c r="F29" i="2"/>
  <c r="E29" i="2"/>
  <c r="C29" i="2"/>
  <c r="D29" i="2" s="1"/>
  <c r="G29" i="2" s="1"/>
  <c r="A29" i="2"/>
  <c r="E28" i="2"/>
  <c r="F28" i="2" s="1"/>
  <c r="D28" i="2"/>
  <c r="G28" i="2" s="1"/>
  <c r="C28" i="2"/>
  <c r="A28" i="2"/>
  <c r="E27" i="2"/>
  <c r="C27" i="2"/>
  <c r="F27" i="2" s="1"/>
  <c r="A27" i="2"/>
  <c r="F26" i="2"/>
  <c r="E26" i="2"/>
  <c r="D26" i="2"/>
  <c r="G26" i="2" s="1"/>
  <c r="C26" i="2"/>
  <c r="A26" i="2"/>
  <c r="G25" i="2"/>
  <c r="F25" i="2"/>
  <c r="E25" i="2"/>
  <c r="D25" i="2"/>
  <c r="C25" i="2"/>
  <c r="A25" i="2"/>
  <c r="E24" i="2"/>
  <c r="F24" i="2" s="1"/>
  <c r="D24" i="2"/>
  <c r="G24" i="2" s="1"/>
  <c r="C24" i="2"/>
  <c r="A24" i="2"/>
  <c r="E23" i="2"/>
  <c r="C23" i="2"/>
  <c r="D23" i="2" s="1"/>
  <c r="G23" i="2" s="1"/>
  <c r="A23" i="2"/>
  <c r="F22" i="2"/>
  <c r="E22" i="2"/>
  <c r="D22" i="2"/>
  <c r="G22" i="2" s="1"/>
  <c r="C22" i="2"/>
  <c r="A22" i="2"/>
  <c r="G21" i="2"/>
  <c r="F21" i="2"/>
  <c r="E21" i="2"/>
  <c r="D21" i="2"/>
  <c r="C21" i="2"/>
  <c r="A21" i="2"/>
  <c r="E20" i="2"/>
  <c r="F20" i="2" s="1"/>
  <c r="D20" i="2"/>
  <c r="G20" i="2" s="1"/>
  <c r="C20" i="2"/>
  <c r="A20" i="2"/>
  <c r="E19" i="2"/>
  <c r="C19" i="2"/>
  <c r="F19" i="2" s="1"/>
  <c r="A19" i="2"/>
  <c r="F18" i="2"/>
  <c r="E18" i="2"/>
  <c r="D18" i="2"/>
  <c r="G18" i="2" s="1"/>
  <c r="A18" i="2"/>
  <c r="J17" i="2"/>
  <c r="G17" i="2"/>
  <c r="F17" i="2"/>
  <c r="E17" i="2"/>
  <c r="D17" i="2"/>
  <c r="A17" i="2"/>
  <c r="J16" i="2"/>
  <c r="K16" i="2" s="1"/>
  <c r="I16" i="2"/>
  <c r="L16" i="2" s="1"/>
  <c r="H16" i="2"/>
  <c r="F16" i="2"/>
  <c r="E16" i="2"/>
  <c r="D16" i="2"/>
  <c r="G16" i="2" s="1"/>
  <c r="A16" i="2"/>
  <c r="K15" i="2"/>
  <c r="J15" i="2"/>
  <c r="H15" i="2"/>
  <c r="I15" i="2" s="1"/>
  <c r="L15" i="2" s="1"/>
  <c r="F15" i="2"/>
  <c r="E15" i="2"/>
  <c r="D15" i="2"/>
  <c r="G15" i="2" s="1"/>
  <c r="A15" i="2"/>
  <c r="J14" i="2"/>
  <c r="K14" i="2" s="1"/>
  <c r="H14" i="2"/>
  <c r="I14" i="2" s="1"/>
  <c r="L14" i="2" s="1"/>
  <c r="E14" i="2"/>
  <c r="F14" i="2" s="1"/>
  <c r="D14" i="2"/>
  <c r="G14" i="2" s="1"/>
  <c r="C14" i="2"/>
  <c r="A14" i="2"/>
  <c r="J13" i="2"/>
  <c r="H13" i="2"/>
  <c r="K13" i="2" s="1"/>
  <c r="E13" i="2"/>
  <c r="F13" i="2" s="1"/>
  <c r="C13" i="2"/>
  <c r="D13" i="2" s="1"/>
  <c r="G13" i="2" s="1"/>
  <c r="A13" i="2"/>
  <c r="K12" i="2"/>
  <c r="J12" i="2"/>
  <c r="H12" i="2"/>
  <c r="I12" i="2" s="1"/>
  <c r="L12" i="2" s="1"/>
  <c r="F12" i="2"/>
  <c r="E12" i="2"/>
  <c r="D12" i="2"/>
  <c r="G12" i="2" s="1"/>
  <c r="A12" i="2"/>
  <c r="J11" i="2"/>
  <c r="K11" i="2" s="1"/>
  <c r="H11" i="2"/>
  <c r="I11" i="2" s="1"/>
  <c r="L11" i="2" s="1"/>
  <c r="E11" i="2"/>
  <c r="E30" i="2" s="1"/>
  <c r="D11" i="2"/>
  <c r="G11" i="2" s="1"/>
  <c r="A11" i="2"/>
  <c r="J10" i="2"/>
  <c r="L10" i="2" s="1"/>
  <c r="I10" i="2"/>
  <c r="H10" i="2"/>
  <c r="G10" i="2"/>
  <c r="F10" i="2"/>
  <c r="E10" i="2"/>
  <c r="D10" i="2"/>
  <c r="A10" i="2"/>
  <c r="J9" i="2"/>
  <c r="J30" i="2" s="1"/>
  <c r="I9" i="2"/>
  <c r="L9" i="2" s="1"/>
  <c r="H9" i="2"/>
  <c r="F9" i="2"/>
  <c r="E9" i="2"/>
  <c r="D9" i="2"/>
  <c r="G9" i="2" s="1"/>
  <c r="A9" i="2"/>
  <c r="O50" i="1"/>
  <c r="P49" i="1"/>
  <c r="P48" i="1"/>
  <c r="P47" i="1"/>
  <c r="O45" i="1"/>
  <c r="M45" i="1"/>
  <c r="P44" i="1"/>
  <c r="P45" i="1" s="1"/>
  <c r="N44" i="1"/>
  <c r="N45" i="1" s="1"/>
  <c r="O41" i="1"/>
  <c r="N41" i="1"/>
  <c r="M41" i="1"/>
  <c r="P40" i="1"/>
  <c r="P41" i="1" s="1"/>
  <c r="P38" i="1"/>
  <c r="O38" i="1"/>
  <c r="N38" i="1"/>
  <c r="M38" i="1"/>
  <c r="P37" i="1"/>
  <c r="N37" i="1"/>
  <c r="N36" i="1"/>
  <c r="O34" i="1"/>
  <c r="M34" i="1"/>
  <c r="P33" i="1"/>
  <c r="P34" i="1" s="1"/>
  <c r="N33" i="1"/>
  <c r="N34" i="1" s="1"/>
  <c r="O29" i="1"/>
  <c r="M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P29" i="1" s="1"/>
  <c r="N8" i="1"/>
  <c r="J56" i="2" l="1"/>
  <c r="D52" i="2"/>
  <c r="L52" i="2" s="1"/>
  <c r="L55" i="2" s="1"/>
  <c r="D27" i="2"/>
  <c r="G27" i="2" s="1"/>
  <c r="E41" i="2"/>
  <c r="E56" i="2" s="1"/>
  <c r="K9" i="2"/>
  <c r="F47" i="2"/>
  <c r="F49" i="2" s="1"/>
  <c r="D54" i="2"/>
  <c r="L54" i="2" s="1"/>
  <c r="F11" i="2"/>
  <c r="F30" i="2" s="1"/>
  <c r="F56" i="2" s="1"/>
  <c r="I13" i="2"/>
  <c r="L13" i="2" s="1"/>
  <c r="L30" i="2" s="1"/>
  <c r="L56" i="2" s="1"/>
  <c r="D19" i="2"/>
  <c r="G19" i="2" s="1"/>
  <c r="G30" i="2" s="1"/>
  <c r="G56" i="2" s="1"/>
  <c r="F23" i="2"/>
  <c r="K10" i="2"/>
  <c r="M52" i="1"/>
  <c r="O52" i="1"/>
  <c r="P50" i="1"/>
  <c r="N29" i="1"/>
  <c r="N52" i="1" s="1"/>
  <c r="P52" i="1"/>
  <c r="P30" i="1"/>
  <c r="K30" i="2" l="1"/>
  <c r="K56" i="2" s="1"/>
  <c r="N30" i="1"/>
</calcChain>
</file>

<file path=xl/sharedStrings.xml><?xml version="1.0" encoding="utf-8"?>
<sst xmlns="http://schemas.openxmlformats.org/spreadsheetml/2006/main" count="259" uniqueCount="62">
  <si>
    <t xml:space="preserve">ANALYSIS OF ACTUAL WATER USAGE - EXISTING SYSTEM </t>
  </si>
  <si>
    <t>Residential</t>
  </si>
  <si>
    <t>Commercial</t>
  </si>
  <si>
    <t xml:space="preserve">No. of </t>
  </si>
  <si>
    <t>Usage</t>
  </si>
  <si>
    <t>MONTHLY WATER  USAGE</t>
  </si>
  <si>
    <t>Average</t>
  </si>
  <si>
    <t>Users</t>
  </si>
  <si>
    <t>1,000</t>
  </si>
  <si>
    <t>5/8" x 3/4" meter</t>
  </si>
  <si>
    <t xml:space="preserve">         0 -   1,000 Gal.</t>
  </si>
  <si>
    <t xml:space="preserve">   1,001 -   2,000 Gal.</t>
  </si>
  <si>
    <t xml:space="preserve">   2,001 -   3,000 Gal.</t>
  </si>
  <si>
    <t xml:space="preserve">   3,001 -   4,000 Gal.</t>
  </si>
  <si>
    <t xml:space="preserve">   4,001 -   5,000 Gal.</t>
  </si>
  <si>
    <t xml:space="preserve">   5,001 -   6,000 Gal.</t>
  </si>
  <si>
    <t xml:space="preserve">   6,001 -   7,000 Gal.</t>
  </si>
  <si>
    <t xml:space="preserve">   7,001 -   8,000 Gal.</t>
  </si>
  <si>
    <t xml:space="preserve">   8,001 -   9,000 Gal.</t>
  </si>
  <si>
    <t xml:space="preserve"> </t>
  </si>
  <si>
    <t xml:space="preserve">  9,001 -   10,000 Gal.</t>
  </si>
  <si>
    <t>10,001 -   11,000 Gal.</t>
  </si>
  <si>
    <t>11,001 -   12,000 Gal.</t>
  </si>
  <si>
    <t>12,001 -   13,000 Gal.</t>
  </si>
  <si>
    <t>13,001 -   14,000 Gal.</t>
  </si>
  <si>
    <t>14,001 -   15,000 Gal.</t>
  </si>
  <si>
    <t>15,001 -   16,000 Gal.</t>
  </si>
  <si>
    <t>16,001 -   17,000 Gal.</t>
  </si>
  <si>
    <t>17,001 -   18,000 Gal.</t>
  </si>
  <si>
    <t>18,001 -   19,000 Gal.</t>
  </si>
  <si>
    <t>19,001 -   20,000 Gal.</t>
  </si>
  <si>
    <t>20,000 &amp; Over</t>
  </si>
  <si>
    <t>Subtotal</t>
  </si>
  <si>
    <t>Average Monthly Usage</t>
  </si>
  <si>
    <t>3/4" meter</t>
  </si>
  <si>
    <t>Totals</t>
  </si>
  <si>
    <t>1" meter</t>
  </si>
  <si>
    <t>0-20,000 Gal.</t>
  </si>
  <si>
    <t>1.5" meter</t>
  </si>
  <si>
    <t>2" meter</t>
  </si>
  <si>
    <t>Wholesale Customers</t>
  </si>
  <si>
    <t>Fleming Cty WA</t>
  </si>
  <si>
    <t>City of Olive Hill</t>
  </si>
  <si>
    <t>Sandy Hook WD</t>
  </si>
  <si>
    <t>Total Water Purchased and/or Produced</t>
  </si>
  <si>
    <t>Total Water Sold (Gallons)</t>
  </si>
  <si>
    <r>
      <t xml:space="preserve">333,369,000 + 8,238,000 </t>
    </r>
    <r>
      <rPr>
        <sz val="8"/>
        <rFont val="Arial"/>
        <family val="2"/>
      </rPr>
      <t>(Bulk)</t>
    </r>
  </si>
  <si>
    <t xml:space="preserve">WATER - INCOME -  EXISTING SYSTEM </t>
  </si>
  <si>
    <t>MONTHLY WATER USAGE</t>
  </si>
  <si>
    <t>AVERAGE</t>
  </si>
  <si>
    <t>RATE</t>
  </si>
  <si>
    <t>Income</t>
  </si>
  <si>
    <t>Sub-Total</t>
  </si>
  <si>
    <t>Average Monthly Rate</t>
  </si>
  <si>
    <t>Resid.</t>
  </si>
  <si>
    <t>Comm.</t>
  </si>
  <si>
    <t>0 - 20,000 Gal.</t>
  </si>
  <si>
    <t>Wholesale</t>
  </si>
  <si>
    <t xml:space="preserve">  Fleming Cty WA</t>
  </si>
  <si>
    <t xml:space="preserve">  City of Olive Hill</t>
  </si>
  <si>
    <t xml:space="preserve">  Sandy Hook WD</t>
  </si>
  <si>
    <t>XXV. FORECAST OF WATER - INCOME -  EXISTING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</si>
</sst>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;;;"/>
    <numFmt numFmtId="167" formatCode="0.00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i/>
      <sz val="10"/>
      <name val="Helvetica"/>
      <family val="2"/>
    </font>
    <font>
      <b/>
      <sz val="10"/>
      <name val="Helv"/>
    </font>
    <font>
      <b/>
      <sz val="10"/>
      <name val="Helvetica"/>
      <family val="2"/>
    </font>
    <font>
      <sz val="10"/>
      <name val="Helvetica"/>
      <family val="2"/>
    </font>
    <font>
      <u/>
      <sz val="10"/>
      <name val="Helv"/>
    </font>
    <font>
      <u/>
      <sz val="10"/>
      <name val="Helvetica"/>
      <family val="2"/>
    </font>
    <font>
      <i/>
      <sz val="10"/>
      <name val="Helv"/>
    </font>
    <font>
      <b/>
      <i/>
      <u/>
      <sz val="10"/>
      <name val="Helvetica"/>
    </font>
    <font>
      <sz val="8"/>
      <name val="Helvetica"/>
      <family val="2"/>
    </font>
    <font>
      <i/>
      <sz val="10"/>
      <name val="Arial"/>
    </font>
    <font>
      <i/>
      <sz val="10"/>
      <name val="Helvetica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u/>
      <sz val="10"/>
      <color indexed="50"/>
      <name val="Arial"/>
      <family val="2"/>
    </font>
    <font>
      <sz val="10"/>
      <color indexed="28"/>
      <name val="Arial"/>
      <family val="2"/>
    </font>
    <font>
      <i/>
      <sz val="10"/>
      <name val="Arial"/>
      <family val="2"/>
    </font>
    <font>
      <i/>
      <sz val="10"/>
      <color indexed="28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</cellStyleXfs>
  <cellXfs count="158">
    <xf numFmtId="0" fontId="0" fillId="0" borderId="0" xfId="0"/>
    <xf numFmtId="164" fontId="3" fillId="0" borderId="0" xfId="3" applyFont="1"/>
    <xf numFmtId="164" fontId="4" fillId="0" borderId="0" xfId="3" applyFont="1" applyAlignment="1">
      <alignment horizontal="left"/>
    </xf>
    <xf numFmtId="164" fontId="2" fillId="0" borderId="0" xfId="3"/>
    <xf numFmtId="164" fontId="5" fillId="0" borderId="0" xfId="3" applyFont="1" applyAlignment="1">
      <alignment horizontal="left"/>
    </xf>
    <xf numFmtId="164" fontId="6" fillId="0" borderId="0" xfId="3" applyFont="1"/>
    <xf numFmtId="164" fontId="4" fillId="0" borderId="0" xfId="3" applyFont="1"/>
    <xf numFmtId="164" fontId="5" fillId="0" borderId="0" xfId="3" applyFont="1"/>
    <xf numFmtId="0" fontId="3" fillId="0" borderId="0" xfId="0" applyFont="1"/>
    <xf numFmtId="164" fontId="7" fillId="0" borderId="0" xfId="3" applyFont="1"/>
    <xf numFmtId="164" fontId="7" fillId="0" borderId="0" xfId="3" applyFont="1" applyAlignment="1">
      <alignment horizontal="left"/>
    </xf>
    <xf numFmtId="164" fontId="2" fillId="0" borderId="0" xfId="3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164" fontId="8" fillId="0" borderId="0" xfId="3" applyFont="1"/>
    <xf numFmtId="164" fontId="8" fillId="0" borderId="0" xfId="3" applyFont="1" applyAlignment="1">
      <alignment horizontal="left"/>
    </xf>
    <xf numFmtId="164" fontId="6" fillId="0" borderId="1" xfId="3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164" fontId="6" fillId="0" borderId="0" xfId="3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2" fillId="0" borderId="0" xfId="3" applyAlignment="1">
      <alignment horizontal="center"/>
    </xf>
    <xf numFmtId="164" fontId="6" fillId="2" borderId="0" xfId="3" applyFont="1" applyFill="1" applyAlignment="1">
      <alignment horizontal="center"/>
    </xf>
    <xf numFmtId="164" fontId="6" fillId="0" borderId="3" xfId="3" applyFont="1" applyBorder="1" applyAlignment="1">
      <alignment horizontal="center"/>
    </xf>
    <xf numFmtId="164" fontId="6" fillId="2" borderId="3" xfId="3" applyFont="1" applyFill="1" applyBorder="1" applyAlignment="1">
      <alignment horizontal="center"/>
    </xf>
    <xf numFmtId="164" fontId="6" fillId="0" borderId="0" xfId="3" applyFont="1" applyAlignment="1">
      <alignment horizontal="center"/>
    </xf>
    <xf numFmtId="164" fontId="7" fillId="0" borderId="0" xfId="3" applyFont="1" applyAlignment="1">
      <alignment horizontal="center"/>
    </xf>
    <xf numFmtId="164" fontId="8" fillId="0" borderId="2" xfId="3" applyFont="1" applyBorder="1" applyAlignment="1">
      <alignment horizontal="center"/>
    </xf>
    <xf numFmtId="164" fontId="6" fillId="0" borderId="2" xfId="3" applyFont="1" applyBorder="1"/>
    <xf numFmtId="164" fontId="6" fillId="2" borderId="2" xfId="3" applyFont="1" applyFill="1" applyBorder="1" applyAlignment="1">
      <alignment horizontal="center"/>
    </xf>
    <xf numFmtId="164" fontId="6" fillId="0" borderId="4" xfId="3" applyFont="1" applyBorder="1" applyAlignment="1">
      <alignment horizontal="center"/>
    </xf>
    <xf numFmtId="164" fontId="6" fillId="2" borderId="4" xfId="3" applyFont="1" applyFill="1" applyBorder="1" applyAlignment="1">
      <alignment horizontal="center"/>
    </xf>
    <xf numFmtId="164" fontId="8" fillId="0" borderId="0" xfId="3" applyFont="1" applyAlignment="1">
      <alignment horizontal="center"/>
    </xf>
    <xf numFmtId="164" fontId="9" fillId="0" borderId="0" xfId="3" applyFont="1"/>
    <xf numFmtId="164" fontId="10" fillId="0" borderId="0" xfId="3" applyFont="1"/>
    <xf numFmtId="164" fontId="11" fillId="0" borderId="0" xfId="3" applyFont="1"/>
    <xf numFmtId="37" fontId="11" fillId="0" borderId="0" xfId="3" applyNumberFormat="1" applyFont="1"/>
    <xf numFmtId="164" fontId="2" fillId="0" borderId="0" xfId="3" applyAlignment="1">
      <alignment horizontal="left"/>
    </xf>
    <xf numFmtId="37" fontId="2" fillId="0" borderId="0" xfId="3" applyNumberFormat="1"/>
    <xf numFmtId="164" fontId="6" fillId="0" borderId="0" xfId="3" applyFont="1" applyAlignment="1">
      <alignment horizontal="left"/>
    </xf>
    <xf numFmtId="37" fontId="6" fillId="0" borderId="0" xfId="3" applyNumberFormat="1" applyFont="1"/>
    <xf numFmtId="37" fontId="6" fillId="0" borderId="2" xfId="3" applyNumberFormat="1" applyFont="1" applyBorder="1"/>
    <xf numFmtId="164" fontId="3" fillId="0" borderId="5" xfId="3" applyFont="1" applyBorder="1"/>
    <xf numFmtId="0" fontId="12" fillId="0" borderId="0" xfId="0" applyFont="1"/>
    <xf numFmtId="37" fontId="9" fillId="0" borderId="0" xfId="3" applyNumberFormat="1" applyFont="1"/>
    <xf numFmtId="37" fontId="13" fillId="0" borderId="0" xfId="3" applyNumberFormat="1" applyFont="1"/>
    <xf numFmtId="37" fontId="6" fillId="0" borderId="6" xfId="3" applyNumberFormat="1" applyFont="1" applyBorder="1"/>
    <xf numFmtId="164" fontId="13" fillId="0" borderId="6" xfId="3" applyFont="1" applyBorder="1"/>
    <xf numFmtId="3" fontId="13" fillId="0" borderId="6" xfId="3" applyNumberFormat="1" applyFont="1" applyBorder="1"/>
    <xf numFmtId="37" fontId="6" fillId="0" borderId="7" xfId="3" applyNumberFormat="1" applyFont="1" applyBorder="1"/>
    <xf numFmtId="164" fontId="6" fillId="0" borderId="7" xfId="3" applyFont="1" applyBorder="1"/>
    <xf numFmtId="164" fontId="10" fillId="0" borderId="0" xfId="3" applyFont="1" applyAlignment="1">
      <alignment horizontal="left"/>
    </xf>
    <xf numFmtId="3" fontId="6" fillId="0" borderId="0" xfId="3" applyNumberFormat="1" applyFont="1"/>
    <xf numFmtId="164" fontId="13" fillId="0" borderId="7" xfId="3" applyFont="1" applyBorder="1"/>
    <xf numFmtId="3" fontId="13" fillId="0" borderId="7" xfId="3" applyNumberFormat="1" applyFont="1" applyBorder="1"/>
    <xf numFmtId="164" fontId="12" fillId="0" borderId="0" xfId="0" applyNumberFormat="1" applyFont="1"/>
    <xf numFmtId="165" fontId="12" fillId="0" borderId="0" xfId="1" applyNumberFormat="1" applyFont="1"/>
    <xf numFmtId="0" fontId="14" fillId="0" borderId="0" xfId="0" applyFont="1"/>
    <xf numFmtId="3" fontId="0" fillId="0" borderId="0" xfId="0" applyNumberFormat="1" applyAlignment="1">
      <alignment horizontal="center"/>
    </xf>
    <xf numFmtId="37" fontId="14" fillId="0" borderId="0" xfId="3" applyNumberFormat="1" applyFont="1"/>
    <xf numFmtId="165" fontId="9" fillId="0" borderId="0" xfId="1" applyNumberFormat="1" applyFont="1"/>
    <xf numFmtId="164" fontId="5" fillId="0" borderId="7" xfId="3" applyFont="1" applyBorder="1"/>
    <xf numFmtId="3" fontId="5" fillId="0" borderId="7" xfId="3" applyNumberFormat="1" applyFont="1" applyBorder="1"/>
    <xf numFmtId="37" fontId="14" fillId="0" borderId="0" xfId="3" applyNumberFormat="1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14" fillId="0" borderId="0" xfId="0" applyNumberFormat="1" applyFont="1" applyAlignment="1">
      <alignment horizontal="left"/>
    </xf>
    <xf numFmtId="165" fontId="4" fillId="0" borderId="0" xfId="1" applyNumberFormat="1" applyFont="1"/>
    <xf numFmtId="164" fontId="16" fillId="0" borderId="0" xfId="3" applyFont="1" applyAlignment="1">
      <alignment horizontal="left"/>
    </xf>
    <xf numFmtId="164" fontId="14" fillId="0" borderId="0" xfId="3" applyFont="1"/>
    <xf numFmtId="164" fontId="17" fillId="0" borderId="0" xfId="3" applyFont="1"/>
    <xf numFmtId="164" fontId="18" fillId="0" borderId="0" xfId="3" applyFont="1"/>
    <xf numFmtId="164" fontId="18" fillId="0" borderId="0" xfId="3" applyFont="1" applyAlignment="1">
      <alignment horizontal="left"/>
    </xf>
    <xf numFmtId="0" fontId="19" fillId="0" borderId="0" xfId="0" applyFont="1" applyProtection="1">
      <protection hidden="1"/>
    </xf>
    <xf numFmtId="164" fontId="20" fillId="0" borderId="0" xfId="3" applyFont="1"/>
    <xf numFmtId="164" fontId="18" fillId="0" borderId="1" xfId="3" applyFont="1" applyBorder="1"/>
    <xf numFmtId="164" fontId="14" fillId="0" borderId="1" xfId="3" applyFont="1" applyBorder="1" applyAlignment="1">
      <alignment horizontal="left"/>
    </xf>
    <xf numFmtId="164" fontId="14" fillId="0" borderId="1" xfId="3" applyFont="1" applyBorder="1"/>
    <xf numFmtId="164" fontId="21" fillId="0" borderId="0" xfId="3" applyFont="1"/>
    <xf numFmtId="164" fontId="14" fillId="2" borderId="8" xfId="3" applyFont="1" applyFill="1" applyBorder="1" applyAlignment="1">
      <alignment horizontal="center"/>
    </xf>
    <xf numFmtId="164" fontId="14" fillId="0" borderId="3" xfId="3" applyFont="1" applyBorder="1" applyAlignment="1">
      <alignment horizontal="center"/>
    </xf>
    <xf numFmtId="164" fontId="14" fillId="0" borderId="9" xfId="3" applyFont="1" applyBorder="1" applyAlignment="1">
      <alignment horizontal="center"/>
    </xf>
    <xf numFmtId="164" fontId="14" fillId="2" borderId="3" xfId="3" applyFont="1" applyFill="1" applyBorder="1" applyAlignment="1">
      <alignment horizontal="center"/>
    </xf>
    <xf numFmtId="164" fontId="18" fillId="0" borderId="2" xfId="3" applyFont="1" applyBorder="1" applyAlignment="1">
      <alignment horizontal="left"/>
    </xf>
    <xf numFmtId="164" fontId="14" fillId="0" borderId="2" xfId="3" applyFont="1" applyBorder="1"/>
    <xf numFmtId="164" fontId="21" fillId="0" borderId="2" xfId="3" applyFont="1" applyBorder="1" applyAlignment="1">
      <alignment horizontal="right"/>
    </xf>
    <xf numFmtId="164" fontId="14" fillId="2" borderId="10" xfId="3" applyFont="1" applyFill="1" applyBorder="1" applyAlignment="1">
      <alignment horizontal="center"/>
    </xf>
    <xf numFmtId="164" fontId="14" fillId="0" borderId="11" xfId="3" applyFont="1" applyBorder="1" applyAlignment="1">
      <alignment horizontal="center"/>
    </xf>
    <xf numFmtId="164" fontId="14" fillId="0" borderId="11" xfId="3" applyFont="1" applyBorder="1"/>
    <xf numFmtId="166" fontId="20" fillId="0" borderId="0" xfId="3" applyNumberFormat="1" applyFont="1"/>
    <xf numFmtId="164" fontId="14" fillId="0" borderId="0" xfId="3" applyFont="1" applyAlignment="1">
      <alignment horizontal="center"/>
    </xf>
    <xf numFmtId="44" fontId="20" fillId="0" borderId="0" xfId="2" applyFont="1"/>
    <xf numFmtId="37" fontId="22" fillId="0" borderId="0" xfId="3" applyNumberFormat="1" applyFont="1"/>
    <xf numFmtId="44" fontId="20" fillId="0" borderId="2" xfId="2" applyFont="1" applyBorder="1"/>
    <xf numFmtId="37" fontId="14" fillId="0" borderId="2" xfId="3" applyNumberFormat="1" applyFont="1" applyBorder="1"/>
    <xf numFmtId="37" fontId="22" fillId="0" borderId="2" xfId="3" applyNumberFormat="1" applyFont="1" applyBorder="1"/>
    <xf numFmtId="164" fontId="23" fillId="0" borderId="0" xfId="3" applyFont="1"/>
    <xf numFmtId="37" fontId="23" fillId="0" borderId="0" xfId="3" applyNumberFormat="1" applyFont="1"/>
    <xf numFmtId="42" fontId="24" fillId="0" borderId="0" xfId="3" applyNumberFormat="1" applyFont="1"/>
    <xf numFmtId="3" fontId="14" fillId="0" borderId="0" xfId="3" applyNumberFormat="1" applyFont="1" applyAlignment="1">
      <alignment horizontal="right"/>
    </xf>
    <xf numFmtId="37" fontId="25" fillId="0" borderId="0" xfId="3" applyNumberFormat="1" applyFont="1"/>
    <xf numFmtId="164" fontId="23" fillId="0" borderId="0" xfId="2" applyNumberFormat="1" applyFont="1"/>
    <xf numFmtId="1" fontId="23" fillId="0" borderId="0" xfId="2" applyNumberFormat="1" applyFont="1"/>
    <xf numFmtId="42" fontId="26" fillId="0" borderId="0" xfId="3" applyNumberFormat="1" applyFont="1"/>
    <xf numFmtId="44" fontId="25" fillId="0" borderId="0" xfId="3" applyNumberFormat="1" applyFont="1"/>
    <xf numFmtId="164" fontId="23" fillId="0" borderId="5" xfId="3" applyFont="1" applyBorder="1" applyAlignment="1">
      <alignment horizontal="left"/>
    </xf>
    <xf numFmtId="164" fontId="23" fillId="0" borderId="6" xfId="3" applyFont="1" applyBorder="1" applyAlignment="1">
      <alignment horizontal="left"/>
    </xf>
    <xf numFmtId="167" fontId="20" fillId="0" borderId="6" xfId="3" applyNumberFormat="1" applyFont="1" applyBorder="1"/>
    <xf numFmtId="165" fontId="23" fillId="0" borderId="12" xfId="1" applyNumberFormat="1" applyFont="1" applyBorder="1"/>
    <xf numFmtId="37" fontId="23" fillId="0" borderId="12" xfId="3" applyNumberFormat="1" applyFont="1" applyBorder="1"/>
    <xf numFmtId="44" fontId="26" fillId="0" borderId="12" xfId="3" applyNumberFormat="1" applyFont="1" applyBorder="1"/>
    <xf numFmtId="164" fontId="16" fillId="0" borderId="7" xfId="3" applyFont="1" applyBorder="1"/>
    <xf numFmtId="3" fontId="16" fillId="0" borderId="7" xfId="3" applyNumberFormat="1" applyFont="1" applyBorder="1"/>
    <xf numFmtId="42" fontId="27" fillId="0" borderId="7" xfId="1" applyNumberFormat="1" applyFont="1" applyBorder="1"/>
    <xf numFmtId="165" fontId="16" fillId="0" borderId="7" xfId="1" applyNumberFormat="1" applyFont="1" applyBorder="1"/>
    <xf numFmtId="37" fontId="16" fillId="0" borderId="7" xfId="1" applyNumberFormat="1" applyFont="1" applyBorder="1"/>
    <xf numFmtId="164" fontId="8" fillId="0" borderId="2" xfId="3" applyFont="1" applyBorder="1" applyAlignment="1">
      <alignment horizontal="center"/>
    </xf>
    <xf numFmtId="164" fontId="8" fillId="0" borderId="0" xfId="3" applyFont="1" applyAlignment="1">
      <alignment horizontal="center"/>
    </xf>
    <xf numFmtId="0" fontId="14" fillId="0" borderId="0" xfId="0" applyFont="1" applyBorder="1"/>
    <xf numFmtId="164" fontId="18" fillId="0" borderId="0" xfId="3" applyFont="1" applyBorder="1"/>
    <xf numFmtId="164" fontId="18" fillId="0" borderId="0" xfId="3" applyFont="1" applyBorder="1" applyAlignment="1">
      <alignment horizontal="left"/>
    </xf>
    <xf numFmtId="0" fontId="19" fillId="0" borderId="0" xfId="0" applyFont="1" applyBorder="1" applyProtection="1">
      <protection hidden="1"/>
    </xf>
    <xf numFmtId="0" fontId="0" fillId="0" borderId="0" xfId="0" applyBorder="1"/>
    <xf numFmtId="164" fontId="14" fillId="0" borderId="0" xfId="3" applyFont="1" applyBorder="1"/>
    <xf numFmtId="164" fontId="20" fillId="0" borderId="0" xfId="3" applyFont="1" applyBorder="1"/>
    <xf numFmtId="164" fontId="14" fillId="0" borderId="0" xfId="3" applyFont="1" applyBorder="1" applyAlignment="1">
      <alignment horizontal="left"/>
    </xf>
    <xf numFmtId="164" fontId="21" fillId="0" borderId="0" xfId="3" applyFont="1" applyBorder="1"/>
    <xf numFmtId="164" fontId="14" fillId="0" borderId="0" xfId="3" applyFont="1" applyBorder="1" applyAlignment="1">
      <alignment horizontal="center"/>
    </xf>
    <xf numFmtId="164" fontId="21" fillId="0" borderId="0" xfId="3" applyFont="1" applyBorder="1" applyAlignment="1">
      <alignment horizontal="right"/>
    </xf>
    <xf numFmtId="164" fontId="10" fillId="0" borderId="0" xfId="3" applyFont="1" applyBorder="1"/>
    <xf numFmtId="164" fontId="6" fillId="0" borderId="0" xfId="3" applyFont="1" applyBorder="1"/>
    <xf numFmtId="166" fontId="20" fillId="0" borderId="0" xfId="3" applyNumberFormat="1" applyFont="1" applyBorder="1"/>
    <xf numFmtId="164" fontId="6" fillId="0" borderId="0" xfId="3" applyFont="1" applyBorder="1" applyAlignment="1">
      <alignment horizontal="left"/>
    </xf>
    <xf numFmtId="37" fontId="6" fillId="0" borderId="0" xfId="3" applyNumberFormat="1" applyFont="1" applyBorder="1"/>
    <xf numFmtId="44" fontId="20" fillId="0" borderId="0" xfId="2" applyFont="1" applyBorder="1"/>
    <xf numFmtId="37" fontId="14" fillId="0" borderId="0" xfId="3" applyNumberFormat="1" applyFont="1" applyBorder="1"/>
    <xf numFmtId="37" fontId="22" fillId="0" borderId="0" xfId="3" applyNumberFormat="1" applyFont="1" applyBorder="1"/>
    <xf numFmtId="37" fontId="13" fillId="0" borderId="0" xfId="3" applyNumberFormat="1" applyFont="1" applyBorder="1"/>
    <xf numFmtId="164" fontId="23" fillId="0" borderId="0" xfId="3" applyFont="1" applyBorder="1"/>
    <xf numFmtId="37" fontId="23" fillId="0" borderId="0" xfId="3" applyNumberFormat="1" applyFont="1" applyBorder="1"/>
    <xf numFmtId="42" fontId="24" fillId="0" borderId="0" xfId="3" applyNumberFormat="1" applyFont="1" applyBorder="1"/>
    <xf numFmtId="164" fontId="11" fillId="0" borderId="0" xfId="3" applyFont="1" applyBorder="1"/>
    <xf numFmtId="3" fontId="14" fillId="0" borderId="0" xfId="3" applyNumberFormat="1" applyFont="1" applyBorder="1" applyAlignment="1">
      <alignment horizontal="right"/>
    </xf>
    <xf numFmtId="37" fontId="25" fillId="0" borderId="0" xfId="3" applyNumberFormat="1" applyFont="1" applyBorder="1"/>
    <xf numFmtId="164" fontId="23" fillId="0" borderId="0" xfId="2" applyNumberFormat="1" applyFont="1" applyBorder="1"/>
    <xf numFmtId="1" fontId="23" fillId="0" borderId="0" xfId="2" applyNumberFormat="1" applyFont="1" applyBorder="1"/>
    <xf numFmtId="42" fontId="26" fillId="0" borderId="0" xfId="3" applyNumberFormat="1" applyFont="1" applyBorder="1"/>
    <xf numFmtId="44" fontId="25" fillId="0" borderId="0" xfId="3" applyNumberFormat="1" applyFont="1" applyBorder="1"/>
    <xf numFmtId="164" fontId="10" fillId="0" borderId="0" xfId="3" applyFont="1" applyBorder="1" applyAlignment="1">
      <alignment horizontal="left"/>
    </xf>
    <xf numFmtId="164" fontId="23" fillId="0" borderId="0" xfId="3" applyFont="1" applyBorder="1" applyAlignment="1">
      <alignment horizontal="left"/>
    </xf>
    <xf numFmtId="167" fontId="20" fillId="0" borderId="0" xfId="3" applyNumberFormat="1" applyFont="1" applyBorder="1"/>
    <xf numFmtId="165" fontId="23" fillId="0" borderId="0" xfId="1" applyNumberFormat="1" applyFont="1" applyBorder="1"/>
    <xf numFmtId="44" fontId="26" fillId="0" borderId="0" xfId="3" applyNumberFormat="1" applyFont="1" applyBorder="1"/>
    <xf numFmtId="164" fontId="16" fillId="0" borderId="0" xfId="3" applyFont="1" applyBorder="1"/>
    <xf numFmtId="3" fontId="16" fillId="0" borderId="0" xfId="3" applyNumberFormat="1" applyFont="1" applyBorder="1"/>
    <xf numFmtId="42" fontId="27" fillId="0" borderId="0" xfId="1" applyNumberFormat="1" applyFont="1" applyBorder="1"/>
    <xf numFmtId="165" fontId="16" fillId="0" borderId="0" xfId="1" applyNumberFormat="1" applyFont="1" applyBorder="1"/>
    <xf numFmtId="37" fontId="16" fillId="0" borderId="0" xfId="1" applyNumberFormat="1" applyFont="1" applyBorder="1"/>
    <xf numFmtId="164" fontId="14" fillId="0" borderId="0" xfId="3" applyFont="1" applyFill="1" applyBorder="1" applyAlignment="1">
      <alignment horizontal="center"/>
    </xf>
    <xf numFmtId="164" fontId="6" fillId="0" borderId="0" xfId="3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MTN-USE" xfId="3" xr:uid="{42EFFEAF-475A-4601-9793-76BC0CDBC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yn\AppData\Local\Microsoft\Windows\INetCache\Content.Outlook\A7WSW3Z0\Rev.%201_21_22%20Rowan%20Usage%20for%20Summary%20Addend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"/>
      <sheetName val="Sewer Forecast"/>
      <sheetName val="Water Forecast"/>
      <sheetName val="Sewer Budget"/>
      <sheetName val="Water Budget"/>
      <sheetName val="Proposed Rates"/>
      <sheetName val="Existing Rates"/>
      <sheetName val="Debt"/>
    </sheetNames>
    <sheetDataSet>
      <sheetData sheetId="0">
        <row r="8">
          <cell r="Q8" t="str">
            <v xml:space="preserve">         0 -   1,000 Gal.</v>
          </cell>
          <cell r="T8">
            <v>855</v>
          </cell>
          <cell r="U8">
            <v>1103</v>
          </cell>
          <cell r="W8">
            <v>104</v>
          </cell>
        </row>
        <row r="9">
          <cell r="Q9" t="str">
            <v xml:space="preserve">   1,001 -   2,000 Gal.</v>
          </cell>
          <cell r="T9">
            <v>1950</v>
          </cell>
          <cell r="U9">
            <v>995</v>
          </cell>
          <cell r="W9">
            <v>92</v>
          </cell>
        </row>
        <row r="10">
          <cell r="Q10" t="str">
            <v xml:space="preserve">   2,001 -   3,000 Gal.</v>
          </cell>
          <cell r="T10">
            <v>2800</v>
          </cell>
          <cell r="U10">
            <v>1112</v>
          </cell>
          <cell r="W10">
            <v>99</v>
          </cell>
        </row>
        <row r="11">
          <cell r="Q11" t="str">
            <v xml:space="preserve">   3,001 -   4,000 Gal.</v>
          </cell>
          <cell r="T11">
            <v>3850</v>
          </cell>
          <cell r="U11">
            <v>998</v>
          </cell>
          <cell r="W11">
            <v>97</v>
          </cell>
        </row>
        <row r="12">
          <cell r="Q12" t="str">
            <v xml:space="preserve">   4,001 -   5,000 Gal.</v>
          </cell>
          <cell r="S12">
            <v>4050</v>
          </cell>
          <cell r="T12">
            <v>4750</v>
          </cell>
          <cell r="U12">
            <v>771</v>
          </cell>
          <cell r="W12">
            <v>93</v>
          </cell>
        </row>
        <row r="13">
          <cell r="Q13" t="str">
            <v xml:space="preserve">   5,001 -   6,000 Gal.</v>
          </cell>
          <cell r="S13">
            <v>5050</v>
          </cell>
          <cell r="T13">
            <v>5950</v>
          </cell>
          <cell r="U13">
            <v>521</v>
          </cell>
          <cell r="W13">
            <v>45</v>
          </cell>
        </row>
        <row r="14">
          <cell r="Q14" t="str">
            <v xml:space="preserve">   6,001 -   7,000 Gal.</v>
          </cell>
          <cell r="T14">
            <v>6900</v>
          </cell>
          <cell r="U14">
            <v>334</v>
          </cell>
          <cell r="W14">
            <v>39</v>
          </cell>
        </row>
        <row r="15">
          <cell r="Q15" t="str">
            <v xml:space="preserve">   7,001 -   8,000 Gal.</v>
          </cell>
          <cell r="T15">
            <v>7950</v>
          </cell>
          <cell r="U15">
            <v>221</v>
          </cell>
          <cell r="W15">
            <v>37</v>
          </cell>
        </row>
        <row r="16">
          <cell r="Q16" t="str">
            <v xml:space="preserve">   8,001 -   9,000 Gal.</v>
          </cell>
          <cell r="U16">
            <v>143</v>
          </cell>
        </row>
        <row r="17">
          <cell r="Q17" t="str">
            <v xml:space="preserve">  9,001 -   10,000 Gal.</v>
          </cell>
          <cell r="U17">
            <v>97</v>
          </cell>
        </row>
        <row r="18">
          <cell r="Q18" t="str">
            <v>10,001 -   11,000 Gal.</v>
          </cell>
          <cell r="S18">
            <v>10250</v>
          </cell>
          <cell r="U18">
            <v>68</v>
          </cell>
        </row>
        <row r="19">
          <cell r="Q19" t="str">
            <v>11,001 -   12,000 Gal.</v>
          </cell>
          <cell r="S19">
            <v>11300</v>
          </cell>
          <cell r="U19">
            <v>49</v>
          </cell>
        </row>
        <row r="20">
          <cell r="Q20" t="str">
            <v>12,001 -   13,000 Gal.</v>
          </cell>
          <cell r="S20">
            <v>12200</v>
          </cell>
          <cell r="U20">
            <v>33</v>
          </cell>
        </row>
        <row r="21">
          <cell r="Q21" t="str">
            <v>13,001 -   14,000 Gal.</v>
          </cell>
          <cell r="S21">
            <v>13100</v>
          </cell>
          <cell r="U21">
            <v>23</v>
          </cell>
        </row>
        <row r="22">
          <cell r="Q22" t="str">
            <v>14,001 -   15,000 Gal.</v>
          </cell>
          <cell r="S22">
            <v>14150</v>
          </cell>
          <cell r="U22">
            <v>20</v>
          </cell>
        </row>
        <row r="23">
          <cell r="Q23" t="str">
            <v>15,001 -   16,000 Gal.</v>
          </cell>
          <cell r="S23">
            <v>15200</v>
          </cell>
          <cell r="U23">
            <v>16</v>
          </cell>
        </row>
        <row r="24">
          <cell r="Q24" t="str">
            <v>16,001 -   17,000 Gal.</v>
          </cell>
          <cell r="S24">
            <v>16150</v>
          </cell>
          <cell r="U24">
            <v>13</v>
          </cell>
        </row>
        <row r="25">
          <cell r="Q25" t="str">
            <v>17,001 -   18,000 Gal.</v>
          </cell>
          <cell r="S25">
            <v>17200</v>
          </cell>
          <cell r="U25">
            <v>10</v>
          </cell>
        </row>
        <row r="26">
          <cell r="Q26" t="str">
            <v>18,001 -   19,000 Gal.</v>
          </cell>
          <cell r="S26">
            <v>18200</v>
          </cell>
          <cell r="U26">
            <v>10</v>
          </cell>
        </row>
        <row r="27">
          <cell r="Q27" t="str">
            <v>19,001 -   20,000 Gal.</v>
          </cell>
          <cell r="S27">
            <v>19300</v>
          </cell>
          <cell r="U27">
            <v>7</v>
          </cell>
        </row>
        <row r="28">
          <cell r="Q28" t="str">
            <v>20,000 &amp; Over</v>
          </cell>
          <cell r="S28">
            <v>22500</v>
          </cell>
          <cell r="U28">
            <v>25</v>
          </cell>
        </row>
        <row r="33">
          <cell r="S33">
            <v>8025</v>
          </cell>
          <cell r="T33">
            <v>12192</v>
          </cell>
          <cell r="U33">
            <v>9</v>
          </cell>
          <cell r="W33">
            <v>12</v>
          </cell>
        </row>
        <row r="36">
          <cell r="S36">
            <v>7438</v>
          </cell>
          <cell r="U36">
            <v>16</v>
          </cell>
        </row>
        <row r="37">
          <cell r="S37">
            <v>20613</v>
          </cell>
          <cell r="W37">
            <v>14</v>
          </cell>
        </row>
        <row r="40">
          <cell r="T40">
            <v>4458</v>
          </cell>
          <cell r="W40">
            <v>2</v>
          </cell>
          <cell r="X40">
            <v>8.9160000000000004</v>
          </cell>
        </row>
        <row r="44">
          <cell r="S44">
            <v>10411</v>
          </cell>
          <cell r="T44">
            <v>34024</v>
          </cell>
          <cell r="U44">
            <v>18</v>
          </cell>
          <cell r="W44">
            <v>17</v>
          </cell>
        </row>
        <row r="47">
          <cell r="T47">
            <v>371417</v>
          </cell>
          <cell r="W47">
            <v>3</v>
          </cell>
        </row>
        <row r="48">
          <cell r="T48">
            <v>370738</v>
          </cell>
          <cell r="W48">
            <v>2</v>
          </cell>
        </row>
        <row r="49">
          <cell r="W49">
            <v>1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19.420000000000002</v>
          </cell>
        </row>
        <row r="4">
          <cell r="B4">
            <v>8.17</v>
          </cell>
        </row>
        <row r="5">
          <cell r="B5">
            <v>7.62</v>
          </cell>
        </row>
        <row r="6">
          <cell r="B6">
            <v>7.45</v>
          </cell>
        </row>
        <row r="8">
          <cell r="B8">
            <v>6.74</v>
          </cell>
        </row>
        <row r="14">
          <cell r="B14">
            <v>7.62</v>
          </cell>
        </row>
        <row r="16">
          <cell r="B16">
            <v>7.07</v>
          </cell>
        </row>
        <row r="22">
          <cell r="B22">
            <v>7.62</v>
          </cell>
        </row>
        <row r="23">
          <cell r="B23">
            <v>7.45</v>
          </cell>
        </row>
        <row r="29">
          <cell r="B29">
            <v>120.98</v>
          </cell>
        </row>
        <row r="39">
          <cell r="B39">
            <v>6.52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3C80-FCB9-4577-B016-BEFEDB4E44A2}">
  <dimension ref="A1:Y62"/>
  <sheetViews>
    <sheetView topLeftCell="I1" workbookViewId="0">
      <selection activeCell="AA7" sqref="AA7"/>
    </sheetView>
  </sheetViews>
  <sheetFormatPr defaultRowHeight="15" x14ac:dyDescent="0.25"/>
  <cols>
    <col min="1" max="8" width="0" hidden="1" customWidth="1"/>
    <col min="11" max="11" width="10.28515625" bestFit="1" customWidth="1"/>
    <col min="12" max="12" width="9.7109375" bestFit="1" customWidth="1"/>
    <col min="16" max="16" width="11.7109375" bestFit="1" customWidth="1"/>
    <col min="17" max="17" width="4.140625" customWidth="1"/>
    <col min="25" max="25" width="11.140625" bestFit="1" customWidth="1"/>
    <col min="256" max="256" width="10.7109375" customWidth="1"/>
    <col min="257" max="264" width="0" hidden="1" customWidth="1"/>
    <col min="267" max="267" width="10.28515625" bestFit="1" customWidth="1"/>
    <col min="268" max="268" width="9.7109375" bestFit="1" customWidth="1"/>
    <col min="272" max="272" width="11.7109375" bestFit="1" customWidth="1"/>
    <col min="273" max="273" width="4.140625" customWidth="1"/>
    <col min="281" max="281" width="11.140625" bestFit="1" customWidth="1"/>
    <col min="512" max="512" width="10.7109375" customWidth="1"/>
    <col min="513" max="520" width="0" hidden="1" customWidth="1"/>
    <col min="523" max="523" width="10.28515625" bestFit="1" customWidth="1"/>
    <col min="524" max="524" width="9.7109375" bestFit="1" customWidth="1"/>
    <col min="528" max="528" width="11.7109375" bestFit="1" customWidth="1"/>
    <col min="529" max="529" width="4.140625" customWidth="1"/>
    <col min="537" max="537" width="11.140625" bestFit="1" customWidth="1"/>
    <col min="768" max="768" width="10.7109375" customWidth="1"/>
    <col min="769" max="776" width="0" hidden="1" customWidth="1"/>
    <col min="779" max="779" width="10.28515625" bestFit="1" customWidth="1"/>
    <col min="780" max="780" width="9.7109375" bestFit="1" customWidth="1"/>
    <col min="784" max="784" width="11.7109375" bestFit="1" customWidth="1"/>
    <col min="785" max="785" width="4.140625" customWidth="1"/>
    <col min="793" max="793" width="11.140625" bestFit="1" customWidth="1"/>
    <col min="1024" max="1024" width="10.7109375" customWidth="1"/>
    <col min="1025" max="1032" width="0" hidden="1" customWidth="1"/>
    <col min="1035" max="1035" width="10.28515625" bestFit="1" customWidth="1"/>
    <col min="1036" max="1036" width="9.7109375" bestFit="1" customWidth="1"/>
    <col min="1040" max="1040" width="11.7109375" bestFit="1" customWidth="1"/>
    <col min="1041" max="1041" width="4.140625" customWidth="1"/>
    <col min="1049" max="1049" width="11.140625" bestFit="1" customWidth="1"/>
    <col min="1280" max="1280" width="10.7109375" customWidth="1"/>
    <col min="1281" max="1288" width="0" hidden="1" customWidth="1"/>
    <col min="1291" max="1291" width="10.28515625" bestFit="1" customWidth="1"/>
    <col min="1292" max="1292" width="9.7109375" bestFit="1" customWidth="1"/>
    <col min="1296" max="1296" width="11.7109375" bestFit="1" customWidth="1"/>
    <col min="1297" max="1297" width="4.140625" customWidth="1"/>
    <col min="1305" max="1305" width="11.140625" bestFit="1" customWidth="1"/>
    <col min="1536" max="1536" width="10.7109375" customWidth="1"/>
    <col min="1537" max="1544" width="0" hidden="1" customWidth="1"/>
    <col min="1547" max="1547" width="10.28515625" bestFit="1" customWidth="1"/>
    <col min="1548" max="1548" width="9.7109375" bestFit="1" customWidth="1"/>
    <col min="1552" max="1552" width="11.7109375" bestFit="1" customWidth="1"/>
    <col min="1553" max="1553" width="4.140625" customWidth="1"/>
    <col min="1561" max="1561" width="11.140625" bestFit="1" customWidth="1"/>
    <col min="1792" max="1792" width="10.7109375" customWidth="1"/>
    <col min="1793" max="1800" width="0" hidden="1" customWidth="1"/>
    <col min="1803" max="1803" width="10.28515625" bestFit="1" customWidth="1"/>
    <col min="1804" max="1804" width="9.7109375" bestFit="1" customWidth="1"/>
    <col min="1808" max="1808" width="11.7109375" bestFit="1" customWidth="1"/>
    <col min="1809" max="1809" width="4.140625" customWidth="1"/>
    <col min="1817" max="1817" width="11.140625" bestFit="1" customWidth="1"/>
    <col min="2048" max="2048" width="10.7109375" customWidth="1"/>
    <col min="2049" max="2056" width="0" hidden="1" customWidth="1"/>
    <col min="2059" max="2059" width="10.28515625" bestFit="1" customWidth="1"/>
    <col min="2060" max="2060" width="9.7109375" bestFit="1" customWidth="1"/>
    <col min="2064" max="2064" width="11.7109375" bestFit="1" customWidth="1"/>
    <col min="2065" max="2065" width="4.140625" customWidth="1"/>
    <col min="2073" max="2073" width="11.140625" bestFit="1" customWidth="1"/>
    <col min="2304" max="2304" width="10.7109375" customWidth="1"/>
    <col min="2305" max="2312" width="0" hidden="1" customWidth="1"/>
    <col min="2315" max="2315" width="10.28515625" bestFit="1" customWidth="1"/>
    <col min="2316" max="2316" width="9.7109375" bestFit="1" customWidth="1"/>
    <col min="2320" max="2320" width="11.7109375" bestFit="1" customWidth="1"/>
    <col min="2321" max="2321" width="4.140625" customWidth="1"/>
    <col min="2329" max="2329" width="11.140625" bestFit="1" customWidth="1"/>
    <col min="2560" max="2560" width="10.7109375" customWidth="1"/>
    <col min="2561" max="2568" width="0" hidden="1" customWidth="1"/>
    <col min="2571" max="2571" width="10.28515625" bestFit="1" customWidth="1"/>
    <col min="2572" max="2572" width="9.7109375" bestFit="1" customWidth="1"/>
    <col min="2576" max="2576" width="11.7109375" bestFit="1" customWidth="1"/>
    <col min="2577" max="2577" width="4.140625" customWidth="1"/>
    <col min="2585" max="2585" width="11.140625" bestFit="1" customWidth="1"/>
    <col min="2816" max="2816" width="10.7109375" customWidth="1"/>
    <col min="2817" max="2824" width="0" hidden="1" customWidth="1"/>
    <col min="2827" max="2827" width="10.28515625" bestFit="1" customWidth="1"/>
    <col min="2828" max="2828" width="9.7109375" bestFit="1" customWidth="1"/>
    <col min="2832" max="2832" width="11.7109375" bestFit="1" customWidth="1"/>
    <col min="2833" max="2833" width="4.140625" customWidth="1"/>
    <col min="2841" max="2841" width="11.140625" bestFit="1" customWidth="1"/>
    <col min="3072" max="3072" width="10.7109375" customWidth="1"/>
    <col min="3073" max="3080" width="0" hidden="1" customWidth="1"/>
    <col min="3083" max="3083" width="10.28515625" bestFit="1" customWidth="1"/>
    <col min="3084" max="3084" width="9.7109375" bestFit="1" customWidth="1"/>
    <col min="3088" max="3088" width="11.7109375" bestFit="1" customWidth="1"/>
    <col min="3089" max="3089" width="4.140625" customWidth="1"/>
    <col min="3097" max="3097" width="11.140625" bestFit="1" customWidth="1"/>
    <col min="3328" max="3328" width="10.7109375" customWidth="1"/>
    <col min="3329" max="3336" width="0" hidden="1" customWidth="1"/>
    <col min="3339" max="3339" width="10.28515625" bestFit="1" customWidth="1"/>
    <col min="3340" max="3340" width="9.7109375" bestFit="1" customWidth="1"/>
    <col min="3344" max="3344" width="11.7109375" bestFit="1" customWidth="1"/>
    <col min="3345" max="3345" width="4.140625" customWidth="1"/>
    <col min="3353" max="3353" width="11.140625" bestFit="1" customWidth="1"/>
    <col min="3584" max="3584" width="10.7109375" customWidth="1"/>
    <col min="3585" max="3592" width="0" hidden="1" customWidth="1"/>
    <col min="3595" max="3595" width="10.28515625" bestFit="1" customWidth="1"/>
    <col min="3596" max="3596" width="9.7109375" bestFit="1" customWidth="1"/>
    <col min="3600" max="3600" width="11.7109375" bestFit="1" customWidth="1"/>
    <col min="3601" max="3601" width="4.140625" customWidth="1"/>
    <col min="3609" max="3609" width="11.140625" bestFit="1" customWidth="1"/>
    <col min="3840" max="3840" width="10.7109375" customWidth="1"/>
    <col min="3841" max="3848" width="0" hidden="1" customWidth="1"/>
    <col min="3851" max="3851" width="10.28515625" bestFit="1" customWidth="1"/>
    <col min="3852" max="3852" width="9.7109375" bestFit="1" customWidth="1"/>
    <col min="3856" max="3856" width="11.7109375" bestFit="1" customWidth="1"/>
    <col min="3857" max="3857" width="4.140625" customWidth="1"/>
    <col min="3865" max="3865" width="11.140625" bestFit="1" customWidth="1"/>
    <col min="4096" max="4096" width="10.7109375" customWidth="1"/>
    <col min="4097" max="4104" width="0" hidden="1" customWidth="1"/>
    <col min="4107" max="4107" width="10.28515625" bestFit="1" customWidth="1"/>
    <col min="4108" max="4108" width="9.7109375" bestFit="1" customWidth="1"/>
    <col min="4112" max="4112" width="11.7109375" bestFit="1" customWidth="1"/>
    <col min="4113" max="4113" width="4.140625" customWidth="1"/>
    <col min="4121" max="4121" width="11.140625" bestFit="1" customWidth="1"/>
    <col min="4352" max="4352" width="10.7109375" customWidth="1"/>
    <col min="4353" max="4360" width="0" hidden="1" customWidth="1"/>
    <col min="4363" max="4363" width="10.28515625" bestFit="1" customWidth="1"/>
    <col min="4364" max="4364" width="9.7109375" bestFit="1" customWidth="1"/>
    <col min="4368" max="4368" width="11.7109375" bestFit="1" customWidth="1"/>
    <col min="4369" max="4369" width="4.140625" customWidth="1"/>
    <col min="4377" max="4377" width="11.140625" bestFit="1" customWidth="1"/>
    <col min="4608" max="4608" width="10.7109375" customWidth="1"/>
    <col min="4609" max="4616" width="0" hidden="1" customWidth="1"/>
    <col min="4619" max="4619" width="10.28515625" bestFit="1" customWidth="1"/>
    <col min="4620" max="4620" width="9.7109375" bestFit="1" customWidth="1"/>
    <col min="4624" max="4624" width="11.7109375" bestFit="1" customWidth="1"/>
    <col min="4625" max="4625" width="4.140625" customWidth="1"/>
    <col min="4633" max="4633" width="11.140625" bestFit="1" customWidth="1"/>
    <col min="4864" max="4864" width="10.7109375" customWidth="1"/>
    <col min="4865" max="4872" width="0" hidden="1" customWidth="1"/>
    <col min="4875" max="4875" width="10.28515625" bestFit="1" customWidth="1"/>
    <col min="4876" max="4876" width="9.7109375" bestFit="1" customWidth="1"/>
    <col min="4880" max="4880" width="11.7109375" bestFit="1" customWidth="1"/>
    <col min="4881" max="4881" width="4.140625" customWidth="1"/>
    <col min="4889" max="4889" width="11.140625" bestFit="1" customWidth="1"/>
    <col min="5120" max="5120" width="10.7109375" customWidth="1"/>
    <col min="5121" max="5128" width="0" hidden="1" customWidth="1"/>
    <col min="5131" max="5131" width="10.28515625" bestFit="1" customWidth="1"/>
    <col min="5132" max="5132" width="9.7109375" bestFit="1" customWidth="1"/>
    <col min="5136" max="5136" width="11.7109375" bestFit="1" customWidth="1"/>
    <col min="5137" max="5137" width="4.140625" customWidth="1"/>
    <col min="5145" max="5145" width="11.140625" bestFit="1" customWidth="1"/>
    <col min="5376" max="5376" width="10.7109375" customWidth="1"/>
    <col min="5377" max="5384" width="0" hidden="1" customWidth="1"/>
    <col min="5387" max="5387" width="10.28515625" bestFit="1" customWidth="1"/>
    <col min="5388" max="5388" width="9.7109375" bestFit="1" customWidth="1"/>
    <col min="5392" max="5392" width="11.7109375" bestFit="1" customWidth="1"/>
    <col min="5393" max="5393" width="4.140625" customWidth="1"/>
    <col min="5401" max="5401" width="11.140625" bestFit="1" customWidth="1"/>
    <col min="5632" max="5632" width="10.7109375" customWidth="1"/>
    <col min="5633" max="5640" width="0" hidden="1" customWidth="1"/>
    <col min="5643" max="5643" width="10.28515625" bestFit="1" customWidth="1"/>
    <col min="5644" max="5644" width="9.7109375" bestFit="1" customWidth="1"/>
    <col min="5648" max="5648" width="11.7109375" bestFit="1" customWidth="1"/>
    <col min="5649" max="5649" width="4.140625" customWidth="1"/>
    <col min="5657" max="5657" width="11.140625" bestFit="1" customWidth="1"/>
    <col min="5888" max="5888" width="10.7109375" customWidth="1"/>
    <col min="5889" max="5896" width="0" hidden="1" customWidth="1"/>
    <col min="5899" max="5899" width="10.28515625" bestFit="1" customWidth="1"/>
    <col min="5900" max="5900" width="9.7109375" bestFit="1" customWidth="1"/>
    <col min="5904" max="5904" width="11.7109375" bestFit="1" customWidth="1"/>
    <col min="5905" max="5905" width="4.140625" customWidth="1"/>
    <col min="5913" max="5913" width="11.140625" bestFit="1" customWidth="1"/>
    <col min="6144" max="6144" width="10.7109375" customWidth="1"/>
    <col min="6145" max="6152" width="0" hidden="1" customWidth="1"/>
    <col min="6155" max="6155" width="10.28515625" bestFit="1" customWidth="1"/>
    <col min="6156" max="6156" width="9.7109375" bestFit="1" customWidth="1"/>
    <col min="6160" max="6160" width="11.7109375" bestFit="1" customWidth="1"/>
    <col min="6161" max="6161" width="4.140625" customWidth="1"/>
    <col min="6169" max="6169" width="11.140625" bestFit="1" customWidth="1"/>
    <col min="6400" max="6400" width="10.7109375" customWidth="1"/>
    <col min="6401" max="6408" width="0" hidden="1" customWidth="1"/>
    <col min="6411" max="6411" width="10.28515625" bestFit="1" customWidth="1"/>
    <col min="6412" max="6412" width="9.7109375" bestFit="1" customWidth="1"/>
    <col min="6416" max="6416" width="11.7109375" bestFit="1" customWidth="1"/>
    <col min="6417" max="6417" width="4.140625" customWidth="1"/>
    <col min="6425" max="6425" width="11.140625" bestFit="1" customWidth="1"/>
    <col min="6656" max="6656" width="10.7109375" customWidth="1"/>
    <col min="6657" max="6664" width="0" hidden="1" customWidth="1"/>
    <col min="6667" max="6667" width="10.28515625" bestFit="1" customWidth="1"/>
    <col min="6668" max="6668" width="9.7109375" bestFit="1" customWidth="1"/>
    <col min="6672" max="6672" width="11.7109375" bestFit="1" customWidth="1"/>
    <col min="6673" max="6673" width="4.140625" customWidth="1"/>
    <col min="6681" max="6681" width="11.140625" bestFit="1" customWidth="1"/>
    <col min="6912" max="6912" width="10.7109375" customWidth="1"/>
    <col min="6913" max="6920" width="0" hidden="1" customWidth="1"/>
    <col min="6923" max="6923" width="10.28515625" bestFit="1" customWidth="1"/>
    <col min="6924" max="6924" width="9.7109375" bestFit="1" customWidth="1"/>
    <col min="6928" max="6928" width="11.7109375" bestFit="1" customWidth="1"/>
    <col min="6929" max="6929" width="4.140625" customWidth="1"/>
    <col min="6937" max="6937" width="11.140625" bestFit="1" customWidth="1"/>
    <col min="7168" max="7168" width="10.7109375" customWidth="1"/>
    <col min="7169" max="7176" width="0" hidden="1" customWidth="1"/>
    <col min="7179" max="7179" width="10.28515625" bestFit="1" customWidth="1"/>
    <col min="7180" max="7180" width="9.7109375" bestFit="1" customWidth="1"/>
    <col min="7184" max="7184" width="11.7109375" bestFit="1" customWidth="1"/>
    <col min="7185" max="7185" width="4.140625" customWidth="1"/>
    <col min="7193" max="7193" width="11.140625" bestFit="1" customWidth="1"/>
    <col min="7424" max="7424" width="10.7109375" customWidth="1"/>
    <col min="7425" max="7432" width="0" hidden="1" customWidth="1"/>
    <col min="7435" max="7435" width="10.28515625" bestFit="1" customWidth="1"/>
    <col min="7436" max="7436" width="9.7109375" bestFit="1" customWidth="1"/>
    <col min="7440" max="7440" width="11.7109375" bestFit="1" customWidth="1"/>
    <col min="7441" max="7441" width="4.140625" customWidth="1"/>
    <col min="7449" max="7449" width="11.140625" bestFit="1" customWidth="1"/>
    <col min="7680" max="7680" width="10.7109375" customWidth="1"/>
    <col min="7681" max="7688" width="0" hidden="1" customWidth="1"/>
    <col min="7691" max="7691" width="10.28515625" bestFit="1" customWidth="1"/>
    <col min="7692" max="7692" width="9.7109375" bestFit="1" customWidth="1"/>
    <col min="7696" max="7696" width="11.7109375" bestFit="1" customWidth="1"/>
    <col min="7697" max="7697" width="4.140625" customWidth="1"/>
    <col min="7705" max="7705" width="11.140625" bestFit="1" customWidth="1"/>
    <col min="7936" max="7936" width="10.7109375" customWidth="1"/>
    <col min="7937" max="7944" width="0" hidden="1" customWidth="1"/>
    <col min="7947" max="7947" width="10.28515625" bestFit="1" customWidth="1"/>
    <col min="7948" max="7948" width="9.7109375" bestFit="1" customWidth="1"/>
    <col min="7952" max="7952" width="11.7109375" bestFit="1" customWidth="1"/>
    <col min="7953" max="7953" width="4.140625" customWidth="1"/>
    <col min="7961" max="7961" width="11.140625" bestFit="1" customWidth="1"/>
    <col min="8192" max="8192" width="10.7109375" customWidth="1"/>
    <col min="8193" max="8200" width="0" hidden="1" customWidth="1"/>
    <col min="8203" max="8203" width="10.28515625" bestFit="1" customWidth="1"/>
    <col min="8204" max="8204" width="9.7109375" bestFit="1" customWidth="1"/>
    <col min="8208" max="8208" width="11.7109375" bestFit="1" customWidth="1"/>
    <col min="8209" max="8209" width="4.140625" customWidth="1"/>
    <col min="8217" max="8217" width="11.140625" bestFit="1" customWidth="1"/>
    <col min="8448" max="8448" width="10.7109375" customWidth="1"/>
    <col min="8449" max="8456" width="0" hidden="1" customWidth="1"/>
    <col min="8459" max="8459" width="10.28515625" bestFit="1" customWidth="1"/>
    <col min="8460" max="8460" width="9.7109375" bestFit="1" customWidth="1"/>
    <col min="8464" max="8464" width="11.7109375" bestFit="1" customWidth="1"/>
    <col min="8465" max="8465" width="4.140625" customWidth="1"/>
    <col min="8473" max="8473" width="11.140625" bestFit="1" customWidth="1"/>
    <col min="8704" max="8704" width="10.7109375" customWidth="1"/>
    <col min="8705" max="8712" width="0" hidden="1" customWidth="1"/>
    <col min="8715" max="8715" width="10.28515625" bestFit="1" customWidth="1"/>
    <col min="8716" max="8716" width="9.7109375" bestFit="1" customWidth="1"/>
    <col min="8720" max="8720" width="11.7109375" bestFit="1" customWidth="1"/>
    <col min="8721" max="8721" width="4.140625" customWidth="1"/>
    <col min="8729" max="8729" width="11.140625" bestFit="1" customWidth="1"/>
    <col min="8960" max="8960" width="10.7109375" customWidth="1"/>
    <col min="8961" max="8968" width="0" hidden="1" customWidth="1"/>
    <col min="8971" max="8971" width="10.28515625" bestFit="1" customWidth="1"/>
    <col min="8972" max="8972" width="9.7109375" bestFit="1" customWidth="1"/>
    <col min="8976" max="8976" width="11.7109375" bestFit="1" customWidth="1"/>
    <col min="8977" max="8977" width="4.140625" customWidth="1"/>
    <col min="8985" max="8985" width="11.140625" bestFit="1" customWidth="1"/>
    <col min="9216" max="9216" width="10.7109375" customWidth="1"/>
    <col min="9217" max="9224" width="0" hidden="1" customWidth="1"/>
    <col min="9227" max="9227" width="10.28515625" bestFit="1" customWidth="1"/>
    <col min="9228" max="9228" width="9.7109375" bestFit="1" customWidth="1"/>
    <col min="9232" max="9232" width="11.7109375" bestFit="1" customWidth="1"/>
    <col min="9233" max="9233" width="4.140625" customWidth="1"/>
    <col min="9241" max="9241" width="11.140625" bestFit="1" customWidth="1"/>
    <col min="9472" max="9472" width="10.7109375" customWidth="1"/>
    <col min="9473" max="9480" width="0" hidden="1" customWidth="1"/>
    <col min="9483" max="9483" width="10.28515625" bestFit="1" customWidth="1"/>
    <col min="9484" max="9484" width="9.7109375" bestFit="1" customWidth="1"/>
    <col min="9488" max="9488" width="11.7109375" bestFit="1" customWidth="1"/>
    <col min="9489" max="9489" width="4.140625" customWidth="1"/>
    <col min="9497" max="9497" width="11.140625" bestFit="1" customWidth="1"/>
    <col min="9728" max="9728" width="10.7109375" customWidth="1"/>
    <col min="9729" max="9736" width="0" hidden="1" customWidth="1"/>
    <col min="9739" max="9739" width="10.28515625" bestFit="1" customWidth="1"/>
    <col min="9740" max="9740" width="9.7109375" bestFit="1" customWidth="1"/>
    <col min="9744" max="9744" width="11.7109375" bestFit="1" customWidth="1"/>
    <col min="9745" max="9745" width="4.140625" customWidth="1"/>
    <col min="9753" max="9753" width="11.140625" bestFit="1" customWidth="1"/>
    <col min="9984" max="9984" width="10.7109375" customWidth="1"/>
    <col min="9985" max="9992" width="0" hidden="1" customWidth="1"/>
    <col min="9995" max="9995" width="10.28515625" bestFit="1" customWidth="1"/>
    <col min="9996" max="9996" width="9.7109375" bestFit="1" customWidth="1"/>
    <col min="10000" max="10000" width="11.7109375" bestFit="1" customWidth="1"/>
    <col min="10001" max="10001" width="4.140625" customWidth="1"/>
    <col min="10009" max="10009" width="11.140625" bestFit="1" customWidth="1"/>
    <col min="10240" max="10240" width="10.7109375" customWidth="1"/>
    <col min="10241" max="10248" width="0" hidden="1" customWidth="1"/>
    <col min="10251" max="10251" width="10.28515625" bestFit="1" customWidth="1"/>
    <col min="10252" max="10252" width="9.7109375" bestFit="1" customWidth="1"/>
    <col min="10256" max="10256" width="11.7109375" bestFit="1" customWidth="1"/>
    <col min="10257" max="10257" width="4.140625" customWidth="1"/>
    <col min="10265" max="10265" width="11.140625" bestFit="1" customWidth="1"/>
    <col min="10496" max="10496" width="10.7109375" customWidth="1"/>
    <col min="10497" max="10504" width="0" hidden="1" customWidth="1"/>
    <col min="10507" max="10507" width="10.28515625" bestFit="1" customWidth="1"/>
    <col min="10508" max="10508" width="9.7109375" bestFit="1" customWidth="1"/>
    <col min="10512" max="10512" width="11.7109375" bestFit="1" customWidth="1"/>
    <col min="10513" max="10513" width="4.140625" customWidth="1"/>
    <col min="10521" max="10521" width="11.140625" bestFit="1" customWidth="1"/>
    <col min="10752" max="10752" width="10.7109375" customWidth="1"/>
    <col min="10753" max="10760" width="0" hidden="1" customWidth="1"/>
    <col min="10763" max="10763" width="10.28515625" bestFit="1" customWidth="1"/>
    <col min="10764" max="10764" width="9.7109375" bestFit="1" customWidth="1"/>
    <col min="10768" max="10768" width="11.7109375" bestFit="1" customWidth="1"/>
    <col min="10769" max="10769" width="4.140625" customWidth="1"/>
    <col min="10777" max="10777" width="11.140625" bestFit="1" customWidth="1"/>
    <col min="11008" max="11008" width="10.7109375" customWidth="1"/>
    <col min="11009" max="11016" width="0" hidden="1" customWidth="1"/>
    <col min="11019" max="11019" width="10.28515625" bestFit="1" customWidth="1"/>
    <col min="11020" max="11020" width="9.7109375" bestFit="1" customWidth="1"/>
    <col min="11024" max="11024" width="11.7109375" bestFit="1" customWidth="1"/>
    <col min="11025" max="11025" width="4.140625" customWidth="1"/>
    <col min="11033" max="11033" width="11.140625" bestFit="1" customWidth="1"/>
    <col min="11264" max="11264" width="10.7109375" customWidth="1"/>
    <col min="11265" max="11272" width="0" hidden="1" customWidth="1"/>
    <col min="11275" max="11275" width="10.28515625" bestFit="1" customWidth="1"/>
    <col min="11276" max="11276" width="9.7109375" bestFit="1" customWidth="1"/>
    <col min="11280" max="11280" width="11.7109375" bestFit="1" customWidth="1"/>
    <col min="11281" max="11281" width="4.140625" customWidth="1"/>
    <col min="11289" max="11289" width="11.140625" bestFit="1" customWidth="1"/>
    <col min="11520" max="11520" width="10.7109375" customWidth="1"/>
    <col min="11521" max="11528" width="0" hidden="1" customWidth="1"/>
    <col min="11531" max="11531" width="10.28515625" bestFit="1" customWidth="1"/>
    <col min="11532" max="11532" width="9.7109375" bestFit="1" customWidth="1"/>
    <col min="11536" max="11536" width="11.7109375" bestFit="1" customWidth="1"/>
    <col min="11537" max="11537" width="4.140625" customWidth="1"/>
    <col min="11545" max="11545" width="11.140625" bestFit="1" customWidth="1"/>
    <col min="11776" max="11776" width="10.7109375" customWidth="1"/>
    <col min="11777" max="11784" width="0" hidden="1" customWidth="1"/>
    <col min="11787" max="11787" width="10.28515625" bestFit="1" customWidth="1"/>
    <col min="11788" max="11788" width="9.7109375" bestFit="1" customWidth="1"/>
    <col min="11792" max="11792" width="11.7109375" bestFit="1" customWidth="1"/>
    <col min="11793" max="11793" width="4.140625" customWidth="1"/>
    <col min="11801" max="11801" width="11.140625" bestFit="1" customWidth="1"/>
    <col min="12032" max="12032" width="10.7109375" customWidth="1"/>
    <col min="12033" max="12040" width="0" hidden="1" customWidth="1"/>
    <col min="12043" max="12043" width="10.28515625" bestFit="1" customWidth="1"/>
    <col min="12044" max="12044" width="9.7109375" bestFit="1" customWidth="1"/>
    <col min="12048" max="12048" width="11.7109375" bestFit="1" customWidth="1"/>
    <col min="12049" max="12049" width="4.140625" customWidth="1"/>
    <col min="12057" max="12057" width="11.140625" bestFit="1" customWidth="1"/>
    <col min="12288" max="12288" width="10.7109375" customWidth="1"/>
    <col min="12289" max="12296" width="0" hidden="1" customWidth="1"/>
    <col min="12299" max="12299" width="10.28515625" bestFit="1" customWidth="1"/>
    <col min="12300" max="12300" width="9.7109375" bestFit="1" customWidth="1"/>
    <col min="12304" max="12304" width="11.7109375" bestFit="1" customWidth="1"/>
    <col min="12305" max="12305" width="4.140625" customWidth="1"/>
    <col min="12313" max="12313" width="11.140625" bestFit="1" customWidth="1"/>
    <col min="12544" max="12544" width="10.7109375" customWidth="1"/>
    <col min="12545" max="12552" width="0" hidden="1" customWidth="1"/>
    <col min="12555" max="12555" width="10.28515625" bestFit="1" customWidth="1"/>
    <col min="12556" max="12556" width="9.7109375" bestFit="1" customWidth="1"/>
    <col min="12560" max="12560" width="11.7109375" bestFit="1" customWidth="1"/>
    <col min="12561" max="12561" width="4.140625" customWidth="1"/>
    <col min="12569" max="12569" width="11.140625" bestFit="1" customWidth="1"/>
    <col min="12800" max="12800" width="10.7109375" customWidth="1"/>
    <col min="12801" max="12808" width="0" hidden="1" customWidth="1"/>
    <col min="12811" max="12811" width="10.28515625" bestFit="1" customWidth="1"/>
    <col min="12812" max="12812" width="9.7109375" bestFit="1" customWidth="1"/>
    <col min="12816" max="12816" width="11.7109375" bestFit="1" customWidth="1"/>
    <col min="12817" max="12817" width="4.140625" customWidth="1"/>
    <col min="12825" max="12825" width="11.140625" bestFit="1" customWidth="1"/>
    <col min="13056" max="13056" width="10.7109375" customWidth="1"/>
    <col min="13057" max="13064" width="0" hidden="1" customWidth="1"/>
    <col min="13067" max="13067" width="10.28515625" bestFit="1" customWidth="1"/>
    <col min="13068" max="13068" width="9.7109375" bestFit="1" customWidth="1"/>
    <col min="13072" max="13072" width="11.7109375" bestFit="1" customWidth="1"/>
    <col min="13073" max="13073" width="4.140625" customWidth="1"/>
    <col min="13081" max="13081" width="11.140625" bestFit="1" customWidth="1"/>
    <col min="13312" max="13312" width="10.7109375" customWidth="1"/>
    <col min="13313" max="13320" width="0" hidden="1" customWidth="1"/>
    <col min="13323" max="13323" width="10.28515625" bestFit="1" customWidth="1"/>
    <col min="13324" max="13324" width="9.7109375" bestFit="1" customWidth="1"/>
    <col min="13328" max="13328" width="11.7109375" bestFit="1" customWidth="1"/>
    <col min="13329" max="13329" width="4.140625" customWidth="1"/>
    <col min="13337" max="13337" width="11.140625" bestFit="1" customWidth="1"/>
    <col min="13568" max="13568" width="10.7109375" customWidth="1"/>
    <col min="13569" max="13576" width="0" hidden="1" customWidth="1"/>
    <col min="13579" max="13579" width="10.28515625" bestFit="1" customWidth="1"/>
    <col min="13580" max="13580" width="9.7109375" bestFit="1" customWidth="1"/>
    <col min="13584" max="13584" width="11.7109375" bestFit="1" customWidth="1"/>
    <col min="13585" max="13585" width="4.140625" customWidth="1"/>
    <col min="13593" max="13593" width="11.140625" bestFit="1" customWidth="1"/>
    <col min="13824" max="13824" width="10.7109375" customWidth="1"/>
    <col min="13825" max="13832" width="0" hidden="1" customWidth="1"/>
    <col min="13835" max="13835" width="10.28515625" bestFit="1" customWidth="1"/>
    <col min="13836" max="13836" width="9.7109375" bestFit="1" customWidth="1"/>
    <col min="13840" max="13840" width="11.7109375" bestFit="1" customWidth="1"/>
    <col min="13841" max="13841" width="4.140625" customWidth="1"/>
    <col min="13849" max="13849" width="11.140625" bestFit="1" customWidth="1"/>
    <col min="14080" max="14080" width="10.7109375" customWidth="1"/>
    <col min="14081" max="14088" width="0" hidden="1" customWidth="1"/>
    <col min="14091" max="14091" width="10.28515625" bestFit="1" customWidth="1"/>
    <col min="14092" max="14092" width="9.7109375" bestFit="1" customWidth="1"/>
    <col min="14096" max="14096" width="11.7109375" bestFit="1" customWidth="1"/>
    <col min="14097" max="14097" width="4.140625" customWidth="1"/>
    <col min="14105" max="14105" width="11.140625" bestFit="1" customWidth="1"/>
    <col min="14336" max="14336" width="10.7109375" customWidth="1"/>
    <col min="14337" max="14344" width="0" hidden="1" customWidth="1"/>
    <col min="14347" max="14347" width="10.28515625" bestFit="1" customWidth="1"/>
    <col min="14348" max="14348" width="9.7109375" bestFit="1" customWidth="1"/>
    <col min="14352" max="14352" width="11.7109375" bestFit="1" customWidth="1"/>
    <col min="14353" max="14353" width="4.140625" customWidth="1"/>
    <col min="14361" max="14361" width="11.140625" bestFit="1" customWidth="1"/>
    <col min="14592" max="14592" width="10.7109375" customWidth="1"/>
    <col min="14593" max="14600" width="0" hidden="1" customWidth="1"/>
    <col min="14603" max="14603" width="10.28515625" bestFit="1" customWidth="1"/>
    <col min="14604" max="14604" width="9.7109375" bestFit="1" customWidth="1"/>
    <col min="14608" max="14608" width="11.7109375" bestFit="1" customWidth="1"/>
    <col min="14609" max="14609" width="4.140625" customWidth="1"/>
    <col min="14617" max="14617" width="11.140625" bestFit="1" customWidth="1"/>
    <col min="14848" max="14848" width="10.7109375" customWidth="1"/>
    <col min="14849" max="14856" width="0" hidden="1" customWidth="1"/>
    <col min="14859" max="14859" width="10.28515625" bestFit="1" customWidth="1"/>
    <col min="14860" max="14860" width="9.7109375" bestFit="1" customWidth="1"/>
    <col min="14864" max="14864" width="11.7109375" bestFit="1" customWidth="1"/>
    <col min="14865" max="14865" width="4.140625" customWidth="1"/>
    <col min="14873" max="14873" width="11.140625" bestFit="1" customWidth="1"/>
    <col min="15104" max="15104" width="10.7109375" customWidth="1"/>
    <col min="15105" max="15112" width="0" hidden="1" customWidth="1"/>
    <col min="15115" max="15115" width="10.28515625" bestFit="1" customWidth="1"/>
    <col min="15116" max="15116" width="9.7109375" bestFit="1" customWidth="1"/>
    <col min="15120" max="15120" width="11.7109375" bestFit="1" customWidth="1"/>
    <col min="15121" max="15121" width="4.140625" customWidth="1"/>
    <col min="15129" max="15129" width="11.140625" bestFit="1" customWidth="1"/>
    <col min="15360" max="15360" width="10.7109375" customWidth="1"/>
    <col min="15361" max="15368" width="0" hidden="1" customWidth="1"/>
    <col min="15371" max="15371" width="10.28515625" bestFit="1" customWidth="1"/>
    <col min="15372" max="15372" width="9.7109375" bestFit="1" customWidth="1"/>
    <col min="15376" max="15376" width="11.7109375" bestFit="1" customWidth="1"/>
    <col min="15377" max="15377" width="4.140625" customWidth="1"/>
    <col min="15385" max="15385" width="11.140625" bestFit="1" customWidth="1"/>
    <col min="15616" max="15616" width="10.7109375" customWidth="1"/>
    <col min="15617" max="15624" width="0" hidden="1" customWidth="1"/>
    <col min="15627" max="15627" width="10.28515625" bestFit="1" customWidth="1"/>
    <col min="15628" max="15628" width="9.7109375" bestFit="1" customWidth="1"/>
    <col min="15632" max="15632" width="11.7109375" bestFit="1" customWidth="1"/>
    <col min="15633" max="15633" width="4.140625" customWidth="1"/>
    <col min="15641" max="15641" width="11.140625" bestFit="1" customWidth="1"/>
    <col min="15872" max="15872" width="10.7109375" customWidth="1"/>
    <col min="15873" max="15880" width="0" hidden="1" customWidth="1"/>
    <col min="15883" max="15883" width="10.28515625" bestFit="1" customWidth="1"/>
    <col min="15884" max="15884" width="9.7109375" bestFit="1" customWidth="1"/>
    <col min="15888" max="15888" width="11.7109375" bestFit="1" customWidth="1"/>
    <col min="15889" max="15889" width="4.140625" customWidth="1"/>
    <col min="15897" max="15897" width="11.140625" bestFit="1" customWidth="1"/>
    <col min="16128" max="16128" width="10.7109375" customWidth="1"/>
    <col min="16129" max="16136" width="0" hidden="1" customWidth="1"/>
    <col min="16139" max="16139" width="10.28515625" bestFit="1" customWidth="1"/>
    <col min="16140" max="16140" width="9.7109375" bestFit="1" customWidth="1"/>
    <col min="16144" max="16144" width="11.7109375" bestFit="1" customWidth="1"/>
    <col min="16145" max="16145" width="4.140625" customWidth="1"/>
    <col min="16153" max="16153" width="11.140625" bestFit="1" customWidth="1"/>
  </cols>
  <sheetData>
    <row r="1" spans="1:25" x14ac:dyDescent="0.25">
      <c r="A1" s="2"/>
      <c r="B1" s="3"/>
      <c r="C1" s="3"/>
      <c r="D1" s="3"/>
      <c r="E1" s="3"/>
      <c r="F1" s="3"/>
      <c r="G1" s="3"/>
      <c r="H1" s="3"/>
      <c r="I1" s="4" t="s">
        <v>0</v>
      </c>
      <c r="J1" s="5"/>
      <c r="K1" s="5"/>
      <c r="L1" s="5"/>
      <c r="M1" s="5"/>
      <c r="N1" s="5"/>
      <c r="O1" s="5"/>
      <c r="P1" s="5"/>
      <c r="Q1" s="2"/>
      <c r="R1" s="4"/>
      <c r="S1" s="5"/>
      <c r="T1" s="5"/>
      <c r="U1" s="5"/>
      <c r="V1" s="5"/>
      <c r="W1" s="5"/>
      <c r="X1" s="5"/>
      <c r="Y1" s="5"/>
    </row>
    <row r="2" spans="1:25" hidden="1" x14ac:dyDescent="0.25">
      <c r="A2" s="6"/>
      <c r="B2" s="3"/>
      <c r="C2" s="3"/>
      <c r="D2" s="3"/>
      <c r="E2" s="3"/>
      <c r="F2" s="3"/>
      <c r="G2" s="3"/>
      <c r="H2" s="3"/>
      <c r="I2" s="7"/>
      <c r="J2" s="5"/>
      <c r="K2" s="5"/>
      <c r="L2" s="5"/>
      <c r="M2" s="5"/>
      <c r="N2" s="5"/>
      <c r="O2" s="5"/>
      <c r="P2" s="5"/>
      <c r="Q2" s="6"/>
      <c r="R2" s="7"/>
      <c r="S2" s="5"/>
      <c r="T2" s="5"/>
      <c r="U2" s="5"/>
      <c r="V2" s="5"/>
      <c r="W2" s="5"/>
      <c r="X2" s="5"/>
      <c r="Y2" s="5"/>
    </row>
    <row r="3" spans="1:25" x14ac:dyDescent="0.25">
      <c r="A3" s="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3"/>
      <c r="R3" s="5"/>
      <c r="S3" s="5"/>
      <c r="T3" s="5"/>
      <c r="U3" s="5"/>
      <c r="V3" s="5"/>
      <c r="W3" s="5"/>
      <c r="X3" s="5"/>
      <c r="Y3" s="5"/>
    </row>
    <row r="4" spans="1:25" x14ac:dyDescent="0.25">
      <c r="B4" s="9"/>
      <c r="C4" s="9"/>
      <c r="D4" s="10"/>
      <c r="E4" s="11"/>
      <c r="F4" s="12"/>
      <c r="G4" s="11"/>
      <c r="H4" s="12"/>
      <c r="I4" s="13"/>
      <c r="J4" s="14"/>
      <c r="K4" s="14"/>
      <c r="L4" s="15"/>
      <c r="M4" s="16" t="s">
        <v>1</v>
      </c>
      <c r="N4" s="17"/>
      <c r="O4" s="16" t="s">
        <v>2</v>
      </c>
      <c r="P4" s="17"/>
      <c r="R4" s="13"/>
      <c r="S4" s="14"/>
      <c r="T4" s="14"/>
      <c r="U4" s="15"/>
      <c r="V4" s="18"/>
      <c r="W4" s="19"/>
      <c r="X4" s="18"/>
      <c r="Y4" s="19"/>
    </row>
    <row r="5" spans="1:25" x14ac:dyDescent="0.25">
      <c r="A5" s="10"/>
      <c r="B5" s="3"/>
      <c r="C5" s="3"/>
      <c r="E5" s="20"/>
      <c r="F5" s="20"/>
      <c r="G5" s="20"/>
      <c r="H5" s="20"/>
      <c r="I5" s="15" t="s">
        <v>5</v>
      </c>
      <c r="J5" s="5"/>
      <c r="K5" s="5"/>
      <c r="L5" s="13"/>
      <c r="M5" s="21" t="s">
        <v>3</v>
      </c>
      <c r="N5" s="22" t="s">
        <v>4</v>
      </c>
      <c r="O5" s="23" t="s">
        <v>3</v>
      </c>
      <c r="P5" s="22" t="s">
        <v>4</v>
      </c>
      <c r="Q5" s="10"/>
      <c r="R5" s="15"/>
      <c r="S5" s="5"/>
      <c r="T5" s="5"/>
      <c r="U5" s="13"/>
      <c r="V5" s="157"/>
      <c r="W5" s="157"/>
      <c r="X5" s="157"/>
      <c r="Y5" s="24"/>
    </row>
    <row r="6" spans="1:25" x14ac:dyDescent="0.25">
      <c r="A6" s="25"/>
      <c r="B6" s="3"/>
      <c r="C6" s="3"/>
      <c r="D6" s="10"/>
      <c r="E6" s="20"/>
      <c r="F6" s="20"/>
      <c r="G6" s="20"/>
      <c r="H6" s="20"/>
      <c r="I6" s="26"/>
      <c r="J6" s="27"/>
      <c r="K6" s="114" t="s">
        <v>6</v>
      </c>
      <c r="L6" s="114"/>
      <c r="M6" s="28" t="s">
        <v>7</v>
      </c>
      <c r="N6" s="29" t="s">
        <v>8</v>
      </c>
      <c r="O6" s="30" t="s">
        <v>7</v>
      </c>
      <c r="P6" s="29" t="s">
        <v>8</v>
      </c>
      <c r="Q6" s="25"/>
      <c r="R6" s="31"/>
      <c r="S6" s="5"/>
      <c r="T6" s="115"/>
      <c r="U6" s="115"/>
      <c r="V6" s="157"/>
      <c r="W6" s="157"/>
      <c r="X6" s="157"/>
      <c r="Y6" s="24"/>
    </row>
    <row r="7" spans="1:25" x14ac:dyDescent="0.25">
      <c r="A7" s="32"/>
      <c r="B7" s="3"/>
      <c r="C7" s="3"/>
      <c r="D7" s="3"/>
      <c r="E7" s="3"/>
      <c r="F7" s="3"/>
      <c r="G7" s="3"/>
      <c r="H7" s="3"/>
      <c r="I7" s="33" t="s">
        <v>9</v>
      </c>
      <c r="J7" s="5"/>
      <c r="K7" s="34" t="s">
        <v>1</v>
      </c>
      <c r="L7" s="35" t="s">
        <v>2</v>
      </c>
      <c r="M7" s="5"/>
      <c r="N7" s="5"/>
      <c r="O7" s="5"/>
      <c r="P7" s="5"/>
      <c r="Q7" s="32"/>
      <c r="R7" s="33"/>
      <c r="S7" s="5"/>
      <c r="T7" s="34"/>
      <c r="U7" s="35"/>
      <c r="V7" s="5"/>
      <c r="W7" s="5"/>
      <c r="X7" s="5"/>
      <c r="Y7" s="5"/>
    </row>
    <row r="8" spans="1:25" x14ac:dyDescent="0.25">
      <c r="A8" s="36"/>
      <c r="B8" s="3"/>
      <c r="C8" s="3"/>
      <c r="D8" s="37"/>
      <c r="E8" s="3"/>
      <c r="F8" s="37"/>
      <c r="G8" s="3"/>
      <c r="H8" s="37"/>
      <c r="I8" s="38" t="s">
        <v>10</v>
      </c>
      <c r="J8" s="5"/>
      <c r="K8" s="39">
        <v>754</v>
      </c>
      <c r="L8" s="39">
        <v>855</v>
      </c>
      <c r="M8" s="5">
        <v>1103</v>
      </c>
      <c r="N8" s="39">
        <f>(M8*K8)/1000</f>
        <v>831.66200000000003</v>
      </c>
      <c r="O8" s="5">
        <v>104</v>
      </c>
      <c r="P8" s="39">
        <f>(O8*L8)/1000</f>
        <v>88.92</v>
      </c>
      <c r="Q8" s="36"/>
      <c r="R8" s="38"/>
      <c r="S8" s="5"/>
      <c r="T8" s="39"/>
      <c r="U8" s="39"/>
      <c r="V8" s="5"/>
      <c r="W8" s="39"/>
      <c r="X8" s="5"/>
      <c r="Y8" s="39"/>
    </row>
    <row r="9" spans="1:25" x14ac:dyDescent="0.25">
      <c r="A9" s="36"/>
      <c r="B9" s="3"/>
      <c r="C9" s="3"/>
      <c r="D9" s="37"/>
      <c r="E9" s="3"/>
      <c r="F9" s="37"/>
      <c r="G9" s="3"/>
      <c r="H9" s="37"/>
      <c r="I9" s="38" t="s">
        <v>11</v>
      </c>
      <c r="J9" s="5"/>
      <c r="K9" s="39">
        <v>1051</v>
      </c>
      <c r="L9" s="39">
        <v>1950</v>
      </c>
      <c r="M9" s="5">
        <v>995</v>
      </c>
      <c r="N9" s="39">
        <f t="shared" ref="N9:N28" si="0">(M9*K9)/1000</f>
        <v>1045.7449999999999</v>
      </c>
      <c r="O9" s="5">
        <v>92</v>
      </c>
      <c r="P9" s="39">
        <f t="shared" ref="P9:P15" si="1">(O9*L9)/1000</f>
        <v>179.4</v>
      </c>
      <c r="Q9" s="36"/>
      <c r="R9" s="38"/>
      <c r="S9" s="5"/>
      <c r="T9" s="39"/>
      <c r="U9" s="39"/>
      <c r="V9" s="5"/>
      <c r="W9" s="39"/>
      <c r="X9" s="5"/>
      <c r="Y9" s="39"/>
    </row>
    <row r="10" spans="1:25" x14ac:dyDescent="0.25">
      <c r="A10" s="36"/>
      <c r="B10" s="3"/>
      <c r="C10" s="3"/>
      <c r="D10" s="37"/>
      <c r="E10" s="3"/>
      <c r="F10" s="37"/>
      <c r="G10" s="3"/>
      <c r="H10" s="37"/>
      <c r="I10" s="38" t="s">
        <v>12</v>
      </c>
      <c r="J10" s="5"/>
      <c r="K10" s="39">
        <v>2050</v>
      </c>
      <c r="L10" s="39">
        <v>2800</v>
      </c>
      <c r="M10" s="5">
        <v>1112</v>
      </c>
      <c r="N10" s="39">
        <f t="shared" si="0"/>
        <v>2279.6</v>
      </c>
      <c r="O10" s="5">
        <v>99</v>
      </c>
      <c r="P10" s="39">
        <f t="shared" si="1"/>
        <v>277.2</v>
      </c>
      <c r="Q10" s="36"/>
      <c r="R10" s="38"/>
      <c r="S10" s="5"/>
      <c r="T10" s="39"/>
      <c r="U10" s="39"/>
      <c r="V10" s="5"/>
      <c r="W10" s="39"/>
      <c r="X10" s="5"/>
      <c r="Y10" s="39"/>
    </row>
    <row r="11" spans="1:25" x14ac:dyDescent="0.25">
      <c r="A11" s="36"/>
      <c r="B11" s="3"/>
      <c r="C11" s="3"/>
      <c r="D11" s="37"/>
      <c r="E11" s="3"/>
      <c r="F11" s="37"/>
      <c r="G11" s="3"/>
      <c r="H11" s="37"/>
      <c r="I11" s="38" t="s">
        <v>13</v>
      </c>
      <c r="J11" s="5"/>
      <c r="K11" s="39">
        <v>3046</v>
      </c>
      <c r="L11" s="39">
        <v>3850</v>
      </c>
      <c r="M11" s="5">
        <v>998</v>
      </c>
      <c r="N11" s="39">
        <f t="shared" si="0"/>
        <v>3039.9079999999999</v>
      </c>
      <c r="O11" s="5">
        <v>97</v>
      </c>
      <c r="P11" s="39">
        <f t="shared" si="1"/>
        <v>373.45</v>
      </c>
      <c r="Q11" s="36"/>
      <c r="R11" s="38"/>
      <c r="S11" s="5"/>
      <c r="T11" s="39"/>
      <c r="U11" s="39"/>
      <c r="V11" s="5"/>
      <c r="W11" s="39"/>
      <c r="X11" s="5"/>
      <c r="Y11" s="39"/>
    </row>
    <row r="12" spans="1:25" x14ac:dyDescent="0.25">
      <c r="A12" s="36"/>
      <c r="B12" s="3"/>
      <c r="C12" s="3"/>
      <c r="D12" s="37"/>
      <c r="E12" s="3"/>
      <c r="F12" s="37"/>
      <c r="G12" s="3"/>
      <c r="H12" s="37"/>
      <c r="I12" s="38" t="s">
        <v>14</v>
      </c>
      <c r="J12" s="5"/>
      <c r="K12" s="39">
        <v>4050</v>
      </c>
      <c r="L12" s="39">
        <v>4750</v>
      </c>
      <c r="M12" s="5">
        <v>771</v>
      </c>
      <c r="N12" s="39">
        <f t="shared" si="0"/>
        <v>3122.55</v>
      </c>
      <c r="O12" s="5">
        <v>93</v>
      </c>
      <c r="P12" s="39">
        <f t="shared" si="1"/>
        <v>441.75</v>
      </c>
      <c r="Q12" s="36"/>
      <c r="R12" s="38"/>
      <c r="S12" s="5"/>
      <c r="T12" s="39"/>
      <c r="U12" s="39"/>
      <c r="V12" s="5"/>
      <c r="W12" s="39"/>
      <c r="X12" s="5"/>
      <c r="Y12" s="39"/>
    </row>
    <row r="13" spans="1:25" x14ac:dyDescent="0.25">
      <c r="A13" s="36"/>
      <c r="B13" s="3"/>
      <c r="C13" s="3"/>
      <c r="D13" s="37"/>
      <c r="E13" s="3"/>
      <c r="F13" s="37"/>
      <c r="G13" s="3"/>
      <c r="H13" s="37"/>
      <c r="I13" s="38" t="s">
        <v>15</v>
      </c>
      <c r="J13" s="5"/>
      <c r="K13" s="39">
        <v>5050</v>
      </c>
      <c r="L13" s="39">
        <v>5950</v>
      </c>
      <c r="M13" s="5">
        <v>521</v>
      </c>
      <c r="N13" s="39">
        <f t="shared" si="0"/>
        <v>2631.05</v>
      </c>
      <c r="O13" s="5">
        <v>45</v>
      </c>
      <c r="P13" s="39">
        <f t="shared" si="1"/>
        <v>267.75</v>
      </c>
      <c r="Q13" s="36"/>
      <c r="R13" s="38"/>
      <c r="S13" s="5"/>
      <c r="T13" s="39"/>
      <c r="U13" s="39"/>
      <c r="V13" s="5"/>
      <c r="W13" s="39"/>
      <c r="X13" s="5"/>
      <c r="Y13" s="39"/>
    </row>
    <row r="14" spans="1:25" x14ac:dyDescent="0.25">
      <c r="A14" s="36"/>
      <c r="B14" s="3"/>
      <c r="C14" s="3"/>
      <c r="D14" s="37"/>
      <c r="E14" s="3"/>
      <c r="F14" s="37"/>
      <c r="G14" s="3"/>
      <c r="H14" s="37"/>
      <c r="I14" s="38" t="s">
        <v>16</v>
      </c>
      <c r="J14" s="5"/>
      <c r="K14" s="39">
        <v>6044</v>
      </c>
      <c r="L14" s="39">
        <v>6900</v>
      </c>
      <c r="M14" s="5">
        <v>334</v>
      </c>
      <c r="N14" s="39">
        <f t="shared" si="0"/>
        <v>2018.6959999999999</v>
      </c>
      <c r="O14" s="5">
        <v>39</v>
      </c>
      <c r="P14" s="39">
        <f t="shared" si="1"/>
        <v>269.10000000000002</v>
      </c>
      <c r="Q14" s="36"/>
      <c r="R14" s="38"/>
      <c r="S14" s="5"/>
      <c r="T14" s="39"/>
      <c r="U14" s="39"/>
      <c r="V14" s="5"/>
      <c r="W14" s="39"/>
      <c r="X14" s="5"/>
      <c r="Y14" s="39"/>
    </row>
    <row r="15" spans="1:25" x14ac:dyDescent="0.25">
      <c r="A15" s="36"/>
      <c r="B15" s="3"/>
      <c r="C15" s="3"/>
      <c r="D15" s="37"/>
      <c r="E15" s="3"/>
      <c r="F15" s="37"/>
      <c r="G15" s="3"/>
      <c r="H15" s="37"/>
      <c r="I15" s="38" t="s">
        <v>17</v>
      </c>
      <c r="J15" s="5"/>
      <c r="K15" s="39">
        <v>7200</v>
      </c>
      <c r="L15" s="39">
        <v>7950</v>
      </c>
      <c r="M15" s="5">
        <v>221</v>
      </c>
      <c r="N15" s="39">
        <f t="shared" si="0"/>
        <v>1591.2</v>
      </c>
      <c r="O15" s="5">
        <v>37</v>
      </c>
      <c r="P15" s="39">
        <f t="shared" si="1"/>
        <v>294.14999999999998</v>
      </c>
      <c r="Q15" s="36"/>
      <c r="R15" s="38"/>
      <c r="S15" s="5"/>
      <c r="T15" s="5"/>
      <c r="U15" s="39"/>
      <c r="V15" s="5"/>
      <c r="W15" s="39"/>
      <c r="X15" s="5"/>
      <c r="Y15" s="39"/>
    </row>
    <row r="16" spans="1:25" x14ac:dyDescent="0.25">
      <c r="A16" s="36"/>
      <c r="B16" s="3"/>
      <c r="C16" s="3"/>
      <c r="D16" s="37"/>
      <c r="E16" s="3"/>
      <c r="F16" s="37"/>
      <c r="G16" s="3"/>
      <c r="H16" s="37"/>
      <c r="I16" s="38" t="s">
        <v>18</v>
      </c>
      <c r="J16" s="5"/>
      <c r="K16" s="39">
        <v>8050</v>
      </c>
      <c r="L16" s="39" t="s">
        <v>19</v>
      </c>
      <c r="M16" s="5">
        <v>143</v>
      </c>
      <c r="N16" s="39">
        <f t="shared" si="0"/>
        <v>1151.1500000000001</v>
      </c>
      <c r="O16" s="5"/>
      <c r="P16" s="39"/>
      <c r="Q16" s="36"/>
      <c r="R16" s="33"/>
      <c r="S16" s="5"/>
      <c r="T16" s="5"/>
      <c r="U16" s="5"/>
      <c r="V16" s="5"/>
      <c r="W16" s="5"/>
      <c r="X16" s="5"/>
      <c r="Y16" s="5"/>
    </row>
    <row r="17" spans="1:25" x14ac:dyDescent="0.25">
      <c r="A17" s="36"/>
      <c r="B17" s="3"/>
      <c r="C17" s="3"/>
      <c r="D17" s="37"/>
      <c r="E17" s="3"/>
      <c r="F17" s="37"/>
      <c r="G17" s="3"/>
      <c r="H17" s="37"/>
      <c r="I17" s="38" t="s">
        <v>20</v>
      </c>
      <c r="J17" s="5"/>
      <c r="K17" s="39">
        <v>9050</v>
      </c>
      <c r="L17" s="39"/>
      <c r="M17" s="5">
        <v>97</v>
      </c>
      <c r="N17" s="39">
        <f t="shared" si="0"/>
        <v>877.85</v>
      </c>
      <c r="O17" s="5"/>
      <c r="P17" s="39"/>
      <c r="Q17" s="36"/>
      <c r="R17" s="38"/>
      <c r="S17" s="5"/>
      <c r="T17" s="34"/>
      <c r="U17" s="35"/>
      <c r="V17" s="5"/>
      <c r="W17" s="39"/>
      <c r="X17" s="5"/>
      <c r="Y17" s="39"/>
    </row>
    <row r="18" spans="1:25" x14ac:dyDescent="0.25">
      <c r="A18" s="36"/>
      <c r="B18" s="3"/>
      <c r="C18" s="3"/>
      <c r="D18" s="37"/>
      <c r="E18" s="3"/>
      <c r="F18" s="37"/>
      <c r="G18" s="3"/>
      <c r="H18" s="37"/>
      <c r="I18" s="38" t="s">
        <v>21</v>
      </c>
      <c r="J18" s="5"/>
      <c r="K18" s="39">
        <v>10250</v>
      </c>
      <c r="L18" s="39"/>
      <c r="M18" s="5">
        <v>68</v>
      </c>
      <c r="N18" s="39">
        <f t="shared" si="0"/>
        <v>697</v>
      </c>
      <c r="O18" s="5"/>
      <c r="P18" s="39"/>
      <c r="Q18" s="36"/>
      <c r="R18" s="38"/>
      <c r="S18" s="5"/>
      <c r="T18" s="5"/>
      <c r="U18" s="39"/>
      <c r="V18" s="5"/>
      <c r="W18" s="39"/>
      <c r="X18" s="5"/>
      <c r="Y18" s="39"/>
    </row>
    <row r="19" spans="1:25" x14ac:dyDescent="0.25">
      <c r="A19" s="36"/>
      <c r="B19" s="3"/>
      <c r="C19" s="3"/>
      <c r="D19" s="37"/>
      <c r="E19" s="3"/>
      <c r="F19" s="37"/>
      <c r="G19" s="3"/>
      <c r="H19" s="37"/>
      <c r="I19" s="38" t="s">
        <v>22</v>
      </c>
      <c r="J19" s="5"/>
      <c r="K19" s="39">
        <v>11300</v>
      </c>
      <c r="L19" s="39"/>
      <c r="M19" s="5">
        <v>49</v>
      </c>
      <c r="N19" s="39">
        <f t="shared" si="0"/>
        <v>553.70000000000005</v>
      </c>
      <c r="O19" s="5"/>
      <c r="P19" s="39"/>
      <c r="Q19" s="36"/>
      <c r="R19" s="38"/>
      <c r="S19" s="5"/>
      <c r="T19" s="5"/>
      <c r="U19" s="39"/>
      <c r="V19" s="5"/>
      <c r="W19" s="39"/>
      <c r="X19" s="5"/>
      <c r="Y19" s="39"/>
    </row>
    <row r="20" spans="1:25" x14ac:dyDescent="0.25">
      <c r="A20" s="36"/>
      <c r="B20" s="3"/>
      <c r="C20" s="3"/>
      <c r="D20" s="37"/>
      <c r="E20" s="3"/>
      <c r="F20" s="37"/>
      <c r="G20" s="3"/>
      <c r="H20" s="37"/>
      <c r="I20" s="38" t="s">
        <v>23</v>
      </c>
      <c r="J20" s="5"/>
      <c r="K20" s="39">
        <v>12200</v>
      </c>
      <c r="L20" s="39"/>
      <c r="M20" s="5">
        <v>33</v>
      </c>
      <c r="N20" s="39">
        <f t="shared" si="0"/>
        <v>402.6</v>
      </c>
      <c r="O20" s="5"/>
      <c r="P20" s="39"/>
      <c r="Q20" s="36"/>
      <c r="R20" s="33"/>
      <c r="S20" s="5"/>
      <c r="T20" s="5"/>
      <c r="U20" s="5"/>
      <c r="V20" s="5"/>
      <c r="W20" s="5"/>
      <c r="X20" s="5"/>
      <c r="Y20" s="5"/>
    </row>
    <row r="21" spans="1:25" x14ac:dyDescent="0.25">
      <c r="A21" s="36"/>
      <c r="B21" s="3"/>
      <c r="C21" s="3"/>
      <c r="D21" s="37"/>
      <c r="E21" s="3"/>
      <c r="F21" s="37"/>
      <c r="G21" s="3"/>
      <c r="H21" s="37"/>
      <c r="I21" s="38" t="s">
        <v>24</v>
      </c>
      <c r="J21" s="5"/>
      <c r="K21" s="39">
        <v>13100</v>
      </c>
      <c r="L21" s="39"/>
      <c r="M21" s="5">
        <v>23</v>
      </c>
      <c r="N21" s="39">
        <f t="shared" si="0"/>
        <v>301.3</v>
      </c>
      <c r="O21" s="5"/>
      <c r="P21" s="39"/>
      <c r="Q21" s="36"/>
      <c r="R21" s="38"/>
      <c r="S21" s="5"/>
      <c r="T21" s="34"/>
      <c r="U21" s="35"/>
      <c r="V21" s="5"/>
      <c r="W21" s="39"/>
      <c r="X21" s="5"/>
      <c r="Y21" s="39"/>
    </row>
    <row r="22" spans="1:25" x14ac:dyDescent="0.25">
      <c r="A22" s="36"/>
      <c r="B22" s="3"/>
      <c r="C22" s="3"/>
      <c r="D22" s="37"/>
      <c r="E22" s="3"/>
      <c r="F22" s="37"/>
      <c r="G22" s="3"/>
      <c r="H22" s="37"/>
      <c r="I22" s="38" t="s">
        <v>25</v>
      </c>
      <c r="J22" s="5"/>
      <c r="K22" s="39">
        <v>14150</v>
      </c>
      <c r="L22" s="39"/>
      <c r="M22" s="5">
        <v>20</v>
      </c>
      <c r="N22" s="39">
        <f t="shared" si="0"/>
        <v>283</v>
      </c>
      <c r="O22" s="5"/>
      <c r="P22" s="39"/>
      <c r="Q22" s="36"/>
      <c r="R22" s="38"/>
      <c r="S22" s="5"/>
      <c r="T22" s="5"/>
      <c r="U22" s="39"/>
      <c r="V22" s="5"/>
      <c r="W22" s="39"/>
      <c r="X22" s="5"/>
      <c r="Y22" s="39"/>
    </row>
    <row r="23" spans="1:25" x14ac:dyDescent="0.25">
      <c r="A23" s="36"/>
      <c r="B23" s="3"/>
      <c r="C23" s="3"/>
      <c r="D23" s="37"/>
      <c r="E23" s="3"/>
      <c r="F23" s="37"/>
      <c r="G23" s="3"/>
      <c r="H23" s="37"/>
      <c r="I23" s="38" t="s">
        <v>26</v>
      </c>
      <c r="J23" s="5"/>
      <c r="K23" s="39">
        <v>15200</v>
      </c>
      <c r="L23" s="39"/>
      <c r="M23" s="5">
        <v>16</v>
      </c>
      <c r="N23" s="39">
        <f t="shared" si="0"/>
        <v>243.2</v>
      </c>
      <c r="O23" s="5"/>
      <c r="P23" s="39"/>
      <c r="Q23" s="36"/>
      <c r="R23" s="38"/>
      <c r="S23" s="5"/>
      <c r="T23" s="5"/>
      <c r="U23" s="39"/>
      <c r="V23" s="5"/>
      <c r="W23" s="39"/>
      <c r="X23" s="5"/>
      <c r="Y23" s="39"/>
    </row>
    <row r="24" spans="1:25" x14ac:dyDescent="0.25">
      <c r="A24" s="36"/>
      <c r="B24" s="3"/>
      <c r="C24" s="3"/>
      <c r="D24" s="37"/>
      <c r="E24" s="3"/>
      <c r="F24" s="37"/>
      <c r="G24" s="3"/>
      <c r="H24" s="37"/>
      <c r="I24" s="38" t="s">
        <v>27</v>
      </c>
      <c r="J24" s="5"/>
      <c r="K24" s="39">
        <v>16150</v>
      </c>
      <c r="L24" s="39"/>
      <c r="M24" s="5">
        <v>13</v>
      </c>
      <c r="N24" s="39">
        <f t="shared" si="0"/>
        <v>209.95</v>
      </c>
      <c r="O24" s="5"/>
      <c r="P24" s="39"/>
      <c r="Q24" s="36"/>
      <c r="R24" s="33"/>
      <c r="S24" s="5"/>
      <c r="T24" s="5"/>
      <c r="U24" s="5"/>
      <c r="V24" s="5"/>
      <c r="W24" s="5"/>
      <c r="X24" s="5"/>
      <c r="Y24" s="5"/>
    </row>
    <row r="25" spans="1:25" x14ac:dyDescent="0.25">
      <c r="A25" s="36"/>
      <c r="B25" s="3"/>
      <c r="C25" s="3"/>
      <c r="D25" s="37"/>
      <c r="E25" s="3"/>
      <c r="F25" s="37"/>
      <c r="G25" s="3"/>
      <c r="H25" s="37"/>
      <c r="I25" s="38" t="s">
        <v>28</v>
      </c>
      <c r="J25" s="5"/>
      <c r="K25" s="39">
        <v>17200</v>
      </c>
      <c r="L25" s="39"/>
      <c r="M25" s="5">
        <v>10</v>
      </c>
      <c r="N25" s="39">
        <f t="shared" si="0"/>
        <v>172</v>
      </c>
      <c r="O25" s="5"/>
      <c r="P25" s="39"/>
      <c r="Q25" s="36"/>
      <c r="R25" s="38"/>
      <c r="S25" s="5"/>
      <c r="T25" s="5"/>
      <c r="U25" s="39"/>
      <c r="V25" s="5"/>
      <c r="W25" s="39"/>
      <c r="X25" s="5"/>
      <c r="Y25" s="39"/>
    </row>
    <row r="26" spans="1:25" x14ac:dyDescent="0.25">
      <c r="A26" s="36"/>
      <c r="B26" s="3"/>
      <c r="C26" s="3"/>
      <c r="D26" s="37"/>
      <c r="E26" s="3"/>
      <c r="F26" s="37"/>
      <c r="G26" s="3"/>
      <c r="H26" s="37"/>
      <c r="I26" s="38" t="s">
        <v>29</v>
      </c>
      <c r="J26" s="5"/>
      <c r="K26" s="39">
        <v>18200</v>
      </c>
      <c r="L26" s="39"/>
      <c r="M26" s="5">
        <v>10</v>
      </c>
      <c r="N26" s="39">
        <f t="shared" si="0"/>
        <v>182</v>
      </c>
      <c r="O26" s="5"/>
      <c r="P26" s="39"/>
      <c r="Q26" s="36"/>
      <c r="R26" s="38"/>
      <c r="S26" s="5"/>
      <c r="T26" s="5"/>
      <c r="U26" s="39"/>
      <c r="V26" s="5"/>
      <c r="W26" s="39"/>
      <c r="X26" s="5"/>
      <c r="Y26" s="39"/>
    </row>
    <row r="27" spans="1:25" x14ac:dyDescent="0.25">
      <c r="A27" s="36"/>
      <c r="B27" s="3"/>
      <c r="C27" s="3"/>
      <c r="D27" s="37"/>
      <c r="E27" s="3"/>
      <c r="F27" s="37"/>
      <c r="G27" s="3"/>
      <c r="H27" s="37"/>
      <c r="I27" s="38" t="s">
        <v>30</v>
      </c>
      <c r="J27" s="5"/>
      <c r="K27" s="39">
        <v>19300</v>
      </c>
      <c r="L27" s="39"/>
      <c r="M27" s="5">
        <v>7</v>
      </c>
      <c r="N27" s="39">
        <f t="shared" si="0"/>
        <v>135.1</v>
      </c>
      <c r="O27" s="5"/>
      <c r="P27" s="39"/>
      <c r="Q27" s="36"/>
      <c r="R27" s="33"/>
      <c r="S27" s="5"/>
      <c r="T27" s="5"/>
      <c r="U27" s="5"/>
      <c r="V27" s="5"/>
      <c r="W27" s="5"/>
      <c r="X27" s="5"/>
      <c r="Y27" s="5"/>
    </row>
    <row r="28" spans="1:25" x14ac:dyDescent="0.25">
      <c r="A28" s="36"/>
      <c r="B28" s="3"/>
      <c r="C28" s="3"/>
      <c r="D28" s="37"/>
      <c r="E28" s="3"/>
      <c r="F28" s="37"/>
      <c r="G28" s="3"/>
      <c r="H28" s="37"/>
      <c r="I28" s="38" t="s">
        <v>31</v>
      </c>
      <c r="J28" s="5"/>
      <c r="K28" s="39">
        <v>22500</v>
      </c>
      <c r="L28" s="40"/>
      <c r="M28" s="27">
        <v>25</v>
      </c>
      <c r="N28" s="40">
        <f t="shared" si="0"/>
        <v>562.5</v>
      </c>
      <c r="O28" s="27"/>
      <c r="P28" s="40"/>
      <c r="Q28" s="36"/>
      <c r="R28" s="38"/>
      <c r="S28" s="5"/>
      <c r="T28" s="34"/>
      <c r="U28" s="35"/>
      <c r="V28" s="5"/>
      <c r="W28" s="39"/>
      <c r="X28" s="5"/>
      <c r="Y28" s="39"/>
    </row>
    <row r="29" spans="1:25" x14ac:dyDescent="0.25">
      <c r="A29" s="3"/>
      <c r="B29" s="3"/>
      <c r="C29" s="3"/>
      <c r="D29" s="42"/>
      <c r="E29" s="32"/>
      <c r="F29" s="43"/>
      <c r="G29" s="32"/>
      <c r="H29" s="43"/>
      <c r="I29" s="38"/>
      <c r="J29" s="5"/>
      <c r="K29" s="44" t="s">
        <v>32</v>
      </c>
      <c r="L29" s="45"/>
      <c r="M29" s="46">
        <f>SUM(M8:M28)</f>
        <v>6569</v>
      </c>
      <c r="N29" s="47">
        <f>SUM(N8:N28)</f>
        <v>22331.760999999999</v>
      </c>
      <c r="O29" s="46">
        <f>SUM(O8:O28)</f>
        <v>606</v>
      </c>
      <c r="P29" s="47">
        <f>SUM(P8:P28)</f>
        <v>2191.7200000000003</v>
      </c>
      <c r="Q29" s="3"/>
      <c r="R29" s="38"/>
      <c r="S29" s="5"/>
      <c r="T29" s="5"/>
      <c r="U29" s="39"/>
      <c r="V29" s="5"/>
      <c r="W29" s="39"/>
      <c r="X29" s="5"/>
      <c r="Y29" s="39"/>
    </row>
    <row r="30" spans="1:25" ht="15.75" thickBot="1" x14ac:dyDescent="0.3">
      <c r="A30" s="36"/>
      <c r="B30" s="3"/>
      <c r="C30" s="3"/>
      <c r="D30" s="3"/>
      <c r="E30" s="3"/>
      <c r="F30" s="3"/>
      <c r="G30" s="3"/>
      <c r="H30" s="3"/>
      <c r="I30" s="38"/>
      <c r="J30" s="5" t="s">
        <v>33</v>
      </c>
      <c r="K30" s="5"/>
      <c r="L30" s="48"/>
      <c r="M30" s="49"/>
      <c r="N30" s="48">
        <f>N29*1000/M29</f>
        <v>3399.567818541635</v>
      </c>
      <c r="O30" s="49"/>
      <c r="P30" s="48">
        <f>P29*1000/O29</f>
        <v>3616.6996699669976</v>
      </c>
      <c r="Q30" s="36"/>
      <c r="R30" s="38"/>
      <c r="S30" s="5"/>
      <c r="T30" s="5"/>
      <c r="U30" s="39"/>
      <c r="V30" s="5"/>
      <c r="W30" s="39"/>
      <c r="X30" s="5"/>
      <c r="Y30" s="39"/>
    </row>
    <row r="31" spans="1:25" ht="15.75" thickTop="1" x14ac:dyDescent="0.25">
      <c r="A31" s="36"/>
      <c r="B31" s="3"/>
      <c r="C31" s="3"/>
      <c r="D31" s="3"/>
      <c r="E31" s="3"/>
      <c r="F31" s="37"/>
      <c r="G31" s="3"/>
      <c r="H31" s="37"/>
      <c r="I31" s="33" t="s">
        <v>34</v>
      </c>
      <c r="J31" s="5"/>
      <c r="K31" s="5"/>
      <c r="L31" s="5"/>
      <c r="M31" s="5"/>
      <c r="N31" s="5"/>
      <c r="O31" s="5"/>
      <c r="P31" s="5"/>
      <c r="Q31" s="36"/>
      <c r="R31" s="50"/>
      <c r="S31" s="5"/>
      <c r="T31" s="5"/>
      <c r="U31" s="39"/>
      <c r="V31" s="5"/>
      <c r="W31" s="39"/>
      <c r="X31" s="5"/>
      <c r="Y31" s="39"/>
    </row>
    <row r="32" spans="1:25" x14ac:dyDescent="0.25">
      <c r="A32" s="3"/>
      <c r="B32" s="3"/>
      <c r="C32" s="3"/>
      <c r="D32" s="3"/>
      <c r="E32" s="3"/>
      <c r="F32" s="37"/>
      <c r="G32" s="3"/>
      <c r="H32" s="37"/>
      <c r="I32" s="38" t="s">
        <v>19</v>
      </c>
      <c r="J32" s="5" t="s">
        <v>19</v>
      </c>
      <c r="K32" s="34" t="s">
        <v>1</v>
      </c>
      <c r="L32" s="35" t="s">
        <v>2</v>
      </c>
      <c r="M32" s="5" t="s">
        <v>19</v>
      </c>
      <c r="N32" s="39" t="s">
        <v>19</v>
      </c>
      <c r="O32" s="5" t="s">
        <v>19</v>
      </c>
      <c r="P32" s="39" t="s">
        <v>19</v>
      </c>
      <c r="Q32" s="3"/>
      <c r="R32" s="38"/>
      <c r="S32" s="5"/>
      <c r="T32" s="5"/>
      <c r="U32" s="39"/>
      <c r="X32" s="5"/>
      <c r="Y32" s="39"/>
    </row>
    <row r="33" spans="1:25" x14ac:dyDescent="0.25">
      <c r="A33" s="32"/>
      <c r="B33" s="3"/>
      <c r="C33" s="3"/>
      <c r="D33" s="37"/>
      <c r="E33" s="3"/>
      <c r="F33" s="3"/>
      <c r="G33" s="3"/>
      <c r="H33" s="37"/>
      <c r="I33" s="38" t="s">
        <v>19</v>
      </c>
      <c r="J33" s="5"/>
      <c r="K33" s="5">
        <v>8025</v>
      </c>
      <c r="L33" s="39">
        <v>12192</v>
      </c>
      <c r="M33" s="5">
        <v>9</v>
      </c>
      <c r="N33" s="39">
        <f>(M33*K33)/1000</f>
        <v>72.224999999999994</v>
      </c>
      <c r="O33" s="5">
        <v>12</v>
      </c>
      <c r="P33" s="39">
        <f>(O33*L33)/1000</f>
        <v>146.304</v>
      </c>
      <c r="Q33" s="32"/>
      <c r="R33" s="38"/>
      <c r="S33" s="5"/>
      <c r="T33" s="51"/>
      <c r="U33" s="39"/>
      <c r="V33" s="5"/>
      <c r="W33" s="39"/>
      <c r="X33" s="5"/>
      <c r="Y33" s="39"/>
    </row>
    <row r="34" spans="1:25" ht="15.75" thickBot="1" x14ac:dyDescent="0.3">
      <c r="A34" s="36"/>
      <c r="B34" s="3"/>
      <c r="C34" s="3"/>
      <c r="D34" s="37"/>
      <c r="E34" s="3"/>
      <c r="F34" s="37"/>
      <c r="G34" s="3"/>
      <c r="H34" s="37"/>
      <c r="I34" s="38" t="s">
        <v>19</v>
      </c>
      <c r="J34" s="5"/>
      <c r="K34" s="44" t="s">
        <v>32</v>
      </c>
      <c r="L34" s="48"/>
      <c r="M34" s="52">
        <f>SUM(M33)</f>
        <v>9</v>
      </c>
      <c r="N34" s="53">
        <f>SUM(N33)</f>
        <v>72.224999999999994</v>
      </c>
      <c r="O34" s="52">
        <f>SUM(O33)</f>
        <v>12</v>
      </c>
      <c r="P34" s="53">
        <f>SUM(P33)</f>
        <v>146.304</v>
      </c>
      <c r="Q34" s="36"/>
      <c r="R34" s="5"/>
      <c r="S34" s="5"/>
      <c r="T34" s="5"/>
      <c r="U34" s="8"/>
      <c r="V34" s="1"/>
      <c r="W34" s="1"/>
      <c r="X34" s="1"/>
      <c r="Y34" s="1"/>
    </row>
    <row r="35" spans="1:25" ht="15.75" thickTop="1" x14ac:dyDescent="0.25">
      <c r="A35" s="36"/>
      <c r="B35" s="3"/>
      <c r="C35" s="3"/>
      <c r="D35" s="37"/>
      <c r="E35" s="3"/>
      <c r="F35" s="37"/>
      <c r="G35" s="3"/>
      <c r="H35" s="37"/>
      <c r="I35" s="33" t="s">
        <v>36</v>
      </c>
      <c r="J35" s="5"/>
      <c r="K35" s="5"/>
      <c r="L35" s="5"/>
      <c r="M35" s="5"/>
      <c r="N35" s="5"/>
      <c r="O35" s="5"/>
      <c r="P35" s="5"/>
      <c r="Q35" s="36"/>
      <c r="R35" s="38"/>
      <c r="S35" s="5"/>
      <c r="T35" s="5"/>
      <c r="U35" s="5"/>
      <c r="V35" s="5"/>
      <c r="W35" s="5"/>
      <c r="X35" s="5"/>
      <c r="Y35" s="5"/>
    </row>
    <row r="36" spans="1:25" x14ac:dyDescent="0.25">
      <c r="A36" s="36"/>
      <c r="B36" s="3"/>
      <c r="C36" s="3"/>
      <c r="D36" s="37"/>
      <c r="E36" s="3"/>
      <c r="F36" s="37"/>
      <c r="G36" s="3"/>
      <c r="H36" s="37"/>
      <c r="I36" s="38" t="s">
        <v>37</v>
      </c>
      <c r="J36" s="5"/>
      <c r="K36" s="5">
        <v>7438</v>
      </c>
      <c r="L36" s="35" t="s">
        <v>19</v>
      </c>
      <c r="M36" s="5">
        <v>16</v>
      </c>
      <c r="N36" s="39">
        <f>(M36*K36)/1000</f>
        <v>119.008</v>
      </c>
      <c r="O36" s="5">
        <v>0</v>
      </c>
      <c r="P36" s="39">
        <v>0</v>
      </c>
      <c r="Q36" s="36"/>
      <c r="R36" s="38"/>
      <c r="S36" s="5"/>
      <c r="T36" s="5"/>
      <c r="U36" s="5"/>
      <c r="V36" s="5"/>
      <c r="W36" s="39"/>
      <c r="X36" s="5"/>
      <c r="Y36" s="39"/>
    </row>
    <row r="37" spans="1:25" ht="12.75" customHeight="1" x14ac:dyDescent="0.25">
      <c r="A37" s="36"/>
      <c r="B37" s="3"/>
      <c r="C37" s="3"/>
      <c r="D37" s="37"/>
      <c r="E37" s="3"/>
      <c r="F37" s="37"/>
      <c r="G37" s="3"/>
      <c r="H37" s="37"/>
      <c r="I37" s="38" t="s">
        <v>31</v>
      </c>
      <c r="J37" s="5"/>
      <c r="K37" s="5">
        <v>20613</v>
      </c>
      <c r="L37" s="39" t="s">
        <v>19</v>
      </c>
      <c r="M37" s="5">
        <v>0</v>
      </c>
      <c r="N37" s="39">
        <f>(M37*K37)/1000</f>
        <v>0</v>
      </c>
      <c r="O37" s="5">
        <v>14</v>
      </c>
      <c r="P37" s="39">
        <f>(O37*K37)/1000</f>
        <v>288.58199999999999</v>
      </c>
      <c r="Q37" s="36"/>
      <c r="R37" s="5"/>
      <c r="S37" s="5"/>
      <c r="T37" s="5"/>
      <c r="U37" s="5"/>
      <c r="V37" s="5"/>
      <c r="W37" s="39"/>
      <c r="X37" s="5"/>
      <c r="Y37" s="39"/>
    </row>
    <row r="38" spans="1:25" ht="15.75" thickBot="1" x14ac:dyDescent="0.3">
      <c r="A38" s="36"/>
      <c r="B38" s="3"/>
      <c r="C38" s="3"/>
      <c r="D38" s="37"/>
      <c r="E38" s="3"/>
      <c r="F38" s="37"/>
      <c r="G38" s="3"/>
      <c r="H38" s="37"/>
      <c r="I38" s="38"/>
      <c r="J38" s="5"/>
      <c r="K38" s="44" t="s">
        <v>32</v>
      </c>
      <c r="L38" s="48"/>
      <c r="M38" s="52">
        <f>SUM(M36:M37)</f>
        <v>16</v>
      </c>
      <c r="N38" s="53">
        <f>SUM(N36:N37)</f>
        <v>119.008</v>
      </c>
      <c r="O38" s="52">
        <f>SUM(O36:O37)</f>
        <v>14</v>
      </c>
      <c r="P38" s="53">
        <f>SUM(P36:P37)</f>
        <v>288.58199999999999</v>
      </c>
      <c r="Q38" s="36"/>
      <c r="R38" s="13"/>
      <c r="S38" s="13"/>
      <c r="T38" s="13"/>
      <c r="U38" s="13"/>
      <c r="V38" s="13"/>
      <c r="W38" s="13"/>
      <c r="X38" s="13"/>
      <c r="Y38" s="13"/>
    </row>
    <row r="39" spans="1:25" ht="15.75" thickTop="1" x14ac:dyDescent="0.25">
      <c r="D39" s="42"/>
      <c r="E39" s="54"/>
      <c r="F39" s="55"/>
      <c r="G39" s="54"/>
      <c r="H39" s="55"/>
      <c r="I39" s="33" t="s">
        <v>38</v>
      </c>
      <c r="J39" s="5"/>
      <c r="K39" s="34" t="s">
        <v>1</v>
      </c>
      <c r="L39" s="35" t="s">
        <v>2</v>
      </c>
      <c r="M39" s="5"/>
      <c r="N39" s="5"/>
      <c r="O39" s="5"/>
      <c r="P39" s="5"/>
      <c r="R39" s="13"/>
      <c r="S39" s="13"/>
      <c r="T39" s="13"/>
      <c r="U39" s="7"/>
      <c r="V39" s="7"/>
      <c r="W39" s="7"/>
      <c r="X39" s="7"/>
      <c r="Y39" s="7"/>
    </row>
    <row r="40" spans="1:25" x14ac:dyDescent="0.25">
      <c r="B40" s="3"/>
      <c r="C40" s="3"/>
      <c r="D40" s="3"/>
      <c r="E40" s="32"/>
      <c r="F40" s="32"/>
      <c r="G40" s="32"/>
      <c r="H40" s="43"/>
      <c r="I40" s="38" t="s">
        <v>19</v>
      </c>
      <c r="J40" s="5"/>
      <c r="K40" s="5"/>
      <c r="L40" s="39">
        <v>4458</v>
      </c>
      <c r="M40" s="5"/>
      <c r="N40" s="39" t="s">
        <v>19</v>
      </c>
      <c r="O40" s="5">
        <v>2</v>
      </c>
      <c r="P40" s="39">
        <f>(O40*L40)/1000</f>
        <v>8.9160000000000004</v>
      </c>
    </row>
    <row r="41" spans="1:25" ht="15.75" thickBot="1" x14ac:dyDescent="0.3">
      <c r="A41" s="32"/>
      <c r="B41" s="3"/>
      <c r="C41" s="3"/>
      <c r="D41" s="3"/>
      <c r="E41" s="3"/>
      <c r="F41" s="3"/>
      <c r="G41" s="3"/>
      <c r="H41" s="3"/>
      <c r="I41" s="38" t="s">
        <v>19</v>
      </c>
      <c r="J41" s="5"/>
      <c r="K41" s="44" t="s">
        <v>32</v>
      </c>
      <c r="L41" s="48"/>
      <c r="M41" s="52">
        <f>SUM(M40)</f>
        <v>0</v>
      </c>
      <c r="N41" s="53">
        <f>SUM(N40)</f>
        <v>0</v>
      </c>
      <c r="O41" s="52">
        <f>SUM(O40)</f>
        <v>2</v>
      </c>
      <c r="P41" s="53">
        <f>SUM(P40)</f>
        <v>8.9160000000000004</v>
      </c>
      <c r="Q41" s="32"/>
      <c r="S41" s="3"/>
      <c r="T41" s="3"/>
      <c r="U41" s="3"/>
      <c r="V41" s="3"/>
      <c r="W41" s="3"/>
      <c r="X41" s="3"/>
      <c r="Y41" s="3"/>
    </row>
    <row r="42" spans="1:25" ht="15.75" thickTop="1" x14ac:dyDescent="0.25">
      <c r="A42" s="36"/>
      <c r="B42" s="3"/>
      <c r="C42" s="3"/>
      <c r="D42" s="37"/>
      <c r="E42" s="3"/>
      <c r="F42" s="37"/>
      <c r="G42" s="3"/>
      <c r="H42" s="37"/>
      <c r="I42" s="33" t="s">
        <v>39</v>
      </c>
      <c r="J42" s="5"/>
      <c r="K42" s="5"/>
      <c r="L42" s="5"/>
      <c r="M42" s="5"/>
      <c r="N42" s="5"/>
      <c r="O42" s="5"/>
      <c r="P42" s="5"/>
      <c r="Q42" s="36"/>
      <c r="R42" s="32"/>
      <c r="S42" s="3"/>
      <c r="T42" s="3"/>
      <c r="U42" s="56"/>
      <c r="Y42" s="57"/>
    </row>
    <row r="43" spans="1:25" x14ac:dyDescent="0.25">
      <c r="A43" s="36"/>
      <c r="B43" s="3"/>
      <c r="C43" s="3"/>
      <c r="D43" s="37"/>
      <c r="E43" s="3"/>
      <c r="F43" s="37"/>
      <c r="G43" s="3"/>
      <c r="H43" s="37"/>
      <c r="I43" s="38"/>
      <c r="J43" s="5"/>
      <c r="K43" s="34" t="s">
        <v>1</v>
      </c>
      <c r="L43" s="35" t="s">
        <v>2</v>
      </c>
      <c r="M43" s="5" t="s">
        <v>19</v>
      </c>
      <c r="N43" s="39" t="s">
        <v>19</v>
      </c>
      <c r="O43" s="5" t="s">
        <v>19</v>
      </c>
      <c r="P43" s="39" t="s">
        <v>19</v>
      </c>
      <c r="Q43" s="36"/>
      <c r="R43" s="36"/>
      <c r="S43" s="3"/>
      <c r="T43" s="3"/>
      <c r="U43" s="58"/>
      <c r="V43" s="3"/>
      <c r="W43" s="37"/>
      <c r="X43" s="3"/>
      <c r="Y43" s="57"/>
    </row>
    <row r="44" spans="1:25" x14ac:dyDescent="0.25">
      <c r="B44" s="3"/>
      <c r="C44" s="3"/>
      <c r="D44" s="43"/>
      <c r="E44" s="32"/>
      <c r="F44" s="32"/>
      <c r="G44" s="32"/>
      <c r="H44" s="59"/>
      <c r="I44" s="38"/>
      <c r="J44" s="5"/>
      <c r="K44" s="5">
        <v>10411</v>
      </c>
      <c r="L44" s="39">
        <v>34024</v>
      </c>
      <c r="M44" s="5">
        <v>18</v>
      </c>
      <c r="N44" s="39">
        <f>(M44*K44)/1000</f>
        <v>187.398</v>
      </c>
      <c r="O44" s="5">
        <v>17</v>
      </c>
      <c r="P44" s="39">
        <f>(O44*L44)/1000</f>
        <v>578.40800000000002</v>
      </c>
      <c r="R44" s="38"/>
      <c r="S44" s="5"/>
      <c r="T44" s="5"/>
      <c r="U44" s="5"/>
      <c r="V44" s="5"/>
      <c r="W44" s="5"/>
      <c r="X44" s="5"/>
      <c r="Y44" s="5"/>
    </row>
    <row r="45" spans="1:25" ht="15.75" thickBot="1" x14ac:dyDescent="0.3">
      <c r="I45" s="38"/>
      <c r="J45" s="5"/>
      <c r="K45" s="44" t="s">
        <v>32</v>
      </c>
      <c r="L45" s="48"/>
      <c r="M45" s="52">
        <f>SUM(M44)</f>
        <v>18</v>
      </c>
      <c r="N45" s="53">
        <f>SUM(N44)</f>
        <v>187.398</v>
      </c>
      <c r="O45" s="52">
        <f>SUM(O44)</f>
        <v>17</v>
      </c>
      <c r="P45" s="53">
        <f>SUM(P44)</f>
        <v>578.40800000000002</v>
      </c>
      <c r="R45" s="38"/>
      <c r="S45" s="5"/>
      <c r="T45" s="5"/>
      <c r="U45" s="5"/>
      <c r="V45" s="5"/>
      <c r="W45" s="39"/>
      <c r="X45" s="5"/>
      <c r="Y45" s="39"/>
    </row>
    <row r="46" spans="1:25" ht="15.75" thickTop="1" x14ac:dyDescent="0.25">
      <c r="A46" s="32"/>
      <c r="B46" s="3"/>
      <c r="C46" s="3"/>
      <c r="D46" s="3"/>
      <c r="E46" s="3"/>
      <c r="F46" s="3"/>
      <c r="G46" s="3"/>
      <c r="H46" s="3"/>
      <c r="I46" s="50" t="s">
        <v>40</v>
      </c>
      <c r="J46" s="5"/>
      <c r="K46" s="5"/>
      <c r="L46" s="39"/>
      <c r="M46" s="5"/>
      <c r="N46" s="39"/>
      <c r="O46" s="5"/>
      <c r="P46" s="39"/>
      <c r="Q46" s="32"/>
      <c r="R46" s="5"/>
      <c r="S46" s="5"/>
      <c r="T46" s="5"/>
      <c r="U46" s="5"/>
      <c r="V46" s="5"/>
      <c r="W46" s="39"/>
      <c r="X46" s="5"/>
      <c r="Y46" s="39"/>
    </row>
    <row r="47" spans="1:25" x14ac:dyDescent="0.25">
      <c r="A47" s="36"/>
      <c r="B47" s="3"/>
      <c r="C47" s="3"/>
      <c r="D47" s="37"/>
      <c r="E47" s="3"/>
      <c r="F47" s="37"/>
      <c r="G47" s="3"/>
      <c r="H47" s="37"/>
      <c r="I47" s="38"/>
      <c r="J47" s="5" t="s">
        <v>41</v>
      </c>
      <c r="K47" s="5"/>
      <c r="L47" s="39">
        <v>371417</v>
      </c>
      <c r="M47" s="5" t="s">
        <v>19</v>
      </c>
      <c r="N47" s="39" t="s">
        <v>19</v>
      </c>
      <c r="O47" s="5">
        <v>3</v>
      </c>
      <c r="P47" s="39">
        <f>(O47*L47)/1000</f>
        <v>1114.251</v>
      </c>
      <c r="Q47" s="36"/>
      <c r="R47" s="13"/>
      <c r="S47" s="13"/>
      <c r="T47" s="13"/>
      <c r="U47" s="13"/>
      <c r="V47" s="13"/>
      <c r="W47" s="13"/>
      <c r="X47" s="13"/>
      <c r="Y47" s="13"/>
    </row>
    <row r="48" spans="1:25" x14ac:dyDescent="0.25">
      <c r="B48" s="3"/>
      <c r="C48" s="3"/>
      <c r="D48" s="32"/>
      <c r="E48" s="32"/>
      <c r="F48" s="32"/>
      <c r="G48" s="32"/>
      <c r="H48" s="59"/>
      <c r="I48" s="38"/>
      <c r="J48" s="5" t="s">
        <v>42</v>
      </c>
      <c r="K48" s="51"/>
      <c r="L48" s="39">
        <v>370738</v>
      </c>
      <c r="M48" s="5"/>
      <c r="N48" s="39"/>
      <c r="O48" s="5">
        <v>2</v>
      </c>
      <c r="P48" s="39">
        <f>(O48*L48)/1000</f>
        <v>741.476</v>
      </c>
      <c r="R48" s="13"/>
      <c r="S48" s="13"/>
      <c r="T48" s="13"/>
      <c r="U48" s="7"/>
      <c r="V48" s="7"/>
      <c r="W48" s="7"/>
      <c r="X48" s="7"/>
      <c r="Y48" s="7"/>
    </row>
    <row r="49" spans="1:25" x14ac:dyDescent="0.25">
      <c r="B49" s="3"/>
      <c r="C49" s="3"/>
      <c r="D49" s="3"/>
      <c r="E49" s="3"/>
      <c r="F49" s="3"/>
      <c r="G49" s="3"/>
      <c r="H49" s="3"/>
      <c r="I49" s="5"/>
      <c r="J49" s="5" t="s">
        <v>43</v>
      </c>
      <c r="K49" s="5"/>
      <c r="L49" s="39"/>
      <c r="M49" s="5"/>
      <c r="N49" s="39"/>
      <c r="O49" s="5">
        <v>1</v>
      </c>
      <c r="P49" s="39">
        <f>(O49*L49)/1000</f>
        <v>0</v>
      </c>
    </row>
    <row r="50" spans="1:25" x14ac:dyDescent="0.25">
      <c r="A50" s="32"/>
      <c r="B50" s="3"/>
      <c r="C50" s="3"/>
      <c r="D50" s="3"/>
      <c r="E50" s="3"/>
      <c r="F50" s="3"/>
      <c r="G50" s="3"/>
      <c r="H50" s="3"/>
      <c r="I50" s="38"/>
      <c r="J50" s="5"/>
      <c r="K50" s="5"/>
      <c r="L50" s="8" t="s">
        <v>32</v>
      </c>
      <c r="M50" s="41"/>
      <c r="N50" s="41"/>
      <c r="O50" s="41">
        <f>SUM(O47:O49)</f>
        <v>6</v>
      </c>
      <c r="P50" s="41">
        <f>SUM(P47:P49)</f>
        <v>1855.7269999999999</v>
      </c>
      <c r="Q50" s="32"/>
      <c r="S50" s="3"/>
      <c r="T50" s="3"/>
      <c r="U50" s="3"/>
      <c r="V50" s="3"/>
      <c r="W50" s="3"/>
      <c r="X50" s="3"/>
      <c r="Y50" s="3"/>
    </row>
    <row r="51" spans="1:25" x14ac:dyDescent="0.25">
      <c r="A51" s="36"/>
      <c r="B51" s="3"/>
      <c r="C51" s="3"/>
      <c r="D51" s="37"/>
      <c r="E51" s="3"/>
      <c r="F51" s="37"/>
      <c r="G51" s="3"/>
      <c r="H51" s="37"/>
      <c r="I51" s="38"/>
      <c r="J51" s="5"/>
      <c r="K51" s="5"/>
      <c r="L51" s="13"/>
      <c r="M51" s="13"/>
      <c r="N51" s="13"/>
      <c r="O51" s="13"/>
      <c r="P51" s="13"/>
      <c r="Q51" s="36"/>
      <c r="R51" s="32"/>
      <c r="S51" s="3"/>
      <c r="T51" s="3"/>
      <c r="U51" s="56"/>
      <c r="Y51" s="57"/>
    </row>
    <row r="52" spans="1:25" ht="15.75" thickBot="1" x14ac:dyDescent="0.3">
      <c r="B52" s="3"/>
      <c r="C52" s="3"/>
      <c r="D52" s="32"/>
      <c r="E52" s="32"/>
      <c r="F52" s="32"/>
      <c r="G52" s="32"/>
      <c r="H52" s="59"/>
      <c r="I52" s="5"/>
      <c r="J52" s="5"/>
      <c r="K52" s="5"/>
      <c r="L52" s="60" t="s">
        <v>35</v>
      </c>
      <c r="M52" s="60">
        <f>M29+M34+M38+M45</f>
        <v>6612</v>
      </c>
      <c r="N52" s="61">
        <f>N29+N34+N38+N41+N45</f>
        <v>22710.392</v>
      </c>
      <c r="O52" s="60">
        <f>O29+O34+O38+O41+O45+O50</f>
        <v>657</v>
      </c>
      <c r="P52" s="61">
        <f>P29+P34+P38+P41+P45+P50</f>
        <v>5069.6570000000002</v>
      </c>
      <c r="R52" s="36"/>
      <c r="S52" s="3"/>
      <c r="T52" s="3"/>
      <c r="U52" s="58"/>
      <c r="V52" s="3"/>
      <c r="W52" s="37"/>
      <c r="X52" s="3"/>
      <c r="Y52" s="62"/>
    </row>
    <row r="53" spans="1:25" ht="15.75" thickTop="1" x14ac:dyDescent="0.25">
      <c r="B53" s="3"/>
      <c r="C53" s="3"/>
      <c r="D53" s="3"/>
      <c r="E53" s="3"/>
      <c r="F53" s="3"/>
      <c r="G53" s="3"/>
      <c r="H53" s="3"/>
      <c r="I53" s="13"/>
      <c r="J53" s="13"/>
      <c r="K53" s="13"/>
      <c r="R53" s="3"/>
      <c r="S53" s="3"/>
      <c r="T53" s="3"/>
      <c r="U53" s="3"/>
      <c r="V53" s="3"/>
    </row>
    <row r="54" spans="1:25" x14ac:dyDescent="0.25">
      <c r="A54" s="32"/>
      <c r="B54" s="3"/>
      <c r="C54" s="3"/>
      <c r="D54" s="3"/>
      <c r="E54" s="3"/>
      <c r="F54" s="3"/>
      <c r="G54" s="3"/>
      <c r="H54" s="3"/>
      <c r="I54" s="13"/>
      <c r="J54" s="13"/>
      <c r="K54" s="13"/>
      <c r="L54" s="3"/>
      <c r="M54" s="3"/>
      <c r="N54" s="3"/>
      <c r="O54" s="3"/>
      <c r="P54" s="3"/>
      <c r="Q54" s="32"/>
      <c r="R54" s="3"/>
      <c r="S54" s="3"/>
      <c r="T54" s="3"/>
      <c r="U54" s="3"/>
      <c r="V54" s="3"/>
    </row>
    <row r="55" spans="1:25" x14ac:dyDescent="0.25">
      <c r="A55" s="36"/>
      <c r="B55" s="3"/>
      <c r="C55" s="3"/>
      <c r="D55" s="37"/>
      <c r="E55" s="3"/>
      <c r="F55" s="37"/>
      <c r="G55" s="3"/>
      <c r="H55" s="37"/>
      <c r="L55" s="56" t="s">
        <v>44</v>
      </c>
      <c r="P55" s="63">
        <v>673166000</v>
      </c>
      <c r="Q55" s="36"/>
      <c r="R55" s="3"/>
      <c r="S55" s="3"/>
      <c r="T55" s="3"/>
      <c r="U55" s="37"/>
      <c r="V55" s="37"/>
    </row>
    <row r="56" spans="1:25" x14ac:dyDescent="0.25">
      <c r="A56" s="36"/>
      <c r="B56" s="3"/>
      <c r="C56" s="3"/>
      <c r="D56" s="37"/>
      <c r="E56" s="3"/>
      <c r="F56" s="37"/>
      <c r="G56" s="3"/>
      <c r="H56" s="37"/>
      <c r="J56" s="3"/>
      <c r="K56" s="3"/>
      <c r="L56" s="58" t="s">
        <v>45</v>
      </c>
      <c r="M56" s="3"/>
      <c r="N56" s="37"/>
      <c r="O56" s="64" t="s">
        <v>46</v>
      </c>
      <c r="Q56" s="36"/>
      <c r="R56" s="3"/>
      <c r="S56" s="3"/>
      <c r="T56" s="3"/>
      <c r="U56" s="37"/>
      <c r="V56" s="37"/>
    </row>
    <row r="57" spans="1:25" x14ac:dyDescent="0.25">
      <c r="B57" s="3"/>
      <c r="C57" s="3"/>
      <c r="D57" s="32"/>
      <c r="E57" s="32"/>
      <c r="F57" s="59"/>
      <c r="G57" s="32"/>
      <c r="H57" s="59"/>
      <c r="I57" s="32"/>
      <c r="J57" s="3"/>
      <c r="K57" s="3"/>
      <c r="L57" s="37"/>
      <c r="M57" s="3"/>
      <c r="N57" s="37"/>
      <c r="O57" s="3"/>
      <c r="P57" s="37"/>
      <c r="R57" s="3"/>
      <c r="S57" s="3"/>
      <c r="T57" s="3"/>
      <c r="U57" s="32"/>
      <c r="V57" s="59"/>
    </row>
    <row r="58" spans="1:25" x14ac:dyDescent="0.25">
      <c r="A58" s="3"/>
      <c r="B58" s="3"/>
      <c r="C58" s="3"/>
      <c r="D58" s="3"/>
      <c r="E58" s="3"/>
      <c r="F58" s="3"/>
      <c r="G58" s="3"/>
      <c r="H58" s="3"/>
      <c r="I58" s="36"/>
      <c r="J58" s="3"/>
      <c r="K58" s="3"/>
      <c r="L58" s="32"/>
      <c r="M58" s="32"/>
      <c r="N58" s="59"/>
      <c r="O58" s="32"/>
      <c r="P58" s="59"/>
      <c r="Q58" s="3"/>
      <c r="R58" s="3"/>
      <c r="S58" s="3"/>
      <c r="T58" s="3"/>
      <c r="U58" s="3"/>
      <c r="V58" s="3"/>
    </row>
    <row r="59" spans="1:25" x14ac:dyDescent="0.25">
      <c r="A59" s="3"/>
      <c r="B59" s="3"/>
      <c r="C59" s="3"/>
      <c r="D59" s="6"/>
      <c r="E59" s="6"/>
      <c r="F59" s="65"/>
      <c r="G59" s="6"/>
      <c r="H59" s="65"/>
      <c r="I59" s="3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6"/>
      <c r="V59" s="65"/>
    </row>
    <row r="60" spans="1:25" x14ac:dyDescent="0.25">
      <c r="J60" s="3"/>
      <c r="K60" s="3"/>
    </row>
    <row r="61" spans="1:25" x14ac:dyDescent="0.25">
      <c r="I61" s="3"/>
      <c r="J61" s="3"/>
      <c r="K61" s="3"/>
    </row>
    <row r="62" spans="1:25" x14ac:dyDescent="0.25">
      <c r="I62" s="3"/>
      <c r="J62" s="3"/>
      <c r="K62" s="3"/>
    </row>
  </sheetData>
  <mergeCells count="2">
    <mergeCell ref="K6:L6"/>
    <mergeCell ref="T6:U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B0E3-AE99-48CC-8ECF-648295986023}">
  <dimension ref="A1:L57"/>
  <sheetViews>
    <sheetView workbookViewId="0">
      <selection activeCell="I20" sqref="I20"/>
    </sheetView>
  </sheetViews>
  <sheetFormatPr defaultRowHeight="15" x14ac:dyDescent="0.25"/>
  <cols>
    <col min="1" max="1" width="10.42578125" customWidth="1"/>
    <col min="3" max="4" width="10.140625" bestFit="1" customWidth="1"/>
    <col min="7" max="7" width="10.28515625" bestFit="1" customWidth="1"/>
    <col min="8" max="9" width="10.85546875" bestFit="1" customWidth="1"/>
    <col min="12" max="12" width="10.85546875" bestFit="1" customWidth="1"/>
  </cols>
  <sheetData>
    <row r="1" spans="1:12" x14ac:dyDescent="0.2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</row>
    <row r="3" spans="1:12" x14ac:dyDescent="0.25">
      <c r="A3" s="67"/>
      <c r="B3" s="67"/>
      <c r="C3" s="67"/>
      <c r="D3" s="67"/>
      <c r="E3" s="56"/>
      <c r="F3" s="56"/>
      <c r="G3" s="67"/>
      <c r="H3" s="67"/>
      <c r="I3" s="67"/>
      <c r="J3" s="67"/>
      <c r="K3" s="67"/>
      <c r="L3" s="67"/>
    </row>
    <row r="4" spans="1:12" x14ac:dyDescent="0.25">
      <c r="A4" s="56"/>
      <c r="B4" s="69"/>
      <c r="C4" s="70"/>
      <c r="D4" s="71"/>
    </row>
    <row r="5" spans="1:12" x14ac:dyDescent="0.25">
      <c r="A5" s="70" t="s">
        <v>48</v>
      </c>
      <c r="B5" s="67"/>
      <c r="C5" s="56"/>
      <c r="D5" s="72" t="s">
        <v>49</v>
      </c>
      <c r="E5" s="73"/>
      <c r="F5" s="74" t="s">
        <v>1</v>
      </c>
      <c r="G5" s="75"/>
      <c r="H5" s="56"/>
      <c r="I5" s="72" t="s">
        <v>49</v>
      </c>
      <c r="J5" s="75"/>
      <c r="K5" s="74" t="s">
        <v>2</v>
      </c>
      <c r="L5" s="75"/>
    </row>
    <row r="6" spans="1:12" x14ac:dyDescent="0.25">
      <c r="A6" s="70"/>
      <c r="B6" s="67"/>
      <c r="C6" s="69" t="s">
        <v>49</v>
      </c>
      <c r="D6" s="76" t="s">
        <v>50</v>
      </c>
      <c r="E6" s="77" t="s">
        <v>3</v>
      </c>
      <c r="F6" s="78" t="s">
        <v>4</v>
      </c>
      <c r="G6" s="79" t="s">
        <v>51</v>
      </c>
      <c r="H6" s="69" t="s">
        <v>49</v>
      </c>
      <c r="I6" s="76" t="s">
        <v>50</v>
      </c>
      <c r="J6" s="80" t="s">
        <v>3</v>
      </c>
      <c r="K6" s="78" t="s">
        <v>4</v>
      </c>
      <c r="L6" s="79" t="s">
        <v>51</v>
      </c>
    </row>
    <row r="7" spans="1:12" x14ac:dyDescent="0.25">
      <c r="A7" s="81"/>
      <c r="B7" s="82"/>
      <c r="C7" s="81" t="s">
        <v>1</v>
      </c>
      <c r="D7" s="83" t="s">
        <v>1</v>
      </c>
      <c r="E7" s="84" t="s">
        <v>7</v>
      </c>
      <c r="F7" s="85" t="s">
        <v>8</v>
      </c>
      <c r="G7" s="86"/>
      <c r="H7" s="81" t="s">
        <v>2</v>
      </c>
      <c r="I7" s="83" t="s">
        <v>2</v>
      </c>
      <c r="J7" s="84" t="s">
        <v>7</v>
      </c>
      <c r="K7" s="85" t="s">
        <v>8</v>
      </c>
      <c r="L7" s="86"/>
    </row>
    <row r="8" spans="1:12" x14ac:dyDescent="0.25">
      <c r="A8" s="33" t="s">
        <v>9</v>
      </c>
      <c r="B8" s="5"/>
      <c r="C8" s="67"/>
      <c r="D8" s="87"/>
      <c r="E8" s="88"/>
      <c r="F8" s="88"/>
      <c r="G8" s="67"/>
      <c r="H8" s="67"/>
      <c r="I8" s="67"/>
      <c r="J8" s="88"/>
      <c r="K8" s="88"/>
      <c r="L8" s="67"/>
    </row>
    <row r="9" spans="1:12" x14ac:dyDescent="0.25">
      <c r="A9" s="38" t="str">
        <f>[1]Usage!Q8</f>
        <v xml:space="preserve">         0 -   1,000 Gal.</v>
      </c>
      <c r="B9" s="5"/>
      <c r="C9" s="39">
        <v>754</v>
      </c>
      <c r="D9" s="89">
        <f>'[1]Existing Rates'!B3</f>
        <v>19.420000000000002</v>
      </c>
      <c r="E9" s="67">
        <f>+[1]Usage!U8</f>
        <v>1103</v>
      </c>
      <c r="F9" s="58">
        <f t="shared" ref="F9:F29" si="0">(E9*C9)/1000</f>
        <v>831.66200000000003</v>
      </c>
      <c r="G9" s="90">
        <f t="shared" ref="G9:G29" si="1">D9*E9</f>
        <v>21420.260000000002</v>
      </c>
      <c r="H9" s="58">
        <f>[1]Usage!T8</f>
        <v>855</v>
      </c>
      <c r="I9" s="89">
        <f>'[1]Existing Rates'!B3</f>
        <v>19.420000000000002</v>
      </c>
      <c r="J9" s="67">
        <f>+[1]Usage!W8</f>
        <v>104</v>
      </c>
      <c r="K9" s="58">
        <f t="shared" ref="K9:K16" si="2">(J9*H9)/1000</f>
        <v>88.92</v>
      </c>
      <c r="L9" s="90">
        <f t="shared" ref="L9:L16" si="3">I9*J9</f>
        <v>2019.6800000000003</v>
      </c>
    </row>
    <row r="10" spans="1:12" x14ac:dyDescent="0.25">
      <c r="A10" s="38" t="str">
        <f>[1]Usage!Q9</f>
        <v xml:space="preserve">   1,001 -   2,000 Gal.</v>
      </c>
      <c r="B10" s="5"/>
      <c r="C10" s="39">
        <v>1051</v>
      </c>
      <c r="D10" s="89">
        <f>'[1]Existing Rates'!B3</f>
        <v>19.420000000000002</v>
      </c>
      <c r="E10" s="67">
        <f>+[1]Usage!U9</f>
        <v>995</v>
      </c>
      <c r="F10" s="58">
        <f t="shared" si="0"/>
        <v>1045.7449999999999</v>
      </c>
      <c r="G10" s="90">
        <f t="shared" si="1"/>
        <v>19322.900000000001</v>
      </c>
      <c r="H10" s="58">
        <f>[1]Usage!T9</f>
        <v>1950</v>
      </c>
      <c r="I10" s="89">
        <f>'[1]Existing Rates'!B3</f>
        <v>19.420000000000002</v>
      </c>
      <c r="J10" s="67">
        <f>+[1]Usage!W9</f>
        <v>92</v>
      </c>
      <c r="K10" s="58">
        <f t="shared" si="2"/>
        <v>179.4</v>
      </c>
      <c r="L10" s="90">
        <f t="shared" si="3"/>
        <v>1786.64</v>
      </c>
    </row>
    <row r="11" spans="1:12" x14ac:dyDescent="0.25">
      <c r="A11" s="38" t="str">
        <f>[1]Usage!Q10</f>
        <v xml:space="preserve">   2,001 -   3,000 Gal.</v>
      </c>
      <c r="B11" s="5"/>
      <c r="C11" s="39">
        <v>2050</v>
      </c>
      <c r="D11" s="89">
        <f>19.42+(('[1]Existing Rates'!B4/1000)*(C11-2000))</f>
        <v>19.828500000000002</v>
      </c>
      <c r="E11" s="67">
        <f>+[1]Usage!U10</f>
        <v>1112</v>
      </c>
      <c r="F11" s="58">
        <f t="shared" si="0"/>
        <v>2279.6</v>
      </c>
      <c r="G11" s="90">
        <f t="shared" si="1"/>
        <v>22049.292000000001</v>
      </c>
      <c r="H11" s="58">
        <f>[1]Usage!T10</f>
        <v>2800</v>
      </c>
      <c r="I11" s="89">
        <f>19.42+(('[1]Existing Rates'!B4/1000)*(H11-2000))</f>
        <v>25.956000000000003</v>
      </c>
      <c r="J11" s="67">
        <f>+[1]Usage!W10</f>
        <v>99</v>
      </c>
      <c r="K11" s="58">
        <f t="shared" si="2"/>
        <v>277.2</v>
      </c>
      <c r="L11" s="90">
        <f t="shared" si="3"/>
        <v>2569.6440000000002</v>
      </c>
    </row>
    <row r="12" spans="1:12" x14ac:dyDescent="0.25">
      <c r="A12" s="38" t="str">
        <f>[1]Usage!Q11</f>
        <v xml:space="preserve">   3,001 -   4,000 Gal.</v>
      </c>
      <c r="B12" s="5"/>
      <c r="C12" s="39">
        <v>3046</v>
      </c>
      <c r="D12" s="89">
        <f>27.59+(('[1]Existing Rates'!B4/1000)*(C12-3000))</f>
        <v>27.965820000000001</v>
      </c>
      <c r="E12" s="67">
        <f>+[1]Usage!U11</f>
        <v>998</v>
      </c>
      <c r="F12" s="58">
        <f t="shared" si="0"/>
        <v>3039.9079999999999</v>
      </c>
      <c r="G12" s="90">
        <f t="shared" si="1"/>
        <v>27909.888360000001</v>
      </c>
      <c r="H12" s="58">
        <f>[1]Usage!T11</f>
        <v>3850</v>
      </c>
      <c r="I12" s="89">
        <f>27.59+(('[1]Existing Rates'!B4/1000)*(H12-3000))</f>
        <v>34.534500000000001</v>
      </c>
      <c r="J12" s="67">
        <f>+[1]Usage!W11</f>
        <v>97</v>
      </c>
      <c r="K12" s="58">
        <f t="shared" si="2"/>
        <v>373.45</v>
      </c>
      <c r="L12" s="90">
        <f t="shared" si="3"/>
        <v>3349.8465000000001</v>
      </c>
    </row>
    <row r="13" spans="1:12" x14ac:dyDescent="0.25">
      <c r="A13" s="38" t="str">
        <f>[1]Usage!Q12</f>
        <v xml:space="preserve">   4,001 -   5,000 Gal.</v>
      </c>
      <c r="B13" s="5"/>
      <c r="C13" s="39">
        <f>[1]Usage!S12</f>
        <v>4050</v>
      </c>
      <c r="D13" s="89">
        <f>35.76+(('[1]Existing Rates'!B4/1000)*(C13-4000))</f>
        <v>36.168499999999995</v>
      </c>
      <c r="E13" s="67">
        <f>+[1]Usage!U12</f>
        <v>771</v>
      </c>
      <c r="F13" s="58">
        <f t="shared" si="0"/>
        <v>3122.55</v>
      </c>
      <c r="G13" s="90">
        <f t="shared" si="1"/>
        <v>27885.913499999995</v>
      </c>
      <c r="H13" s="58">
        <f>[1]Usage!T12</f>
        <v>4750</v>
      </c>
      <c r="I13" s="89">
        <f>35.76+(('[1]Existing Rates'!B4/1000)*(H13-4000))</f>
        <v>41.887499999999996</v>
      </c>
      <c r="J13" s="67">
        <f>+[1]Usage!W12</f>
        <v>93</v>
      </c>
      <c r="K13" s="58">
        <f t="shared" si="2"/>
        <v>441.75</v>
      </c>
      <c r="L13" s="90">
        <f t="shared" si="3"/>
        <v>3895.5374999999995</v>
      </c>
    </row>
    <row r="14" spans="1:12" x14ac:dyDescent="0.25">
      <c r="A14" s="38" t="str">
        <f>[1]Usage!Q13</f>
        <v xml:space="preserve">   5,001 -   6,000 Gal.</v>
      </c>
      <c r="B14" s="5"/>
      <c r="C14" s="39">
        <f>[1]Usage!S13</f>
        <v>5050</v>
      </c>
      <c r="D14" s="89">
        <f>43.93+(('[1]Existing Rates'!B5/1000)*(C14-5000))</f>
        <v>44.311</v>
      </c>
      <c r="E14" s="67">
        <f>+[1]Usage!U13</f>
        <v>521</v>
      </c>
      <c r="F14" s="58">
        <f t="shared" si="0"/>
        <v>2631.05</v>
      </c>
      <c r="G14" s="90">
        <f t="shared" si="1"/>
        <v>23086.030999999999</v>
      </c>
      <c r="H14" s="58">
        <f>[1]Usage!T13</f>
        <v>5950</v>
      </c>
      <c r="I14" s="89">
        <f>43.93+(('[1]Existing Rates'!B5/1000)*(H14-5000))</f>
        <v>51.168999999999997</v>
      </c>
      <c r="J14" s="67">
        <f>+[1]Usage!W13</f>
        <v>45</v>
      </c>
      <c r="K14" s="58">
        <f t="shared" si="2"/>
        <v>267.75</v>
      </c>
      <c r="L14" s="90">
        <f t="shared" si="3"/>
        <v>2302.605</v>
      </c>
    </row>
    <row r="15" spans="1:12" x14ac:dyDescent="0.25">
      <c r="A15" s="38" t="str">
        <f>[1]Usage!Q14</f>
        <v xml:space="preserve">   6,001 -   7,000 Gal.</v>
      </c>
      <c r="B15" s="5"/>
      <c r="C15" s="39">
        <v>6044</v>
      </c>
      <c r="D15" s="89">
        <f>51.55+(('[1]Existing Rates'!B5/1000)*(C15-6000))</f>
        <v>51.885279999999995</v>
      </c>
      <c r="E15" s="67">
        <f>+[1]Usage!U14</f>
        <v>334</v>
      </c>
      <c r="F15" s="58">
        <f t="shared" si="0"/>
        <v>2018.6959999999999</v>
      </c>
      <c r="G15" s="90">
        <f t="shared" si="1"/>
        <v>17329.683519999999</v>
      </c>
      <c r="H15" s="58">
        <f>[1]Usage!T14</f>
        <v>6900</v>
      </c>
      <c r="I15" s="89">
        <f>51.55+(('[1]Existing Rates'!B5/1000)*(H15-6000))</f>
        <v>58.407999999999994</v>
      </c>
      <c r="J15" s="67">
        <f>+[1]Usage!W14</f>
        <v>39</v>
      </c>
      <c r="K15" s="58">
        <f t="shared" si="2"/>
        <v>269.10000000000002</v>
      </c>
      <c r="L15" s="90">
        <f t="shared" si="3"/>
        <v>2277.9119999999998</v>
      </c>
    </row>
    <row r="16" spans="1:12" x14ac:dyDescent="0.25">
      <c r="A16" s="38" t="str">
        <f>[1]Usage!Q15</f>
        <v xml:space="preserve">   7,001 -   8,000 Gal.</v>
      </c>
      <c r="B16" s="5"/>
      <c r="C16" s="39">
        <v>7200</v>
      </c>
      <c r="D16" s="89">
        <f>59.17+(('[1]Existing Rates'!B5/1000)*(C16-7000))</f>
        <v>60.694000000000003</v>
      </c>
      <c r="E16" s="67">
        <f>+[1]Usage!U15</f>
        <v>221</v>
      </c>
      <c r="F16" s="58">
        <f t="shared" si="0"/>
        <v>1591.2</v>
      </c>
      <c r="G16" s="90">
        <f t="shared" si="1"/>
        <v>13413.374</v>
      </c>
      <c r="H16" s="58">
        <f>[1]Usage!T15</f>
        <v>7950</v>
      </c>
      <c r="I16" s="89">
        <f>59.17+(('[1]Existing Rates'!B5/1000)*(H16-7000))</f>
        <v>66.409000000000006</v>
      </c>
      <c r="J16" s="67">
        <f>+[1]Usage!W15</f>
        <v>37</v>
      </c>
      <c r="K16" s="58">
        <f t="shared" si="2"/>
        <v>294.14999999999998</v>
      </c>
      <c r="L16" s="90">
        <f t="shared" si="3"/>
        <v>2457.1330000000003</v>
      </c>
    </row>
    <row r="17" spans="1:12" x14ac:dyDescent="0.25">
      <c r="A17" s="38" t="str">
        <f>[1]Usage!Q16</f>
        <v xml:space="preserve">   8,001 -   9,000 Gal.</v>
      </c>
      <c r="B17" s="5"/>
      <c r="C17" s="39">
        <v>8050</v>
      </c>
      <c r="D17" s="89">
        <f>66.79+(('[1]Existing Rates'!B5/1000)*(C17-8000))</f>
        <v>67.171000000000006</v>
      </c>
      <c r="E17" s="67">
        <f>+[1]Usage!U16</f>
        <v>143</v>
      </c>
      <c r="F17" s="58">
        <f t="shared" si="0"/>
        <v>1151.1500000000001</v>
      </c>
      <c r="G17" s="90">
        <f t="shared" si="1"/>
        <v>9605.4530000000013</v>
      </c>
      <c r="H17" s="90"/>
      <c r="I17" s="90"/>
      <c r="J17" s="67">
        <f>+[1]Usage!W16</f>
        <v>0</v>
      </c>
      <c r="K17" s="58">
        <v>0</v>
      </c>
      <c r="L17" s="90">
        <v>0</v>
      </c>
    </row>
    <row r="18" spans="1:12" x14ac:dyDescent="0.25">
      <c r="A18" s="38" t="str">
        <f>[1]Usage!Q17</f>
        <v xml:space="preserve">  9,001 -   10,000 Gal.</v>
      </c>
      <c r="B18" s="5"/>
      <c r="C18" s="39">
        <v>9050</v>
      </c>
      <c r="D18" s="89">
        <f>74.41+(('[1]Existing Rates'!B5/1000)*(C18-9000))</f>
        <v>74.790999999999997</v>
      </c>
      <c r="E18" s="67">
        <f>+[1]Usage!U17</f>
        <v>97</v>
      </c>
      <c r="F18" s="58">
        <f t="shared" si="0"/>
        <v>877.85</v>
      </c>
      <c r="G18" s="90">
        <f t="shared" si="1"/>
        <v>7254.7269999999999</v>
      </c>
      <c r="H18" s="90"/>
      <c r="I18" s="90"/>
      <c r="J18" s="67">
        <v>0</v>
      </c>
      <c r="K18" s="58">
        <v>0</v>
      </c>
      <c r="L18" s="90">
        <v>0</v>
      </c>
    </row>
    <row r="19" spans="1:12" x14ac:dyDescent="0.25">
      <c r="A19" s="38" t="str">
        <f>[1]Usage!Q18</f>
        <v>10,001 -   11,000 Gal.</v>
      </c>
      <c r="B19" s="5"/>
      <c r="C19" s="39">
        <f>[1]Usage!S18</f>
        <v>10250</v>
      </c>
      <c r="D19" s="89">
        <f>82.03+(('[1]Existing Rates'!B5/1000)*(C19-10000))</f>
        <v>83.935000000000002</v>
      </c>
      <c r="E19" s="67">
        <f>+[1]Usage!U18</f>
        <v>68</v>
      </c>
      <c r="F19" s="58">
        <f t="shared" si="0"/>
        <v>697</v>
      </c>
      <c r="G19" s="90">
        <f t="shared" si="1"/>
        <v>5707.58</v>
      </c>
      <c r="H19" s="90"/>
      <c r="I19" s="90"/>
      <c r="J19" s="67">
        <v>0</v>
      </c>
      <c r="K19" s="58">
        <v>0</v>
      </c>
      <c r="L19" s="90">
        <v>0</v>
      </c>
    </row>
    <row r="20" spans="1:12" x14ac:dyDescent="0.25">
      <c r="A20" s="38" t="str">
        <f>[1]Usage!Q19</f>
        <v>11,001 -   12,000 Gal.</v>
      </c>
      <c r="B20" s="5"/>
      <c r="C20" s="39">
        <f>[1]Usage!S19</f>
        <v>11300</v>
      </c>
      <c r="D20" s="89">
        <f>97.27+(('[1]Existing Rates'!B5/1000)*(C20-11000))</f>
        <v>99.555999999999997</v>
      </c>
      <c r="E20" s="67">
        <f>+[1]Usage!U19</f>
        <v>49</v>
      </c>
      <c r="F20" s="58">
        <f t="shared" si="0"/>
        <v>553.70000000000005</v>
      </c>
      <c r="G20" s="90">
        <f t="shared" si="1"/>
        <v>4878.2439999999997</v>
      </c>
      <c r="H20" s="90"/>
      <c r="I20" s="90"/>
      <c r="J20" s="67">
        <v>0</v>
      </c>
      <c r="K20" s="58">
        <v>0</v>
      </c>
      <c r="L20" s="90">
        <v>0</v>
      </c>
    </row>
    <row r="21" spans="1:12" x14ac:dyDescent="0.25">
      <c r="A21" s="38" t="str">
        <f>[1]Usage!Q20</f>
        <v>12,001 -   13,000 Gal.</v>
      </c>
      <c r="B21" s="5"/>
      <c r="C21" s="39">
        <f>[1]Usage!S20</f>
        <v>12200</v>
      </c>
      <c r="D21" s="89">
        <f>104.89+(('[1]Existing Rates'!B5/1000)*(C21-12000))</f>
        <v>106.414</v>
      </c>
      <c r="E21" s="67">
        <f>+[1]Usage!U20</f>
        <v>33</v>
      </c>
      <c r="F21" s="58">
        <f t="shared" si="0"/>
        <v>402.6</v>
      </c>
      <c r="G21" s="90">
        <f t="shared" si="1"/>
        <v>3511.6620000000003</v>
      </c>
      <c r="H21" s="90"/>
      <c r="I21" s="90"/>
      <c r="J21" s="67">
        <v>0</v>
      </c>
      <c r="K21" s="58">
        <v>0</v>
      </c>
      <c r="L21" s="90">
        <v>0</v>
      </c>
    </row>
    <row r="22" spans="1:12" x14ac:dyDescent="0.25">
      <c r="A22" s="38" t="str">
        <f>[1]Usage!Q21</f>
        <v>13,001 -   14,000 Gal.</v>
      </c>
      <c r="B22" s="5"/>
      <c r="C22" s="39">
        <f>[1]Usage!S21</f>
        <v>13100</v>
      </c>
      <c r="D22" s="89">
        <f>112.51+(('[1]Existing Rates'!B5/1000)*(C22-13000))</f>
        <v>113.27200000000001</v>
      </c>
      <c r="E22" s="67">
        <f>+[1]Usage!U21</f>
        <v>23</v>
      </c>
      <c r="F22" s="58">
        <f t="shared" si="0"/>
        <v>301.3</v>
      </c>
      <c r="G22" s="90">
        <f t="shared" si="1"/>
        <v>2605.2560000000003</v>
      </c>
      <c r="H22" s="90"/>
      <c r="I22" s="90"/>
      <c r="J22" s="67">
        <v>0</v>
      </c>
      <c r="K22" s="58">
        <v>0</v>
      </c>
      <c r="L22" s="90">
        <v>0</v>
      </c>
    </row>
    <row r="23" spans="1:12" x14ac:dyDescent="0.25">
      <c r="A23" s="38" t="str">
        <f>[1]Usage!Q22</f>
        <v>14,001 -   15,000 Gal.</v>
      </c>
      <c r="B23" s="5"/>
      <c r="C23" s="39">
        <f>[1]Usage!S22</f>
        <v>14150</v>
      </c>
      <c r="D23" s="89">
        <f>120.13+(('[1]Existing Rates'!B5/1000)*(C23-14000))</f>
        <v>121.273</v>
      </c>
      <c r="E23" s="67">
        <f>+[1]Usage!U22</f>
        <v>20</v>
      </c>
      <c r="F23" s="58">
        <f t="shared" si="0"/>
        <v>283</v>
      </c>
      <c r="G23" s="90">
        <f t="shared" si="1"/>
        <v>2425.46</v>
      </c>
      <c r="H23" s="90"/>
      <c r="I23" s="90"/>
      <c r="J23" s="67">
        <v>0</v>
      </c>
      <c r="K23" s="58">
        <v>0</v>
      </c>
      <c r="L23" s="90">
        <v>0</v>
      </c>
    </row>
    <row r="24" spans="1:12" x14ac:dyDescent="0.25">
      <c r="A24" s="38" t="str">
        <f>[1]Usage!Q23</f>
        <v>15,001 -   16,000 Gal.</v>
      </c>
      <c r="B24" s="5"/>
      <c r="C24" s="39">
        <f>[1]Usage!S23</f>
        <v>15200</v>
      </c>
      <c r="D24" s="89">
        <f>127.58+(('[1]Existing Rates'!B6/1000)*(C24-15000))</f>
        <v>129.07</v>
      </c>
      <c r="E24" s="67">
        <f>+[1]Usage!U23</f>
        <v>16</v>
      </c>
      <c r="F24" s="58">
        <f t="shared" si="0"/>
        <v>243.2</v>
      </c>
      <c r="G24" s="90">
        <f t="shared" si="1"/>
        <v>2065.12</v>
      </c>
      <c r="H24" s="90"/>
      <c r="I24" s="90"/>
      <c r="J24" s="67">
        <v>0</v>
      </c>
      <c r="K24" s="58">
        <v>0</v>
      </c>
      <c r="L24" s="90">
        <v>0</v>
      </c>
    </row>
    <row r="25" spans="1:12" x14ac:dyDescent="0.25">
      <c r="A25" s="38" t="str">
        <f>[1]Usage!Q24</f>
        <v>16,001 -   17,000 Gal.</v>
      </c>
      <c r="B25" s="5"/>
      <c r="C25" s="39">
        <f>[1]Usage!S24</f>
        <v>16150</v>
      </c>
      <c r="D25" s="89">
        <f>135.03+(('[1]Existing Rates'!B6/1000)*(C25-16000))</f>
        <v>136.14750000000001</v>
      </c>
      <c r="E25" s="67">
        <f>+[1]Usage!U24</f>
        <v>13</v>
      </c>
      <c r="F25" s="58">
        <f t="shared" si="0"/>
        <v>209.95</v>
      </c>
      <c r="G25" s="90">
        <f t="shared" si="1"/>
        <v>1769.9175</v>
      </c>
      <c r="H25" s="90"/>
      <c r="I25" s="90"/>
      <c r="J25" s="67">
        <v>0</v>
      </c>
      <c r="K25" s="58">
        <v>0</v>
      </c>
      <c r="L25" s="90">
        <v>0</v>
      </c>
    </row>
    <row r="26" spans="1:12" x14ac:dyDescent="0.25">
      <c r="A26" s="38" t="str">
        <f>[1]Usage!Q25</f>
        <v>17,001 -   18,000 Gal.</v>
      </c>
      <c r="B26" s="5"/>
      <c r="C26" s="39">
        <f>[1]Usage!S25</f>
        <v>17200</v>
      </c>
      <c r="D26" s="89">
        <f>142.48+(('[1]Existing Rates'!B6/1000)*(C26-17000))</f>
        <v>143.97</v>
      </c>
      <c r="E26" s="67">
        <f>+[1]Usage!U25</f>
        <v>10</v>
      </c>
      <c r="F26" s="58">
        <f t="shared" si="0"/>
        <v>172</v>
      </c>
      <c r="G26" s="90">
        <f t="shared" si="1"/>
        <v>1439.7</v>
      </c>
      <c r="H26" s="90"/>
      <c r="I26" s="90"/>
      <c r="J26" s="67">
        <v>0</v>
      </c>
      <c r="K26" s="58">
        <v>0</v>
      </c>
      <c r="L26" s="90">
        <v>0</v>
      </c>
    </row>
    <row r="27" spans="1:12" x14ac:dyDescent="0.25">
      <c r="A27" s="38" t="str">
        <f>[1]Usage!Q26</f>
        <v>18,001 -   19,000 Gal.</v>
      </c>
      <c r="B27" s="5"/>
      <c r="C27" s="39">
        <f>[1]Usage!S26</f>
        <v>18200</v>
      </c>
      <c r="D27" s="89">
        <f>149.93+(('[1]Existing Rates'!B6/1000)*(C27-18000))</f>
        <v>151.42000000000002</v>
      </c>
      <c r="E27" s="67">
        <f>+[1]Usage!U26</f>
        <v>10</v>
      </c>
      <c r="F27" s="58">
        <f t="shared" si="0"/>
        <v>182</v>
      </c>
      <c r="G27" s="90">
        <f t="shared" si="1"/>
        <v>1514.2000000000003</v>
      </c>
      <c r="H27" s="90"/>
      <c r="I27" s="90"/>
      <c r="J27" s="67">
        <v>0</v>
      </c>
      <c r="K27" s="58">
        <v>0</v>
      </c>
      <c r="L27" s="90">
        <v>0</v>
      </c>
    </row>
    <row r="28" spans="1:12" x14ac:dyDescent="0.25">
      <c r="A28" s="38" t="str">
        <f>[1]Usage!Q27</f>
        <v>19,001 -   20,000 Gal.</v>
      </c>
      <c r="B28" s="5"/>
      <c r="C28" s="39">
        <f>[1]Usage!S27</f>
        <v>19300</v>
      </c>
      <c r="D28" s="89">
        <f>157.38+(('[1]Existing Rates'!B6/1000)*(C28-19000))</f>
        <v>159.61500000000001</v>
      </c>
      <c r="E28" s="67">
        <f>+[1]Usage!U27</f>
        <v>7</v>
      </c>
      <c r="F28" s="58">
        <f t="shared" si="0"/>
        <v>135.1</v>
      </c>
      <c r="G28" s="90">
        <f t="shared" si="1"/>
        <v>1117.3050000000001</v>
      </c>
      <c r="H28" s="90"/>
      <c r="I28" s="90"/>
      <c r="J28" s="67">
        <v>0</v>
      </c>
      <c r="K28" s="58">
        <v>0</v>
      </c>
      <c r="L28" s="90">
        <v>0</v>
      </c>
    </row>
    <row r="29" spans="1:12" x14ac:dyDescent="0.25">
      <c r="A29" s="38" t="str">
        <f>[1]Usage!Q28</f>
        <v>20,000 &amp; Over</v>
      </c>
      <c r="B29" s="5"/>
      <c r="C29" s="40">
        <f>[1]Usage!S28</f>
        <v>22500</v>
      </c>
      <c r="D29" s="91">
        <f>164.83+(('[1]Existing Rates'!B8/1000)*(C29-20000))</f>
        <v>181.68</v>
      </c>
      <c r="E29" s="82">
        <f>+[1]Usage!U28</f>
        <v>25</v>
      </c>
      <c r="F29" s="92">
        <f t="shared" si="0"/>
        <v>562.5</v>
      </c>
      <c r="G29" s="93">
        <f t="shared" si="1"/>
        <v>4542</v>
      </c>
      <c r="H29" s="93"/>
      <c r="I29" s="93"/>
      <c r="J29" s="82">
        <v>0</v>
      </c>
      <c r="K29" s="92">
        <v>0</v>
      </c>
      <c r="L29" s="93">
        <v>0</v>
      </c>
    </row>
    <row r="30" spans="1:12" x14ac:dyDescent="0.25">
      <c r="A30" s="38"/>
      <c r="B30" s="5"/>
      <c r="C30" s="44" t="s">
        <v>52</v>
      </c>
      <c r="D30" s="89"/>
      <c r="E30" s="94">
        <f>SUM(E9:E29)</f>
        <v>6569</v>
      </c>
      <c r="F30" s="95">
        <f>SUM(F9:F29)</f>
        <v>22331.760999999999</v>
      </c>
      <c r="G30" s="96">
        <f>SUM(G9:G29)</f>
        <v>220853.96688000002</v>
      </c>
      <c r="H30" s="96"/>
      <c r="I30" s="96"/>
      <c r="J30" s="94">
        <f>SUM(J9:J29)</f>
        <v>606</v>
      </c>
      <c r="K30" s="95">
        <f>SUM(K9:K23)</f>
        <v>2191.7200000000003</v>
      </c>
      <c r="L30" s="96">
        <f>SUM(L9:L16)</f>
        <v>20658.998000000003</v>
      </c>
    </row>
    <row r="31" spans="1:12" x14ac:dyDescent="0.25">
      <c r="A31" s="38" t="s">
        <v>53</v>
      </c>
      <c r="B31" s="5"/>
      <c r="C31" s="39"/>
      <c r="D31" s="39" t="s">
        <v>19</v>
      </c>
      <c r="E31" s="89" t="s">
        <v>19</v>
      </c>
      <c r="F31" s="89"/>
      <c r="G31" s="67"/>
      <c r="H31" s="67"/>
      <c r="I31" s="67"/>
      <c r="J31" s="58"/>
      <c r="K31" s="90"/>
      <c r="L31" s="67"/>
    </row>
    <row r="32" spans="1:12" x14ac:dyDescent="0.25">
      <c r="A32" s="38" t="s">
        <v>33</v>
      </c>
      <c r="B32" s="5"/>
      <c r="C32" s="39" t="s">
        <v>19</v>
      </c>
      <c r="D32" s="58"/>
      <c r="E32" s="89" t="s">
        <v>19</v>
      </c>
      <c r="F32" s="89"/>
      <c r="G32" s="67" t="s">
        <v>19</v>
      </c>
      <c r="H32" s="67"/>
      <c r="I32" s="67"/>
      <c r="J32" s="58" t="s">
        <v>19</v>
      </c>
      <c r="K32" s="90" t="s">
        <v>19</v>
      </c>
      <c r="L32" s="67" t="s">
        <v>19</v>
      </c>
    </row>
    <row r="33" spans="1:12" x14ac:dyDescent="0.25">
      <c r="A33" s="38"/>
      <c r="B33" s="5"/>
      <c r="C33" s="39"/>
      <c r="D33" s="58"/>
      <c r="E33" s="89"/>
      <c r="F33" s="89"/>
      <c r="G33" s="67"/>
      <c r="H33" s="67"/>
      <c r="I33" s="67"/>
      <c r="J33" s="58"/>
      <c r="K33" s="90"/>
      <c r="L33" s="67"/>
    </row>
    <row r="34" spans="1:12" x14ac:dyDescent="0.25">
      <c r="A34" s="33" t="s">
        <v>34</v>
      </c>
      <c r="B34" s="34" t="s">
        <v>54</v>
      </c>
      <c r="C34" s="97">
        <f>[1]Usage!S33</f>
        <v>8025</v>
      </c>
      <c r="D34" s="89">
        <f>44.81+(('[1]Existing Rates'!B14/1000)*(C34-5000))</f>
        <v>67.860500000000002</v>
      </c>
      <c r="E34" s="67">
        <f>+[1]Usage!U33</f>
        <v>9</v>
      </c>
      <c r="F34" s="58">
        <f>(C34*E34)/1000</f>
        <v>72.224999999999994</v>
      </c>
      <c r="G34" s="98">
        <f>D34*E34</f>
        <v>610.74450000000002</v>
      </c>
      <c r="H34" s="98"/>
      <c r="I34" s="98"/>
      <c r="J34" s="90"/>
      <c r="K34" s="67"/>
      <c r="L34" s="58"/>
    </row>
    <row r="35" spans="1:12" x14ac:dyDescent="0.25">
      <c r="A35" s="38" t="s">
        <v>19</v>
      </c>
      <c r="B35" s="34" t="s">
        <v>55</v>
      </c>
      <c r="C35" s="40">
        <f>[1]Usage!T33</f>
        <v>12192</v>
      </c>
      <c r="D35" s="91">
        <f>57.36+(('[1]Existing Rates'!B16/1000)*(C35-5000))</f>
        <v>108.20743999999999</v>
      </c>
      <c r="E35" s="82" t="s">
        <v>19</v>
      </c>
      <c r="F35" s="92" t="s">
        <v>19</v>
      </c>
      <c r="G35" s="93" t="s">
        <v>19</v>
      </c>
      <c r="H35" s="93"/>
      <c r="I35" s="93"/>
      <c r="J35" s="82">
        <f>+[1]Usage!W33</f>
        <v>12</v>
      </c>
      <c r="K35" s="92">
        <f>(C35*J35)/1000</f>
        <v>146.304</v>
      </c>
      <c r="L35" s="93">
        <f>D35*J35</f>
        <v>1298.4892799999998</v>
      </c>
    </row>
    <row r="36" spans="1:12" x14ac:dyDescent="0.25">
      <c r="A36" s="38" t="s">
        <v>19</v>
      </c>
      <c r="B36" s="5"/>
      <c r="C36" s="44" t="s">
        <v>52</v>
      </c>
      <c r="D36" s="39" t="s">
        <v>19</v>
      </c>
      <c r="E36" s="99">
        <f>E34</f>
        <v>9</v>
      </c>
      <c r="F36" s="100">
        <f>F34</f>
        <v>72.224999999999994</v>
      </c>
      <c r="G36" s="101">
        <f>G34</f>
        <v>610.74450000000002</v>
      </c>
      <c r="H36" s="101"/>
      <c r="I36" s="101"/>
      <c r="J36" s="95">
        <f>J35</f>
        <v>12</v>
      </c>
      <c r="K36" s="95">
        <f>K35</f>
        <v>146.304</v>
      </c>
      <c r="L36" s="101">
        <f>L35</f>
        <v>1298.4892799999998</v>
      </c>
    </row>
    <row r="37" spans="1:12" x14ac:dyDescent="0.25">
      <c r="A37" s="38"/>
      <c r="B37" s="5"/>
      <c r="C37" s="39"/>
      <c r="D37" s="39"/>
      <c r="E37" s="89"/>
      <c r="F37" s="89"/>
      <c r="G37" s="67"/>
      <c r="H37" s="67"/>
      <c r="I37" s="67"/>
      <c r="J37" s="58"/>
      <c r="K37" s="90"/>
      <c r="L37" s="67"/>
    </row>
    <row r="38" spans="1:12" x14ac:dyDescent="0.25">
      <c r="A38" s="33" t="s">
        <v>36</v>
      </c>
      <c r="B38" s="5"/>
      <c r="C38" s="39" t="s">
        <v>19</v>
      </c>
      <c r="D38" s="39" t="s">
        <v>19</v>
      </c>
      <c r="E38" s="89"/>
      <c r="F38" s="89"/>
      <c r="G38" s="67"/>
      <c r="H38" s="67"/>
      <c r="I38" s="67"/>
      <c r="J38" s="58"/>
      <c r="K38" s="90"/>
      <c r="L38" s="67"/>
    </row>
    <row r="39" spans="1:12" x14ac:dyDescent="0.25">
      <c r="A39" s="38" t="s">
        <v>56</v>
      </c>
      <c r="B39" s="5"/>
      <c r="C39" s="39">
        <f>[1]Usage!S36</f>
        <v>7438</v>
      </c>
      <c r="D39" s="89">
        <f>44.8+(('[1]Existing Rates'!B22/1000)*(C39-5000))</f>
        <v>63.377560000000003</v>
      </c>
      <c r="E39" s="67">
        <f>[1]Usage!U36</f>
        <v>16</v>
      </c>
      <c r="F39" s="58">
        <f>(E39*C39)/1000</f>
        <v>119.008</v>
      </c>
      <c r="G39" s="90">
        <f>D39*E39</f>
        <v>1014.04096</v>
      </c>
      <c r="H39" s="90"/>
      <c r="I39" s="90"/>
      <c r="J39" s="67" t="s">
        <v>19</v>
      </c>
      <c r="K39" s="58" t="s">
        <v>19</v>
      </c>
      <c r="L39" s="90" t="s">
        <v>19</v>
      </c>
    </row>
    <row r="40" spans="1:12" x14ac:dyDescent="0.25">
      <c r="A40" s="38" t="s">
        <v>31</v>
      </c>
      <c r="B40" s="5"/>
      <c r="C40" s="40">
        <f>[1]Usage!S37</f>
        <v>20613</v>
      </c>
      <c r="D40" s="91">
        <f>121+(('[1]Existing Rates'!B23/1000)*(C40-15000))</f>
        <v>162.81684999999999</v>
      </c>
      <c r="E40" s="91"/>
      <c r="F40" s="92" t="s">
        <v>19</v>
      </c>
      <c r="G40" s="93" t="s">
        <v>19</v>
      </c>
      <c r="H40" s="93"/>
      <c r="I40" s="93"/>
      <c r="J40" s="82">
        <f>[1]Usage!W37</f>
        <v>14</v>
      </c>
      <c r="K40" s="92">
        <f>(J40*C40)/1000</f>
        <v>288.58199999999999</v>
      </c>
      <c r="L40" s="93">
        <f>D40*J40</f>
        <v>2279.4358999999999</v>
      </c>
    </row>
    <row r="41" spans="1:12" x14ac:dyDescent="0.25">
      <c r="A41" s="38"/>
      <c r="B41" s="5"/>
      <c r="C41" s="44" t="s">
        <v>52</v>
      </c>
      <c r="D41" s="89"/>
      <c r="E41" s="99">
        <f>E39</f>
        <v>16</v>
      </c>
      <c r="F41" s="95">
        <f>F39</f>
        <v>119.008</v>
      </c>
      <c r="G41" s="96">
        <f>G39</f>
        <v>1014.04096</v>
      </c>
      <c r="H41" s="96"/>
      <c r="I41" s="96"/>
      <c r="J41" s="94">
        <f>J40</f>
        <v>14</v>
      </c>
      <c r="K41" s="95">
        <f>K40</f>
        <v>288.58199999999999</v>
      </c>
      <c r="L41" s="96">
        <f>L40</f>
        <v>2279.4358999999999</v>
      </c>
    </row>
    <row r="42" spans="1:12" x14ac:dyDescent="0.25">
      <c r="A42" s="38"/>
      <c r="B42" s="5"/>
      <c r="C42" s="39"/>
      <c r="D42" s="58"/>
      <c r="E42" s="89"/>
      <c r="F42" s="89"/>
      <c r="G42" s="67"/>
      <c r="H42" s="67"/>
      <c r="I42" s="67"/>
      <c r="J42" s="58"/>
      <c r="K42" s="90"/>
      <c r="L42" s="67"/>
    </row>
    <row r="43" spans="1:12" x14ac:dyDescent="0.25">
      <c r="A43" s="33" t="s">
        <v>38</v>
      </c>
      <c r="B43" s="5"/>
      <c r="C43" s="39" t="s">
        <v>19</v>
      </c>
      <c r="D43" s="39" t="s">
        <v>19</v>
      </c>
      <c r="E43" s="89"/>
      <c r="F43" s="89"/>
      <c r="G43" s="67"/>
      <c r="H43" s="67"/>
      <c r="I43" s="67"/>
      <c r="J43" s="58"/>
      <c r="K43" s="90"/>
      <c r="L43" s="67"/>
    </row>
    <row r="44" spans="1:12" x14ac:dyDescent="0.25">
      <c r="A44" s="38" t="s">
        <v>19</v>
      </c>
      <c r="B44" s="38"/>
      <c r="C44" s="40">
        <f>[1]Usage!T40</f>
        <v>4458</v>
      </c>
      <c r="D44" s="91">
        <f>'[1]Existing Rates'!B29</f>
        <v>120.98</v>
      </c>
      <c r="E44" s="82"/>
      <c r="F44" s="92"/>
      <c r="G44" s="93"/>
      <c r="H44" s="93"/>
      <c r="I44" s="93"/>
      <c r="J44" s="82">
        <f>[1]Usage!W40</f>
        <v>2</v>
      </c>
      <c r="K44" s="92">
        <f>[1]Usage!X40</f>
        <v>8.9160000000000004</v>
      </c>
      <c r="L44" s="93">
        <f>D44*J44</f>
        <v>241.96</v>
      </c>
    </row>
    <row r="45" spans="1:12" x14ac:dyDescent="0.25">
      <c r="A45" s="38" t="s">
        <v>19</v>
      </c>
      <c r="B45" s="38"/>
      <c r="C45" s="44" t="s">
        <v>52</v>
      </c>
      <c r="D45" s="89"/>
      <c r="E45" s="89"/>
      <c r="F45" s="67"/>
      <c r="G45" s="58"/>
      <c r="H45" s="58"/>
      <c r="I45" s="58"/>
      <c r="J45" s="58">
        <f>J44</f>
        <v>2</v>
      </c>
      <c r="K45" s="67">
        <f>K44</f>
        <v>8.9160000000000004</v>
      </c>
      <c r="L45" s="102">
        <f>L44</f>
        <v>241.96</v>
      </c>
    </row>
    <row r="46" spans="1:12" x14ac:dyDescent="0.25">
      <c r="A46" s="38"/>
      <c r="B46" s="5"/>
      <c r="C46" s="39"/>
      <c r="D46" s="39"/>
      <c r="E46" s="89"/>
      <c r="F46" s="89"/>
      <c r="G46" s="67"/>
      <c r="H46" s="67"/>
      <c r="I46" s="67"/>
      <c r="J46" s="58"/>
      <c r="K46" s="90"/>
      <c r="L46" s="67"/>
    </row>
    <row r="47" spans="1:12" x14ac:dyDescent="0.25">
      <c r="A47" s="33" t="s">
        <v>39</v>
      </c>
      <c r="B47" s="34" t="s">
        <v>54</v>
      </c>
      <c r="C47" s="39">
        <f>[1]Usage!S44</f>
        <v>10411</v>
      </c>
      <c r="D47" s="89">
        <f>195.5</f>
        <v>195.5</v>
      </c>
      <c r="E47" s="67">
        <f>[1]Usage!U44</f>
        <v>18</v>
      </c>
      <c r="F47" s="58">
        <f>(E47*C47)/1000</f>
        <v>187.398</v>
      </c>
      <c r="G47" s="90">
        <f>D47*E47</f>
        <v>3519</v>
      </c>
      <c r="H47" s="90"/>
      <c r="I47" s="90"/>
      <c r="J47" s="67"/>
      <c r="K47" s="58"/>
      <c r="L47" s="90"/>
    </row>
    <row r="48" spans="1:12" x14ac:dyDescent="0.25">
      <c r="A48" s="38"/>
      <c r="B48" s="34" t="s">
        <v>55</v>
      </c>
      <c r="C48" s="40">
        <f>[1]Usage!T44</f>
        <v>34024</v>
      </c>
      <c r="D48" s="91">
        <f>195.5+(('[1]Existing Rates'!B39/1000)*(C48-25000))</f>
        <v>254.33647999999999</v>
      </c>
      <c r="E48" s="82"/>
      <c r="F48" s="92" t="s">
        <v>19</v>
      </c>
      <c r="G48" s="93" t="s">
        <v>19</v>
      </c>
      <c r="H48" s="93"/>
      <c r="I48" s="93"/>
      <c r="J48" s="82">
        <f>[1]Usage!W44</f>
        <v>17</v>
      </c>
      <c r="K48" s="92">
        <f>(J48*C48)/1000</f>
        <v>578.40800000000002</v>
      </c>
      <c r="L48" s="93">
        <f>D48*J48</f>
        <v>4323.7201599999999</v>
      </c>
    </row>
    <row r="49" spans="1:12" x14ac:dyDescent="0.25">
      <c r="A49" s="38"/>
      <c r="B49" s="34"/>
      <c r="C49" s="44" t="s">
        <v>52</v>
      </c>
      <c r="D49" s="89"/>
      <c r="E49" s="94">
        <f>E47</f>
        <v>18</v>
      </c>
      <c r="F49" s="95">
        <f>F47</f>
        <v>187.398</v>
      </c>
      <c r="G49" s="96">
        <f>G47</f>
        <v>3519</v>
      </c>
      <c r="H49" s="96"/>
      <c r="I49" s="96"/>
      <c r="J49" s="94">
        <f>J48</f>
        <v>17</v>
      </c>
      <c r="K49" s="95">
        <f>K48</f>
        <v>578.40800000000002</v>
      </c>
      <c r="L49" s="96">
        <f>L48</f>
        <v>4323.7201599999999</v>
      </c>
    </row>
    <row r="50" spans="1:12" x14ac:dyDescent="0.25">
      <c r="A50" s="38"/>
      <c r="B50" s="67"/>
      <c r="C50" s="39"/>
      <c r="D50" s="39"/>
      <c r="E50" s="89"/>
      <c r="F50" s="89"/>
      <c r="G50" s="67"/>
      <c r="H50" s="67"/>
      <c r="I50" s="67"/>
      <c r="J50" s="58"/>
      <c r="K50" s="90"/>
      <c r="L50" s="67"/>
    </row>
    <row r="51" spans="1:12" x14ac:dyDescent="0.25">
      <c r="A51" s="50" t="s">
        <v>57</v>
      </c>
      <c r="B51" s="67"/>
      <c r="C51" s="39"/>
      <c r="D51" s="39"/>
      <c r="E51" s="89"/>
      <c r="F51" s="89"/>
      <c r="G51" s="67"/>
      <c r="H51" s="67"/>
      <c r="I51" s="67"/>
      <c r="J51" s="58"/>
      <c r="K51" s="90"/>
      <c r="L51" s="67"/>
    </row>
    <row r="52" spans="1:12" x14ac:dyDescent="0.25">
      <c r="A52" s="38" t="s">
        <v>58</v>
      </c>
      <c r="B52" s="67"/>
      <c r="C52" s="39">
        <f>[1]Usage!T47</f>
        <v>371417</v>
      </c>
      <c r="D52" s="89">
        <f>1.93*(C52/1000)</f>
        <v>716.83480999999995</v>
      </c>
      <c r="E52" s="67"/>
      <c r="F52" s="58"/>
      <c r="G52" s="90"/>
      <c r="H52" s="90"/>
      <c r="I52" s="90"/>
      <c r="J52" s="67">
        <f>[1]Usage!W47</f>
        <v>3</v>
      </c>
      <c r="K52" s="58">
        <f>(C52*J52)/1000</f>
        <v>1114.251</v>
      </c>
      <c r="L52" s="90">
        <f>D52*J52</f>
        <v>2150.50443</v>
      </c>
    </row>
    <row r="53" spans="1:12" x14ac:dyDescent="0.25">
      <c r="A53" s="67" t="s">
        <v>59</v>
      </c>
      <c r="B53" s="67"/>
      <c r="C53" s="39">
        <f>[1]Usage!T48</f>
        <v>370738</v>
      </c>
      <c r="D53" s="89">
        <f>1.93*(C53/1000)</f>
        <v>715.52433999999994</v>
      </c>
      <c r="E53" s="67"/>
      <c r="F53" s="58"/>
      <c r="G53" s="90"/>
      <c r="H53" s="90"/>
      <c r="I53" s="90"/>
      <c r="J53" s="67">
        <f>[1]Usage!W48</f>
        <v>2</v>
      </c>
      <c r="K53" s="58">
        <f>(C53*J53)/1000</f>
        <v>741.476</v>
      </c>
      <c r="L53" s="90">
        <f>D53*J53</f>
        <v>1431.0486799999999</v>
      </c>
    </row>
    <row r="54" spans="1:12" x14ac:dyDescent="0.25">
      <c r="A54" s="67" t="s">
        <v>60</v>
      </c>
      <c r="B54" s="67"/>
      <c r="C54" s="39">
        <f>[1]Usage!T49</f>
        <v>0</v>
      </c>
      <c r="D54" s="89">
        <f>1.93*(C54/1000)</f>
        <v>0</v>
      </c>
      <c r="E54" s="67"/>
      <c r="F54" s="58"/>
      <c r="G54" s="90"/>
      <c r="H54" s="90"/>
      <c r="I54" s="90"/>
      <c r="J54" s="67">
        <f>[1]Usage!W49</f>
        <v>1</v>
      </c>
      <c r="K54" s="58">
        <f>(C54*J54)/1000</f>
        <v>0</v>
      </c>
      <c r="L54" s="90">
        <f>D54*J54</f>
        <v>0</v>
      </c>
    </row>
    <row r="55" spans="1:12" x14ac:dyDescent="0.25">
      <c r="A55" s="56"/>
      <c r="B55" s="56"/>
      <c r="C55" s="103" t="s">
        <v>52</v>
      </c>
      <c r="D55" s="104"/>
      <c r="E55" s="105"/>
      <c r="F55" s="105"/>
      <c r="G55" s="106" t="s">
        <v>19</v>
      </c>
      <c r="H55" s="106"/>
      <c r="I55" s="106"/>
      <c r="J55" s="107">
        <f>SUM(J52:J54)</f>
        <v>6</v>
      </c>
      <c r="K55" s="107">
        <f>SUM(K52:K54)</f>
        <v>1855.7269999999999</v>
      </c>
      <c r="L55" s="108">
        <f>SUM(L52:L54)</f>
        <v>3581.5531099999998</v>
      </c>
    </row>
    <row r="56" spans="1:12" ht="15.75" thickBot="1" x14ac:dyDescent="0.3">
      <c r="A56" s="56"/>
      <c r="B56" s="56"/>
      <c r="C56" s="109" t="s">
        <v>35</v>
      </c>
      <c r="D56" s="109"/>
      <c r="E56" s="109">
        <f>E30+E36+E41+E49</f>
        <v>6612</v>
      </c>
      <c r="F56" s="110">
        <f>F30+F36+F41+F49</f>
        <v>22710.392</v>
      </c>
      <c r="G56" s="111">
        <f>G30+G36+G41+G49</f>
        <v>225997.75234000004</v>
      </c>
      <c r="H56" s="111"/>
      <c r="I56" s="111"/>
      <c r="J56" s="112">
        <f>J30+J36+J41+J45+J49+J55</f>
        <v>657</v>
      </c>
      <c r="K56" s="113">
        <f>K30+K36+K41+K45+K49+K55</f>
        <v>5069.6570000000002</v>
      </c>
      <c r="L56" s="111">
        <f>L30+L36+L41+L45+L49+L55</f>
        <v>32384.156450000002</v>
      </c>
    </row>
    <row r="57" spans="1:12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9B62-A116-43E7-A811-EFE0E49F7885}">
  <dimension ref="A1:O57"/>
  <sheetViews>
    <sheetView tabSelected="1" workbookViewId="0">
      <selection activeCell="L55" sqref="L55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  <col min="4" max="4" width="10.28515625" bestFit="1" customWidth="1"/>
    <col min="7" max="7" width="10.28515625" bestFit="1" customWidth="1"/>
    <col min="8" max="9" width="10.85546875" bestFit="1" customWidth="1"/>
    <col min="10" max="10" width="6.42578125" bestFit="1" customWidth="1"/>
    <col min="12" max="12" width="10.85546875" bestFit="1" customWidth="1"/>
  </cols>
  <sheetData>
    <row r="1" spans="1:12" x14ac:dyDescent="0.25">
      <c r="A1" s="67"/>
      <c r="B1" s="56"/>
      <c r="C1" s="66" t="s">
        <v>61</v>
      </c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25">
      <c r="A2" s="67"/>
      <c r="B2" s="56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25">
      <c r="A3" s="67"/>
      <c r="B3" s="56"/>
      <c r="C3" s="67"/>
      <c r="D3" s="67"/>
      <c r="E3" s="67"/>
      <c r="F3" s="67"/>
      <c r="G3" s="56"/>
      <c r="H3" s="56"/>
      <c r="I3" s="56"/>
      <c r="J3" s="56"/>
      <c r="K3" s="67"/>
      <c r="L3" s="67"/>
    </row>
    <row r="4" spans="1:12" x14ac:dyDescent="0.25">
      <c r="A4" s="116"/>
      <c r="B4" s="117"/>
      <c r="C4" s="118"/>
      <c r="D4" s="118"/>
      <c r="E4" s="119"/>
      <c r="F4" s="119"/>
      <c r="G4" s="120"/>
      <c r="H4" s="120"/>
      <c r="I4" s="120"/>
      <c r="J4" s="120"/>
      <c r="K4" s="120"/>
      <c r="L4" s="120"/>
    </row>
    <row r="5" spans="1:12" x14ac:dyDescent="0.25">
      <c r="A5" s="118" t="s">
        <v>48</v>
      </c>
      <c r="B5" s="121"/>
      <c r="C5" s="116"/>
      <c r="D5" s="122" t="s">
        <v>49</v>
      </c>
      <c r="E5" s="117"/>
      <c r="F5" s="123" t="s">
        <v>1</v>
      </c>
      <c r="G5" s="121"/>
      <c r="H5" s="116"/>
      <c r="I5" s="122" t="s">
        <v>49</v>
      </c>
      <c r="J5" s="121"/>
      <c r="K5" s="123" t="s">
        <v>2</v>
      </c>
      <c r="L5" s="121"/>
    </row>
    <row r="6" spans="1:12" x14ac:dyDescent="0.25">
      <c r="A6" s="118"/>
      <c r="B6" s="121"/>
      <c r="C6" s="117" t="s">
        <v>49</v>
      </c>
      <c r="D6" s="124" t="s">
        <v>50</v>
      </c>
      <c r="E6" s="156" t="s">
        <v>3</v>
      </c>
      <c r="F6" s="125" t="s">
        <v>4</v>
      </c>
      <c r="G6" s="125" t="s">
        <v>51</v>
      </c>
      <c r="H6" s="117" t="s">
        <v>49</v>
      </c>
      <c r="I6" s="124" t="s">
        <v>50</v>
      </c>
      <c r="J6" s="156" t="s">
        <v>3</v>
      </c>
      <c r="K6" s="125" t="s">
        <v>4</v>
      </c>
      <c r="L6" s="125" t="s">
        <v>51</v>
      </c>
    </row>
    <row r="7" spans="1:12" x14ac:dyDescent="0.25">
      <c r="A7" s="118"/>
      <c r="B7" s="121"/>
      <c r="C7" s="118" t="s">
        <v>1</v>
      </c>
      <c r="D7" s="126" t="s">
        <v>1</v>
      </c>
      <c r="E7" s="156" t="s">
        <v>7</v>
      </c>
      <c r="F7" s="125" t="s">
        <v>8</v>
      </c>
      <c r="G7" s="121"/>
      <c r="H7" s="118" t="s">
        <v>2</v>
      </c>
      <c r="I7" s="126" t="s">
        <v>2</v>
      </c>
      <c r="J7" s="156" t="s">
        <v>7</v>
      </c>
      <c r="K7" s="125" t="s">
        <v>8</v>
      </c>
      <c r="L7" s="121"/>
    </row>
    <row r="8" spans="1:12" x14ac:dyDescent="0.25">
      <c r="A8" s="127" t="s">
        <v>9</v>
      </c>
      <c r="B8" s="128"/>
      <c r="C8" s="121"/>
      <c r="D8" s="129"/>
      <c r="E8" s="125"/>
      <c r="F8" s="125"/>
      <c r="G8" s="121"/>
      <c r="H8" s="121"/>
      <c r="I8" s="121"/>
      <c r="J8" s="156"/>
      <c r="K8" s="125"/>
      <c r="L8" s="121"/>
    </row>
    <row r="9" spans="1:12" x14ac:dyDescent="0.25">
      <c r="A9" s="130" t="s">
        <v>10</v>
      </c>
      <c r="B9" s="128"/>
      <c r="C9" s="131">
        <v>754</v>
      </c>
      <c r="D9" s="132">
        <v>25.05</v>
      </c>
      <c r="E9" s="121">
        <v>1103</v>
      </c>
      <c r="F9" s="133">
        <v>831.66200000000003</v>
      </c>
      <c r="G9" s="134">
        <v>27630.15</v>
      </c>
      <c r="H9" s="133">
        <v>855</v>
      </c>
      <c r="I9" s="132">
        <v>25.05</v>
      </c>
      <c r="J9" s="121">
        <v>104</v>
      </c>
      <c r="K9" s="133">
        <v>88.92</v>
      </c>
      <c r="L9" s="134">
        <v>2605.2000000000003</v>
      </c>
    </row>
    <row r="10" spans="1:12" x14ac:dyDescent="0.25">
      <c r="A10" s="130" t="s">
        <v>11</v>
      </c>
      <c r="B10" s="128"/>
      <c r="C10" s="131">
        <v>1051</v>
      </c>
      <c r="D10" s="132">
        <v>25.05</v>
      </c>
      <c r="E10" s="121">
        <v>995</v>
      </c>
      <c r="F10" s="133">
        <v>1045.7449999999999</v>
      </c>
      <c r="G10" s="134">
        <v>24924.75</v>
      </c>
      <c r="H10" s="133">
        <v>1950</v>
      </c>
      <c r="I10" s="132">
        <v>25.05</v>
      </c>
      <c r="J10" s="121">
        <v>92</v>
      </c>
      <c r="K10" s="133">
        <v>179.4</v>
      </c>
      <c r="L10" s="134">
        <v>2304.6</v>
      </c>
    </row>
    <row r="11" spans="1:12" x14ac:dyDescent="0.25">
      <c r="A11" s="130" t="s">
        <v>12</v>
      </c>
      <c r="B11" s="128"/>
      <c r="C11" s="131">
        <v>2050</v>
      </c>
      <c r="D11" s="132">
        <v>25.577000000000002</v>
      </c>
      <c r="E11" s="121">
        <v>1112</v>
      </c>
      <c r="F11" s="133">
        <v>2279.6</v>
      </c>
      <c r="G11" s="134">
        <v>28441.624000000003</v>
      </c>
      <c r="H11" s="133">
        <v>2800</v>
      </c>
      <c r="I11" s="132">
        <v>33.481999999999999</v>
      </c>
      <c r="J11" s="121">
        <v>99</v>
      </c>
      <c r="K11" s="133">
        <v>277.2</v>
      </c>
      <c r="L11" s="134">
        <v>3314.7179999999998</v>
      </c>
    </row>
    <row r="12" spans="1:12" x14ac:dyDescent="0.25">
      <c r="A12" s="130" t="s">
        <v>13</v>
      </c>
      <c r="B12" s="128"/>
      <c r="C12" s="131">
        <v>3046</v>
      </c>
      <c r="D12" s="132">
        <v>36.074840000000002</v>
      </c>
      <c r="E12" s="121">
        <v>998</v>
      </c>
      <c r="F12" s="133">
        <v>3039.9079999999999</v>
      </c>
      <c r="G12" s="134">
        <v>36002.690320000002</v>
      </c>
      <c r="H12" s="133">
        <v>3850</v>
      </c>
      <c r="I12" s="132">
        <v>44.549000000000007</v>
      </c>
      <c r="J12" s="121">
        <v>97</v>
      </c>
      <c r="K12" s="133">
        <v>373.45</v>
      </c>
      <c r="L12" s="134">
        <v>4321.2530000000006</v>
      </c>
    </row>
    <row r="13" spans="1:12" x14ac:dyDescent="0.25">
      <c r="A13" s="130" t="s">
        <v>14</v>
      </c>
      <c r="B13" s="128"/>
      <c r="C13" s="131">
        <v>4050</v>
      </c>
      <c r="D13" s="132">
        <v>46.657000000000004</v>
      </c>
      <c r="E13" s="121">
        <v>771</v>
      </c>
      <c r="F13" s="133">
        <v>3122.55</v>
      </c>
      <c r="G13" s="134">
        <v>35972.547000000006</v>
      </c>
      <c r="H13" s="133">
        <v>4750</v>
      </c>
      <c r="I13" s="132">
        <v>54.035000000000004</v>
      </c>
      <c r="J13" s="121">
        <v>93</v>
      </c>
      <c r="K13" s="133">
        <v>441.75</v>
      </c>
      <c r="L13" s="134">
        <v>5025.2550000000001</v>
      </c>
    </row>
    <row r="14" spans="1:12" x14ac:dyDescent="0.25">
      <c r="A14" s="130" t="s">
        <v>15</v>
      </c>
      <c r="B14" s="128"/>
      <c r="C14" s="131">
        <v>5050</v>
      </c>
      <c r="D14" s="132">
        <v>57.161500000000004</v>
      </c>
      <c r="E14" s="121">
        <v>521</v>
      </c>
      <c r="F14" s="133">
        <v>2631.05</v>
      </c>
      <c r="G14" s="134">
        <v>29781.141500000002</v>
      </c>
      <c r="H14" s="133">
        <v>5950</v>
      </c>
      <c r="I14" s="132">
        <v>66.008499999999998</v>
      </c>
      <c r="J14" s="121">
        <v>45</v>
      </c>
      <c r="K14" s="133">
        <v>267.75</v>
      </c>
      <c r="L14" s="134">
        <v>2970.3824999999997</v>
      </c>
    </row>
    <row r="15" spans="1:12" x14ac:dyDescent="0.25">
      <c r="A15" s="130" t="s">
        <v>16</v>
      </c>
      <c r="B15" s="128"/>
      <c r="C15" s="131">
        <v>6044</v>
      </c>
      <c r="D15" s="132">
        <v>66.932519999999997</v>
      </c>
      <c r="E15" s="121">
        <v>334</v>
      </c>
      <c r="F15" s="133">
        <v>2018.6959999999999</v>
      </c>
      <c r="G15" s="134">
        <v>22355.46168</v>
      </c>
      <c r="H15" s="133">
        <v>6900</v>
      </c>
      <c r="I15" s="132">
        <v>75.346999999999994</v>
      </c>
      <c r="J15" s="121">
        <v>39</v>
      </c>
      <c r="K15" s="133">
        <v>269.10000000000002</v>
      </c>
      <c r="L15" s="134">
        <v>2938.5329999999999</v>
      </c>
    </row>
    <row r="16" spans="1:12" x14ac:dyDescent="0.25">
      <c r="A16" s="130" t="s">
        <v>17</v>
      </c>
      <c r="B16" s="128"/>
      <c r="C16" s="131">
        <v>7200</v>
      </c>
      <c r="D16" s="132">
        <v>78.295999999999992</v>
      </c>
      <c r="E16" s="121">
        <v>221</v>
      </c>
      <c r="F16" s="133">
        <v>1591.2</v>
      </c>
      <c r="G16" s="134">
        <v>17303.415999999997</v>
      </c>
      <c r="H16" s="133">
        <v>7950</v>
      </c>
      <c r="I16" s="132">
        <v>85.668499999999995</v>
      </c>
      <c r="J16" s="121">
        <v>37</v>
      </c>
      <c r="K16" s="133">
        <v>294.14999999999998</v>
      </c>
      <c r="L16" s="134">
        <v>3169.7344999999996</v>
      </c>
    </row>
    <row r="17" spans="1:12" x14ac:dyDescent="0.25">
      <c r="A17" s="130" t="s">
        <v>18</v>
      </c>
      <c r="B17" s="128"/>
      <c r="C17" s="131">
        <v>8050</v>
      </c>
      <c r="D17" s="132">
        <v>86.651499999999999</v>
      </c>
      <c r="E17" s="121">
        <v>143</v>
      </c>
      <c r="F17" s="133">
        <v>1151.1500000000001</v>
      </c>
      <c r="G17" s="134">
        <v>12391.164499999999</v>
      </c>
      <c r="H17" s="134" t="s">
        <v>19</v>
      </c>
      <c r="I17" s="134"/>
      <c r="J17" s="121">
        <v>0</v>
      </c>
      <c r="K17" s="133">
        <v>0</v>
      </c>
      <c r="L17" s="134">
        <v>0</v>
      </c>
    </row>
    <row r="18" spans="1:12" x14ac:dyDescent="0.25">
      <c r="A18" s="130" t="s">
        <v>20</v>
      </c>
      <c r="B18" s="128"/>
      <c r="C18" s="131">
        <v>9050</v>
      </c>
      <c r="D18" s="132">
        <v>96.481499999999997</v>
      </c>
      <c r="E18" s="121">
        <v>97</v>
      </c>
      <c r="F18" s="133">
        <v>877.85</v>
      </c>
      <c r="G18" s="134">
        <v>9358.7055</v>
      </c>
      <c r="H18" s="134"/>
      <c r="I18" s="134"/>
      <c r="J18" s="121">
        <v>0</v>
      </c>
      <c r="K18" s="133">
        <v>0</v>
      </c>
      <c r="L18" s="134">
        <v>0</v>
      </c>
    </row>
    <row r="19" spans="1:12" x14ac:dyDescent="0.25">
      <c r="A19" s="130" t="s">
        <v>21</v>
      </c>
      <c r="B19" s="128"/>
      <c r="C19" s="131">
        <v>10250</v>
      </c>
      <c r="D19" s="132">
        <v>108.27749999999999</v>
      </c>
      <c r="E19" s="121">
        <v>68</v>
      </c>
      <c r="F19" s="133">
        <v>697</v>
      </c>
      <c r="G19" s="134">
        <v>7362.869999999999</v>
      </c>
      <c r="H19" s="134"/>
      <c r="I19" s="134"/>
      <c r="J19" s="121">
        <v>0</v>
      </c>
      <c r="K19" s="133">
        <v>0</v>
      </c>
      <c r="L19" s="134">
        <v>0</v>
      </c>
    </row>
    <row r="20" spans="1:12" x14ac:dyDescent="0.25">
      <c r="A20" s="130" t="s">
        <v>22</v>
      </c>
      <c r="B20" s="128"/>
      <c r="C20" s="131">
        <v>11300</v>
      </c>
      <c r="D20" s="132">
        <v>115.65</v>
      </c>
      <c r="E20" s="121">
        <v>49</v>
      </c>
      <c r="F20" s="133">
        <v>553.70000000000005</v>
      </c>
      <c r="G20" s="134">
        <v>5666.85</v>
      </c>
      <c r="H20" s="134"/>
      <c r="I20" s="134"/>
      <c r="J20" s="121">
        <v>0</v>
      </c>
      <c r="K20" s="133">
        <v>0</v>
      </c>
      <c r="L20" s="134">
        <v>0</v>
      </c>
    </row>
    <row r="21" spans="1:12" x14ac:dyDescent="0.25">
      <c r="A21" s="130" t="s">
        <v>23</v>
      </c>
      <c r="B21" s="128"/>
      <c r="C21" s="131">
        <v>12200</v>
      </c>
      <c r="D21" s="132">
        <v>127.446</v>
      </c>
      <c r="E21" s="121">
        <v>33</v>
      </c>
      <c r="F21" s="133">
        <v>402.6</v>
      </c>
      <c r="G21" s="134">
        <v>4205.7179999999998</v>
      </c>
      <c r="H21" s="134"/>
      <c r="I21" s="134"/>
      <c r="J21" s="121">
        <v>0</v>
      </c>
      <c r="K21" s="133">
        <v>0</v>
      </c>
      <c r="L21" s="134">
        <v>0</v>
      </c>
    </row>
    <row r="22" spans="1:12" x14ac:dyDescent="0.25">
      <c r="A22" s="130" t="s">
        <v>24</v>
      </c>
      <c r="B22" s="128"/>
      <c r="C22" s="131">
        <v>13100</v>
      </c>
      <c r="D22" s="132">
        <v>136.29300000000001</v>
      </c>
      <c r="E22" s="121">
        <v>23</v>
      </c>
      <c r="F22" s="133">
        <v>301.3</v>
      </c>
      <c r="G22" s="134">
        <v>3134.739</v>
      </c>
      <c r="H22" s="134"/>
      <c r="I22" s="134"/>
      <c r="J22" s="121">
        <v>0</v>
      </c>
      <c r="K22" s="133">
        <v>0</v>
      </c>
      <c r="L22" s="134">
        <v>0</v>
      </c>
    </row>
    <row r="23" spans="1:12" x14ac:dyDescent="0.25">
      <c r="A23" s="130" t="s">
        <v>25</v>
      </c>
      <c r="B23" s="128"/>
      <c r="C23" s="131">
        <v>14150</v>
      </c>
      <c r="D23" s="132">
        <v>146.61449999999999</v>
      </c>
      <c r="E23" s="121">
        <v>20</v>
      </c>
      <c r="F23" s="133">
        <v>283</v>
      </c>
      <c r="G23" s="134">
        <v>2932.29</v>
      </c>
      <c r="H23" s="134"/>
      <c r="I23" s="134"/>
      <c r="J23" s="121">
        <v>0</v>
      </c>
      <c r="K23" s="133">
        <v>0</v>
      </c>
      <c r="L23" s="134">
        <v>0</v>
      </c>
    </row>
    <row r="24" spans="1:12" x14ac:dyDescent="0.25">
      <c r="A24" s="130" t="s">
        <v>26</v>
      </c>
      <c r="B24" s="128"/>
      <c r="C24" s="131">
        <v>15200</v>
      </c>
      <c r="D24" s="132">
        <v>156.892</v>
      </c>
      <c r="E24" s="121">
        <v>16</v>
      </c>
      <c r="F24" s="133">
        <v>243.2</v>
      </c>
      <c r="G24" s="134">
        <v>2510.2719999999999</v>
      </c>
      <c r="H24" s="134"/>
      <c r="I24" s="134"/>
      <c r="J24" s="121">
        <v>0</v>
      </c>
      <c r="K24" s="133">
        <v>0</v>
      </c>
      <c r="L24" s="134">
        <v>0</v>
      </c>
    </row>
    <row r="25" spans="1:12" x14ac:dyDescent="0.25">
      <c r="A25" s="130" t="s">
        <v>27</v>
      </c>
      <c r="B25" s="128"/>
      <c r="C25" s="131">
        <v>16150</v>
      </c>
      <c r="D25" s="132">
        <v>166.0215</v>
      </c>
      <c r="E25" s="121">
        <v>13</v>
      </c>
      <c r="F25" s="133">
        <v>209.95</v>
      </c>
      <c r="G25" s="134">
        <v>2158.2795000000001</v>
      </c>
      <c r="H25" s="134"/>
      <c r="I25" s="134"/>
      <c r="J25" s="121">
        <v>0</v>
      </c>
      <c r="K25" s="133">
        <v>0</v>
      </c>
      <c r="L25" s="134">
        <v>0</v>
      </c>
    </row>
    <row r="26" spans="1:12" x14ac:dyDescent="0.25">
      <c r="A26" s="130" t="s">
        <v>28</v>
      </c>
      <c r="B26" s="128"/>
      <c r="C26" s="131">
        <v>17200</v>
      </c>
      <c r="D26" s="132">
        <v>176.11199999999999</v>
      </c>
      <c r="E26" s="121">
        <v>10</v>
      </c>
      <c r="F26" s="133">
        <v>172</v>
      </c>
      <c r="G26" s="134">
        <v>1761.12</v>
      </c>
      <c r="H26" s="134"/>
      <c r="I26" s="134"/>
      <c r="J26" s="121">
        <v>0</v>
      </c>
      <c r="K26" s="133">
        <v>0</v>
      </c>
      <c r="L26" s="134">
        <v>0</v>
      </c>
    </row>
    <row r="27" spans="1:12" x14ac:dyDescent="0.25">
      <c r="A27" s="130" t="s">
        <v>29</v>
      </c>
      <c r="B27" s="128"/>
      <c r="C27" s="131">
        <v>18200</v>
      </c>
      <c r="D27" s="132">
        <v>185.72200000000001</v>
      </c>
      <c r="E27" s="121">
        <v>10</v>
      </c>
      <c r="F27" s="133">
        <v>182</v>
      </c>
      <c r="G27" s="134">
        <v>1857.22</v>
      </c>
      <c r="H27" s="134"/>
      <c r="I27" s="134"/>
      <c r="J27" s="121">
        <v>0</v>
      </c>
      <c r="K27" s="133">
        <v>0</v>
      </c>
      <c r="L27" s="134">
        <v>0</v>
      </c>
    </row>
    <row r="28" spans="1:12" x14ac:dyDescent="0.25">
      <c r="A28" s="130" t="s">
        <v>30</v>
      </c>
      <c r="B28" s="128"/>
      <c r="C28" s="131">
        <v>19300</v>
      </c>
      <c r="D28" s="132">
        <v>196.29300000000001</v>
      </c>
      <c r="E28" s="121">
        <v>7</v>
      </c>
      <c r="F28" s="133">
        <v>135.1</v>
      </c>
      <c r="G28" s="134">
        <v>1374.0509999999999</v>
      </c>
      <c r="H28" s="134"/>
      <c r="I28" s="134"/>
      <c r="J28" s="121">
        <v>0</v>
      </c>
      <c r="K28" s="133">
        <v>0</v>
      </c>
      <c r="L28" s="134">
        <v>0</v>
      </c>
    </row>
    <row r="29" spans="1:12" x14ac:dyDescent="0.25">
      <c r="A29" s="130" t="s">
        <v>31</v>
      </c>
      <c r="B29" s="128"/>
      <c r="C29" s="131">
        <v>22500</v>
      </c>
      <c r="D29" s="132">
        <v>224.745</v>
      </c>
      <c r="E29" s="121">
        <v>25</v>
      </c>
      <c r="F29" s="133">
        <v>562.5</v>
      </c>
      <c r="G29" s="134">
        <v>5618.625</v>
      </c>
      <c r="H29" s="134"/>
      <c r="I29" s="134"/>
      <c r="J29" s="121">
        <v>0</v>
      </c>
      <c r="K29" s="133">
        <v>0</v>
      </c>
      <c r="L29" s="134">
        <v>0</v>
      </c>
    </row>
    <row r="30" spans="1:12" x14ac:dyDescent="0.25">
      <c r="A30" s="130"/>
      <c r="B30" s="128"/>
      <c r="C30" s="135" t="s">
        <v>52</v>
      </c>
      <c r="D30" s="132"/>
      <c r="E30" s="136">
        <v>6569</v>
      </c>
      <c r="F30" s="137">
        <v>22331.760999999999</v>
      </c>
      <c r="G30" s="138">
        <v>282743.68499999994</v>
      </c>
      <c r="H30" s="138"/>
      <c r="I30" s="138"/>
      <c r="J30" s="136">
        <v>606</v>
      </c>
      <c r="K30" s="137">
        <v>2191.7200000000003</v>
      </c>
      <c r="L30" s="138">
        <v>26649.675999999999</v>
      </c>
    </row>
    <row r="31" spans="1:12" x14ac:dyDescent="0.25">
      <c r="A31" s="130" t="s">
        <v>53</v>
      </c>
      <c r="B31" s="128"/>
      <c r="C31" s="131"/>
      <c r="D31" s="131" t="s">
        <v>19</v>
      </c>
      <c r="E31" s="132" t="s">
        <v>19</v>
      </c>
      <c r="F31" s="132"/>
      <c r="G31" s="121"/>
      <c r="H31" s="121"/>
      <c r="I31" s="121"/>
      <c r="J31" s="133"/>
      <c r="K31" s="134"/>
      <c r="L31" s="121"/>
    </row>
    <row r="32" spans="1:12" x14ac:dyDescent="0.25">
      <c r="A32" s="130" t="s">
        <v>33</v>
      </c>
      <c r="B32" s="128"/>
      <c r="C32" s="131" t="s">
        <v>19</v>
      </c>
      <c r="D32" s="133"/>
      <c r="E32" s="132" t="s">
        <v>19</v>
      </c>
      <c r="F32" s="132"/>
      <c r="G32" s="121" t="s">
        <v>19</v>
      </c>
      <c r="H32" s="121"/>
      <c r="I32" s="121"/>
      <c r="J32" s="133" t="s">
        <v>19</v>
      </c>
      <c r="K32" s="134" t="s">
        <v>19</v>
      </c>
      <c r="L32" s="121" t="s">
        <v>19</v>
      </c>
    </row>
    <row r="33" spans="1:15" x14ac:dyDescent="0.25">
      <c r="A33" s="130"/>
      <c r="B33" s="128"/>
      <c r="C33" s="131"/>
      <c r="D33" s="133"/>
      <c r="E33" s="132"/>
      <c r="F33" s="132"/>
      <c r="G33" s="121"/>
      <c r="H33" s="121"/>
      <c r="I33" s="121"/>
      <c r="J33" s="133"/>
      <c r="K33" s="134"/>
      <c r="L33" s="121"/>
    </row>
    <row r="34" spans="1:15" x14ac:dyDescent="0.25">
      <c r="A34" s="127" t="s">
        <v>34</v>
      </c>
      <c r="B34" s="139" t="s">
        <v>54</v>
      </c>
      <c r="C34" s="140">
        <v>8025</v>
      </c>
      <c r="D34" s="132">
        <v>87.545749999999998</v>
      </c>
      <c r="E34" s="121">
        <v>9</v>
      </c>
      <c r="F34" s="133">
        <v>72.224999999999994</v>
      </c>
      <c r="G34" s="141">
        <v>787.91174999999998</v>
      </c>
      <c r="H34" s="141"/>
      <c r="I34" s="141"/>
      <c r="J34" s="134"/>
      <c r="K34" s="121"/>
      <c r="L34" s="133"/>
    </row>
    <row r="35" spans="1:15" x14ac:dyDescent="0.25">
      <c r="A35" s="130" t="s">
        <v>19</v>
      </c>
      <c r="B35" s="139" t="s">
        <v>55</v>
      </c>
      <c r="C35" s="140">
        <v>12192</v>
      </c>
      <c r="D35" s="132">
        <v>126.92511999999999</v>
      </c>
      <c r="E35" s="121" t="s">
        <v>19</v>
      </c>
      <c r="F35" s="133" t="s">
        <v>19</v>
      </c>
      <c r="G35" s="134" t="s">
        <v>19</v>
      </c>
      <c r="H35" s="134"/>
      <c r="I35" s="134"/>
      <c r="J35" s="121">
        <v>12</v>
      </c>
      <c r="K35" s="133">
        <v>146.304</v>
      </c>
      <c r="L35" s="134">
        <v>1523.1014399999999</v>
      </c>
    </row>
    <row r="36" spans="1:15" x14ac:dyDescent="0.25">
      <c r="A36" s="130" t="s">
        <v>19</v>
      </c>
      <c r="B36" s="128"/>
      <c r="C36" s="135" t="s">
        <v>52</v>
      </c>
      <c r="D36" s="131" t="s">
        <v>19</v>
      </c>
      <c r="E36" s="142">
        <v>9</v>
      </c>
      <c r="F36" s="143">
        <v>72.224999999999994</v>
      </c>
      <c r="G36" s="144">
        <v>787.91174999999998</v>
      </c>
      <c r="H36" s="144"/>
      <c r="I36" s="144"/>
      <c r="J36" s="137">
        <v>12</v>
      </c>
      <c r="K36" s="137">
        <v>146.304</v>
      </c>
      <c r="L36" s="144">
        <v>1523.1014399999999</v>
      </c>
    </row>
    <row r="37" spans="1:15" x14ac:dyDescent="0.25">
      <c r="A37" s="130"/>
      <c r="B37" s="128"/>
      <c r="C37" s="131"/>
      <c r="D37" s="131"/>
      <c r="E37" s="132"/>
      <c r="F37" s="132"/>
      <c r="G37" s="121"/>
      <c r="H37" s="121"/>
      <c r="I37" s="121"/>
      <c r="J37" s="133"/>
      <c r="K37" s="134"/>
      <c r="L37" s="121"/>
    </row>
    <row r="38" spans="1:15" x14ac:dyDescent="0.25">
      <c r="A38" s="127" t="s">
        <v>36</v>
      </c>
      <c r="B38" s="128"/>
      <c r="C38" s="131" t="s">
        <v>19</v>
      </c>
      <c r="D38" s="131" t="s">
        <v>19</v>
      </c>
      <c r="E38" s="132"/>
      <c r="F38" s="132"/>
      <c r="G38" s="121"/>
      <c r="H38" s="121"/>
      <c r="I38" s="121"/>
      <c r="J38" s="133"/>
      <c r="K38" s="134"/>
      <c r="L38" s="121"/>
    </row>
    <row r="39" spans="1:15" x14ac:dyDescent="0.25">
      <c r="A39" s="130" t="s">
        <v>56</v>
      </c>
      <c r="B39" s="128"/>
      <c r="C39" s="131">
        <v>7438</v>
      </c>
      <c r="D39" s="132">
        <v>81.755539999999996</v>
      </c>
      <c r="E39" s="121">
        <v>16</v>
      </c>
      <c r="F39" s="133">
        <v>119.008</v>
      </c>
      <c r="G39" s="134">
        <v>1308.0886399999999</v>
      </c>
      <c r="H39" s="134"/>
      <c r="I39" s="134"/>
      <c r="J39" s="121" t="s">
        <v>19</v>
      </c>
      <c r="K39" s="133" t="s">
        <v>19</v>
      </c>
      <c r="L39" s="134" t="s">
        <v>19</v>
      </c>
    </row>
    <row r="40" spans="1:15" x14ac:dyDescent="0.25">
      <c r="A40" s="130" t="s">
        <v>31</v>
      </c>
      <c r="B40" s="128"/>
      <c r="C40" s="131">
        <v>20613</v>
      </c>
      <c r="D40" s="132">
        <v>210.03093000000001</v>
      </c>
      <c r="E40" s="132"/>
      <c r="F40" s="133" t="s">
        <v>19</v>
      </c>
      <c r="G40" s="134" t="s">
        <v>19</v>
      </c>
      <c r="H40" s="134"/>
      <c r="I40" s="134"/>
      <c r="J40" s="121">
        <v>14</v>
      </c>
      <c r="K40" s="133">
        <v>288.58199999999999</v>
      </c>
      <c r="L40" s="134">
        <v>2940.4330200000004</v>
      </c>
    </row>
    <row r="41" spans="1:15" x14ac:dyDescent="0.25">
      <c r="A41" s="130"/>
      <c r="B41" s="128"/>
      <c r="C41" s="135" t="s">
        <v>52</v>
      </c>
      <c r="D41" s="132"/>
      <c r="E41" s="142">
        <v>16</v>
      </c>
      <c r="F41" s="137">
        <v>119.008</v>
      </c>
      <c r="G41" s="138">
        <v>1308.0886399999999</v>
      </c>
      <c r="H41" s="138"/>
      <c r="I41" s="138"/>
      <c r="J41" s="136">
        <v>14</v>
      </c>
      <c r="K41" s="137">
        <v>288.58199999999999</v>
      </c>
      <c r="L41" s="138">
        <v>2940.4330200000004</v>
      </c>
      <c r="O41" t="s">
        <v>19</v>
      </c>
    </row>
    <row r="42" spans="1:15" x14ac:dyDescent="0.25">
      <c r="A42" s="130"/>
      <c r="B42" s="128"/>
      <c r="C42" s="131"/>
      <c r="D42" s="133"/>
      <c r="E42" s="132"/>
      <c r="F42" s="132"/>
      <c r="G42" s="121"/>
      <c r="H42" s="121"/>
      <c r="I42" s="121"/>
      <c r="J42" s="133"/>
      <c r="K42" s="134"/>
      <c r="L42" s="121"/>
    </row>
    <row r="43" spans="1:15" x14ac:dyDescent="0.25">
      <c r="A43" s="127" t="s">
        <v>38</v>
      </c>
      <c r="B43" s="128"/>
      <c r="C43" s="131" t="s">
        <v>19</v>
      </c>
      <c r="D43" s="131" t="s">
        <v>19</v>
      </c>
      <c r="E43" s="132"/>
      <c r="F43" s="132"/>
      <c r="G43" s="121"/>
      <c r="H43" s="121"/>
      <c r="I43" s="121"/>
      <c r="J43" s="133"/>
      <c r="K43" s="134"/>
      <c r="L43" s="121"/>
    </row>
    <row r="44" spans="1:15" x14ac:dyDescent="0.25">
      <c r="A44" s="130" t="s">
        <v>19</v>
      </c>
      <c r="B44" s="130"/>
      <c r="C44" s="131">
        <v>4458</v>
      </c>
      <c r="D44" s="132">
        <v>156.06</v>
      </c>
      <c r="E44" s="121"/>
      <c r="F44" s="133"/>
      <c r="G44" s="134"/>
      <c r="H44" s="134"/>
      <c r="I44" s="134"/>
      <c r="J44" s="121">
        <v>2</v>
      </c>
      <c r="K44" s="133">
        <v>8.9160000000000004</v>
      </c>
      <c r="L44" s="134">
        <v>312.12</v>
      </c>
    </row>
    <row r="45" spans="1:15" x14ac:dyDescent="0.25">
      <c r="A45" s="130" t="s">
        <v>19</v>
      </c>
      <c r="B45" s="130"/>
      <c r="C45" s="135" t="s">
        <v>52</v>
      </c>
      <c r="D45" s="132"/>
      <c r="E45" s="132"/>
      <c r="F45" s="121"/>
      <c r="G45" s="133"/>
      <c r="H45" s="133"/>
      <c r="I45" s="133"/>
      <c r="J45" s="133">
        <v>2</v>
      </c>
      <c r="K45" s="121">
        <v>8.9160000000000004</v>
      </c>
      <c r="L45" s="145">
        <v>312.12</v>
      </c>
    </row>
    <row r="46" spans="1:15" x14ac:dyDescent="0.25">
      <c r="A46" s="130"/>
      <c r="B46" s="128"/>
      <c r="C46" s="131"/>
      <c r="D46" s="131"/>
      <c r="E46" s="132"/>
      <c r="F46" s="132"/>
      <c r="G46" s="121"/>
      <c r="H46" s="121"/>
      <c r="I46" s="121"/>
      <c r="J46" s="133"/>
      <c r="K46" s="134"/>
      <c r="L46" s="121"/>
    </row>
    <row r="47" spans="1:15" x14ac:dyDescent="0.25">
      <c r="A47" s="127" t="s">
        <v>39</v>
      </c>
      <c r="B47" s="139" t="s">
        <v>54</v>
      </c>
      <c r="C47" s="131">
        <v>10411</v>
      </c>
      <c r="D47" s="132">
        <v>252.2</v>
      </c>
      <c r="E47" s="121">
        <v>18</v>
      </c>
      <c r="F47" s="133">
        <v>187.398</v>
      </c>
      <c r="G47" s="134">
        <v>4539.5999999999995</v>
      </c>
      <c r="H47" s="134"/>
      <c r="I47" s="134"/>
      <c r="J47" s="121"/>
      <c r="K47" s="133"/>
      <c r="L47" s="134"/>
    </row>
    <row r="48" spans="1:15" x14ac:dyDescent="0.25">
      <c r="A48" s="130"/>
      <c r="B48" s="139" t="s">
        <v>55</v>
      </c>
      <c r="C48" s="131">
        <v>34024</v>
      </c>
      <c r="D48" s="132">
        <v>328.09183999999999</v>
      </c>
      <c r="E48" s="121"/>
      <c r="F48" s="133" t="s">
        <v>19</v>
      </c>
      <c r="G48" s="134" t="s">
        <v>19</v>
      </c>
      <c r="H48" s="134"/>
      <c r="I48" s="134"/>
      <c r="J48" s="121">
        <v>17</v>
      </c>
      <c r="K48" s="133">
        <v>578.40800000000002</v>
      </c>
      <c r="L48" s="134">
        <v>5577.5612799999999</v>
      </c>
    </row>
    <row r="49" spans="1:12" x14ac:dyDescent="0.25">
      <c r="A49" s="130"/>
      <c r="B49" s="139"/>
      <c r="C49" s="135" t="s">
        <v>52</v>
      </c>
      <c r="D49" s="132"/>
      <c r="E49" s="136">
        <v>18</v>
      </c>
      <c r="F49" s="137">
        <v>187.398</v>
      </c>
      <c r="G49" s="138">
        <v>4539.5999999999995</v>
      </c>
      <c r="H49" s="138"/>
      <c r="I49" s="138"/>
      <c r="J49" s="136">
        <v>17</v>
      </c>
      <c r="K49" s="137">
        <v>578.40800000000002</v>
      </c>
      <c r="L49" s="138">
        <v>5577.5612799999999</v>
      </c>
    </row>
    <row r="50" spans="1:12" x14ac:dyDescent="0.25">
      <c r="A50" s="130"/>
      <c r="B50" s="121"/>
      <c r="C50" s="131"/>
      <c r="D50" s="131"/>
      <c r="E50" s="132"/>
      <c r="F50" s="132"/>
      <c r="G50" s="121"/>
      <c r="H50" s="121"/>
      <c r="I50" s="121"/>
      <c r="J50" s="133"/>
      <c r="K50" s="134"/>
      <c r="L50" s="121"/>
    </row>
    <row r="51" spans="1:12" x14ac:dyDescent="0.25">
      <c r="A51" s="146" t="s">
        <v>57</v>
      </c>
      <c r="B51" s="121"/>
      <c r="C51" s="131"/>
      <c r="D51" s="131"/>
      <c r="E51" s="132"/>
      <c r="F51" s="132"/>
      <c r="G51" s="121"/>
      <c r="H51" s="121"/>
      <c r="I51" s="121"/>
      <c r="J51" s="133"/>
      <c r="K51" s="134"/>
      <c r="L51" s="121"/>
    </row>
    <row r="52" spans="1:12" x14ac:dyDescent="0.25">
      <c r="A52" s="130" t="s">
        <v>58</v>
      </c>
      <c r="B52" s="121"/>
      <c r="C52" s="131">
        <v>371417</v>
      </c>
      <c r="D52" s="132">
        <v>1013.9684099999999</v>
      </c>
      <c r="E52" s="121"/>
      <c r="F52" s="133"/>
      <c r="G52" s="134"/>
      <c r="H52" s="134"/>
      <c r="I52" s="134"/>
      <c r="J52" s="121">
        <v>3</v>
      </c>
      <c r="K52" s="133">
        <v>1114.251</v>
      </c>
      <c r="L52" s="134">
        <v>3041.9052299999998</v>
      </c>
    </row>
    <row r="53" spans="1:12" x14ac:dyDescent="0.25">
      <c r="A53" s="121" t="s">
        <v>59</v>
      </c>
      <c r="B53" s="121"/>
      <c r="C53" s="131">
        <v>370738</v>
      </c>
      <c r="D53" s="132">
        <v>1012.11474</v>
      </c>
      <c r="E53" s="121"/>
      <c r="F53" s="133"/>
      <c r="G53" s="134"/>
      <c r="H53" s="134"/>
      <c r="I53" s="134"/>
      <c r="J53" s="121">
        <v>2</v>
      </c>
      <c r="K53" s="133">
        <v>741.476</v>
      </c>
      <c r="L53" s="134">
        <v>2024.22948</v>
      </c>
    </row>
    <row r="54" spans="1:12" x14ac:dyDescent="0.25">
      <c r="A54" s="121" t="s">
        <v>60</v>
      </c>
      <c r="B54" s="121"/>
      <c r="C54" s="131">
        <v>0</v>
      </c>
      <c r="D54" s="132">
        <v>0</v>
      </c>
      <c r="E54" s="121"/>
      <c r="F54" s="133"/>
      <c r="G54" s="134"/>
      <c r="H54" s="134"/>
      <c r="I54" s="134"/>
      <c r="J54" s="121">
        <v>1</v>
      </c>
      <c r="K54" s="133">
        <v>0</v>
      </c>
      <c r="L54" s="134">
        <v>0</v>
      </c>
    </row>
    <row r="55" spans="1:12" x14ac:dyDescent="0.25">
      <c r="A55" s="116"/>
      <c r="B55" s="116"/>
      <c r="C55" s="147" t="s">
        <v>52</v>
      </c>
      <c r="D55" s="147"/>
      <c r="E55" s="148"/>
      <c r="F55" s="148"/>
      <c r="G55" s="149" t="s">
        <v>19</v>
      </c>
      <c r="H55" s="149"/>
      <c r="I55" s="149"/>
      <c r="J55" s="137">
        <v>6</v>
      </c>
      <c r="K55" s="137">
        <v>1855.7269999999999</v>
      </c>
      <c r="L55" s="150">
        <v>5066.1347100000003</v>
      </c>
    </row>
    <row r="56" spans="1:12" x14ac:dyDescent="0.25">
      <c r="A56" s="116"/>
      <c r="B56" s="116"/>
      <c r="C56" s="151" t="s">
        <v>35</v>
      </c>
      <c r="D56" s="151"/>
      <c r="E56" s="151">
        <v>6612</v>
      </c>
      <c r="F56" s="152">
        <v>22710.392</v>
      </c>
      <c r="G56" s="153">
        <v>289379.28538999992</v>
      </c>
      <c r="H56" s="153"/>
      <c r="I56" s="153"/>
      <c r="J56" s="154">
        <v>657</v>
      </c>
      <c r="K56" s="155">
        <v>5069.6570000000002</v>
      </c>
      <c r="L56" s="153">
        <v>42069.026449999998</v>
      </c>
    </row>
    <row r="57" spans="1:12" x14ac:dyDescent="0.2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Rowan Usage</vt:lpstr>
      <vt:lpstr>Existing Water Income</vt:lpstr>
      <vt:lpstr>Forecasted Water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PBR</cp:lastModifiedBy>
  <dcterms:created xsi:type="dcterms:W3CDTF">2022-11-02T18:56:07Z</dcterms:created>
  <dcterms:modified xsi:type="dcterms:W3CDTF">2023-02-10T19:53:59Z</dcterms:modified>
</cp:coreProperties>
</file>