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Meade Co 2022\Application\"/>
    </mc:Choice>
  </mc:AlternateContent>
  <xr:revisionPtr revIDLastSave="0" documentId="8_{ED9915D0-6A67-4B41-A9C4-EAAF91F4EB2A}" xr6:coauthVersionLast="47" xr6:coauthVersionMax="47" xr10:uidLastSave="{00000000-0000-0000-0000-000000000000}"/>
  <bookViews>
    <workbookView xWindow="-96" yWindow="-96" windowWidth="23232" windowHeight="12552" activeTab="4" xr2:uid="{67B767E0-80A5-43C3-BF0D-F4D3FA4D0492}"/>
  </bookViews>
  <sheets>
    <sheet name="KIA F08-02" sheetId="1" r:id="rId1"/>
    <sheet name="KIA F03-05" sheetId="4" r:id="rId2"/>
    <sheet name="KIA C98-05" sheetId="6" r:id="rId3"/>
    <sheet name="RD 91-06" sheetId="9" r:id="rId4"/>
    <sheet name="KRWA" sheetId="13" r:id="rId5"/>
    <sheet name="RD 91-07" sheetId="15" r:id="rId6"/>
    <sheet name="KLC 2021B" sheetId="14" r:id="rId7"/>
    <sheet name="Premium" sheetId="16" r:id="rId8"/>
    <sheet name="LTD" sheetId="11" r:id="rId9"/>
  </sheets>
  <externalReferences>
    <externalReference r:id="rId10"/>
  </externalReferences>
  <definedNames>
    <definedName name="Beg_Bal" localSheetId="2">'KIA C98-05'!$C$18:$C$176</definedName>
    <definedName name="Beg_Bal" localSheetId="1">'KIA F03-05'!$C$18:$C$176</definedName>
    <definedName name="Beg_Bal" localSheetId="0">'KIA F08-02'!$C$18:$C$176</definedName>
    <definedName name="Extra_Pay" localSheetId="2">'KIA C98-05'!$G$18:$G$176</definedName>
    <definedName name="Extra_Pay" localSheetId="1">'KIA F03-05'!$E$18:$E$176</definedName>
    <definedName name="Extra_Pay" localSheetId="0">'KIA F08-02'!$E$18:$E$176</definedName>
    <definedName name="Int" localSheetId="2">'KIA C98-05'!$J$18:$J$176</definedName>
    <definedName name="Int" localSheetId="1">'KIA F03-05'!$H$18:$H$176</definedName>
    <definedName name="Int" localSheetId="0">'KIA F08-02'!$H$18:$H$176</definedName>
    <definedName name="Interest_Rate" localSheetId="2">'KIA C98-05'!$D$6</definedName>
    <definedName name="Interest_Rate" localSheetId="1">'KIA F03-05'!$D$6</definedName>
    <definedName name="Interest_Rate" localSheetId="0">'KIA F08-02'!$D$6</definedName>
    <definedName name="Last_Row" localSheetId="2">IF('[1]Amort 22668'!Values_Entered,'[1]Amort 22668'!Header_Row+'[1]Amort 22668'!Number_of_Payments,'[1]Amort 22668'!Header_Row)</definedName>
    <definedName name="Last_Row" localSheetId="1">IF('[1]Amort 22668'!Values_Entered,'[1]Amort 22668'!Header_Row+'[1]Amort 22668'!Number_of_Payments,'[1]Amort 22668'!Header_Row)</definedName>
    <definedName name="Last_Row" localSheetId="0">IF('[1]Amort 22668'!Values_Entered,'[1]Amort 22668'!Header_Row+'[1]Amort 22668'!Number_of_Payments,'[1]Amort 22668'!Header_Row)</definedName>
    <definedName name="Loan_Amount" localSheetId="2">'KIA C98-05'!$D$5</definedName>
    <definedName name="Loan_Amount" localSheetId="1">'KIA F03-05'!$D$5</definedName>
    <definedName name="Loan_Amount" localSheetId="0">'KIA F08-02'!$D$5</definedName>
    <definedName name="Loan_Start" localSheetId="2">'KIA C98-05'!$D$9</definedName>
    <definedName name="Loan_Start" localSheetId="1">'KIA F03-05'!$D$9</definedName>
    <definedName name="Loan_Start" localSheetId="0">'KIA F08-02'!$D$9</definedName>
    <definedName name="Num_Pmt_Per_Year" localSheetId="2">'KIA C98-05'!$D$8</definedName>
    <definedName name="Num_Pmt_Per_Year" localSheetId="1">'KIA F03-05'!$D$8</definedName>
    <definedName name="Num_Pmt_Per_Year" localSheetId="0">'KIA F08-02'!$D$8</definedName>
    <definedName name="Pay_Num" localSheetId="2">'KIA C98-05'!$A$18:$A$176</definedName>
    <definedName name="Pay_Num" localSheetId="1">'KIA F03-05'!$A$18:$A$176</definedName>
    <definedName name="Pay_Num" localSheetId="0">'KIA F08-02'!$A$18:$A$176</definedName>
    <definedName name="Princ" localSheetId="2">'KIA C98-05'!$I$18:$I$176</definedName>
    <definedName name="Princ" localSheetId="1">'KIA F03-05'!$G$18:$G$176</definedName>
    <definedName name="Princ" localSheetId="0">'KIA F08-02'!$G$18:$G$176</definedName>
    <definedName name="Sched_Pay" localSheetId="2">'KIA C98-05'!$D$18:$D$176</definedName>
    <definedName name="Sched_Pay" localSheetId="1">'KIA F03-05'!$D$18:$D$176</definedName>
    <definedName name="Sched_Pay" localSheetId="0">'KIA F08-02'!$D$18:$D$176</definedName>
    <definedName name="Scheduled_Extra_Payments" localSheetId="2">'KIA C98-05'!$D$10</definedName>
    <definedName name="Scheduled_Extra_Payments" localSheetId="1">'KIA F03-05'!$D$10</definedName>
    <definedName name="Scheduled_Extra_Payments" localSheetId="0">'KIA F08-02'!$D$10</definedName>
    <definedName name="Scheduled_Monthly_Payment" localSheetId="2">'KIA C98-05'!$J$5</definedName>
    <definedName name="Scheduled_Monthly_Payment" localSheetId="1">'KIA F03-05'!$H$5</definedName>
    <definedName name="Scheduled_Monthly_Payment" localSheetId="0">'KIA F08-02'!$H$5</definedName>
    <definedName name="Total_Pay" localSheetId="2">'KIA C98-05'!$H$18:$H$176</definedName>
    <definedName name="Total_Pay" localSheetId="1">'KIA F03-05'!$F$18:$F$176</definedName>
    <definedName name="Total_Pay" localSheetId="0">'KIA F08-02'!$F$18:$F$176</definedName>
    <definedName name="Values_Entered" localSheetId="2">IF('[1]Amort 22668'!Loan_Amount*'[1]Amort 22668'!Interest_Rate*'[1]Amort 22668'!Loan_Years*'[1]Amort 22668'!Loan_Start&gt;0,1,0)</definedName>
    <definedName name="Values_Entered" localSheetId="1">IF('[1]Amort 22668'!Loan_Amount*'[1]Amort 22668'!Interest_Rate*'[1]Amort 22668'!Loan_Years*'[1]Amort 22668'!Loan_Start&gt;0,1,0)</definedName>
    <definedName name="Values_Entered" localSheetId="0">IF('[1]Amort 22668'!Loan_Amount*'[1]Amort 22668'!Interest_Rate*'[1]Amort 22668'!Loan_Years*'[1]Amort 22668'!Loan_Start&gt;0,1,0)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11" l="1"/>
  <c r="O46" i="11"/>
  <c r="P45" i="11"/>
  <c r="O45" i="11"/>
  <c r="P44" i="11"/>
  <c r="O44" i="11"/>
  <c r="P43" i="11"/>
  <c r="O43" i="11"/>
  <c r="P42" i="11"/>
  <c r="O42" i="11"/>
  <c r="G8" i="11"/>
  <c r="C9" i="11" s="1"/>
  <c r="J12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K51" i="15"/>
  <c r="D48" i="11" s="1"/>
  <c r="K50" i="15"/>
  <c r="D47" i="11" s="1"/>
  <c r="K49" i="15"/>
  <c r="D46" i="11" s="1"/>
  <c r="K48" i="15"/>
  <c r="D45" i="11" s="1"/>
  <c r="K47" i="15"/>
  <c r="D44" i="11" s="1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L53" i="13"/>
  <c r="L52" i="13"/>
  <c r="L51" i="13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G9" i="14"/>
  <c r="E8" i="14"/>
  <c r="E9" i="14" s="1"/>
  <c r="E10" i="14" s="1"/>
  <c r="B9" i="15"/>
  <c r="E8" i="15"/>
  <c r="F224" i="6"/>
  <c r="E224" i="6"/>
  <c r="B216" i="6"/>
  <c r="B217" i="6"/>
  <c r="B218" i="6"/>
  <c r="B219" i="6"/>
  <c r="B220" i="6"/>
  <c r="B221" i="6"/>
  <c r="B222" i="6"/>
  <c r="B212" i="6"/>
  <c r="B213" i="6"/>
  <c r="B214" i="6"/>
  <c r="B215" i="6"/>
  <c r="B211" i="6"/>
  <c r="D9" i="11" l="1"/>
  <c r="G9" i="11" s="1"/>
  <c r="D10" i="11"/>
  <c r="D23" i="11"/>
  <c r="D16" i="11"/>
  <c r="D24" i="11"/>
  <c r="D17" i="11"/>
  <c r="D15" i="11"/>
  <c r="D18" i="11"/>
  <c r="D19" i="11"/>
  <c r="D12" i="11"/>
  <c r="D20" i="11"/>
  <c r="D13" i="11"/>
  <c r="D21" i="11"/>
  <c r="D11" i="11"/>
  <c r="D14" i="11"/>
  <c r="D22" i="11"/>
  <c r="K52" i="11"/>
  <c r="B11" i="14"/>
  <c r="E11" i="14"/>
  <c r="B12" i="14" s="1"/>
  <c r="E9" i="15"/>
  <c r="E10" i="15" s="1"/>
  <c r="B11" i="15" s="1"/>
  <c r="J18" i="1"/>
  <c r="K41" i="11" l="1"/>
  <c r="J13" i="14"/>
  <c r="E12" i="14"/>
  <c r="B10" i="15"/>
  <c r="L12" i="15" s="1"/>
  <c r="E11" i="15"/>
  <c r="E12" i="15" s="1"/>
  <c r="F8" i="13"/>
  <c r="F9" i="13" s="1"/>
  <c r="B10" i="13" s="1"/>
  <c r="E13" i="14" l="1"/>
  <c r="B13" i="14"/>
  <c r="B12" i="15"/>
  <c r="L13" i="15" s="1"/>
  <c r="B13" i="15"/>
  <c r="E13" i="15"/>
  <c r="B9" i="13"/>
  <c r="F10" i="13"/>
  <c r="B11" i="13" s="1"/>
  <c r="K43" i="11"/>
  <c r="Q22" i="6"/>
  <c r="Q23" i="6"/>
  <c r="C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4" i="6"/>
  <c r="Q6" i="6"/>
  <c r="B9" i="6"/>
  <c r="C222" i="6"/>
  <c r="G222" i="6" s="1"/>
  <c r="C221" i="6"/>
  <c r="G221" i="6" s="1"/>
  <c r="C220" i="6"/>
  <c r="G220" i="6" s="1"/>
  <c r="C219" i="6"/>
  <c r="G219" i="6" s="1"/>
  <c r="C218" i="6"/>
  <c r="G218" i="6" s="1"/>
  <c r="C217" i="6"/>
  <c r="K217" i="6" s="1"/>
  <c r="C216" i="6"/>
  <c r="G216" i="6" s="1"/>
  <c r="C215" i="6"/>
  <c r="G215" i="6" s="1"/>
  <c r="C214" i="6"/>
  <c r="G214" i="6" s="1"/>
  <c r="C213" i="6"/>
  <c r="G213" i="6" s="1"/>
  <c r="C212" i="6"/>
  <c r="G212" i="6" s="1"/>
  <c r="C211" i="6"/>
  <c r="G211" i="6" s="1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H8" i="6"/>
  <c r="E14" i="14" l="1"/>
  <c r="B14" i="14"/>
  <c r="J14" i="14" s="1"/>
  <c r="E14" i="15"/>
  <c r="B14" i="15"/>
  <c r="L14" i="15" s="1"/>
  <c r="K45" i="11"/>
  <c r="K44" i="11"/>
  <c r="G217" i="6"/>
  <c r="G203" i="6"/>
  <c r="G191" i="6"/>
  <c r="G167" i="6"/>
  <c r="G155" i="6"/>
  <c r="G179" i="6"/>
  <c r="G208" i="6"/>
  <c r="G196" i="6"/>
  <c r="G184" i="6"/>
  <c r="G172" i="6"/>
  <c r="G160" i="6"/>
  <c r="G148" i="6"/>
  <c r="G136" i="6"/>
  <c r="G124" i="6"/>
  <c r="G112" i="6"/>
  <c r="G100" i="6"/>
  <c r="G88" i="6"/>
  <c r="G26" i="6"/>
  <c r="G50" i="6"/>
  <c r="G74" i="6"/>
  <c r="G98" i="6"/>
  <c r="G122" i="6"/>
  <c r="G146" i="6"/>
  <c r="G170" i="6"/>
  <c r="G194" i="6"/>
  <c r="G76" i="6"/>
  <c r="G64" i="6"/>
  <c r="G52" i="6"/>
  <c r="G40" i="6"/>
  <c r="G28" i="6"/>
  <c r="G16" i="6"/>
  <c r="G143" i="6"/>
  <c r="G131" i="6"/>
  <c r="G119" i="6"/>
  <c r="G9" i="6"/>
  <c r="F11" i="13"/>
  <c r="B12" i="13" s="1"/>
  <c r="G201" i="6"/>
  <c r="G165" i="6"/>
  <c r="G129" i="6"/>
  <c r="G81" i="6"/>
  <c r="G45" i="6"/>
  <c r="G199" i="6"/>
  <c r="G187" i="6"/>
  <c r="G175" i="6"/>
  <c r="G163" i="6"/>
  <c r="G151" i="6"/>
  <c r="G139" i="6"/>
  <c r="G127" i="6"/>
  <c r="G115" i="6"/>
  <c r="G103" i="6"/>
  <c r="G91" i="6"/>
  <c r="G79" i="6"/>
  <c r="G67" i="6"/>
  <c r="G55" i="6"/>
  <c r="G43" i="6"/>
  <c r="G31" i="6"/>
  <c r="G19" i="6"/>
  <c r="G210" i="6"/>
  <c r="G198" i="6"/>
  <c r="G186" i="6"/>
  <c r="G174" i="6"/>
  <c r="G162" i="6"/>
  <c r="G150" i="6"/>
  <c r="G138" i="6"/>
  <c r="G126" i="6"/>
  <c r="G114" i="6"/>
  <c r="G102" i="6"/>
  <c r="G90" i="6"/>
  <c r="G78" i="6"/>
  <c r="G66" i="6"/>
  <c r="G54" i="6"/>
  <c r="G42" i="6"/>
  <c r="G30" i="6"/>
  <c r="G18" i="6"/>
  <c r="G209" i="6"/>
  <c r="G197" i="6"/>
  <c r="G185" i="6"/>
  <c r="G173" i="6"/>
  <c r="G161" i="6"/>
  <c r="G149" i="6"/>
  <c r="G137" i="6"/>
  <c r="G125" i="6"/>
  <c r="G113" i="6"/>
  <c r="G101" i="6"/>
  <c r="G89" i="6"/>
  <c r="G77" i="6"/>
  <c r="G65" i="6"/>
  <c r="G53" i="6"/>
  <c r="G41" i="6"/>
  <c r="G29" i="6"/>
  <c r="G17" i="6"/>
  <c r="G206" i="6"/>
  <c r="G182" i="6"/>
  <c r="G158" i="6"/>
  <c r="G134" i="6"/>
  <c r="G110" i="6"/>
  <c r="G86" i="6"/>
  <c r="G62" i="6"/>
  <c r="G38" i="6"/>
  <c r="G14" i="6"/>
  <c r="G189" i="6"/>
  <c r="G153" i="6"/>
  <c r="G117" i="6"/>
  <c r="G93" i="6"/>
  <c r="G57" i="6"/>
  <c r="G33" i="6"/>
  <c r="G177" i="6"/>
  <c r="G141" i="6"/>
  <c r="G105" i="6"/>
  <c r="G69" i="6"/>
  <c r="G21" i="6"/>
  <c r="G195" i="6"/>
  <c r="G171" i="6"/>
  <c r="G135" i="6"/>
  <c r="G99" i="6"/>
  <c r="G75" i="6"/>
  <c r="G51" i="6"/>
  <c r="G27" i="6"/>
  <c r="G205" i="6"/>
  <c r="G193" i="6"/>
  <c r="G181" i="6"/>
  <c r="G169" i="6"/>
  <c r="G157" i="6"/>
  <c r="G145" i="6"/>
  <c r="G133" i="6"/>
  <c r="G121" i="6"/>
  <c r="G109" i="6"/>
  <c r="G97" i="6"/>
  <c r="G85" i="6"/>
  <c r="G73" i="6"/>
  <c r="G61" i="6"/>
  <c r="G49" i="6"/>
  <c r="G37" i="6"/>
  <c r="G25" i="6"/>
  <c r="G13" i="6"/>
  <c r="G180" i="6"/>
  <c r="G168" i="6"/>
  <c r="G144" i="6"/>
  <c r="G120" i="6"/>
  <c r="G108" i="6"/>
  <c r="G96" i="6"/>
  <c r="G84" i="6"/>
  <c r="G72" i="6"/>
  <c r="G60" i="6"/>
  <c r="G48" i="6"/>
  <c r="G36" i="6"/>
  <c r="G24" i="6"/>
  <c r="G12" i="6"/>
  <c r="G204" i="6"/>
  <c r="G132" i="6"/>
  <c r="G192" i="6"/>
  <c r="G156" i="6"/>
  <c r="G107" i="6"/>
  <c r="G95" i="6"/>
  <c r="G83" i="6"/>
  <c r="G71" i="6"/>
  <c r="G59" i="6"/>
  <c r="G47" i="6"/>
  <c r="G35" i="6"/>
  <c r="G23" i="6"/>
  <c r="G11" i="6"/>
  <c r="G202" i="6"/>
  <c r="G190" i="6"/>
  <c r="G178" i="6"/>
  <c r="G166" i="6"/>
  <c r="G154" i="6"/>
  <c r="G142" i="6"/>
  <c r="G130" i="6"/>
  <c r="G118" i="6"/>
  <c r="G106" i="6"/>
  <c r="G94" i="6"/>
  <c r="G82" i="6"/>
  <c r="G70" i="6"/>
  <c r="G58" i="6"/>
  <c r="G46" i="6"/>
  <c r="G34" i="6"/>
  <c r="G22" i="6"/>
  <c r="G10" i="6"/>
  <c r="G200" i="6"/>
  <c r="G188" i="6"/>
  <c r="G176" i="6"/>
  <c r="G164" i="6"/>
  <c r="G152" i="6"/>
  <c r="G140" i="6"/>
  <c r="G128" i="6"/>
  <c r="G116" i="6"/>
  <c r="G104" i="6"/>
  <c r="G92" i="6"/>
  <c r="G80" i="6"/>
  <c r="G68" i="6"/>
  <c r="G56" i="6"/>
  <c r="G44" i="6"/>
  <c r="G32" i="6"/>
  <c r="G20" i="6"/>
  <c r="G207" i="6"/>
  <c r="G159" i="6"/>
  <c r="G123" i="6"/>
  <c r="G39" i="6"/>
  <c r="G183" i="6"/>
  <c r="G147" i="6"/>
  <c r="G111" i="6"/>
  <c r="G87" i="6"/>
  <c r="G63" i="6"/>
  <c r="G15" i="6"/>
  <c r="C224" i="6"/>
  <c r="C227" i="6" s="1"/>
  <c r="E15" i="14" l="1"/>
  <c r="B15" i="14"/>
  <c r="E15" i="15"/>
  <c r="B15" i="15"/>
  <c r="F12" i="13"/>
  <c r="B13" i="13" s="1"/>
  <c r="J192" i="6"/>
  <c r="J204" i="6"/>
  <c r="J222" i="6"/>
  <c r="H9" i="6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B16" i="14" l="1"/>
  <c r="J15" i="14" s="1"/>
  <c r="E16" i="14"/>
  <c r="E16" i="15"/>
  <c r="B16" i="15"/>
  <c r="L15" i="15" s="1"/>
  <c r="F13" i="13"/>
  <c r="B14" i="13" s="1"/>
  <c r="K19" i="1"/>
  <c r="D47" i="9"/>
  <c r="J36" i="9" s="1"/>
  <c r="D25" i="11" s="1"/>
  <c r="E8" i="9"/>
  <c r="B9" i="9" s="1"/>
  <c r="E17" i="14" l="1"/>
  <c r="B17" i="14"/>
  <c r="B17" i="15"/>
  <c r="E17" i="15"/>
  <c r="D49" i="9"/>
  <c r="J37" i="9" s="1"/>
  <c r="D26" i="11" s="1"/>
  <c r="E9" i="9"/>
  <c r="F14" i="13"/>
  <c r="B15" i="13" s="1"/>
  <c r="D51" i="9" l="1"/>
  <c r="J38" i="9" s="1"/>
  <c r="D27" i="11" s="1"/>
  <c r="E18" i="14"/>
  <c r="B18" i="14"/>
  <c r="J16" i="14" s="1"/>
  <c r="E18" i="15"/>
  <c r="B18" i="15"/>
  <c r="L16" i="15" s="1"/>
  <c r="K46" i="11"/>
  <c r="B10" i="9"/>
  <c r="E10" i="9"/>
  <c r="F15" i="13"/>
  <c r="B16" i="13" s="1"/>
  <c r="K42" i="11"/>
  <c r="D53" i="9" l="1"/>
  <c r="J39" i="9" s="1"/>
  <c r="D28" i="11" s="1"/>
  <c r="B19" i="14"/>
  <c r="E19" i="14"/>
  <c r="E19" i="15"/>
  <c r="B19" i="15"/>
  <c r="E11" i="9"/>
  <c r="B11" i="9"/>
  <c r="F16" i="13"/>
  <c r="B17" i="13" s="1"/>
  <c r="D55" i="9" l="1"/>
  <c r="J40" i="9" s="1"/>
  <c r="D29" i="11" s="1"/>
  <c r="E20" i="14"/>
  <c r="B20" i="14"/>
  <c r="J17" i="14" s="1"/>
  <c r="E20" i="15"/>
  <c r="B20" i="15"/>
  <c r="L17" i="15" s="1"/>
  <c r="B12" i="9"/>
  <c r="E12" i="9"/>
  <c r="F17" i="13"/>
  <c r="B18" i="13" s="1"/>
  <c r="K47" i="11"/>
  <c r="D57" i="9" l="1"/>
  <c r="J41" i="9" s="1"/>
  <c r="D30" i="11" s="1"/>
  <c r="E21" i="14"/>
  <c r="B21" i="14"/>
  <c r="B21" i="15"/>
  <c r="E21" i="15"/>
  <c r="E13" i="9"/>
  <c r="B13" i="9"/>
  <c r="F18" i="13"/>
  <c r="B19" i="13" s="1"/>
  <c r="D59" i="9" l="1"/>
  <c r="E22" i="14"/>
  <c r="B22" i="14"/>
  <c r="J18" i="14" s="1"/>
  <c r="E22" i="15"/>
  <c r="B22" i="15"/>
  <c r="L18" i="15" s="1"/>
  <c r="E14" i="9"/>
  <c r="B14" i="9"/>
  <c r="F19" i="13"/>
  <c r="B20" i="13" s="1"/>
  <c r="D61" i="9" l="1"/>
  <c r="J42" i="9"/>
  <c r="D31" i="11" s="1"/>
  <c r="E23" i="14"/>
  <c r="B23" i="14"/>
  <c r="E23" i="15"/>
  <c r="B23" i="15"/>
  <c r="E15" i="9"/>
  <c r="B15" i="9"/>
  <c r="F20" i="13"/>
  <c r="B21" i="13" s="1"/>
  <c r="D63" i="9" l="1"/>
  <c r="J43" i="9"/>
  <c r="D32" i="11" s="1"/>
  <c r="B24" i="14"/>
  <c r="J19" i="14" s="1"/>
  <c r="E24" i="14"/>
  <c r="E24" i="15"/>
  <c r="B24" i="15"/>
  <c r="L19" i="15" s="1"/>
  <c r="E16" i="9"/>
  <c r="B16" i="9"/>
  <c r="K20" i="9" s="1"/>
  <c r="F21" i="13"/>
  <c r="B22" i="13" s="1"/>
  <c r="D65" i="9" l="1"/>
  <c r="J44" i="9"/>
  <c r="D33" i="11" s="1"/>
  <c r="E25" i="14"/>
  <c r="B25" i="14"/>
  <c r="B25" i="15"/>
  <c r="E25" i="15"/>
  <c r="E17" i="9"/>
  <c r="B17" i="9"/>
  <c r="F22" i="13"/>
  <c r="B23" i="13" s="1"/>
  <c r="K48" i="11"/>
  <c r="D67" i="9" l="1"/>
  <c r="J45" i="9"/>
  <c r="D34" i="11" s="1"/>
  <c r="E26" i="14"/>
  <c r="B26" i="14"/>
  <c r="J20" i="14" s="1"/>
  <c r="E26" i="15"/>
  <c r="B26" i="15"/>
  <c r="L20" i="15" s="1"/>
  <c r="E18" i="9"/>
  <c r="B18" i="9"/>
  <c r="K21" i="9" s="1"/>
  <c r="F23" i="13"/>
  <c r="B24" i="13" s="1"/>
  <c r="D69" i="9" l="1"/>
  <c r="J46" i="9"/>
  <c r="D35" i="11" s="1"/>
  <c r="B27" i="14"/>
  <c r="E27" i="14"/>
  <c r="E27" i="15"/>
  <c r="B27" i="15"/>
  <c r="E19" i="9"/>
  <c r="B19" i="9"/>
  <c r="F24" i="13"/>
  <c r="B25" i="13" s="1"/>
  <c r="D71" i="9" l="1"/>
  <c r="J47" i="9"/>
  <c r="D36" i="11" s="1"/>
  <c r="E28" i="14"/>
  <c r="B28" i="14"/>
  <c r="J21" i="14" s="1"/>
  <c r="E28" i="15"/>
  <c r="B28" i="15"/>
  <c r="L21" i="15" s="1"/>
  <c r="E20" i="9"/>
  <c r="B20" i="9"/>
  <c r="K22" i="9" s="1"/>
  <c r="F25" i="13"/>
  <c r="B26" i="13" s="1"/>
  <c r="D73" i="9" l="1"/>
  <c r="J48" i="9"/>
  <c r="D37" i="11" s="1"/>
  <c r="E29" i="14"/>
  <c r="B29" i="14"/>
  <c r="B29" i="15"/>
  <c r="E29" i="15"/>
  <c r="B21" i="9"/>
  <c r="E21" i="9"/>
  <c r="F26" i="13"/>
  <c r="B27" i="13" s="1"/>
  <c r="D75" i="9" l="1"/>
  <c r="J49" i="9"/>
  <c r="D38" i="11" s="1"/>
  <c r="E30" i="14"/>
  <c r="B30" i="14"/>
  <c r="J22" i="14" s="1"/>
  <c r="E30" i="15"/>
  <c r="B30" i="15"/>
  <c r="L22" i="15" s="1"/>
  <c r="B22" i="9"/>
  <c r="K23" i="9" s="1"/>
  <c r="E12" i="11" s="1"/>
  <c r="E22" i="9"/>
  <c r="F27" i="13"/>
  <c r="B28" i="13" s="1"/>
  <c r="K49" i="11"/>
  <c r="D77" i="9" l="1"/>
  <c r="J50" i="9"/>
  <c r="D39" i="11" s="1"/>
  <c r="E31" i="14"/>
  <c r="B31" i="14"/>
  <c r="E31" i="15"/>
  <c r="B32" i="15" s="1"/>
  <c r="B31" i="15"/>
  <c r="B23" i="9"/>
  <c r="E23" i="9"/>
  <c r="F28" i="13"/>
  <c r="B29" i="13" s="1"/>
  <c r="L23" i="15" l="1"/>
  <c r="D79" i="9"/>
  <c r="J51" i="9"/>
  <c r="D40" i="11" s="1"/>
  <c r="B32" i="14"/>
  <c r="J23" i="14" s="1"/>
  <c r="E32" i="14"/>
  <c r="E32" i="15"/>
  <c r="E24" i="9"/>
  <c r="B24" i="9"/>
  <c r="K24" i="9" s="1"/>
  <c r="E13" i="11" s="1"/>
  <c r="F29" i="13"/>
  <c r="B30" i="13" s="1"/>
  <c r="D81" i="9" l="1"/>
  <c r="J52" i="9"/>
  <c r="D41" i="11" s="1"/>
  <c r="E33" i="14"/>
  <c r="B33" i="14"/>
  <c r="B33" i="15"/>
  <c r="E33" i="15"/>
  <c r="K50" i="11"/>
  <c r="B25" i="9"/>
  <c r="E25" i="9"/>
  <c r="F30" i="13"/>
  <c r="B31" i="13" s="1"/>
  <c r="J53" i="9" l="1"/>
  <c r="D42" i="11" s="1"/>
  <c r="D83" i="9"/>
  <c r="E34" i="14"/>
  <c r="B34" i="14"/>
  <c r="J24" i="14" s="1"/>
  <c r="E34" i="15"/>
  <c r="B34" i="15"/>
  <c r="L24" i="15" s="1"/>
  <c r="B26" i="9"/>
  <c r="K25" i="9" s="1"/>
  <c r="E14" i="11" s="1"/>
  <c r="E26" i="9"/>
  <c r="F31" i="13"/>
  <c r="B32" i="13" s="1"/>
  <c r="J54" i="9" l="1"/>
  <c r="B35" i="14"/>
  <c r="E35" i="14"/>
  <c r="E35" i="15"/>
  <c r="B35" i="15"/>
  <c r="B27" i="9"/>
  <c r="E27" i="9"/>
  <c r="F32" i="13"/>
  <c r="B33" i="13" s="1"/>
  <c r="D43" i="11" l="1"/>
  <c r="D50" i="11" s="1"/>
  <c r="E36" i="14"/>
  <c r="B36" i="14"/>
  <c r="J25" i="14" s="1"/>
  <c r="E36" i="15"/>
  <c r="B36" i="15"/>
  <c r="L25" i="15" s="1"/>
  <c r="B28" i="9"/>
  <c r="K26" i="9" s="1"/>
  <c r="E15" i="11" s="1"/>
  <c r="E28" i="9"/>
  <c r="F33" i="13"/>
  <c r="B34" i="13" s="1"/>
  <c r="K51" i="11" l="1"/>
  <c r="K54" i="11" s="1"/>
  <c r="E37" i="14"/>
  <c r="B37" i="14"/>
  <c r="B37" i="15"/>
  <c r="E37" i="15"/>
  <c r="B29" i="9"/>
  <c r="E29" i="9"/>
  <c r="F34" i="13"/>
  <c r="B35" i="13" s="1"/>
  <c r="E38" i="14" l="1"/>
  <c r="B38" i="14"/>
  <c r="J26" i="14" s="1"/>
  <c r="E38" i="15"/>
  <c r="B38" i="15"/>
  <c r="L26" i="15" s="1"/>
  <c r="E30" i="9"/>
  <c r="B30" i="9"/>
  <c r="K27" i="9" s="1"/>
  <c r="E16" i="11" s="1"/>
  <c r="F35" i="13"/>
  <c r="B36" i="13" s="1"/>
  <c r="E39" i="14" l="1"/>
  <c r="B39" i="14"/>
  <c r="E39" i="15"/>
  <c r="B39" i="15"/>
  <c r="B31" i="9"/>
  <c r="E31" i="9"/>
  <c r="F36" i="13"/>
  <c r="B37" i="13" s="1"/>
  <c r="E40" i="14" l="1"/>
  <c r="B40" i="14"/>
  <c r="J27" i="14" s="1"/>
  <c r="E40" i="15"/>
  <c r="B40" i="15"/>
  <c r="L27" i="15" s="1"/>
  <c r="E32" i="9"/>
  <c r="B32" i="9"/>
  <c r="K28" i="9" s="1"/>
  <c r="E17" i="11" s="1"/>
  <c r="F37" i="13"/>
  <c r="B38" i="13" s="1"/>
  <c r="E41" i="14" l="1"/>
  <c r="B41" i="14"/>
  <c r="B41" i="15"/>
  <c r="E41" i="15"/>
  <c r="E33" i="9"/>
  <c r="B33" i="9"/>
  <c r="F38" i="13"/>
  <c r="B39" i="13" s="1"/>
  <c r="E42" i="14" l="1"/>
  <c r="B42" i="14"/>
  <c r="J28" i="14" s="1"/>
  <c r="E42" i="15"/>
  <c r="B42" i="15"/>
  <c r="L28" i="15" s="1"/>
  <c r="B34" i="9"/>
  <c r="K29" i="9" s="1"/>
  <c r="E18" i="11" s="1"/>
  <c r="E34" i="9"/>
  <c r="F39" i="13"/>
  <c r="B40" i="13" s="1"/>
  <c r="E43" i="14" l="1"/>
  <c r="B43" i="14"/>
  <c r="E43" i="15"/>
  <c r="B43" i="15"/>
  <c r="B35" i="9"/>
  <c r="E35" i="9"/>
  <c r="F40" i="13"/>
  <c r="B41" i="13" s="1"/>
  <c r="E44" i="14" l="1"/>
  <c r="B44" i="14"/>
  <c r="J29" i="14" s="1"/>
  <c r="E44" i="15"/>
  <c r="B44" i="15"/>
  <c r="L29" i="15" s="1"/>
  <c r="E36" i="9"/>
  <c r="B36" i="9"/>
  <c r="K30" i="9" s="1"/>
  <c r="E19" i="11" s="1"/>
  <c r="F41" i="13"/>
  <c r="B42" i="13" s="1"/>
  <c r="E45" i="14" l="1"/>
  <c r="B45" i="14"/>
  <c r="B45" i="15"/>
  <c r="E45" i="15"/>
  <c r="E37" i="9"/>
  <c r="B37" i="9"/>
  <c r="F42" i="13"/>
  <c r="B43" i="13" s="1"/>
  <c r="E46" i="14" l="1"/>
  <c r="B46" i="14"/>
  <c r="J30" i="14" s="1"/>
  <c r="E46" i="15"/>
  <c r="B46" i="15"/>
  <c r="L30" i="15" s="1"/>
  <c r="E38" i="9"/>
  <c r="B38" i="9"/>
  <c r="K31" i="9" s="1"/>
  <c r="E20" i="11" s="1"/>
  <c r="F43" i="13"/>
  <c r="B44" i="13" s="1"/>
  <c r="E47" i="14" l="1"/>
  <c r="B47" i="14"/>
  <c r="E47" i="15"/>
  <c r="B47" i="15"/>
  <c r="B39" i="9"/>
  <c r="E39" i="9"/>
  <c r="F44" i="13"/>
  <c r="E48" i="14" l="1"/>
  <c r="B48" i="14"/>
  <c r="J31" i="14" s="1"/>
  <c r="E48" i="15"/>
  <c r="B48" i="15"/>
  <c r="L31" i="15" s="1"/>
  <c r="F45" i="13"/>
  <c r="B45" i="13"/>
  <c r="E40" i="9"/>
  <c r="B40" i="9"/>
  <c r="K32" i="9" s="1"/>
  <c r="E21" i="11" s="1"/>
  <c r="E49" i="14" l="1"/>
  <c r="B49" i="14"/>
  <c r="E49" i="15"/>
  <c r="B49" i="15"/>
  <c r="B46" i="13"/>
  <c r="E41" i="9"/>
  <c r="B41" i="9"/>
  <c r="F46" i="13"/>
  <c r="B47" i="13" s="1"/>
  <c r="E50" i="14" l="1"/>
  <c r="B50" i="14"/>
  <c r="J32" i="14" s="1"/>
  <c r="E50" i="15"/>
  <c r="B50" i="15"/>
  <c r="L32" i="15" s="1"/>
  <c r="E42" i="9"/>
  <c r="B42" i="9"/>
  <c r="K33" i="9" s="1"/>
  <c r="E22" i="11" s="1"/>
  <c r="F47" i="13"/>
  <c r="B48" i="13" s="1"/>
  <c r="B51" i="14" l="1"/>
  <c r="E51" i="14"/>
  <c r="E51" i="15"/>
  <c r="B51" i="15"/>
  <c r="E43" i="9"/>
  <c r="B43" i="9"/>
  <c r="F48" i="13"/>
  <c r="E52" i="14" l="1"/>
  <c r="B52" i="14"/>
  <c r="J33" i="14" s="1"/>
  <c r="E52" i="15"/>
  <c r="B52" i="15"/>
  <c r="L33" i="15" s="1"/>
  <c r="B49" i="13"/>
  <c r="B44" i="9"/>
  <c r="K34" i="9" s="1"/>
  <c r="E23" i="11" s="1"/>
  <c r="E44" i="9"/>
  <c r="F49" i="13"/>
  <c r="B50" i="13" s="1"/>
  <c r="M51" i="13" l="1"/>
  <c r="E9" i="11" s="1"/>
  <c r="F9" i="11" s="1"/>
  <c r="G49" i="13"/>
  <c r="E53" i="14"/>
  <c r="B53" i="14"/>
  <c r="E53" i="15"/>
  <c r="B53" i="15"/>
  <c r="B45" i="9"/>
  <c r="E45" i="9"/>
  <c r="F50" i="13"/>
  <c r="E54" i="14" l="1"/>
  <c r="B54" i="14"/>
  <c r="J34" i="14" s="1"/>
  <c r="E54" i="15"/>
  <c r="B54" i="15"/>
  <c r="L34" i="15" s="1"/>
  <c r="B51" i="13"/>
  <c r="E46" i="9"/>
  <c r="B46" i="9"/>
  <c r="K35" i="9" s="1"/>
  <c r="E24" i="11" s="1"/>
  <c r="F51" i="13"/>
  <c r="B52" i="13" s="1"/>
  <c r="M52" i="13" l="1"/>
  <c r="E10" i="11" s="1"/>
  <c r="E55" i="14"/>
  <c r="B55" i="14"/>
  <c r="B55" i="15"/>
  <c r="E55" i="15"/>
  <c r="B47" i="9"/>
  <c r="E47" i="9"/>
  <c r="F52" i="13"/>
  <c r="B53" i="13" s="1"/>
  <c r="E56" i="14" l="1"/>
  <c r="B56" i="14"/>
  <c r="J35" i="14" s="1"/>
  <c r="E56" i="15"/>
  <c r="B56" i="15"/>
  <c r="L35" i="15" s="1"/>
  <c r="E48" i="9"/>
  <c r="B48" i="9"/>
  <c r="K36" i="9" s="1"/>
  <c r="E25" i="11" s="1"/>
  <c r="F53" i="13"/>
  <c r="B54" i="13" s="1"/>
  <c r="M53" i="13" s="1"/>
  <c r="E11" i="11" s="1"/>
  <c r="E57" i="14" l="1"/>
  <c r="B57" i="14"/>
  <c r="E57" i="15"/>
  <c r="B57" i="15"/>
  <c r="E49" i="9"/>
  <c r="B49" i="9"/>
  <c r="F54" i="13"/>
  <c r="E58" i="14" l="1"/>
  <c r="B58" i="14"/>
  <c r="J36" i="14" s="1"/>
  <c r="B58" i="15"/>
  <c r="L36" i="15" s="1"/>
  <c r="E58" i="15"/>
  <c r="E50" i="9"/>
  <c r="B50" i="9"/>
  <c r="K37" i="9" s="1"/>
  <c r="E26" i="11" s="1"/>
  <c r="F20" i="11"/>
  <c r="B59" i="14" l="1"/>
  <c r="E59" i="14"/>
  <c r="E59" i="15"/>
  <c r="B59" i="15"/>
  <c r="E51" i="9"/>
  <c r="B51" i="9"/>
  <c r="E60" i="14" l="1"/>
  <c r="B60" i="14"/>
  <c r="J37" i="14" s="1"/>
  <c r="E60" i="15"/>
  <c r="B60" i="15"/>
  <c r="L37" i="15" s="1"/>
  <c r="E52" i="9"/>
  <c r="B52" i="9"/>
  <c r="K38" i="9" s="1"/>
  <c r="E27" i="11" s="1"/>
  <c r="F21" i="11"/>
  <c r="E61" i="14" l="1"/>
  <c r="B61" i="14"/>
  <c r="B61" i="15"/>
  <c r="E61" i="15"/>
  <c r="E53" i="9"/>
  <c r="B53" i="9"/>
  <c r="E62" i="14" l="1"/>
  <c r="B62" i="14"/>
  <c r="J38" i="14" s="1"/>
  <c r="E62" i="15"/>
  <c r="B62" i="15"/>
  <c r="L38" i="15" s="1"/>
  <c r="B54" i="9"/>
  <c r="K39" i="9" s="1"/>
  <c r="E28" i="11" s="1"/>
  <c r="E54" i="9"/>
  <c r="F22" i="11"/>
  <c r="E63" i="14" l="1"/>
  <c r="B63" i="14"/>
  <c r="E63" i="15"/>
  <c r="B63" i="15"/>
  <c r="B55" i="9"/>
  <c r="E55" i="9"/>
  <c r="E64" i="14" l="1"/>
  <c r="B64" i="14"/>
  <c r="J39" i="14" s="1"/>
  <c r="E64" i="15"/>
  <c r="B64" i="15"/>
  <c r="L39" i="15" s="1"/>
  <c r="B56" i="9"/>
  <c r="K40" i="9" s="1"/>
  <c r="E29" i="11" s="1"/>
  <c r="E56" i="9"/>
  <c r="E65" i="14" l="1"/>
  <c r="B65" i="14"/>
  <c r="J40" i="14" s="1"/>
  <c r="E65" i="15"/>
  <c r="B65" i="15"/>
  <c r="E57" i="9"/>
  <c r="B57" i="9"/>
  <c r="F23" i="11"/>
  <c r="E66" i="15" l="1"/>
  <c r="B66" i="15"/>
  <c r="L40" i="15" s="1"/>
  <c r="E58" i="9"/>
  <c r="B58" i="9"/>
  <c r="K41" i="9" s="1"/>
  <c r="E30" i="11" s="1"/>
  <c r="E67" i="15" l="1"/>
  <c r="B67" i="15"/>
  <c r="E59" i="9"/>
  <c r="B59" i="9"/>
  <c r="F24" i="11"/>
  <c r="E68" i="15" l="1"/>
  <c r="B68" i="15"/>
  <c r="L41" i="15" s="1"/>
  <c r="C10" i="11"/>
  <c r="G10" i="11" s="1"/>
  <c r="C11" i="11" s="1"/>
  <c r="G11" i="11" s="1"/>
  <c r="C12" i="11" s="1"/>
  <c r="G12" i="11" s="1"/>
  <c r="C13" i="11" s="1"/>
  <c r="G13" i="11" s="1"/>
  <c r="C14" i="11" s="1"/>
  <c r="G14" i="11" s="1"/>
  <c r="C15" i="11" s="1"/>
  <c r="G15" i="11" s="1"/>
  <c r="C16" i="11" s="1"/>
  <c r="G16" i="11" s="1"/>
  <c r="C17" i="11" s="1"/>
  <c r="G17" i="11" s="1"/>
  <c r="C18" i="11" s="1"/>
  <c r="G18" i="11" s="1"/>
  <c r="C19" i="11" s="1"/>
  <c r="G19" i="11" s="1"/>
  <c r="C20" i="11" s="1"/>
  <c r="G20" i="11" s="1"/>
  <c r="C21" i="11" s="1"/>
  <c r="G21" i="11" s="1"/>
  <c r="C22" i="11" s="1"/>
  <c r="G22" i="11" s="1"/>
  <c r="C23" i="11" s="1"/>
  <c r="G23" i="11" s="1"/>
  <c r="C24" i="11" s="1"/>
  <c r="G24" i="11" s="1"/>
  <c r="C25" i="11" s="1"/>
  <c r="G25" i="11" s="1"/>
  <c r="C26" i="11" s="1"/>
  <c r="G26" i="11" s="1"/>
  <c r="C27" i="11" s="1"/>
  <c r="G27" i="11" s="1"/>
  <c r="C28" i="11" s="1"/>
  <c r="G28" i="11" s="1"/>
  <c r="C29" i="11" s="1"/>
  <c r="G29" i="11" s="1"/>
  <c r="C30" i="11" s="1"/>
  <c r="G30" i="11" s="1"/>
  <c r="C31" i="11" s="1"/>
  <c r="G31" i="11" s="1"/>
  <c r="C32" i="11" s="1"/>
  <c r="G32" i="11" s="1"/>
  <c r="C33" i="11" s="1"/>
  <c r="G33" i="11" s="1"/>
  <c r="C34" i="11" s="1"/>
  <c r="G34" i="11" s="1"/>
  <c r="C35" i="11" s="1"/>
  <c r="G35" i="11" s="1"/>
  <c r="C36" i="11" s="1"/>
  <c r="G36" i="11" s="1"/>
  <c r="C37" i="11" s="1"/>
  <c r="G37" i="11" s="1"/>
  <c r="C38" i="11" s="1"/>
  <c r="G38" i="11" s="1"/>
  <c r="C39" i="11" s="1"/>
  <c r="G39" i="11" s="1"/>
  <c r="C40" i="11" s="1"/>
  <c r="G40" i="11" s="1"/>
  <c r="C41" i="11" s="1"/>
  <c r="G41" i="11" s="1"/>
  <c r="C42" i="11" s="1"/>
  <c r="G42" i="11" s="1"/>
  <c r="C43" i="11" s="1"/>
  <c r="G43" i="11" s="1"/>
  <c r="C44" i="11" s="1"/>
  <c r="G44" i="11" s="1"/>
  <c r="C45" i="11" s="1"/>
  <c r="G45" i="11" s="1"/>
  <c r="C46" i="11" s="1"/>
  <c r="G46" i="11" s="1"/>
  <c r="C47" i="11" s="1"/>
  <c r="G47" i="11" s="1"/>
  <c r="C48" i="11" s="1"/>
  <c r="G48" i="11" s="1"/>
  <c r="E60" i="9"/>
  <c r="B60" i="9"/>
  <c r="K42" i="9" s="1"/>
  <c r="E31" i="11" s="1"/>
  <c r="E69" i="15" l="1"/>
  <c r="B69" i="15"/>
  <c r="B61" i="9"/>
  <c r="E61" i="9"/>
  <c r="F25" i="11"/>
  <c r="E70" i="15" l="1"/>
  <c r="B70" i="15"/>
  <c r="L42" i="15" s="1"/>
  <c r="B62" i="9"/>
  <c r="K43" i="9" s="1"/>
  <c r="E32" i="11" s="1"/>
  <c r="E62" i="9"/>
  <c r="B71" i="15" l="1"/>
  <c r="E71" i="15"/>
  <c r="E63" i="9"/>
  <c r="B63" i="9"/>
  <c r="F26" i="11"/>
  <c r="B72" i="15" l="1"/>
  <c r="L43" i="15" s="1"/>
  <c r="E72" i="15"/>
  <c r="E64" i="9"/>
  <c r="B64" i="9"/>
  <c r="K44" i="9" s="1"/>
  <c r="E33" i="11" s="1"/>
  <c r="L41" i="11"/>
  <c r="E73" i="15" l="1"/>
  <c r="B73" i="15"/>
  <c r="E65" i="9"/>
  <c r="B65" i="9"/>
  <c r="F27" i="11"/>
  <c r="M41" i="11"/>
  <c r="B74" i="15" l="1"/>
  <c r="L44" i="15" s="1"/>
  <c r="E74" i="15"/>
  <c r="E66" i="9"/>
  <c r="B66" i="9"/>
  <c r="K45" i="9" s="1"/>
  <c r="E34" i="11" s="1"/>
  <c r="L42" i="11"/>
  <c r="F10" i="11"/>
  <c r="L48" i="11"/>
  <c r="M48" i="11" s="1"/>
  <c r="E75" i="15" l="1"/>
  <c r="B75" i="15"/>
  <c r="B67" i="9"/>
  <c r="E67" i="9"/>
  <c r="F28" i="11"/>
  <c r="M42" i="11"/>
  <c r="E76" i="15" l="1"/>
  <c r="B76" i="15"/>
  <c r="L45" i="15" s="1"/>
  <c r="E68" i="9"/>
  <c r="B68" i="9"/>
  <c r="K46" i="9" s="1"/>
  <c r="E35" i="11" s="1"/>
  <c r="L43" i="11"/>
  <c r="F11" i="11"/>
  <c r="B77" i="15" l="1"/>
  <c r="E77" i="15"/>
  <c r="E69" i="9"/>
  <c r="B69" i="9"/>
  <c r="F29" i="11"/>
  <c r="M43" i="11"/>
  <c r="E78" i="15" l="1"/>
  <c r="B78" i="15"/>
  <c r="L46" i="15" s="1"/>
  <c r="B70" i="9"/>
  <c r="K47" i="9" s="1"/>
  <c r="E36" i="11" s="1"/>
  <c r="E70" i="9"/>
  <c r="L44" i="11"/>
  <c r="F12" i="11"/>
  <c r="E79" i="15" l="1"/>
  <c r="B79" i="15"/>
  <c r="B71" i="9"/>
  <c r="E71" i="9"/>
  <c r="F30" i="11"/>
  <c r="M44" i="11"/>
  <c r="L45" i="11"/>
  <c r="M45" i="11" s="1"/>
  <c r="E80" i="15" l="1"/>
  <c r="B80" i="15"/>
  <c r="L47" i="15" s="1"/>
  <c r="E44" i="11" s="1"/>
  <c r="E72" i="9"/>
  <c r="B72" i="9"/>
  <c r="F13" i="11"/>
  <c r="F44" i="11" l="1"/>
  <c r="K48" i="9"/>
  <c r="E37" i="11" s="1"/>
  <c r="E81" i="15"/>
  <c r="B81" i="15"/>
  <c r="B73" i="9"/>
  <c r="E73" i="9"/>
  <c r="F31" i="11"/>
  <c r="F37" i="11" l="1"/>
  <c r="E82" i="15"/>
  <c r="B82" i="15"/>
  <c r="L48" i="15" s="1"/>
  <c r="E45" i="11" s="1"/>
  <c r="E74" i="9"/>
  <c r="B74" i="9"/>
  <c r="F14" i="11"/>
  <c r="F45" i="11" l="1"/>
  <c r="K49" i="9"/>
  <c r="E38" i="11" s="1"/>
  <c r="F38" i="11" s="1"/>
  <c r="E83" i="15"/>
  <c r="B83" i="15"/>
  <c r="B75" i="9"/>
  <c r="E75" i="9"/>
  <c r="F32" i="11"/>
  <c r="B84" i="15" l="1"/>
  <c r="L49" i="15" s="1"/>
  <c r="E46" i="11" s="1"/>
  <c r="E84" i="15"/>
  <c r="E76" i="9"/>
  <c r="B76" i="9"/>
  <c r="F15" i="11"/>
  <c r="L49" i="11"/>
  <c r="M49" i="11" s="1"/>
  <c r="F46" i="11" l="1"/>
  <c r="K50" i="9"/>
  <c r="E39" i="11" s="1"/>
  <c r="F39" i="11" s="1"/>
  <c r="E85" i="15"/>
  <c r="B85" i="15"/>
  <c r="E77" i="9"/>
  <c r="B77" i="9"/>
  <c r="F33" i="11"/>
  <c r="E86" i="15" l="1"/>
  <c r="B86" i="15"/>
  <c r="L50" i="15" s="1"/>
  <c r="E47" i="11" s="1"/>
  <c r="B78" i="9"/>
  <c r="E78" i="9"/>
  <c r="F16" i="11"/>
  <c r="F47" i="11" l="1"/>
  <c r="K51" i="9"/>
  <c r="E40" i="11" s="1"/>
  <c r="F40" i="11" s="1"/>
  <c r="E87" i="15"/>
  <c r="B87" i="15"/>
  <c r="L51" i="15" s="1"/>
  <c r="E48" i="11" s="1"/>
  <c r="F48" i="11" s="1"/>
  <c r="E79" i="9"/>
  <c r="B79" i="9"/>
  <c r="F34" i="11"/>
  <c r="L52" i="11" l="1"/>
  <c r="M52" i="11" s="1"/>
  <c r="E80" i="9"/>
  <c r="B80" i="9"/>
  <c r="F17" i="11"/>
  <c r="K52" i="9" l="1"/>
  <c r="E41" i="11" s="1"/>
  <c r="F41" i="11" s="1"/>
  <c r="E81" i="9"/>
  <c r="B81" i="9"/>
  <c r="F35" i="11"/>
  <c r="F36" i="11"/>
  <c r="L46" i="11"/>
  <c r="M46" i="11" s="1"/>
  <c r="L50" i="11" l="1"/>
  <c r="M50" i="11" s="1"/>
  <c r="E82" i="9"/>
  <c r="B82" i="9"/>
  <c r="F18" i="11"/>
  <c r="K53" i="9" l="1"/>
  <c r="E42" i="11" s="1"/>
  <c r="F42" i="11" s="1"/>
  <c r="B83" i="9"/>
  <c r="E83" i="9"/>
  <c r="E18" i="4"/>
  <c r="J18" i="4"/>
  <c r="C18" i="4"/>
  <c r="A18" i="4"/>
  <c r="A19" i="4" s="1"/>
  <c r="E18" i="1"/>
  <c r="E19" i="1"/>
  <c r="K54" i="9" l="1"/>
  <c r="E43" i="11" s="1"/>
  <c r="E50" i="11" s="1"/>
  <c r="F19" i="11"/>
  <c r="L47" i="11"/>
  <c r="M47" i="11" s="1"/>
  <c r="B18" i="4"/>
  <c r="F18" i="4"/>
  <c r="D19" i="4"/>
  <c r="B19" i="4"/>
  <c r="A20" i="4"/>
  <c r="I18" i="4"/>
  <c r="C19" i="4" s="1"/>
  <c r="E19" i="4" s="1"/>
  <c r="C18" i="1"/>
  <c r="A18" i="1"/>
  <c r="F43" i="11" l="1"/>
  <c r="F50" i="11" s="1"/>
  <c r="L51" i="11"/>
  <c r="M51" i="11" s="1"/>
  <c r="M54" i="11" s="1"/>
  <c r="H19" i="4"/>
  <c r="J19" i="4" s="1"/>
  <c r="D20" i="4"/>
  <c r="B20" i="4"/>
  <c r="A21" i="4"/>
  <c r="B18" i="1"/>
  <c r="A19" i="1"/>
  <c r="F18" i="1"/>
  <c r="L54" i="11" l="1"/>
  <c r="D21" i="4"/>
  <c r="B21" i="4"/>
  <c r="A22" i="4"/>
  <c r="A20" i="1"/>
  <c r="B19" i="1"/>
  <c r="I18" i="1"/>
  <c r="A23" i="4" l="1"/>
  <c r="B22" i="4"/>
  <c r="D22" i="4"/>
  <c r="A21" i="1"/>
  <c r="B20" i="1"/>
  <c r="D20" i="1"/>
  <c r="J19" i="1"/>
  <c r="B23" i="4" l="1"/>
  <c r="A24" i="4"/>
  <c r="D23" i="4"/>
  <c r="A22" i="1"/>
  <c r="D21" i="1"/>
  <c r="B21" i="1"/>
  <c r="F19" i="1"/>
  <c r="D24" i="4" l="1"/>
  <c r="B24" i="4"/>
  <c r="A25" i="4"/>
  <c r="B22" i="1"/>
  <c r="A23" i="1"/>
  <c r="D22" i="1"/>
  <c r="B25" i="4" l="1"/>
  <c r="D25" i="4"/>
  <c r="A26" i="4"/>
  <c r="I19" i="1"/>
  <c r="B23" i="1"/>
  <c r="A24" i="1"/>
  <c r="D23" i="1"/>
  <c r="D26" i="4" l="1"/>
  <c r="B26" i="4"/>
  <c r="A27" i="4"/>
  <c r="C20" i="1"/>
  <c r="D24" i="1"/>
  <c r="B24" i="1"/>
  <c r="A25" i="1"/>
  <c r="D27" i="4" l="1"/>
  <c r="B27" i="4"/>
  <c r="A28" i="4"/>
  <c r="E20" i="1"/>
  <c r="H20" i="1"/>
  <c r="J20" i="1" s="1"/>
  <c r="B25" i="1"/>
  <c r="A26" i="1"/>
  <c r="D25" i="1"/>
  <c r="A29" i="4" l="1"/>
  <c r="D28" i="4"/>
  <c r="B28" i="4"/>
  <c r="A27" i="1"/>
  <c r="D26" i="1"/>
  <c r="B26" i="1"/>
  <c r="B29" i="4" l="1"/>
  <c r="D29" i="4"/>
  <c r="A30" i="4"/>
  <c r="D27" i="1"/>
  <c r="A28" i="1"/>
  <c r="B27" i="1"/>
  <c r="D30" i="4" l="1"/>
  <c r="B30" i="4"/>
  <c r="A31" i="4"/>
  <c r="A29" i="1"/>
  <c r="B28" i="1"/>
  <c r="D28" i="1"/>
  <c r="D31" i="4" l="1"/>
  <c r="B31" i="4"/>
  <c r="A32" i="4"/>
  <c r="D29" i="1"/>
  <c r="A30" i="1"/>
  <c r="B29" i="1"/>
  <c r="D32" i="4" l="1"/>
  <c r="B32" i="4"/>
  <c r="A33" i="4"/>
  <c r="B30" i="1"/>
  <c r="D30" i="1"/>
  <c r="A31" i="1"/>
  <c r="D33" i="4" l="1"/>
  <c r="B33" i="4"/>
  <c r="A34" i="4"/>
  <c r="B31" i="1"/>
  <c r="D31" i="1"/>
  <c r="A32" i="1"/>
  <c r="A35" i="4" l="1"/>
  <c r="B34" i="4"/>
  <c r="D34" i="4"/>
  <c r="B32" i="1"/>
  <c r="A33" i="1"/>
  <c r="D32" i="1"/>
  <c r="B35" i="4" l="1"/>
  <c r="A36" i="4"/>
  <c r="D35" i="4"/>
  <c r="D33" i="1"/>
  <c r="A34" i="1"/>
  <c r="B33" i="1"/>
  <c r="D36" i="4" l="1"/>
  <c r="B36" i="4"/>
  <c r="A37" i="4"/>
  <c r="D34" i="1"/>
  <c r="A35" i="1"/>
  <c r="B34" i="1"/>
  <c r="D37" i="4" l="1"/>
  <c r="B37" i="4"/>
  <c r="A38" i="4"/>
  <c r="A36" i="1"/>
  <c r="D35" i="1"/>
  <c r="B35" i="1"/>
  <c r="D38" i="4" l="1"/>
  <c r="B38" i="4"/>
  <c r="A39" i="4"/>
  <c r="A37" i="1"/>
  <c r="D36" i="1"/>
  <c r="B36" i="1"/>
  <c r="D39" i="4" l="1"/>
  <c r="B39" i="4"/>
  <c r="A40" i="4"/>
  <c r="A38" i="1"/>
  <c r="D37" i="1"/>
  <c r="B37" i="1"/>
  <c r="A41" i="4" l="1"/>
  <c r="B40" i="4"/>
  <c r="D40" i="4"/>
  <c r="D38" i="1"/>
  <c r="A39" i="1"/>
  <c r="B38" i="1"/>
  <c r="B41" i="4" l="1"/>
  <c r="A42" i="4"/>
  <c r="D41" i="4"/>
  <c r="D39" i="1"/>
  <c r="A40" i="1"/>
  <c r="B39" i="1"/>
  <c r="D42" i="4" l="1"/>
  <c r="B42" i="4"/>
  <c r="A43" i="4"/>
  <c r="B40" i="1"/>
  <c r="D40" i="1"/>
  <c r="A41" i="1"/>
  <c r="D43" i="4" l="1"/>
  <c r="B43" i="4"/>
  <c r="A44" i="4"/>
  <c r="D41" i="1"/>
  <c r="B41" i="1"/>
  <c r="A42" i="1"/>
  <c r="D44" i="4" l="1"/>
  <c r="B44" i="4"/>
  <c r="A45" i="4"/>
  <c r="D42" i="1"/>
  <c r="A43" i="1"/>
  <c r="B42" i="1"/>
  <c r="D45" i="4" l="1"/>
  <c r="B45" i="4"/>
  <c r="A46" i="4"/>
  <c r="A44" i="1"/>
  <c r="B43" i="1"/>
  <c r="D43" i="1"/>
  <c r="A47" i="4" l="1"/>
  <c r="B46" i="4"/>
  <c r="D46" i="4"/>
  <c r="A45" i="1"/>
  <c r="B44" i="1"/>
  <c r="D44" i="1"/>
  <c r="B47" i="4" l="1"/>
  <c r="D47" i="4"/>
  <c r="A48" i="4"/>
  <c r="B45" i="1"/>
  <c r="D45" i="1"/>
  <c r="A46" i="1"/>
  <c r="D48" i="4" l="1"/>
  <c r="B48" i="4"/>
  <c r="A49" i="4"/>
  <c r="B46" i="1"/>
  <c r="A47" i="1"/>
  <c r="D46" i="1"/>
  <c r="D49" i="4" l="1"/>
  <c r="B49" i="4"/>
  <c r="A50" i="4"/>
  <c r="D47" i="1"/>
  <c r="B47" i="1"/>
  <c r="A48" i="1"/>
  <c r="D50" i="4" l="1"/>
  <c r="B50" i="4"/>
  <c r="A51" i="4"/>
  <c r="A49" i="1"/>
  <c r="B48" i="1"/>
  <c r="D48" i="1"/>
  <c r="D51" i="4" l="1"/>
  <c r="B51" i="4"/>
  <c r="A52" i="4"/>
  <c r="D49" i="1"/>
  <c r="A50" i="1"/>
  <c r="B49" i="1"/>
  <c r="A53" i="4" l="1"/>
  <c r="B52" i="4"/>
  <c r="D52" i="4"/>
  <c r="B50" i="1"/>
  <c r="A51" i="1"/>
  <c r="D50" i="1"/>
  <c r="B53" i="4" l="1"/>
  <c r="A54" i="4"/>
  <c r="D53" i="4"/>
  <c r="B51" i="1"/>
  <c r="D51" i="1"/>
  <c r="A52" i="1"/>
  <c r="D54" i="4" l="1"/>
  <c r="B54" i="4"/>
  <c r="A55" i="4"/>
  <c r="A53" i="1"/>
  <c r="B52" i="1"/>
  <c r="D52" i="1"/>
  <c r="D55" i="4" l="1"/>
  <c r="B55" i="4"/>
  <c r="A56" i="4"/>
  <c r="D53" i="1"/>
  <c r="B53" i="1"/>
  <c r="A54" i="1"/>
  <c r="D56" i="4" l="1"/>
  <c r="B56" i="4"/>
  <c r="A57" i="4"/>
  <c r="A55" i="1"/>
  <c r="D54" i="1"/>
  <c r="B54" i="1"/>
  <c r="D57" i="4" l="1"/>
  <c r="F57" i="4" s="1"/>
  <c r="B57" i="4"/>
  <c r="D55" i="1"/>
  <c r="B55" i="1"/>
  <c r="A56" i="1"/>
  <c r="F55" i="4" l="1"/>
  <c r="F56" i="4"/>
  <c r="F19" i="4"/>
  <c r="G19" i="4" s="1"/>
  <c r="F21" i="4"/>
  <c r="F22" i="4"/>
  <c r="F23" i="4"/>
  <c r="F24" i="4"/>
  <c r="F25" i="4"/>
  <c r="F26" i="4"/>
  <c r="F27" i="4"/>
  <c r="F28" i="4"/>
  <c r="F29" i="4"/>
  <c r="F31" i="4"/>
  <c r="F32" i="4"/>
  <c r="F30" i="4"/>
  <c r="F34" i="4"/>
  <c r="F33" i="4"/>
  <c r="F35" i="4"/>
  <c r="F38" i="4"/>
  <c r="F36" i="4"/>
  <c r="F37" i="4"/>
  <c r="F39" i="4"/>
  <c r="F40" i="4"/>
  <c r="F43" i="4"/>
  <c r="F41" i="4"/>
  <c r="F42" i="4"/>
  <c r="F46" i="4"/>
  <c r="F45" i="4"/>
  <c r="F44" i="4"/>
  <c r="F49" i="4"/>
  <c r="F47" i="4"/>
  <c r="F48" i="4"/>
  <c r="F51" i="4"/>
  <c r="F50" i="4"/>
  <c r="F53" i="4"/>
  <c r="F52" i="4"/>
  <c r="F54" i="4"/>
  <c r="F20" i="4"/>
  <c r="D56" i="1"/>
  <c r="B56" i="1"/>
  <c r="A57" i="1"/>
  <c r="I19" i="4" l="1"/>
  <c r="C20" i="4" s="1"/>
  <c r="E20" i="4" s="1"/>
  <c r="K19" i="4"/>
  <c r="B57" i="1"/>
  <c r="D57" i="1"/>
  <c r="H20" i="4" l="1"/>
  <c r="J20" i="4" s="1"/>
  <c r="F20" i="1"/>
  <c r="G20" i="1" s="1"/>
  <c r="F21" i="1"/>
  <c r="F22" i="1"/>
  <c r="F24" i="1"/>
  <c r="F23" i="1"/>
  <c r="F26" i="1"/>
  <c r="F25" i="1"/>
  <c r="F27" i="1"/>
  <c r="F29" i="1"/>
  <c r="F28" i="1"/>
  <c r="F31" i="1"/>
  <c r="F30" i="1"/>
  <c r="F33" i="1"/>
  <c r="F32" i="1"/>
  <c r="F34" i="1"/>
  <c r="F35" i="1"/>
  <c r="F37" i="1"/>
  <c r="F36" i="1"/>
  <c r="F40" i="1"/>
  <c r="F38" i="1"/>
  <c r="F39" i="1"/>
  <c r="F42" i="1"/>
  <c r="F41" i="1"/>
  <c r="F43" i="1"/>
  <c r="F45" i="1"/>
  <c r="F44" i="1"/>
  <c r="F46" i="1"/>
  <c r="F47" i="1"/>
  <c r="F48" i="1"/>
  <c r="F50" i="1"/>
  <c r="F49" i="1"/>
  <c r="F52" i="1"/>
  <c r="F51" i="1"/>
  <c r="F54" i="1"/>
  <c r="F53" i="1"/>
  <c r="F55" i="1"/>
  <c r="F57" i="1"/>
  <c r="F56" i="1"/>
  <c r="G20" i="4" l="1"/>
  <c r="I20" i="4" s="1"/>
  <c r="C21" i="4" s="1"/>
  <c r="E21" i="4" s="1"/>
  <c r="I20" i="1"/>
  <c r="C21" i="1" s="1"/>
  <c r="H21" i="1" s="1"/>
  <c r="J21" i="1" s="1"/>
  <c r="E21" i="1" l="1"/>
  <c r="H21" i="4"/>
  <c r="J21" i="4" s="1"/>
  <c r="G21" i="1"/>
  <c r="G21" i="4" l="1"/>
  <c r="I21" i="4" s="1"/>
  <c r="C22" i="4" s="1"/>
  <c r="E22" i="4" s="1"/>
  <c r="I21" i="1"/>
  <c r="C22" i="1" s="1"/>
  <c r="E22" i="1" s="1"/>
  <c r="K21" i="1"/>
  <c r="K21" i="4" l="1"/>
  <c r="H22" i="1"/>
  <c r="J22" i="1" s="1"/>
  <c r="H22" i="4"/>
  <c r="J22" i="4" s="1"/>
  <c r="G22" i="1" l="1"/>
  <c r="G22" i="4"/>
  <c r="I22" i="4" s="1"/>
  <c r="C23" i="4" s="1"/>
  <c r="H23" i="4" s="1"/>
  <c r="I22" i="1"/>
  <c r="C23" i="1" s="1"/>
  <c r="E23" i="1" s="1"/>
  <c r="E23" i="4" l="1"/>
  <c r="H23" i="1"/>
  <c r="J23" i="1" s="1"/>
  <c r="J23" i="4"/>
  <c r="G23" i="4"/>
  <c r="G23" i="1" l="1"/>
  <c r="K23" i="1" s="1"/>
  <c r="I23" i="4"/>
  <c r="C24" i="4" s="1"/>
  <c r="E24" i="4" s="1"/>
  <c r="K23" i="4"/>
  <c r="I23" i="1"/>
  <c r="C24" i="1" s="1"/>
  <c r="H24" i="4" l="1"/>
  <c r="J24" i="4" s="1"/>
  <c r="E24" i="1"/>
  <c r="H24" i="1"/>
  <c r="G24" i="4" l="1"/>
  <c r="I24" i="4" s="1"/>
  <c r="C25" i="4" s="1"/>
  <c r="E25" i="4" s="1"/>
  <c r="J24" i="1"/>
  <c r="G24" i="1"/>
  <c r="H25" i="4" l="1"/>
  <c r="G25" i="4" s="1"/>
  <c r="I24" i="1"/>
  <c r="C25" i="1" s="1"/>
  <c r="J25" i="4" l="1"/>
  <c r="I25" i="4"/>
  <c r="C26" i="4" s="1"/>
  <c r="E26" i="4" s="1"/>
  <c r="K25" i="4"/>
  <c r="E25" i="1"/>
  <c r="H25" i="1"/>
  <c r="H26" i="4" l="1"/>
  <c r="J26" i="4" s="1"/>
  <c r="G25" i="1"/>
  <c r="J25" i="1"/>
  <c r="G26" i="4"/>
  <c r="I26" i="4" s="1"/>
  <c r="C27" i="4" s="1"/>
  <c r="I25" i="1" l="1"/>
  <c r="C26" i="1" s="1"/>
  <c r="K25" i="1"/>
  <c r="E27" i="4"/>
  <c r="H27" i="4"/>
  <c r="E26" i="1" l="1"/>
  <c r="H26" i="1"/>
  <c r="G27" i="4"/>
  <c r="J27" i="4"/>
  <c r="I27" i="4" l="1"/>
  <c r="C28" i="4" s="1"/>
  <c r="E28" i="4" s="1"/>
  <c r="K27" i="4"/>
  <c r="G26" i="1"/>
  <c r="J26" i="1"/>
  <c r="H28" i="4" l="1"/>
  <c r="J28" i="4" s="1"/>
  <c r="I26" i="1"/>
  <c r="C27" i="1" s="1"/>
  <c r="G28" i="4" l="1"/>
  <c r="I28" i="4" s="1"/>
  <c r="C29" i="4" s="1"/>
  <c r="E29" i="4" s="1"/>
  <c r="E27" i="1"/>
  <c r="H27" i="1"/>
  <c r="H29" i="4" l="1"/>
  <c r="J29" i="4" s="1"/>
  <c r="G27" i="1"/>
  <c r="J27" i="1"/>
  <c r="G29" i="4" l="1"/>
  <c r="K29" i="4" s="1"/>
  <c r="I27" i="1"/>
  <c r="C28" i="1" s="1"/>
  <c r="K27" i="1"/>
  <c r="I29" i="4" l="1"/>
  <c r="C30" i="4" s="1"/>
  <c r="E30" i="4" s="1"/>
  <c r="E28" i="1"/>
  <c r="H28" i="1"/>
  <c r="H30" i="4" l="1"/>
  <c r="G28" i="1"/>
  <c r="J28" i="1"/>
  <c r="G30" i="4" l="1"/>
  <c r="I30" i="4" s="1"/>
  <c r="C31" i="4" s="1"/>
  <c r="E31" i="4" s="1"/>
  <c r="J30" i="4"/>
  <c r="I28" i="1"/>
  <c r="C29" i="1" s="1"/>
  <c r="H31" i="4" l="1"/>
  <c r="G31" i="4" s="1"/>
  <c r="I31" i="4" s="1"/>
  <c r="C32" i="4" s="1"/>
  <c r="E32" i="4" s="1"/>
  <c r="H29" i="1"/>
  <c r="E29" i="1"/>
  <c r="K31" i="4" l="1"/>
  <c r="J31" i="4"/>
  <c r="H32" i="4"/>
  <c r="J32" i="4" s="1"/>
  <c r="G29" i="1"/>
  <c r="J29" i="1"/>
  <c r="G32" i="4"/>
  <c r="I32" i="4" l="1"/>
  <c r="C33" i="4" s="1"/>
  <c r="E33" i="4" s="1"/>
  <c r="I29" i="1"/>
  <c r="C30" i="1" s="1"/>
  <c r="K29" i="1"/>
  <c r="H33" i="4" l="1"/>
  <c r="J33" i="4" s="1"/>
  <c r="H30" i="1"/>
  <c r="E30" i="1"/>
  <c r="G33" i="4" l="1"/>
  <c r="K33" i="4" s="1"/>
  <c r="I33" i="4"/>
  <c r="C34" i="4" s="1"/>
  <c r="E34" i="4" s="1"/>
  <c r="G30" i="1"/>
  <c r="J30" i="1"/>
  <c r="H34" i="4" l="1"/>
  <c r="G34" i="4" s="1"/>
  <c r="I34" i="4" s="1"/>
  <c r="C35" i="4" s="1"/>
  <c r="I30" i="1"/>
  <c r="C31" i="1" s="1"/>
  <c r="J34" i="4" l="1"/>
  <c r="H31" i="1"/>
  <c r="E31" i="1"/>
  <c r="H35" i="4"/>
  <c r="E35" i="4"/>
  <c r="J31" i="1" l="1"/>
  <c r="G31" i="1"/>
  <c r="K31" i="1" s="1"/>
  <c r="I31" i="1"/>
  <c r="C32" i="1" s="1"/>
  <c r="G35" i="4"/>
  <c r="J35" i="4"/>
  <c r="I35" i="4" l="1"/>
  <c r="C36" i="4" s="1"/>
  <c r="E36" i="4" s="1"/>
  <c r="K35" i="4"/>
  <c r="H32" i="1"/>
  <c r="E32" i="1"/>
  <c r="H36" i="4" l="1"/>
  <c r="J36" i="4" s="1"/>
  <c r="J32" i="1"/>
  <c r="G32" i="1"/>
  <c r="G36" i="4"/>
  <c r="I32" i="1" l="1"/>
  <c r="C33" i="1" s="1"/>
  <c r="I36" i="4"/>
  <c r="C37" i="4" s="1"/>
  <c r="E37" i="4" s="1"/>
  <c r="H37" i="4" l="1"/>
  <c r="G37" i="4" s="1"/>
  <c r="E33" i="1"/>
  <c r="H33" i="1"/>
  <c r="J37" i="4" l="1"/>
  <c r="I37" i="4"/>
  <c r="C38" i="4" s="1"/>
  <c r="E38" i="4" s="1"/>
  <c r="K37" i="4"/>
  <c r="G33" i="1"/>
  <c r="J33" i="1"/>
  <c r="H38" i="4" l="1"/>
  <c r="J38" i="4" s="1"/>
  <c r="I33" i="1"/>
  <c r="C34" i="1" s="1"/>
  <c r="K33" i="1"/>
  <c r="G38" i="4"/>
  <c r="I38" i="4"/>
  <c r="C39" i="4" s="1"/>
  <c r="H34" i="1" l="1"/>
  <c r="E34" i="1"/>
  <c r="H39" i="4"/>
  <c r="E39" i="4"/>
  <c r="J34" i="1" l="1"/>
  <c r="G34" i="1"/>
  <c r="G39" i="4"/>
  <c r="J39" i="4"/>
  <c r="I39" i="4" l="1"/>
  <c r="C40" i="4" s="1"/>
  <c r="E40" i="4" s="1"/>
  <c r="K39" i="4"/>
  <c r="I34" i="1"/>
  <c r="C35" i="1" s="1"/>
  <c r="H40" i="4" l="1"/>
  <c r="J40" i="4" s="1"/>
  <c r="E35" i="1"/>
  <c r="H35" i="1"/>
  <c r="G40" i="4" l="1"/>
  <c r="G35" i="1"/>
  <c r="J35" i="1"/>
  <c r="I40" i="4"/>
  <c r="C41" i="4" s="1"/>
  <c r="H41" i="4" s="1"/>
  <c r="E41" i="4" l="1"/>
  <c r="I35" i="1"/>
  <c r="C36" i="1" s="1"/>
  <c r="K35" i="1"/>
  <c r="G41" i="4"/>
  <c r="J41" i="4"/>
  <c r="I41" i="4" l="1"/>
  <c r="C42" i="4" s="1"/>
  <c r="E42" i="4" s="1"/>
  <c r="K41" i="4"/>
  <c r="E36" i="1"/>
  <c r="H36" i="1"/>
  <c r="H42" i="4" l="1"/>
  <c r="G42" i="4" s="1"/>
  <c r="J36" i="1"/>
  <c r="G36" i="1"/>
  <c r="J42" i="4" l="1"/>
  <c r="I42" i="4"/>
  <c r="C43" i="4" s="1"/>
  <c r="E43" i="4" s="1"/>
  <c r="I36" i="1"/>
  <c r="C37" i="1" s="1"/>
  <c r="H43" i="4" l="1"/>
  <c r="G43" i="4" s="1"/>
  <c r="K43" i="4" s="1"/>
  <c r="H37" i="1"/>
  <c r="E37" i="1"/>
  <c r="J43" i="4" l="1"/>
  <c r="I43" i="4"/>
  <c r="C44" i="4" s="1"/>
  <c r="E44" i="4" s="1"/>
  <c r="J37" i="1"/>
  <c r="G37" i="1"/>
  <c r="H44" i="4" l="1"/>
  <c r="G44" i="4" s="1"/>
  <c r="I37" i="1"/>
  <c r="C38" i="1" s="1"/>
  <c r="K37" i="1"/>
  <c r="J44" i="4" l="1"/>
  <c r="I44" i="4"/>
  <c r="C45" i="4" s="1"/>
  <c r="E45" i="4" s="1"/>
  <c r="E38" i="1"/>
  <c r="H38" i="1"/>
  <c r="H45" i="4" l="1"/>
  <c r="J45" i="4" s="1"/>
  <c r="G38" i="1"/>
  <c r="J38" i="1"/>
  <c r="G45" i="4"/>
  <c r="I45" i="4" l="1"/>
  <c r="C46" i="4" s="1"/>
  <c r="E46" i="4" s="1"/>
  <c r="K45" i="4"/>
  <c r="I38" i="1"/>
  <c r="C39" i="1" s="1"/>
  <c r="H46" i="4" l="1"/>
  <c r="E39" i="1"/>
  <c r="H39" i="1"/>
  <c r="G46" i="4"/>
  <c r="I46" i="4" s="1"/>
  <c r="C47" i="4" s="1"/>
  <c r="J46" i="4"/>
  <c r="G39" i="1" l="1"/>
  <c r="J39" i="1"/>
  <c r="H47" i="4"/>
  <c r="E47" i="4"/>
  <c r="I39" i="1" l="1"/>
  <c r="K39" i="1"/>
  <c r="G47" i="4"/>
  <c r="J47" i="4"/>
  <c r="I47" i="4" l="1"/>
  <c r="C48" i="4" s="1"/>
  <c r="E48" i="4" s="1"/>
  <c r="K47" i="4"/>
  <c r="C40" i="1"/>
  <c r="H48" i="4" l="1"/>
  <c r="J48" i="4" s="1"/>
  <c r="E40" i="1"/>
  <c r="H40" i="1"/>
  <c r="G48" i="4" l="1"/>
  <c r="I48" i="4"/>
  <c r="C49" i="4" s="1"/>
  <c r="E49" i="4" s="1"/>
  <c r="G40" i="1"/>
  <c r="J40" i="1"/>
  <c r="H49" i="4" l="1"/>
  <c r="J49" i="4" s="1"/>
  <c r="I40" i="1"/>
  <c r="C41" i="1" s="1"/>
  <c r="G49" i="4" l="1"/>
  <c r="K49" i="4" s="1"/>
  <c r="I49" i="4"/>
  <c r="E41" i="1"/>
  <c r="H41" i="1"/>
  <c r="G41" i="1" l="1"/>
  <c r="J41" i="1"/>
  <c r="C50" i="4"/>
  <c r="H50" i="4" l="1"/>
  <c r="E50" i="4"/>
  <c r="I41" i="1"/>
  <c r="K41" i="1"/>
  <c r="C42" i="1" l="1"/>
  <c r="E42" i="1" s="1"/>
  <c r="H42" i="1"/>
  <c r="G50" i="4"/>
  <c r="J50" i="4"/>
  <c r="L42" i="1" l="1"/>
  <c r="I50" i="4"/>
  <c r="C51" i="4" s="1"/>
  <c r="G42" i="1"/>
  <c r="J42" i="1"/>
  <c r="I42" i="1" l="1"/>
  <c r="C43" i="1" s="1"/>
  <c r="H51" i="4"/>
  <c r="E51" i="4"/>
  <c r="G51" i="4" l="1"/>
  <c r="J51" i="4"/>
  <c r="E43" i="1"/>
  <c r="H43" i="1"/>
  <c r="K51" i="4" l="1"/>
  <c r="J43" i="1"/>
  <c r="G43" i="1"/>
  <c r="I51" i="4"/>
  <c r="C52" i="4" l="1"/>
  <c r="E52" i="4" s="1"/>
  <c r="I43" i="1"/>
  <c r="K43" i="1"/>
  <c r="C44" i="1" l="1"/>
  <c r="E44" i="1" s="1"/>
  <c r="H52" i="4"/>
  <c r="H44" i="1"/>
  <c r="L52" i="4" l="1"/>
  <c r="P5" i="11" s="1"/>
  <c r="J52" i="4"/>
  <c r="G52" i="4"/>
  <c r="I52" i="4" s="1"/>
  <c r="C53" i="4" s="1"/>
  <c r="G44" i="1"/>
  <c r="J44" i="1"/>
  <c r="E53" i="4" l="1"/>
  <c r="H53" i="4"/>
  <c r="L9" i="11" s="1"/>
  <c r="I44" i="1"/>
  <c r="C45" i="1" s="1"/>
  <c r="G53" i="4" l="1"/>
  <c r="J53" i="4"/>
  <c r="H45" i="1"/>
  <c r="E45" i="1"/>
  <c r="L26" i="11" l="1"/>
  <c r="J45" i="1"/>
  <c r="G45" i="1"/>
  <c r="I53" i="4"/>
  <c r="K53" i="4"/>
  <c r="K9" i="11" s="1"/>
  <c r="C54" i="4" l="1"/>
  <c r="E54" i="4" s="1"/>
  <c r="K26" i="11"/>
  <c r="I45" i="1"/>
  <c r="C46" i="1" s="1"/>
  <c r="K45" i="1"/>
  <c r="M9" i="11"/>
  <c r="H54" i="4" l="1"/>
  <c r="G54" i="4" s="1"/>
  <c r="M26" i="11"/>
  <c r="H46" i="1"/>
  <c r="E46" i="1"/>
  <c r="J54" i="4" l="1"/>
  <c r="I54" i="4"/>
  <c r="C55" i="4" s="1"/>
  <c r="J46" i="1"/>
  <c r="G46" i="1"/>
  <c r="I46" i="1" l="1"/>
  <c r="C47" i="1" s="1"/>
  <c r="E55" i="4"/>
  <c r="H55" i="4"/>
  <c r="L10" i="11" s="1"/>
  <c r="G55" i="4" l="1"/>
  <c r="J55" i="4"/>
  <c r="E47" i="1"/>
  <c r="H47" i="1"/>
  <c r="I55" i="4" l="1"/>
  <c r="C56" i="4" s="1"/>
  <c r="E56" i="4" s="1"/>
  <c r="K55" i="4"/>
  <c r="K10" i="11" s="1"/>
  <c r="K27" i="11" s="1"/>
  <c r="J47" i="1"/>
  <c r="L27" i="11"/>
  <c r="G47" i="1"/>
  <c r="H56" i="4" l="1"/>
  <c r="J56" i="4" s="1"/>
  <c r="M27" i="11"/>
  <c r="M10" i="11"/>
  <c r="I47" i="1"/>
  <c r="C48" i="1" s="1"/>
  <c r="K47" i="1"/>
  <c r="G56" i="4"/>
  <c r="I56" i="4" l="1"/>
  <c r="C57" i="4" s="1"/>
  <c r="E57" i="4" s="1"/>
  <c r="H8" i="4" s="1"/>
  <c r="H48" i="1"/>
  <c r="E48" i="1"/>
  <c r="H57" i="4" l="1"/>
  <c r="L11" i="11" s="1"/>
  <c r="G48" i="1"/>
  <c r="J48" i="1"/>
  <c r="G57" i="4" l="1"/>
  <c r="H9" i="4"/>
  <c r="J57" i="4"/>
  <c r="I57" i="4"/>
  <c r="K57" i="4"/>
  <c r="K11" i="11" s="1"/>
  <c r="I48" i="1"/>
  <c r="C49" i="1" s="1"/>
  <c r="L28" i="11"/>
  <c r="E49" i="1" l="1"/>
  <c r="H49" i="1"/>
  <c r="L12" i="11" s="1"/>
  <c r="K28" i="11"/>
  <c r="M11" i="11"/>
  <c r="M28" i="11" l="1"/>
  <c r="G49" i="1"/>
  <c r="J49" i="1"/>
  <c r="I49" i="1" l="1"/>
  <c r="C50" i="1" s="1"/>
  <c r="K49" i="1"/>
  <c r="K12" i="11" s="1"/>
  <c r="L29" i="11"/>
  <c r="K29" i="11" l="1"/>
  <c r="M12" i="11"/>
  <c r="E50" i="1"/>
  <c r="H50" i="1"/>
  <c r="G50" i="1" l="1"/>
  <c r="J50" i="1"/>
  <c r="M29" i="11"/>
  <c r="I50" i="1" l="1"/>
  <c r="C51" i="1" s="1"/>
  <c r="E51" i="1" l="1"/>
  <c r="H51" i="1"/>
  <c r="L13" i="11" s="1"/>
  <c r="L30" i="11" s="1"/>
  <c r="G51" i="1" l="1"/>
  <c r="J51" i="1"/>
  <c r="I51" i="1" l="1"/>
  <c r="C52" i="1" s="1"/>
  <c r="K51" i="1"/>
  <c r="K13" i="11" s="1"/>
  <c r="K30" i="11" l="1"/>
  <c r="M30" i="11" s="1"/>
  <c r="M13" i="11"/>
  <c r="E52" i="1"/>
  <c r="H52" i="1"/>
  <c r="G52" i="1" l="1"/>
  <c r="J52" i="1"/>
  <c r="I52" i="1" l="1"/>
  <c r="C53" i="1" s="1"/>
  <c r="E53" i="1" l="1"/>
  <c r="H53" i="1"/>
  <c r="L14" i="11" s="1"/>
  <c r="G53" i="1" l="1"/>
  <c r="K53" i="1" s="1"/>
  <c r="K14" i="11" s="1"/>
  <c r="J53" i="1"/>
  <c r="I53" i="1"/>
  <c r="C54" i="1" s="1"/>
  <c r="E54" i="1" l="1"/>
  <c r="H54" i="1"/>
  <c r="M14" i="11"/>
  <c r="G54" i="1" l="1"/>
  <c r="J54" i="1"/>
  <c r="I54" i="1" l="1"/>
  <c r="C55" i="1" s="1"/>
  <c r="H55" i="1" l="1"/>
  <c r="E55" i="1"/>
  <c r="L15" i="11" l="1"/>
  <c r="J55" i="1"/>
  <c r="G55" i="1"/>
  <c r="K55" i="1" s="1"/>
  <c r="K15" i="11" s="1"/>
  <c r="M15" i="11" l="1"/>
  <c r="I55" i="1"/>
  <c r="C56" i="1" s="1"/>
  <c r="E56" i="1" l="1"/>
  <c r="H56" i="1"/>
  <c r="J56" i="1" l="1"/>
  <c r="G56" i="1"/>
  <c r="I56" i="1" l="1"/>
  <c r="C57" i="1" s="1"/>
  <c r="H57" i="1" l="1"/>
  <c r="E57" i="1"/>
  <c r="I57" i="1" s="1"/>
  <c r="H8" i="1"/>
  <c r="H9" i="1"/>
  <c r="L16" i="11" l="1"/>
  <c r="L31" i="11" s="1"/>
  <c r="J57" i="1"/>
  <c r="G57" i="1"/>
  <c r="K57" i="1" s="1"/>
  <c r="K16" i="11" s="1"/>
  <c r="K31" i="11" l="1"/>
  <c r="M31" i="11" s="1"/>
  <c r="M16" i="11"/>
  <c r="L19" i="11"/>
  <c r="L33" i="11"/>
  <c r="M19" i="11" l="1"/>
  <c r="B224" i="6"/>
  <c r="B227" i="6" s="1"/>
  <c r="J216" i="6"/>
  <c r="G224" i="6"/>
  <c r="G227" i="6" s="1"/>
  <c r="H211" i="6" l="1"/>
  <c r="H212" i="6" s="1"/>
  <c r="H213" i="6" s="1"/>
  <c r="H214" i="6" s="1"/>
  <c r="H215" i="6" s="1"/>
  <c r="H216" i="6" s="1"/>
  <c r="J9" i="11"/>
  <c r="N9" i="11" s="1"/>
  <c r="J10" i="11" s="1"/>
  <c r="N10" i="11" s="1"/>
  <c r="J11" i="11" s="1"/>
  <c r="N11" i="11" s="1"/>
  <c r="J12" i="11" s="1"/>
  <c r="N12" i="11" s="1"/>
  <c r="J13" i="11" s="1"/>
  <c r="N13" i="11" s="1"/>
  <c r="J14" i="11" s="1"/>
  <c r="N14" i="11" s="1"/>
  <c r="J15" i="11" s="1"/>
  <c r="N15" i="11" s="1"/>
  <c r="J16" i="11" s="1"/>
  <c r="N16" i="11" s="1"/>
  <c r="J17" i="11" s="1"/>
  <c r="K19" i="11"/>
  <c r="M33" i="11" l="1"/>
  <c r="K33" i="11"/>
  <c r="H217" i="6"/>
  <c r="H218" i="6" s="1"/>
  <c r="H219" i="6" s="1"/>
  <c r="H220" i="6" s="1"/>
  <c r="H221" i="6" s="1"/>
  <c r="H222" i="6" s="1"/>
</calcChain>
</file>

<file path=xl/sharedStrings.xml><?xml version="1.0" encoding="utf-8"?>
<sst xmlns="http://schemas.openxmlformats.org/spreadsheetml/2006/main" count="167" uniqueCount="85">
  <si>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</si>
  <si>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</si>
  <si>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</si>
  <si>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</si>
  <si>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</si>
  <si>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</si>
  <si>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</si>
  <si>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</si>
  <si>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</si>
  <si>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</si>
  <si>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</si>
  <si>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</si>
  <si>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</si>
  <si>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</si>
  <si>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</si>
  <si>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Citizens Deposit Bank</t>
  </si>
  <si>
    <t>PmtNo.</t>
  </si>
  <si>
    <t>Payment Date</t>
  </si>
  <si>
    <t>Beginning Balance</t>
  </si>
  <si>
    <t>Scheduled Payment</t>
  </si>
  <si>
    <t>Service Fee</t>
  </si>
  <si>
    <t>Total Payment</t>
  </si>
  <si>
    <t>Principal</t>
  </si>
  <si>
    <t>Interest</t>
  </si>
  <si>
    <t>Ending Balance</t>
  </si>
  <si>
    <t>Cumulative Interest</t>
  </si>
  <si>
    <t>YTD Prin</t>
  </si>
  <si>
    <t>Accrued Interest</t>
  </si>
  <si>
    <t>Meade County Water District</t>
  </si>
  <si>
    <t>original principal</t>
  </si>
  <si>
    <t>Interest rate</t>
  </si>
  <si>
    <r>
      <rPr>
        <sz val="12"/>
        <rFont val="Times New Roman"/>
        <family val="1"/>
      </rPr>
      <t xml:space="preserve">closing </t>
    </r>
    <r>
      <rPr>
        <sz val="10.5"/>
        <rFont val="Arial"/>
        <family val="2"/>
      </rPr>
      <t>date</t>
    </r>
  </si>
  <si>
    <t>Fee</t>
  </si>
  <si>
    <t>Sinking Fund Application</t>
  </si>
  <si>
    <t>Total</t>
  </si>
  <si>
    <t>PY</t>
  </si>
  <si>
    <t>CY</t>
  </si>
  <si>
    <t>Accrued Interest - no accrued interest as payment due on 1/1/22 was made on 12/31/21</t>
  </si>
  <si>
    <t>Trustee Fees</t>
  </si>
  <si>
    <t>page 39</t>
  </si>
  <si>
    <t>Accrued interest - issued in April 21, 2021.  Accured 7 of 8 months at yearend</t>
  </si>
  <si>
    <t>FYE 2022</t>
  </si>
  <si>
    <t>FYE 2023</t>
  </si>
  <si>
    <t>FYE 2024</t>
  </si>
  <si>
    <t>FYE 2025</t>
  </si>
  <si>
    <t>FYE 2026</t>
  </si>
  <si>
    <t>FYE 2027</t>
  </si>
  <si>
    <t>FYE 2028</t>
  </si>
  <si>
    <t>FYE 2029</t>
  </si>
  <si>
    <t>FYE 2030</t>
  </si>
  <si>
    <t>FYE 2031</t>
  </si>
  <si>
    <t>FYE 2032</t>
  </si>
  <si>
    <t>FYE 2033</t>
  </si>
  <si>
    <t>FYE 2034</t>
  </si>
  <si>
    <t>FYE 2035</t>
  </si>
  <si>
    <t>FYE 2036</t>
  </si>
  <si>
    <t>FYE 2037</t>
  </si>
  <si>
    <t>FYE 2038</t>
  </si>
  <si>
    <t>FYE 2039</t>
  </si>
  <si>
    <t>FYE 2040</t>
  </si>
  <si>
    <t>FYE 2041</t>
  </si>
  <si>
    <t>FYE 2042</t>
  </si>
  <si>
    <t>FYE 2043</t>
  </si>
  <si>
    <t>FYE 2044</t>
  </si>
  <si>
    <t>FYE 2045</t>
  </si>
  <si>
    <t>FYE 2046</t>
  </si>
  <si>
    <t>FYE 2047</t>
  </si>
  <si>
    <t>FYE 2048</t>
  </si>
  <si>
    <t>FYE 2049</t>
  </si>
  <si>
    <t>TOTAL LONG-TERM DEBT - BONDS</t>
  </si>
  <si>
    <t>TOTAL LONG-TERM DEBT</t>
  </si>
  <si>
    <t>PY Balance</t>
  </si>
  <si>
    <t>Payment</t>
  </si>
  <si>
    <t>YE Balance</t>
  </si>
  <si>
    <t>Year Ending</t>
  </si>
  <si>
    <t>Principle</t>
  </si>
  <si>
    <t>2027-2029</t>
  </si>
  <si>
    <t>BONDS</t>
  </si>
  <si>
    <t>2027-2031</t>
  </si>
  <si>
    <t>2032-2036</t>
  </si>
  <si>
    <t>2037-2041</t>
  </si>
  <si>
    <t>2042-2046</t>
  </si>
  <si>
    <t>2047-2051</t>
  </si>
  <si>
    <t>2052-2056</t>
  </si>
  <si>
    <t>2057-2091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</si>
</sst>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?%_)"/>
    <numFmt numFmtId="165" formatCode="0_)"/>
    <numFmt numFmtId="166" formatCode="\$#,##0"/>
    <numFmt numFmtId="167" formatCode="0.000%"/>
    <numFmt numFmtId="168" formatCode="m/d/yyyy;@"/>
    <numFmt numFmtId="169" formatCode="\$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0.00000%"/>
    <numFmt numFmtId="173" formatCode="0.00000000%"/>
    <numFmt numFmtId="174" formatCode="0.000000000%"/>
    <numFmt numFmtId="175" formatCode="0.0000000000%"/>
    <numFmt numFmtId="176" formatCode="0.00000000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</font>
    <font>
      <sz val="10"/>
      <color indexed="23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.5"/>
      <color rgb="FF000000"/>
      <name val="Times New Roman"/>
      <family val="2"/>
    </font>
    <font>
      <sz val="10"/>
      <color rgb="FF000000"/>
      <name val="Times New Roman"/>
      <family val="1"/>
    </font>
    <font>
      <sz val="10.5"/>
      <name val="Arial"/>
      <family val="2"/>
    </font>
    <font>
      <sz val="11"/>
      <color rgb="FF000000"/>
      <name val="Times New Roman"/>
      <family val="2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10.5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indexed="23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43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  <xf numFmtId="44" fontId="3" fillId="0" borderId="6" xfId="1" applyFont="1" applyFill="1" applyBorder="1" applyAlignment="1" applyProtection="1">
      <alignment horizontal="right"/>
      <protection locked="0"/>
    </xf>
    <xf numFmtId="44" fontId="3" fillId="0" borderId="6" xfId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0" fontId="6" fillId="0" borderId="0" xfId="0" applyFont="1"/>
    <xf numFmtId="164" fontId="3" fillId="0" borderId="7" xfId="0" applyNumberFormat="1" applyFont="1" applyBorder="1" applyAlignment="1" applyProtection="1">
      <alignment horizontal="right"/>
      <protection locked="0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left"/>
    </xf>
    <xf numFmtId="165" fontId="3" fillId="0" borderId="7" xfId="0" applyNumberFormat="1" applyFont="1" applyBorder="1" applyAlignment="1" applyProtection="1">
      <alignment horizontal="right"/>
      <protection locked="0"/>
    </xf>
    <xf numFmtId="14" fontId="3" fillId="0" borderId="7" xfId="0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4" fontId="3" fillId="0" borderId="7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43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43" fontId="3" fillId="0" borderId="0" xfId="0" applyNumberFormat="1" applyFont="1" applyAlignment="1">
      <alignment wrapText="1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right"/>
    </xf>
    <xf numFmtId="44" fontId="7" fillId="2" borderId="0" xfId="1" applyFont="1" applyFill="1" applyBorder="1" applyAlignment="1">
      <alignment horizontal="right"/>
    </xf>
    <xf numFmtId="39" fontId="7" fillId="2" borderId="0" xfId="1" applyNumberFormat="1" applyFont="1" applyFill="1" applyBorder="1" applyAlignment="1">
      <alignment horizontal="right"/>
    </xf>
    <xf numFmtId="39" fontId="7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39" fontId="0" fillId="0" borderId="0" xfId="0" applyNumberForma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44" fontId="7" fillId="0" borderId="0" xfId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168" fontId="13" fillId="0" borderId="0" xfId="0" applyNumberFormat="1" applyFont="1" applyAlignment="1">
      <alignment horizontal="center" vertical="top" shrinkToFit="1"/>
    </xf>
    <xf numFmtId="166" fontId="13" fillId="0" borderId="0" xfId="0" applyNumberFormat="1" applyFont="1" applyAlignment="1">
      <alignment horizontal="left" vertical="top" indent="2" shrinkToFit="1"/>
    </xf>
    <xf numFmtId="0" fontId="0" fillId="0" borderId="0" xfId="0" applyAlignment="1">
      <alignment horizontal="left" wrapText="1"/>
    </xf>
    <xf numFmtId="168" fontId="13" fillId="4" borderId="0" xfId="0" applyNumberFormat="1" applyFont="1" applyFill="1" applyAlignment="1">
      <alignment horizontal="center" vertical="top" shrinkToFit="1"/>
    </xf>
    <xf numFmtId="166" fontId="13" fillId="4" borderId="0" xfId="0" applyNumberFormat="1" applyFont="1" applyFill="1" applyAlignment="1">
      <alignment horizontal="left" vertical="top" indent="2" shrinkToFit="1"/>
    </xf>
    <xf numFmtId="0" fontId="0" fillId="4" borderId="0" xfId="0" applyFill="1" applyAlignment="1">
      <alignment horizontal="left" wrapText="1"/>
    </xf>
    <xf numFmtId="168" fontId="14" fillId="0" borderId="0" xfId="0" applyNumberFormat="1" applyFont="1" applyAlignment="1">
      <alignment horizontal="center" vertical="top" shrinkToFi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6" fontId="15" fillId="0" borderId="0" xfId="0" applyNumberFormat="1" applyFont="1" applyAlignment="1">
      <alignment vertical="top" shrinkToFit="1"/>
    </xf>
    <xf numFmtId="0" fontId="16" fillId="0" borderId="0" xfId="0" applyFont="1" applyAlignment="1">
      <alignment vertical="top" wrapText="1"/>
    </xf>
    <xf numFmtId="167" fontId="15" fillId="0" borderId="0" xfId="0" applyNumberFormat="1" applyFont="1" applyAlignment="1">
      <alignment vertical="top" shrinkToFit="1"/>
    </xf>
    <xf numFmtId="168" fontId="15" fillId="0" borderId="0" xfId="0" applyNumberFormat="1" applyFont="1" applyAlignment="1">
      <alignment vertical="top" shrinkToFit="1"/>
    </xf>
    <xf numFmtId="14" fontId="11" fillId="0" borderId="0" xfId="0" applyNumberFormat="1" applyFont="1" applyAlignment="1">
      <alignment horizontal="left" vertical="top"/>
    </xf>
    <xf numFmtId="43" fontId="11" fillId="0" borderId="0" xfId="2" applyFont="1" applyFill="1" applyBorder="1" applyAlignment="1">
      <alignment horizontal="left" vertical="top"/>
    </xf>
    <xf numFmtId="43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166" fontId="14" fillId="0" borderId="0" xfId="0" applyNumberFormat="1" applyFont="1" applyAlignment="1">
      <alignment vertical="top" shrinkToFit="1"/>
    </xf>
    <xf numFmtId="0" fontId="14" fillId="0" borderId="0" xfId="0" applyFont="1" applyAlignment="1">
      <alignment horizontal="left" vertical="center" wrapText="1"/>
    </xf>
    <xf numFmtId="169" fontId="14" fillId="0" borderId="0" xfId="0" applyNumberFormat="1" applyFont="1" applyAlignment="1">
      <alignment vertical="top" shrinkToFit="1"/>
    </xf>
    <xf numFmtId="169" fontId="14" fillId="0" borderId="0" xfId="0" applyNumberFormat="1" applyFont="1" applyAlignment="1">
      <alignment horizontal="left" vertical="top" indent="2" shrinkToFit="1"/>
    </xf>
    <xf numFmtId="2" fontId="14" fillId="0" borderId="0" xfId="0" applyNumberFormat="1" applyFont="1" applyAlignment="1">
      <alignment horizontal="left" vertical="center" wrapText="1"/>
    </xf>
    <xf numFmtId="0" fontId="11" fillId="4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left"/>
    </xf>
    <xf numFmtId="14" fontId="7" fillId="2" borderId="12" xfId="0" applyNumberFormat="1" applyFont="1" applyFill="1" applyBorder="1" applyAlignment="1">
      <alignment horizontal="right"/>
    </xf>
    <xf numFmtId="39" fontId="7" fillId="2" borderId="12" xfId="1" applyNumberFormat="1" applyFont="1" applyFill="1" applyBorder="1" applyAlignment="1">
      <alignment horizontal="right"/>
    </xf>
    <xf numFmtId="44" fontId="7" fillId="2" borderId="12" xfId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4" fontId="7" fillId="0" borderId="12" xfId="0" applyNumberFormat="1" applyFont="1" applyBorder="1" applyAlignment="1">
      <alignment horizontal="right"/>
    </xf>
    <xf numFmtId="39" fontId="7" fillId="0" borderId="12" xfId="1" applyNumberFormat="1" applyFont="1" applyFill="1" applyBorder="1" applyAlignment="1">
      <alignment horizontal="right"/>
    </xf>
    <xf numFmtId="44" fontId="7" fillId="0" borderId="12" xfId="1" applyFont="1" applyFill="1" applyBorder="1" applyAlignment="1">
      <alignment horizontal="right"/>
    </xf>
    <xf numFmtId="39" fontId="0" fillId="0" borderId="12" xfId="0" applyNumberFormat="1" applyBorder="1"/>
    <xf numFmtId="0" fontId="20" fillId="4" borderId="0" xfId="0" applyFont="1" applyFill="1" applyAlignment="1">
      <alignment horizontal="left"/>
    </xf>
    <xf numFmtId="14" fontId="20" fillId="4" borderId="0" xfId="0" applyNumberFormat="1" applyFont="1" applyFill="1" applyAlignment="1">
      <alignment horizontal="right"/>
    </xf>
    <xf numFmtId="39" fontId="20" fillId="4" borderId="0" xfId="1" applyNumberFormat="1" applyFont="1" applyFill="1" applyBorder="1" applyAlignment="1">
      <alignment horizontal="right"/>
    </xf>
    <xf numFmtId="44" fontId="20" fillId="4" borderId="0" xfId="1" applyFont="1" applyFill="1" applyBorder="1" applyAlignment="1">
      <alignment horizontal="right"/>
    </xf>
    <xf numFmtId="0" fontId="8" fillId="0" borderId="0" xfId="0" applyFont="1"/>
    <xf numFmtId="0" fontId="20" fillId="4" borderId="12" xfId="0" applyFont="1" applyFill="1" applyBorder="1" applyAlignment="1">
      <alignment horizontal="left"/>
    </xf>
    <xf numFmtId="14" fontId="20" fillId="4" borderId="12" xfId="0" applyNumberFormat="1" applyFont="1" applyFill="1" applyBorder="1" applyAlignment="1">
      <alignment horizontal="right"/>
    </xf>
    <xf numFmtId="39" fontId="20" fillId="4" borderId="12" xfId="1" applyNumberFormat="1" applyFont="1" applyFill="1" applyBorder="1" applyAlignment="1">
      <alignment horizontal="right"/>
    </xf>
    <xf numFmtId="44" fontId="20" fillId="4" borderId="12" xfId="1" applyFont="1" applyFill="1" applyBorder="1" applyAlignment="1">
      <alignment horizontal="right"/>
    </xf>
    <xf numFmtId="39" fontId="8" fillId="0" borderId="12" xfId="0" applyNumberFormat="1" applyFont="1" applyBorder="1"/>
    <xf numFmtId="0" fontId="20" fillId="3" borderId="0" xfId="0" applyFont="1" applyFill="1" applyAlignment="1">
      <alignment horizontal="left"/>
    </xf>
    <xf numFmtId="14" fontId="20" fillId="3" borderId="0" xfId="0" applyNumberFormat="1" applyFont="1" applyFill="1" applyAlignment="1">
      <alignment horizontal="right"/>
    </xf>
    <xf numFmtId="39" fontId="20" fillId="3" borderId="0" xfId="1" applyNumberFormat="1" applyFont="1" applyFill="1" applyBorder="1" applyAlignment="1">
      <alignment horizontal="right"/>
    </xf>
    <xf numFmtId="44" fontId="20" fillId="3" borderId="0" xfId="1" applyFont="1" applyFill="1" applyBorder="1" applyAlignment="1">
      <alignment horizontal="right"/>
    </xf>
    <xf numFmtId="0" fontId="20" fillId="3" borderId="12" xfId="0" applyFont="1" applyFill="1" applyBorder="1" applyAlignment="1">
      <alignment horizontal="left"/>
    </xf>
    <xf numFmtId="14" fontId="20" fillId="3" borderId="12" xfId="0" applyNumberFormat="1" applyFont="1" applyFill="1" applyBorder="1" applyAlignment="1">
      <alignment horizontal="right"/>
    </xf>
    <xf numFmtId="39" fontId="20" fillId="3" borderId="12" xfId="1" applyNumberFormat="1" applyFont="1" applyFill="1" applyBorder="1" applyAlignment="1">
      <alignment horizontal="right"/>
    </xf>
    <xf numFmtId="44" fontId="20" fillId="3" borderId="12" xfId="1" applyFont="1" applyFill="1" applyBorder="1" applyAlignment="1">
      <alignment horizontal="right"/>
    </xf>
    <xf numFmtId="170" fontId="22" fillId="0" borderId="0" xfId="2" applyNumberFormat="1" applyFont="1" applyFill="1" applyProtection="1"/>
    <xf numFmtId="170" fontId="22" fillId="0" borderId="0" xfId="2" applyNumberFormat="1" applyFont="1" applyFill="1" applyAlignment="1" applyProtection="1">
      <alignment horizontal="center"/>
    </xf>
    <xf numFmtId="170" fontId="22" fillId="0" borderId="13" xfId="2" applyNumberFormat="1" applyFont="1" applyFill="1" applyBorder="1" applyProtection="1"/>
    <xf numFmtId="170" fontId="22" fillId="0" borderId="0" xfId="2" applyNumberFormat="1" applyFont="1" applyFill="1" applyBorder="1" applyProtection="1"/>
    <xf numFmtId="170" fontId="23" fillId="0" borderId="0" xfId="2" applyNumberFormat="1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169" fontId="18" fillId="0" borderId="0" xfId="0" applyNumberFormat="1" applyFont="1" applyAlignment="1">
      <alignment horizontal="left" vertical="top"/>
    </xf>
    <xf numFmtId="169" fontId="14" fillId="0" borderId="0" xfId="0" applyNumberFormat="1" applyFont="1" applyAlignment="1">
      <alignment horizontal="left" vertical="center" wrapText="1"/>
    </xf>
    <xf numFmtId="168" fontId="14" fillId="0" borderId="12" xfId="0" applyNumberFormat="1" applyFont="1" applyBorder="1" applyAlignment="1">
      <alignment horizontal="center" vertical="top" shrinkToFit="1"/>
    </xf>
    <xf numFmtId="0" fontId="14" fillId="0" borderId="12" xfId="0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left" vertical="center" wrapText="1"/>
    </xf>
    <xf numFmtId="169" fontId="14" fillId="0" borderId="12" xfId="0" applyNumberFormat="1" applyFont="1" applyBorder="1" applyAlignment="1">
      <alignment horizontal="left" vertical="top" indent="2" shrinkToFit="1"/>
    </xf>
    <xf numFmtId="166" fontId="14" fillId="0" borderId="12" xfId="0" applyNumberFormat="1" applyFont="1" applyBorder="1" applyAlignment="1">
      <alignment vertical="top" shrinkToFit="1"/>
    </xf>
    <xf numFmtId="0" fontId="11" fillId="0" borderId="12" xfId="0" applyFont="1" applyBorder="1" applyAlignment="1">
      <alignment horizontal="left" vertical="top"/>
    </xf>
    <xf numFmtId="169" fontId="18" fillId="0" borderId="12" xfId="0" applyNumberFormat="1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166" fontId="13" fillId="0" borderId="0" xfId="0" applyNumberFormat="1" applyFont="1" applyAlignment="1">
      <alignment vertical="top" shrinkToFit="1"/>
    </xf>
    <xf numFmtId="166" fontId="13" fillId="4" borderId="0" xfId="0" applyNumberFormat="1" applyFont="1" applyFill="1" applyAlignment="1">
      <alignment vertical="top" shrinkToFit="1"/>
    </xf>
    <xf numFmtId="3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39" fontId="21" fillId="0" borderId="0" xfId="0" applyNumberFormat="1" applyFont="1" applyAlignment="1">
      <alignment horizontal="center"/>
    </xf>
    <xf numFmtId="0" fontId="22" fillId="0" borderId="0" xfId="0" applyFont="1"/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71" fontId="22" fillId="0" borderId="14" xfId="1" applyNumberFormat="1" applyFont="1" applyFill="1" applyBorder="1" applyProtection="1"/>
    <xf numFmtId="0" fontId="0" fillId="0" borderId="0" xfId="0" applyAlignment="1">
      <alignment wrapText="1"/>
    </xf>
    <xf numFmtId="172" fontId="13" fillId="0" borderId="0" xfId="3" applyNumberFormat="1" applyFont="1" applyAlignment="1">
      <alignment vertical="top" shrinkToFit="1"/>
    </xf>
    <xf numFmtId="173" fontId="13" fillId="0" borderId="0" xfId="3" applyNumberFormat="1" applyFont="1" applyAlignment="1">
      <alignment vertical="top" shrinkToFit="1"/>
    </xf>
    <xf numFmtId="174" fontId="13" fillId="0" borderId="0" xfId="3" applyNumberFormat="1" applyFont="1" applyAlignment="1">
      <alignment vertical="top" shrinkToFit="1"/>
    </xf>
    <xf numFmtId="175" fontId="13" fillId="0" borderId="0" xfId="3" applyNumberFormat="1" applyFont="1" applyAlignment="1">
      <alignment vertical="top" shrinkToFit="1"/>
    </xf>
    <xf numFmtId="176" fontId="13" fillId="0" borderId="0" xfId="3" applyNumberFormat="1" applyFont="1" applyAlignment="1">
      <alignment vertical="top" shrinkToFit="1"/>
    </xf>
    <xf numFmtId="168" fontId="13" fillId="0" borderId="12" xfId="0" applyNumberFormat="1" applyFont="1" applyBorder="1" applyAlignment="1">
      <alignment horizontal="center" vertical="top" shrinkToFit="1"/>
    </xf>
    <xf numFmtId="169" fontId="13" fillId="0" borderId="12" xfId="0" applyNumberFormat="1" applyFont="1" applyBorder="1" applyAlignment="1">
      <alignment horizontal="center" vertical="top" shrinkToFit="1"/>
    </xf>
    <xf numFmtId="0" fontId="0" fillId="0" borderId="12" xfId="0" applyBorder="1" applyAlignment="1">
      <alignment horizontal="left" wrapText="1"/>
    </xf>
    <xf numFmtId="166" fontId="13" fillId="0" borderId="12" xfId="0" applyNumberFormat="1" applyFont="1" applyBorder="1" applyAlignment="1">
      <alignment vertical="top" shrinkToFit="1"/>
    </xf>
    <xf numFmtId="168" fontId="14" fillId="4" borderId="0" xfId="0" applyNumberFormat="1" applyFont="1" applyFill="1" applyAlignment="1">
      <alignment horizontal="center" vertical="top" shrinkToFit="1"/>
    </xf>
    <xf numFmtId="169" fontId="14" fillId="4" borderId="0" xfId="0" applyNumberFormat="1" applyFont="1" applyFill="1" applyAlignment="1">
      <alignment horizontal="left" vertical="top" indent="2" shrinkToFit="1"/>
    </xf>
    <xf numFmtId="166" fontId="14" fillId="4" borderId="0" xfId="0" applyNumberFormat="1" applyFont="1" applyFill="1" applyAlignment="1">
      <alignment vertical="top" shrinkToFit="1"/>
    </xf>
    <xf numFmtId="44" fontId="19" fillId="0" borderId="0" xfId="1" applyFont="1" applyFill="1" applyAlignment="1">
      <alignment horizontal="left"/>
    </xf>
    <xf numFmtId="43" fontId="14" fillId="0" borderId="0" xfId="0" applyNumberFormat="1" applyFont="1" applyAlignment="1">
      <alignment horizontal="left" vertical="center" wrapText="1"/>
    </xf>
    <xf numFmtId="43" fontId="14" fillId="0" borderId="12" xfId="0" applyNumberFormat="1" applyFont="1" applyBorder="1" applyAlignment="1">
      <alignment horizontal="left" vertical="center" wrapText="1"/>
    </xf>
    <xf numFmtId="44" fontId="19" fillId="0" borderId="0" xfId="1" applyFont="1" applyFill="1" applyAlignment="1">
      <alignment horizontal="left" wrapText="1"/>
    </xf>
    <xf numFmtId="43" fontId="14" fillId="4" borderId="0" xfId="0" applyNumberFormat="1" applyFont="1" applyFill="1" applyAlignment="1">
      <alignment horizontal="left" vertical="center" wrapText="1"/>
    </xf>
    <xf numFmtId="168" fontId="14" fillId="4" borderId="12" xfId="0" applyNumberFormat="1" applyFont="1" applyFill="1" applyBorder="1" applyAlignment="1">
      <alignment horizontal="center" vertical="top" shrinkToFit="1"/>
    </xf>
    <xf numFmtId="0" fontId="14" fillId="4" borderId="12" xfId="0" applyFont="1" applyFill="1" applyBorder="1" applyAlignment="1">
      <alignment horizontal="left" vertical="center" wrapText="1"/>
    </xf>
    <xf numFmtId="169" fontId="14" fillId="4" borderId="12" xfId="0" applyNumberFormat="1" applyFont="1" applyFill="1" applyBorder="1" applyAlignment="1">
      <alignment horizontal="left" vertical="top" indent="2" shrinkToFit="1"/>
    </xf>
    <xf numFmtId="166" fontId="14" fillId="4" borderId="12" xfId="0" applyNumberFormat="1" applyFont="1" applyFill="1" applyBorder="1" applyAlignment="1">
      <alignment vertical="top" shrinkToFit="1"/>
    </xf>
    <xf numFmtId="169" fontId="18" fillId="4" borderId="12" xfId="0" applyNumberFormat="1" applyFont="1" applyFill="1" applyBorder="1" applyAlignment="1">
      <alignment horizontal="left" vertical="top"/>
    </xf>
    <xf numFmtId="0" fontId="24" fillId="4" borderId="12" xfId="0" applyFont="1" applyFill="1" applyBorder="1" applyAlignment="1">
      <alignment horizontal="left" vertical="top"/>
    </xf>
    <xf numFmtId="44" fontId="8" fillId="0" borderId="0" xfId="1" applyFont="1"/>
    <xf numFmtId="0" fontId="26" fillId="0" borderId="0" xfId="0" applyFont="1"/>
    <xf numFmtId="44" fontId="18" fillId="0" borderId="0" xfId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44" fontId="8" fillId="0" borderId="0" xfId="1" applyFont="1" applyAlignment="1">
      <alignment horizontal="left" vertical="top"/>
    </xf>
    <xf numFmtId="0" fontId="26" fillId="0" borderId="0" xfId="0" applyFont="1" applyAlignment="1">
      <alignment horizontal="left" vertical="top"/>
    </xf>
    <xf numFmtId="44" fontId="27" fillId="0" borderId="0" xfId="1" applyFont="1" applyAlignment="1">
      <alignment vertical="top" shrinkToFit="1"/>
    </xf>
    <xf numFmtId="0" fontId="0" fillId="5" borderId="17" xfId="0" applyFill="1" applyBorder="1"/>
    <xf numFmtId="0" fontId="0" fillId="5" borderId="18" xfId="0" applyFill="1" applyBorder="1"/>
    <xf numFmtId="169" fontId="13" fillId="4" borderId="0" xfId="0" applyNumberFormat="1" applyFont="1" applyFill="1" applyAlignment="1">
      <alignment horizontal="center" vertical="top" shrinkToFit="1"/>
    </xf>
    <xf numFmtId="169" fontId="13" fillId="0" borderId="0" xfId="0" applyNumberFormat="1" applyFont="1" applyAlignment="1">
      <alignment horizontal="center" vertical="top" shrinkToFit="1"/>
    </xf>
    <xf numFmtId="169" fontId="11" fillId="0" borderId="12" xfId="0" applyNumberFormat="1" applyFont="1" applyBorder="1" applyAlignment="1">
      <alignment horizontal="left" vertical="top"/>
    </xf>
    <xf numFmtId="171" fontId="22" fillId="0" borderId="0" xfId="1" applyNumberFormat="1" applyFont="1" applyFill="1" applyBorder="1" applyProtection="1"/>
    <xf numFmtId="170" fontId="23" fillId="0" borderId="0" xfId="2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44" fontId="8" fillId="0" borderId="0" xfId="1" applyFont="1" applyFill="1" applyAlignment="1">
      <alignment horizontal="left" vertical="top"/>
    </xf>
    <xf numFmtId="169" fontId="13" fillId="0" borderId="0" xfId="0" applyNumberFormat="1" applyFont="1" applyAlignment="1">
      <alignment vertical="top" shrinkToFit="1"/>
    </xf>
    <xf numFmtId="0" fontId="12" fillId="0" borderId="0" xfId="0" applyFont="1" applyAlignment="1">
      <alignment vertical="top" wrapText="1"/>
    </xf>
    <xf numFmtId="170" fontId="13" fillId="0" borderId="0" xfId="2" applyNumberFormat="1" applyFont="1" applyFill="1" applyAlignment="1">
      <alignment vertical="top" shrinkToFit="1"/>
    </xf>
    <xf numFmtId="169" fontId="13" fillId="4" borderId="0" xfId="0" applyNumberFormat="1" applyFont="1" applyFill="1" applyAlignment="1">
      <alignment vertical="top" shrinkToFit="1"/>
    </xf>
    <xf numFmtId="169" fontId="13" fillId="0" borderId="12" xfId="0" applyNumberFormat="1" applyFont="1" applyBorder="1" applyAlignment="1">
      <alignment vertical="top" shrinkToFit="1"/>
    </xf>
    <xf numFmtId="170" fontId="0" fillId="0" borderId="0" xfId="2" applyNumberFormat="1" applyFon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170" fontId="0" fillId="0" borderId="0" xfId="2" applyNumberFormat="1" applyFont="1"/>
    <xf numFmtId="170" fontId="29" fillId="0" borderId="0" xfId="2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top" wrapText="1" indent="7"/>
    </xf>
    <xf numFmtId="0" fontId="9" fillId="0" borderId="0" xfId="0" applyFont="1" applyAlignment="1">
      <alignment horizontal="left" vertical="top" wrapText="1" indent="7"/>
    </xf>
    <xf numFmtId="0" fontId="11" fillId="0" borderId="0" xfId="0" applyFont="1" applyAlignment="1">
      <alignment horizontal="left" vertical="top" wrapText="1" indent="7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168" fontId="13" fillId="6" borderId="0" xfId="0" applyNumberFormat="1" applyFont="1" applyFill="1" applyAlignment="1">
      <alignment horizontal="center" vertical="top" shrinkToFit="1"/>
    </xf>
    <xf numFmtId="169" fontId="13" fillId="6" borderId="0" xfId="0" applyNumberFormat="1" applyFont="1" applyFill="1" applyAlignment="1">
      <alignment vertical="top" shrinkToFit="1"/>
    </xf>
    <xf numFmtId="169" fontId="13" fillId="6" borderId="0" xfId="0" applyNumberFormat="1" applyFont="1" applyFill="1" applyAlignment="1">
      <alignment horizontal="center" vertical="top" shrinkToFit="1"/>
    </xf>
    <xf numFmtId="166" fontId="13" fillId="6" borderId="0" xfId="0" applyNumberFormat="1" applyFont="1" applyFill="1" applyAlignment="1">
      <alignment horizontal="left" vertical="top" indent="2" shrinkToFit="1"/>
    </xf>
    <xf numFmtId="166" fontId="13" fillId="6" borderId="0" xfId="0" applyNumberFormat="1" applyFont="1" applyFill="1" applyAlignment="1">
      <alignment vertical="top" shrinkToFit="1"/>
    </xf>
    <xf numFmtId="0" fontId="0" fillId="6" borderId="0" xfId="0" applyFill="1" applyAlignment="1">
      <alignment horizontal="left" wrapText="1"/>
    </xf>
    <xf numFmtId="0" fontId="7" fillId="6" borderId="0" xfId="0" applyFont="1" applyFill="1" applyAlignment="1">
      <alignment horizontal="left"/>
    </xf>
    <xf numFmtId="14" fontId="7" fillId="6" borderId="0" xfId="0" applyNumberFormat="1" applyFont="1" applyFill="1" applyAlignment="1">
      <alignment horizontal="right"/>
    </xf>
    <xf numFmtId="39" fontId="7" fillId="6" borderId="0" xfId="1" applyNumberFormat="1" applyFont="1" applyFill="1" applyBorder="1" applyAlignment="1">
      <alignment horizontal="right"/>
    </xf>
    <xf numFmtId="44" fontId="7" fillId="6" borderId="0" xfId="1" applyFont="1" applyFill="1" applyBorder="1" applyAlignment="1">
      <alignment horizontal="right"/>
    </xf>
    <xf numFmtId="0" fontId="0" fillId="6" borderId="0" xfId="0" applyFill="1"/>
    <xf numFmtId="0" fontId="7" fillId="6" borderId="12" xfId="0" applyFont="1" applyFill="1" applyBorder="1" applyAlignment="1">
      <alignment horizontal="left"/>
    </xf>
    <xf numFmtId="14" fontId="7" fillId="6" borderId="12" xfId="0" applyNumberFormat="1" applyFont="1" applyFill="1" applyBorder="1" applyAlignment="1">
      <alignment horizontal="right"/>
    </xf>
    <xf numFmtId="39" fontId="7" fillId="6" borderId="12" xfId="1" applyNumberFormat="1" applyFont="1" applyFill="1" applyBorder="1" applyAlignment="1">
      <alignment horizontal="right"/>
    </xf>
    <xf numFmtId="44" fontId="7" fillId="6" borderId="12" xfId="1" applyFont="1" applyFill="1" applyBorder="1" applyAlignment="1">
      <alignment horizontal="right"/>
    </xf>
    <xf numFmtId="39" fontId="0" fillId="6" borderId="12" xfId="0" applyNumberFormat="1" applyFill="1" applyBorder="1"/>
    <xf numFmtId="170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 indent="7"/>
    </xf>
    <xf numFmtId="0" fontId="9" fillId="0" borderId="0" xfId="0" applyFont="1" applyAlignment="1">
      <alignment horizontal="left" vertical="top" wrapText="1" indent="12"/>
    </xf>
    <xf numFmtId="0" fontId="9" fillId="0" borderId="0" xfId="0" applyFont="1" applyAlignment="1">
      <alignment horizontal="left" vertical="top" wrapText="1" indent="7"/>
    </xf>
    <xf numFmtId="0" fontId="11" fillId="0" borderId="0" xfId="0" applyFont="1" applyAlignment="1">
      <alignment horizontal="left" vertical="top" wrapText="1" indent="7"/>
    </xf>
    <xf numFmtId="0" fontId="17" fillId="0" borderId="0" xfId="0" applyFont="1" applyAlignment="1">
      <alignment horizontal="center" wrapText="1"/>
    </xf>
    <xf numFmtId="169" fontId="13" fillId="0" borderId="0" xfId="0" applyNumberFormat="1" applyFont="1" applyAlignment="1">
      <alignment horizontal="center" vertical="top" shrinkToFit="1"/>
    </xf>
    <xf numFmtId="168" fontId="10" fillId="0" borderId="0" xfId="0" applyNumberFormat="1" applyFont="1" applyAlignment="1">
      <alignment horizontal="right" vertical="top" indent="8" shrinkToFit="1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vertical="top" wrapText="1" indent="1"/>
    </xf>
    <xf numFmtId="166" fontId="10" fillId="0" borderId="0" xfId="0" applyNumberFormat="1" applyFont="1" applyAlignment="1">
      <alignment horizontal="right" vertical="top" indent="8" shrinkToFit="1"/>
    </xf>
    <xf numFmtId="167" fontId="10" fillId="0" borderId="0" xfId="0" applyNumberFormat="1" applyFont="1" applyAlignment="1">
      <alignment horizontal="right" vertical="top" indent="8" shrinkToFi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44" fontId="28" fillId="5" borderId="19" xfId="0" applyNumberFormat="1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45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C2826A92-FD54-4356-B94A-0CD2F211D1E2%7d/%7b30199559-6A32-4E39-884A-77C55EEE0836%7d/%7b465ffb66-b8ab-4c33-9e66-7a47915659ad%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 22521"/>
      <sheetName val="Amort 22523"/>
      <sheetName val="Amort 22524"/>
      <sheetName val="Amort 22525"/>
      <sheetName val="Amort 22636"/>
      <sheetName val="Amort 22640"/>
      <sheetName val="Amort 22660"/>
      <sheetName val="Amort 22665"/>
      <sheetName val="Amort 22667"/>
      <sheetName val="Amort 22668"/>
    </sheetNames>
    <definedNames>
      <definedName name="Header_Row" refersTo="#REF!" sheetId="9"/>
      <definedName name="Interest_Rate" refersTo="='Amort 22668'!$D$6" sheetId="9"/>
      <definedName name="Loan_Amount" refersTo="='Amort 22668'!$D$5" sheetId="9"/>
      <definedName name="Loan_Start" refersTo="='Amort 22668'!$D$9" sheetId="9"/>
      <definedName name="Loan_Years" refersTo="='Amort 22668'!$D$7" sheetId="9"/>
      <definedName name="Number_of_Payments" refersTo="#REF!" sheetId="9"/>
      <definedName name="Values_Entered" refersTo="#REF!" sheetId="9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>
            <v>1520000</v>
          </cell>
        </row>
        <row r="6">
          <cell r="D6">
            <v>4.7500000000000001E-2</v>
          </cell>
        </row>
        <row r="7">
          <cell r="D7">
            <v>20</v>
          </cell>
        </row>
        <row r="9">
          <cell r="D9">
            <v>43656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3373-875C-41E1-81ED-1D023DD2592C}">
  <dimension ref="A1:M57"/>
  <sheetViews>
    <sheetView topLeftCell="B13" workbookViewId="0">
      <pane xSplit="1" ySplit="4" topLeftCell="E36" activePane="bottomRight" state="frozen"/>
      <selection activeCell="B13" sqref="B13"/>
      <selection pane="topRight" activeCell="C13" sqref="C13"/>
      <selection pane="bottomLeft" activeCell="B17" sqref="B17"/>
      <selection pane="bottomRight" activeCell="B44" sqref="B44"/>
    </sheetView>
  </sheetViews>
  <sheetFormatPr defaultRowHeight="14.4" x14ac:dyDescent="0.55000000000000004"/>
  <cols>
    <col min="1" max="1" width="7" customWidth="1"/>
    <col min="2" max="2" width="10.83984375" customWidth="1"/>
    <col min="3" max="3" width="12.41796875" customWidth="1"/>
    <col min="4" max="4" width="15" customWidth="1"/>
    <col min="5" max="5" width="13.15625" customWidth="1"/>
    <col min="6" max="6" width="12.68359375" customWidth="1"/>
    <col min="7" max="7" width="13.83984375" customWidth="1"/>
    <col min="8" max="8" width="12" customWidth="1"/>
    <col min="9" max="9" width="13.41796875" customWidth="1"/>
    <col min="10" max="10" width="14.15625" customWidth="1"/>
    <col min="11" max="11" width="18.15625" customWidth="1"/>
    <col min="12" max="12" width="16.41796875" customWidth="1"/>
  </cols>
  <sheetData>
    <row r="1" spans="1:11" s="2" customFormat="1" ht="22.8" x14ac:dyDescent="0.75">
      <c r="A1" s="195" t="s">
        <v>0</v>
      </c>
      <c r="B1" s="196"/>
      <c r="C1" s="196"/>
      <c r="D1" s="196"/>
      <c r="E1" s="172"/>
      <c r="F1" s="172"/>
      <c r="G1" s="172"/>
      <c r="H1" s="172"/>
      <c r="I1" s="172"/>
      <c r="J1" s="172"/>
      <c r="K1" s="1"/>
    </row>
    <row r="2" spans="1:11" s="2" customFormat="1" ht="3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1"/>
    </row>
    <row r="3" spans="1:11" s="2" customFormat="1" ht="20.25" customHeight="1" x14ac:dyDescent="0.45">
      <c r="A3" s="172"/>
      <c r="K3" s="1"/>
    </row>
    <row r="4" spans="1:11" s="2" customFormat="1" ht="14.25" customHeight="1" x14ac:dyDescent="0.45">
      <c r="A4" s="172"/>
      <c r="B4" s="197" t="s">
        <v>1</v>
      </c>
      <c r="C4" s="198"/>
      <c r="D4" s="199"/>
      <c r="E4" s="172"/>
      <c r="F4" s="197" t="s">
        <v>2</v>
      </c>
      <c r="G4" s="198"/>
      <c r="H4" s="199"/>
      <c r="I4" s="5"/>
      <c r="J4" s="172"/>
      <c r="K4" s="1"/>
    </row>
    <row r="5" spans="1:11" s="2" customFormat="1" ht="12.6" x14ac:dyDescent="0.45">
      <c r="A5" s="172"/>
      <c r="B5" s="6"/>
      <c r="C5" s="7" t="s">
        <v>3</v>
      </c>
      <c r="D5" s="8">
        <v>753447.05</v>
      </c>
      <c r="E5" s="172"/>
      <c r="F5" s="6"/>
      <c r="G5" s="7" t="s">
        <v>4</v>
      </c>
      <c r="H5" s="9">
        <v>25198.6</v>
      </c>
      <c r="I5" s="10"/>
      <c r="J5" s="11"/>
      <c r="K5" s="1"/>
    </row>
    <row r="6" spans="1:11" s="2" customFormat="1" ht="12.6" x14ac:dyDescent="0.45">
      <c r="A6" s="172"/>
      <c r="B6" s="6"/>
      <c r="C6" s="7" t="s">
        <v>5</v>
      </c>
      <c r="D6" s="12">
        <v>0.03</v>
      </c>
      <c r="E6" s="172"/>
      <c r="F6" s="6"/>
      <c r="G6" s="7" t="s">
        <v>6</v>
      </c>
      <c r="H6" s="13">
        <v>40</v>
      </c>
      <c r="I6" s="14"/>
      <c r="J6" s="15"/>
      <c r="K6" s="1"/>
    </row>
    <row r="7" spans="1:11" s="2" customFormat="1" ht="12.6" x14ac:dyDescent="0.45">
      <c r="A7" s="172"/>
      <c r="B7" s="6"/>
      <c r="C7" s="7" t="s">
        <v>7</v>
      </c>
      <c r="D7" s="16">
        <v>20</v>
      </c>
      <c r="E7" s="172"/>
      <c r="F7" s="6"/>
      <c r="G7" s="7" t="s">
        <v>8</v>
      </c>
      <c r="H7" s="13">
        <v>40</v>
      </c>
      <c r="I7" s="14"/>
      <c r="J7" s="172"/>
      <c r="K7" s="1"/>
    </row>
    <row r="8" spans="1:11" s="2" customFormat="1" ht="12.6" x14ac:dyDescent="0.45">
      <c r="A8" s="172"/>
      <c r="B8" s="6"/>
      <c r="C8" s="7" t="s">
        <v>9</v>
      </c>
      <c r="D8" s="16">
        <v>2</v>
      </c>
      <c r="E8" s="172"/>
      <c r="F8" s="6"/>
      <c r="G8" s="7" t="s">
        <v>10</v>
      </c>
      <c r="H8" s="9">
        <f>IF(Values_Entered,SUMIF(Beg_Bal,"&gt;0",Extra_Pay),"")</f>
        <v>21149.068128917934</v>
      </c>
      <c r="I8" s="10"/>
      <c r="J8" s="172"/>
      <c r="K8" s="1"/>
    </row>
    <row r="9" spans="1:11" s="2" customFormat="1" ht="12.6" x14ac:dyDescent="0.45">
      <c r="A9" s="172"/>
      <c r="B9" s="6"/>
      <c r="C9" s="7" t="s">
        <v>11</v>
      </c>
      <c r="D9" s="17">
        <v>40148</v>
      </c>
      <c r="E9" s="172"/>
      <c r="F9" s="18"/>
      <c r="G9" s="19" t="s">
        <v>12</v>
      </c>
      <c r="H9" s="9">
        <f>IF(Values_Entered,SUMIF(Beg_Bal,"&gt;0",Int),"")</f>
        <v>253662.29444701524</v>
      </c>
      <c r="I9" s="10"/>
      <c r="J9" s="172"/>
      <c r="K9" s="1"/>
    </row>
    <row r="10" spans="1:11" s="2" customFormat="1" ht="12.6" x14ac:dyDescent="0.45">
      <c r="A10" s="172"/>
      <c r="B10" s="18"/>
      <c r="C10" s="19" t="s">
        <v>13</v>
      </c>
      <c r="D10" s="20">
        <v>0</v>
      </c>
      <c r="E10" s="172"/>
      <c r="J10" s="172"/>
      <c r="K10" s="1"/>
    </row>
    <row r="11" spans="1:11" s="2" customFormat="1" ht="12.6" x14ac:dyDescent="0.45">
      <c r="A11" s="172"/>
      <c r="K11" s="1"/>
    </row>
    <row r="12" spans="1:11" s="2" customFormat="1" ht="12.6" x14ac:dyDescent="0.45">
      <c r="A12" s="172"/>
      <c r="B12" s="21" t="s">
        <v>14</v>
      </c>
      <c r="C12" s="200" t="s">
        <v>15</v>
      </c>
      <c r="D12" s="201"/>
      <c r="K12" s="1"/>
    </row>
    <row r="13" spans="1:11" s="2" customFormat="1" ht="12.6" x14ac:dyDescent="0.45">
      <c r="A13" s="172"/>
      <c r="B13" s="21"/>
      <c r="C13" s="22"/>
      <c r="D13" s="22"/>
      <c r="K13" s="1"/>
    </row>
    <row r="14" spans="1:11" s="2" customFormat="1" ht="6" customHeight="1" x14ac:dyDescent="0.45">
      <c r="A14" s="3"/>
      <c r="B14" s="4"/>
      <c r="C14" s="4"/>
      <c r="D14" s="4"/>
      <c r="E14" s="4"/>
      <c r="F14" s="4"/>
      <c r="G14" s="4"/>
      <c r="H14" s="4"/>
      <c r="I14" s="4"/>
      <c r="J14" s="4"/>
      <c r="K14" s="1"/>
    </row>
    <row r="15" spans="1:11" s="2" customFormat="1" ht="3.75" customHeight="1" x14ac:dyDescent="0.45">
      <c r="A15" s="172"/>
      <c r="K15" s="1"/>
    </row>
    <row r="16" spans="1:11" s="26" customFormat="1" ht="28.5" customHeight="1" x14ac:dyDescent="0.45">
      <c r="A16" s="23" t="s">
        <v>16</v>
      </c>
      <c r="B16" s="24" t="s">
        <v>17</v>
      </c>
      <c r="C16" s="24" t="s">
        <v>18</v>
      </c>
      <c r="D16" s="24" t="s">
        <v>19</v>
      </c>
      <c r="E16" s="35" t="s">
        <v>20</v>
      </c>
      <c r="F16" s="24" t="s">
        <v>21</v>
      </c>
      <c r="G16" s="24" t="s">
        <v>22</v>
      </c>
      <c r="H16" s="24" t="s">
        <v>23</v>
      </c>
      <c r="I16" s="24" t="s">
        <v>24</v>
      </c>
      <c r="J16" s="24" t="s">
        <v>25</v>
      </c>
      <c r="K16" s="25" t="s">
        <v>26</v>
      </c>
    </row>
    <row r="17" spans="1:11" s="26" customFormat="1" ht="6" customHeight="1" x14ac:dyDescent="0.45">
      <c r="A17" s="172"/>
      <c r="B17" s="27"/>
      <c r="C17" s="27"/>
      <c r="D17" s="27"/>
      <c r="E17" s="27"/>
      <c r="F17" s="27"/>
      <c r="G17" s="27"/>
      <c r="H17" s="27"/>
      <c r="I17" s="27"/>
      <c r="J17" s="28"/>
      <c r="K17" s="29"/>
    </row>
    <row r="18" spans="1:11" x14ac:dyDescent="0.55000000000000004">
      <c r="A18" s="30">
        <f>IF(Values_Entered,1,"")</f>
        <v>1</v>
      </c>
      <c r="B18" s="31">
        <f t="shared" ref="B18" si="0">IF(Pay_Num&lt;&gt;"",DATE(YEAR(Loan_Start),MONTH(Loan_Start)+(Pay_Num)*12/Num_Pmt_Per_Year,DAY(Loan_Start)),"")</f>
        <v>40330</v>
      </c>
      <c r="C18" s="32">
        <f>IF(Values_Entered,Loan_Amount,"")</f>
        <v>753447.05</v>
      </c>
      <c r="D18" s="32">
        <v>24490.27</v>
      </c>
      <c r="E18" s="32">
        <f>0.00125*732647.05</f>
        <v>915.80881250000004</v>
      </c>
      <c r="F18" s="32">
        <f t="shared" ref="F18" si="1">IF(AND(Pay_Num&lt;&gt;"",Sched_Pay+Extra_Pay&lt;Beg_Bal),Sched_Pay+Extra_Pay,IF(Pay_Num&lt;&gt;"",Beg_Bal,""))</f>
        <v>25406.0788125</v>
      </c>
      <c r="G18" s="33">
        <v>13500.56</v>
      </c>
      <c r="H18" s="32">
        <v>10989.71</v>
      </c>
      <c r="I18" s="32">
        <f t="shared" ref="I18" si="2">IF(AND(Pay_Num&lt;&gt;"",Sched_Pay+Extra_Pay&lt;Beg_Bal),Beg_Bal-Princ,IF(Pay_Num&lt;&gt;"",0,""))</f>
        <v>739946.49</v>
      </c>
      <c r="J18" s="32">
        <f>SUM($H$18:$H18)</f>
        <v>10989.71</v>
      </c>
    </row>
    <row r="19" spans="1:11" x14ac:dyDescent="0.55000000000000004">
      <c r="A19" s="67">
        <f t="shared" ref="A19:A57" si="3">IF(Values_Entered,A18+1,"")</f>
        <v>2</v>
      </c>
      <c r="B19" s="68">
        <f t="shared" ref="B19:B57" si="4">IF(Pay_Num&lt;&gt;"",DATE(YEAR(Loan_Start),MONTH(Loan_Start)+(Pay_Num)*12/Num_Pmt_Per_Year,DAY(Loan_Start)),"")</f>
        <v>40513</v>
      </c>
      <c r="C19" s="69">
        <v>739946.49</v>
      </c>
      <c r="D19" s="69">
        <v>25072.07</v>
      </c>
      <c r="E19" s="70">
        <f>0.00125*C19</f>
        <v>924.93311249999999</v>
      </c>
      <c r="F19" s="69">
        <f t="shared" ref="F19" si="5">IF(AND(Pay_Num&lt;&gt;"",Sched_Pay+Extra_Pay&lt;Beg_Bal),Sched_Pay+Extra_Pay,IF(Pay_Num&lt;&gt;"",Beg_Bal,""))</f>
        <v>25997.003112499999</v>
      </c>
      <c r="G19" s="69">
        <v>14099.4</v>
      </c>
      <c r="H19" s="69">
        <v>10972.67</v>
      </c>
      <c r="I19" s="69">
        <f t="shared" ref="I19:I57" si="6">IF(AND(Pay_Num&lt;&gt;"",Sched_Pay+Extra_Pay&lt;Beg_Bal),Beg_Bal-Princ,IF(Pay_Num&lt;&gt;"",0,""))</f>
        <v>725847.09</v>
      </c>
      <c r="J19" s="69">
        <f>SUM($H$18:$H19)</f>
        <v>21962.379999999997</v>
      </c>
      <c r="K19" s="75">
        <f>SUM(G18:G19)</f>
        <v>27599.96</v>
      </c>
    </row>
    <row r="20" spans="1:11" x14ac:dyDescent="0.55000000000000004">
      <c r="A20" s="30">
        <f t="shared" si="3"/>
        <v>3</v>
      </c>
      <c r="B20" s="31">
        <f t="shared" si="4"/>
        <v>40695</v>
      </c>
      <c r="C20" s="33">
        <f>IF(Pay_Num&lt;&gt;"",I19,"")</f>
        <v>725847.09</v>
      </c>
      <c r="D20" s="33">
        <f t="shared" ref="D20:D57" si="7">IF(Pay_Num&lt;&gt;"",Scheduled_Monthly_Payment,"")</f>
        <v>25198.6</v>
      </c>
      <c r="E20" s="32">
        <f t="shared" ref="E20:E24" si="8">0.00125*C20</f>
        <v>907.30886250000003</v>
      </c>
      <c r="F20" s="33">
        <f t="shared" ref="F20:F57" si="9">IF(AND(Pay_Num&lt;&gt;"",Sched_Pay),Sched_Pay,IF(Pay_Num&lt;&gt;"",Beg_Bal,""))</f>
        <v>25198.6</v>
      </c>
      <c r="G20" s="33">
        <f t="shared" ref="G20" si="10">IF(Pay_Num&lt;&gt;"",Total_Pay-Int,"")</f>
        <v>14310.89365</v>
      </c>
      <c r="H20" s="33">
        <f t="shared" ref="H20:H57" si="11">IF(Pay_Num&lt;&gt;"",Beg_Bal*Interest_Rate/Num_Pmt_Per_Year,"")</f>
        <v>10887.706349999999</v>
      </c>
      <c r="I20" s="33">
        <f t="shared" si="6"/>
        <v>711536.19634999998</v>
      </c>
      <c r="J20" s="33">
        <f>SUM($H$18:$H20)</f>
        <v>32850.086349999998</v>
      </c>
    </row>
    <row r="21" spans="1:11" x14ac:dyDescent="0.55000000000000004">
      <c r="A21" s="67">
        <f t="shared" si="3"/>
        <v>4</v>
      </c>
      <c r="B21" s="68">
        <f t="shared" si="4"/>
        <v>40878</v>
      </c>
      <c r="C21" s="69">
        <f t="shared" ref="C21:C57" si="12">IF(Pay_Num&lt;&gt;"",I20,"")</f>
        <v>711536.19634999998</v>
      </c>
      <c r="D21" s="69">
        <f>IF(Pay_Num&lt;&gt;"",Scheduled_Monthly_Payment,"")</f>
        <v>25198.6</v>
      </c>
      <c r="E21" s="70">
        <f t="shared" si="8"/>
        <v>889.42024543749994</v>
      </c>
      <c r="F21" s="69">
        <f t="shared" si="9"/>
        <v>25198.6</v>
      </c>
      <c r="G21" s="69">
        <f t="shared" ref="G21:G57" si="13">IF(Pay_Num&lt;&gt;"",Total_Pay-Int,"")</f>
        <v>14525.557054749999</v>
      </c>
      <c r="H21" s="69">
        <f t="shared" si="11"/>
        <v>10673.042945249999</v>
      </c>
      <c r="I21" s="69">
        <f t="shared" si="6"/>
        <v>697010.63929524994</v>
      </c>
      <c r="J21" s="69">
        <f>SUM($H$18:$H21)</f>
        <v>43523.129295249993</v>
      </c>
      <c r="K21" s="75">
        <f>SUM(G20:G21)</f>
        <v>28836.450704750001</v>
      </c>
    </row>
    <row r="22" spans="1:11" x14ac:dyDescent="0.55000000000000004">
      <c r="A22" s="30">
        <f t="shared" si="3"/>
        <v>5</v>
      </c>
      <c r="B22" s="31">
        <f t="shared" si="4"/>
        <v>41061</v>
      </c>
      <c r="C22" s="33">
        <f t="shared" si="12"/>
        <v>697010.63929524994</v>
      </c>
      <c r="D22" s="33">
        <f t="shared" si="7"/>
        <v>25198.6</v>
      </c>
      <c r="E22" s="32">
        <f t="shared" si="8"/>
        <v>871.26329911906248</v>
      </c>
      <c r="F22" s="33">
        <f t="shared" si="9"/>
        <v>25198.6</v>
      </c>
      <c r="G22" s="33">
        <f t="shared" si="13"/>
        <v>14743.440410571249</v>
      </c>
      <c r="H22" s="33">
        <f t="shared" si="11"/>
        <v>10455.159589428749</v>
      </c>
      <c r="I22" s="33">
        <f t="shared" si="6"/>
        <v>682267.19888467866</v>
      </c>
      <c r="J22" s="33">
        <f>SUM($H$18:$H22)</f>
        <v>53978.288884678739</v>
      </c>
    </row>
    <row r="23" spans="1:11" x14ac:dyDescent="0.55000000000000004">
      <c r="A23" s="67">
        <f t="shared" si="3"/>
        <v>6</v>
      </c>
      <c r="B23" s="68">
        <f t="shared" si="4"/>
        <v>41244</v>
      </c>
      <c r="C23" s="69">
        <f t="shared" si="12"/>
        <v>682267.19888467866</v>
      </c>
      <c r="D23" s="69">
        <f t="shared" si="7"/>
        <v>25198.6</v>
      </c>
      <c r="E23" s="70">
        <f t="shared" si="8"/>
        <v>852.83399860584836</v>
      </c>
      <c r="F23" s="69">
        <f t="shared" si="9"/>
        <v>25198.6</v>
      </c>
      <c r="G23" s="69">
        <f t="shared" si="13"/>
        <v>14964.592016729819</v>
      </c>
      <c r="H23" s="69">
        <f t="shared" si="11"/>
        <v>10234.007983270179</v>
      </c>
      <c r="I23" s="69">
        <f t="shared" si="6"/>
        <v>667302.60686794878</v>
      </c>
      <c r="J23" s="69">
        <f>SUM($H$18:$H23)</f>
        <v>64212.29686794892</v>
      </c>
      <c r="K23" s="75">
        <f>SUM(G22:G23)</f>
        <v>29708.03242730107</v>
      </c>
    </row>
    <row r="24" spans="1:11" x14ac:dyDescent="0.55000000000000004">
      <c r="A24" s="30">
        <f t="shared" si="3"/>
        <v>7</v>
      </c>
      <c r="B24" s="31">
        <f t="shared" si="4"/>
        <v>41426</v>
      </c>
      <c r="C24" s="33">
        <f t="shared" si="12"/>
        <v>667302.60686794878</v>
      </c>
      <c r="D24" s="33">
        <f t="shared" si="7"/>
        <v>25198.6</v>
      </c>
      <c r="E24" s="32">
        <f t="shared" si="8"/>
        <v>834.12825858493602</v>
      </c>
      <c r="F24" s="33">
        <f t="shared" si="9"/>
        <v>25198.6</v>
      </c>
      <c r="G24" s="33">
        <f t="shared" si="13"/>
        <v>15189.060896980767</v>
      </c>
      <c r="H24" s="33">
        <f t="shared" si="11"/>
        <v>10009.539103019231</v>
      </c>
      <c r="I24" s="33">
        <f t="shared" si="6"/>
        <v>652113.54597096797</v>
      </c>
      <c r="J24" s="33">
        <f>SUM($H$18:$H24)</f>
        <v>74221.835970968154</v>
      </c>
    </row>
    <row r="25" spans="1:11" x14ac:dyDescent="0.55000000000000004">
      <c r="A25" s="67">
        <f t="shared" si="3"/>
        <v>8</v>
      </c>
      <c r="B25" s="68">
        <f t="shared" si="4"/>
        <v>41609</v>
      </c>
      <c r="C25" s="69">
        <f t="shared" si="12"/>
        <v>652113.54597096797</v>
      </c>
      <c r="D25" s="69">
        <f t="shared" si="7"/>
        <v>25198.6</v>
      </c>
      <c r="E25" s="70">
        <f t="shared" ref="E25:E57" si="14">0.00125*C25</f>
        <v>815.14193246370996</v>
      </c>
      <c r="F25" s="69">
        <f t="shared" si="9"/>
        <v>25198.6</v>
      </c>
      <c r="G25" s="69">
        <f t="shared" si="13"/>
        <v>15416.896810435479</v>
      </c>
      <c r="H25" s="69">
        <f t="shared" si="11"/>
        <v>9781.7031895645196</v>
      </c>
      <c r="I25" s="69">
        <f t="shared" si="6"/>
        <v>636696.64916053251</v>
      </c>
      <c r="J25" s="69">
        <f>SUM($H$18:$H25)</f>
        <v>84003.539160532673</v>
      </c>
      <c r="K25" s="75">
        <f>SUM(G24:G25)</f>
        <v>30605.957707416244</v>
      </c>
    </row>
    <row r="26" spans="1:11" x14ac:dyDescent="0.55000000000000004">
      <c r="A26" s="30">
        <f t="shared" si="3"/>
        <v>9</v>
      </c>
      <c r="B26" s="31">
        <f t="shared" si="4"/>
        <v>41791</v>
      </c>
      <c r="C26" s="33">
        <f t="shared" si="12"/>
        <v>636696.64916053251</v>
      </c>
      <c r="D26" s="33">
        <f t="shared" si="7"/>
        <v>25198.6</v>
      </c>
      <c r="E26" s="32">
        <f t="shared" si="14"/>
        <v>795.87081145066566</v>
      </c>
      <c r="F26" s="33">
        <f t="shared" si="9"/>
        <v>25198.6</v>
      </c>
      <c r="G26" s="33">
        <f t="shared" si="13"/>
        <v>15648.150262592011</v>
      </c>
      <c r="H26" s="33">
        <f t="shared" si="11"/>
        <v>9550.4497374079874</v>
      </c>
      <c r="I26" s="33">
        <f t="shared" si="6"/>
        <v>621048.4988979405</v>
      </c>
      <c r="J26" s="33">
        <f>SUM($H$18:$H26)</f>
        <v>93553.988897940668</v>
      </c>
    </row>
    <row r="27" spans="1:11" x14ac:dyDescent="0.55000000000000004">
      <c r="A27" s="67">
        <f t="shared" si="3"/>
        <v>10</v>
      </c>
      <c r="B27" s="68">
        <f t="shared" si="4"/>
        <v>41974</v>
      </c>
      <c r="C27" s="69">
        <f t="shared" si="12"/>
        <v>621048.4988979405</v>
      </c>
      <c r="D27" s="69">
        <f t="shared" si="7"/>
        <v>25198.6</v>
      </c>
      <c r="E27" s="70">
        <f t="shared" si="14"/>
        <v>776.31062362242562</v>
      </c>
      <c r="F27" s="69">
        <f t="shared" si="9"/>
        <v>25198.6</v>
      </c>
      <c r="G27" s="69">
        <f t="shared" si="13"/>
        <v>15882.872516530892</v>
      </c>
      <c r="H27" s="69">
        <f t="shared" si="11"/>
        <v>9315.727483469107</v>
      </c>
      <c r="I27" s="69">
        <f t="shared" si="6"/>
        <v>605165.62638140959</v>
      </c>
      <c r="J27" s="69">
        <f>SUM($H$18:$H27)</f>
        <v>102869.71638140977</v>
      </c>
      <c r="K27" s="75">
        <f>SUM(G26:G27)</f>
        <v>31531.022779122904</v>
      </c>
    </row>
    <row r="28" spans="1:11" x14ac:dyDescent="0.55000000000000004">
      <c r="A28" s="30">
        <f t="shared" si="3"/>
        <v>11</v>
      </c>
      <c r="B28" s="31">
        <f t="shared" si="4"/>
        <v>42156</v>
      </c>
      <c r="C28" s="33">
        <f t="shared" si="12"/>
        <v>605165.62638140959</v>
      </c>
      <c r="D28" s="33">
        <f t="shared" si="7"/>
        <v>25198.6</v>
      </c>
      <c r="E28" s="32">
        <f t="shared" si="14"/>
        <v>756.45703297676198</v>
      </c>
      <c r="F28" s="33">
        <f t="shared" si="9"/>
        <v>25198.6</v>
      </c>
      <c r="G28" s="33">
        <f t="shared" si="13"/>
        <v>16121.115604278855</v>
      </c>
      <c r="H28" s="33">
        <f t="shared" si="11"/>
        <v>9077.4843957211433</v>
      </c>
      <c r="I28" s="33">
        <f t="shared" si="6"/>
        <v>589044.51077713072</v>
      </c>
      <c r="J28" s="33">
        <f>SUM($H$18:$H28)</f>
        <v>111947.20077713091</v>
      </c>
    </row>
    <row r="29" spans="1:11" x14ac:dyDescent="0.55000000000000004">
      <c r="A29" s="67">
        <f t="shared" si="3"/>
        <v>12</v>
      </c>
      <c r="B29" s="68">
        <f t="shared" si="4"/>
        <v>42339</v>
      </c>
      <c r="C29" s="69">
        <f t="shared" si="12"/>
        <v>589044.51077713072</v>
      </c>
      <c r="D29" s="69">
        <f t="shared" si="7"/>
        <v>25198.6</v>
      </c>
      <c r="E29" s="70">
        <f t="shared" si="14"/>
        <v>736.30563847141343</v>
      </c>
      <c r="F29" s="69">
        <f t="shared" si="9"/>
        <v>25198.6</v>
      </c>
      <c r="G29" s="69">
        <f t="shared" si="13"/>
        <v>16362.932338343038</v>
      </c>
      <c r="H29" s="69">
        <f t="shared" si="11"/>
        <v>8835.6676616569603</v>
      </c>
      <c r="I29" s="69">
        <f t="shared" si="6"/>
        <v>572681.57843878772</v>
      </c>
      <c r="J29" s="69">
        <f>SUM($H$18:$H29)</f>
        <v>120782.86843878787</v>
      </c>
      <c r="K29" s="75">
        <f>SUM(G28:G29)</f>
        <v>32484.047942621895</v>
      </c>
    </row>
    <row r="30" spans="1:11" x14ac:dyDescent="0.55000000000000004">
      <c r="A30" s="30">
        <f t="shared" si="3"/>
        <v>13</v>
      </c>
      <c r="B30" s="31">
        <f t="shared" si="4"/>
        <v>42522</v>
      </c>
      <c r="C30" s="33">
        <f t="shared" si="12"/>
        <v>572681.57843878772</v>
      </c>
      <c r="D30" s="33">
        <f t="shared" si="7"/>
        <v>25198.6</v>
      </c>
      <c r="E30" s="32">
        <f t="shared" si="14"/>
        <v>715.85197304848464</v>
      </c>
      <c r="F30" s="33">
        <f t="shared" si="9"/>
        <v>25198.6</v>
      </c>
      <c r="G30" s="33">
        <f t="shared" si="13"/>
        <v>16608.376323418182</v>
      </c>
      <c r="H30" s="33">
        <f t="shared" si="11"/>
        <v>8590.2236765818161</v>
      </c>
      <c r="I30" s="33">
        <f t="shared" si="6"/>
        <v>556073.2021153695</v>
      </c>
      <c r="J30" s="33">
        <f>SUM($H$18:$H30)</f>
        <v>129373.09211536968</v>
      </c>
    </row>
    <row r="31" spans="1:11" x14ac:dyDescent="0.55000000000000004">
      <c r="A31" s="67">
        <f t="shared" si="3"/>
        <v>14</v>
      </c>
      <c r="B31" s="68">
        <f t="shared" si="4"/>
        <v>42705</v>
      </c>
      <c r="C31" s="69">
        <f t="shared" si="12"/>
        <v>556073.2021153695</v>
      </c>
      <c r="D31" s="69">
        <f t="shared" si="7"/>
        <v>25198.6</v>
      </c>
      <c r="E31" s="70">
        <f t="shared" si="14"/>
        <v>695.09150264421191</v>
      </c>
      <c r="F31" s="69">
        <f t="shared" si="9"/>
        <v>25198.6</v>
      </c>
      <c r="G31" s="69">
        <f t="shared" si="13"/>
        <v>16857.501968269455</v>
      </c>
      <c r="H31" s="69">
        <f t="shared" si="11"/>
        <v>8341.0980317305421</v>
      </c>
      <c r="I31" s="69">
        <f t="shared" si="6"/>
        <v>539215.70014710003</v>
      </c>
      <c r="J31" s="69">
        <f>SUM($H$18:$H31)</f>
        <v>137714.19014710022</v>
      </c>
      <c r="K31" s="75">
        <f>SUM(G30:G31)</f>
        <v>33465.878291687637</v>
      </c>
    </row>
    <row r="32" spans="1:11" x14ac:dyDescent="0.55000000000000004">
      <c r="A32" s="30">
        <f t="shared" si="3"/>
        <v>15</v>
      </c>
      <c r="B32" s="31">
        <f t="shared" si="4"/>
        <v>42887</v>
      </c>
      <c r="C32" s="33">
        <f t="shared" si="12"/>
        <v>539215.70014710003</v>
      </c>
      <c r="D32" s="33">
        <f t="shared" si="7"/>
        <v>25198.6</v>
      </c>
      <c r="E32" s="32">
        <f t="shared" si="14"/>
        <v>674.01962518387506</v>
      </c>
      <c r="F32" s="33">
        <f t="shared" si="9"/>
        <v>25198.6</v>
      </c>
      <c r="G32" s="33">
        <f t="shared" si="13"/>
        <v>17110.364497793496</v>
      </c>
      <c r="H32" s="33">
        <f t="shared" si="11"/>
        <v>8088.2355022065003</v>
      </c>
      <c r="I32" s="33">
        <f t="shared" si="6"/>
        <v>522105.33564930654</v>
      </c>
      <c r="J32" s="33">
        <f>SUM($H$18:$H32)</f>
        <v>145802.42564930671</v>
      </c>
    </row>
    <row r="33" spans="1:13" x14ac:dyDescent="0.55000000000000004">
      <c r="A33" s="67">
        <f t="shared" si="3"/>
        <v>16</v>
      </c>
      <c r="B33" s="68">
        <f t="shared" si="4"/>
        <v>43070</v>
      </c>
      <c r="C33" s="69">
        <f t="shared" si="12"/>
        <v>522105.33564930654</v>
      </c>
      <c r="D33" s="69">
        <f t="shared" si="7"/>
        <v>25198.6</v>
      </c>
      <c r="E33" s="70">
        <f t="shared" si="14"/>
        <v>652.6316695616332</v>
      </c>
      <c r="F33" s="69">
        <f t="shared" si="9"/>
        <v>25198.6</v>
      </c>
      <c r="G33" s="69">
        <f t="shared" si="13"/>
        <v>17367.019965260399</v>
      </c>
      <c r="H33" s="69">
        <f t="shared" si="11"/>
        <v>7831.580034739598</v>
      </c>
      <c r="I33" s="69">
        <f t="shared" si="6"/>
        <v>504738.31568404613</v>
      </c>
      <c r="J33" s="69">
        <f>SUM($H$18:$H33)</f>
        <v>153634.00568404631</v>
      </c>
      <c r="K33" s="75">
        <f>SUM(G32:G33)</f>
        <v>34477.384463053895</v>
      </c>
    </row>
    <row r="34" spans="1:13" x14ac:dyDescent="0.55000000000000004">
      <c r="A34" s="30">
        <f t="shared" si="3"/>
        <v>17</v>
      </c>
      <c r="B34" s="31">
        <f t="shared" si="4"/>
        <v>43252</v>
      </c>
      <c r="C34" s="33">
        <f t="shared" si="12"/>
        <v>504738.31568404613</v>
      </c>
      <c r="D34" s="33">
        <f t="shared" si="7"/>
        <v>25198.6</v>
      </c>
      <c r="E34" s="32">
        <f t="shared" si="14"/>
        <v>630.92289460505765</v>
      </c>
      <c r="F34" s="33">
        <f t="shared" si="9"/>
        <v>25198.6</v>
      </c>
      <c r="G34" s="33">
        <f t="shared" si="13"/>
        <v>17627.525264739306</v>
      </c>
      <c r="H34" s="33">
        <f t="shared" si="11"/>
        <v>7571.0747352606913</v>
      </c>
      <c r="I34" s="33">
        <f t="shared" si="6"/>
        <v>487110.79041930684</v>
      </c>
      <c r="J34" s="33">
        <f>SUM($H$18:$H34)</f>
        <v>161205.08041930699</v>
      </c>
    </row>
    <row r="35" spans="1:13" x14ac:dyDescent="0.55000000000000004">
      <c r="A35" s="67">
        <f t="shared" si="3"/>
        <v>18</v>
      </c>
      <c r="B35" s="68">
        <f t="shared" si="4"/>
        <v>43435</v>
      </c>
      <c r="C35" s="69">
        <f t="shared" si="12"/>
        <v>487110.79041930684</v>
      </c>
      <c r="D35" s="69">
        <f t="shared" si="7"/>
        <v>25198.6</v>
      </c>
      <c r="E35" s="70">
        <f t="shared" si="14"/>
        <v>608.88848802413361</v>
      </c>
      <c r="F35" s="69">
        <f t="shared" si="9"/>
        <v>25198.6</v>
      </c>
      <c r="G35" s="69">
        <f t="shared" si="13"/>
        <v>17891.938143710395</v>
      </c>
      <c r="H35" s="69">
        <f t="shared" si="11"/>
        <v>7306.6618562896019</v>
      </c>
      <c r="I35" s="69">
        <f t="shared" si="6"/>
        <v>469218.85227559647</v>
      </c>
      <c r="J35" s="69">
        <f>SUM($H$18:$H35)</f>
        <v>168511.7422755966</v>
      </c>
      <c r="K35" s="75">
        <f>SUM(G34:G35)</f>
        <v>35519.463408449701</v>
      </c>
    </row>
    <row r="36" spans="1:13" x14ac:dyDescent="0.55000000000000004">
      <c r="A36" s="30">
        <f t="shared" si="3"/>
        <v>19</v>
      </c>
      <c r="B36" s="31">
        <f t="shared" si="4"/>
        <v>43617</v>
      </c>
      <c r="C36" s="33">
        <f t="shared" si="12"/>
        <v>469218.85227559647</v>
      </c>
      <c r="D36" s="33">
        <f t="shared" si="7"/>
        <v>25198.6</v>
      </c>
      <c r="E36" s="32">
        <f t="shared" si="14"/>
        <v>586.52356534449564</v>
      </c>
      <c r="F36" s="33">
        <f t="shared" si="9"/>
        <v>25198.6</v>
      </c>
      <c r="G36" s="33">
        <f t="shared" si="13"/>
        <v>18160.317215866053</v>
      </c>
      <c r="H36" s="33">
        <f t="shared" si="11"/>
        <v>7038.2827841339467</v>
      </c>
      <c r="I36" s="33">
        <f t="shared" si="6"/>
        <v>451058.53505973041</v>
      </c>
      <c r="J36" s="33">
        <f>SUM($H$18:$H36)</f>
        <v>175550.02505973054</v>
      </c>
    </row>
    <row r="37" spans="1:13" x14ac:dyDescent="0.55000000000000004">
      <c r="A37" s="67">
        <f t="shared" si="3"/>
        <v>20</v>
      </c>
      <c r="B37" s="68">
        <f t="shared" si="4"/>
        <v>43800</v>
      </c>
      <c r="C37" s="69">
        <f t="shared" si="12"/>
        <v>451058.53505973041</v>
      </c>
      <c r="D37" s="69">
        <f t="shared" si="7"/>
        <v>25198.6</v>
      </c>
      <c r="E37" s="70">
        <f t="shared" si="14"/>
        <v>563.82316882466307</v>
      </c>
      <c r="F37" s="69">
        <f t="shared" si="9"/>
        <v>25198.6</v>
      </c>
      <c r="G37" s="69">
        <f t="shared" si="13"/>
        <v>18432.721974104043</v>
      </c>
      <c r="H37" s="69">
        <f t="shared" si="11"/>
        <v>6765.8780258959559</v>
      </c>
      <c r="I37" s="69">
        <f t="shared" si="6"/>
        <v>432625.81308562635</v>
      </c>
      <c r="J37" s="69">
        <f>SUM($H$18:$H37)</f>
        <v>182315.90308562649</v>
      </c>
      <c r="K37" s="75">
        <f>SUM(G36:G37)</f>
        <v>36593.039189970092</v>
      </c>
    </row>
    <row r="38" spans="1:13" x14ac:dyDescent="0.55000000000000004">
      <c r="A38" s="37">
        <f t="shared" si="3"/>
        <v>21</v>
      </c>
      <c r="B38" s="38">
        <f t="shared" si="4"/>
        <v>43983</v>
      </c>
      <c r="C38" s="34">
        <f t="shared" si="12"/>
        <v>432625.81308562635</v>
      </c>
      <c r="D38" s="34">
        <f t="shared" si="7"/>
        <v>25198.6</v>
      </c>
      <c r="E38" s="39">
        <f t="shared" si="14"/>
        <v>540.782266357033</v>
      </c>
      <c r="F38" s="34">
        <f t="shared" si="9"/>
        <v>25198.6</v>
      </c>
      <c r="G38" s="34">
        <f t="shared" si="13"/>
        <v>18709.212803715604</v>
      </c>
      <c r="H38" s="34">
        <f t="shared" si="11"/>
        <v>6489.387196284395</v>
      </c>
      <c r="I38" s="34">
        <f t="shared" si="6"/>
        <v>413916.60028191074</v>
      </c>
      <c r="J38" s="34">
        <f>SUM($H$18:$H38)</f>
        <v>188805.29028191089</v>
      </c>
      <c r="K38" s="80"/>
    </row>
    <row r="39" spans="1:13" x14ac:dyDescent="0.55000000000000004">
      <c r="A39" s="71">
        <f t="shared" si="3"/>
        <v>22</v>
      </c>
      <c r="B39" s="72">
        <f t="shared" si="4"/>
        <v>44166</v>
      </c>
      <c r="C39" s="73">
        <f t="shared" si="12"/>
        <v>413916.60028191074</v>
      </c>
      <c r="D39" s="73">
        <f t="shared" si="7"/>
        <v>25198.6</v>
      </c>
      <c r="E39" s="74">
        <f t="shared" si="14"/>
        <v>517.3957503523884</v>
      </c>
      <c r="F39" s="73">
        <f t="shared" si="9"/>
        <v>25198.6</v>
      </c>
      <c r="G39" s="73">
        <f t="shared" si="13"/>
        <v>18989.85099577134</v>
      </c>
      <c r="H39" s="73">
        <f t="shared" si="11"/>
        <v>6208.7490042286609</v>
      </c>
      <c r="I39" s="73">
        <f t="shared" si="6"/>
        <v>394926.74928613938</v>
      </c>
      <c r="J39" s="73">
        <f>SUM($H$18:$H39)</f>
        <v>195014.03928613954</v>
      </c>
      <c r="K39" s="75">
        <f>SUM(G38:G39)</f>
        <v>37699.063799486947</v>
      </c>
    </row>
    <row r="40" spans="1:13" x14ac:dyDescent="0.55000000000000004">
      <c r="A40" s="86">
        <f t="shared" si="3"/>
        <v>23</v>
      </c>
      <c r="B40" s="87">
        <f t="shared" si="4"/>
        <v>44348</v>
      </c>
      <c r="C40" s="88">
        <f t="shared" si="12"/>
        <v>394926.74928613938</v>
      </c>
      <c r="D40" s="88">
        <f t="shared" si="7"/>
        <v>25198.6</v>
      </c>
      <c r="E40" s="89">
        <f t="shared" si="14"/>
        <v>493.65843660767422</v>
      </c>
      <c r="F40" s="88">
        <f t="shared" si="9"/>
        <v>25198.6</v>
      </c>
      <c r="G40" s="88">
        <f t="shared" si="13"/>
        <v>19274.698760707906</v>
      </c>
      <c r="H40" s="88">
        <f t="shared" si="11"/>
        <v>5923.9012392920904</v>
      </c>
      <c r="I40" s="88">
        <f t="shared" si="6"/>
        <v>375652.05052543146</v>
      </c>
      <c r="J40" s="88">
        <f>SUM($H$18:$H40)</f>
        <v>200937.94052543162</v>
      </c>
      <c r="L40" s="144"/>
      <c r="M40" s="145"/>
    </row>
    <row r="41" spans="1:13" x14ac:dyDescent="0.55000000000000004">
      <c r="A41" s="90">
        <f t="shared" si="3"/>
        <v>24</v>
      </c>
      <c r="B41" s="91">
        <f t="shared" si="4"/>
        <v>44531</v>
      </c>
      <c r="C41" s="92">
        <f t="shared" si="12"/>
        <v>375652.05052543146</v>
      </c>
      <c r="D41" s="92">
        <f t="shared" si="7"/>
        <v>25198.6</v>
      </c>
      <c r="E41" s="93">
        <f t="shared" si="14"/>
        <v>469.56506315678934</v>
      </c>
      <c r="F41" s="92">
        <f t="shared" si="9"/>
        <v>25198.6</v>
      </c>
      <c r="G41" s="92">
        <f t="shared" si="13"/>
        <v>19563.819242118527</v>
      </c>
      <c r="H41" s="92">
        <f t="shared" si="11"/>
        <v>5634.7807578814718</v>
      </c>
      <c r="I41" s="92">
        <f t="shared" si="6"/>
        <v>356088.23128331295</v>
      </c>
      <c r="J41" s="92">
        <f>SUM($H$18:$H41)</f>
        <v>206572.72128331309</v>
      </c>
      <c r="K41" s="85">
        <f>SUM(G40:G41)</f>
        <v>38838.518002826429</v>
      </c>
    </row>
    <row r="42" spans="1:13" x14ac:dyDescent="0.55000000000000004">
      <c r="A42" s="30">
        <f t="shared" si="3"/>
        <v>25</v>
      </c>
      <c r="B42" s="31">
        <f t="shared" si="4"/>
        <v>44713</v>
      </c>
      <c r="C42" s="33">
        <f t="shared" si="12"/>
        <v>356088.23128331295</v>
      </c>
      <c r="D42" s="33">
        <f t="shared" si="7"/>
        <v>25198.6</v>
      </c>
      <c r="E42" s="32">
        <f t="shared" si="14"/>
        <v>445.1102891041412</v>
      </c>
      <c r="F42" s="33">
        <f t="shared" si="9"/>
        <v>25198.6</v>
      </c>
      <c r="G42" s="33">
        <f t="shared" si="13"/>
        <v>19857.276530750303</v>
      </c>
      <c r="H42" s="33">
        <f t="shared" si="11"/>
        <v>5341.3234692496944</v>
      </c>
      <c r="I42" s="33">
        <f t="shared" si="6"/>
        <v>336230.95475256263</v>
      </c>
      <c r="J42" s="33">
        <f>SUM($H$18:$H42)</f>
        <v>211914.0447525628</v>
      </c>
      <c r="L42" s="144">
        <f>+(+E42+H42)*(1/6)</f>
        <v>964.40562639230586</v>
      </c>
      <c r="M42" s="145" t="s">
        <v>27</v>
      </c>
    </row>
    <row r="43" spans="1:13" x14ac:dyDescent="0.55000000000000004">
      <c r="A43" s="67">
        <f t="shared" si="3"/>
        <v>26</v>
      </c>
      <c r="B43" s="68">
        <f t="shared" si="4"/>
        <v>44896</v>
      </c>
      <c r="C43" s="69">
        <f t="shared" si="12"/>
        <v>336230.95475256263</v>
      </c>
      <c r="D43" s="69">
        <f t="shared" si="7"/>
        <v>25198.6</v>
      </c>
      <c r="E43" s="70">
        <f t="shared" si="14"/>
        <v>420.2886934407033</v>
      </c>
      <c r="F43" s="69">
        <f t="shared" si="9"/>
        <v>25198.6</v>
      </c>
      <c r="G43" s="69">
        <f t="shared" si="13"/>
        <v>20155.135678711558</v>
      </c>
      <c r="H43" s="69">
        <f t="shared" si="11"/>
        <v>5043.4643212884394</v>
      </c>
      <c r="I43" s="69">
        <f t="shared" si="6"/>
        <v>316075.81907385105</v>
      </c>
      <c r="J43" s="69">
        <f>SUM($H$18:$H43)</f>
        <v>216957.50907385122</v>
      </c>
      <c r="K43" s="75">
        <f>SUM(G42:G43)</f>
        <v>40012.412209461865</v>
      </c>
    </row>
    <row r="44" spans="1:13" x14ac:dyDescent="0.55000000000000004">
      <c r="A44" s="30">
        <f t="shared" si="3"/>
        <v>27</v>
      </c>
      <c r="B44" s="31">
        <f t="shared" si="4"/>
        <v>45078</v>
      </c>
      <c r="C44" s="33">
        <f t="shared" si="12"/>
        <v>316075.81907385105</v>
      </c>
      <c r="D44" s="33">
        <f t="shared" si="7"/>
        <v>25198.6</v>
      </c>
      <c r="E44" s="187">
        <f t="shared" si="14"/>
        <v>395.09477384231383</v>
      </c>
      <c r="F44" s="186">
        <f t="shared" si="9"/>
        <v>25198.6</v>
      </c>
      <c r="G44" s="186">
        <f t="shared" si="13"/>
        <v>20457.462713892233</v>
      </c>
      <c r="H44" s="186">
        <f t="shared" si="11"/>
        <v>4741.1372861077652</v>
      </c>
      <c r="I44" s="33">
        <f t="shared" si="6"/>
        <v>295618.35635995882</v>
      </c>
      <c r="J44" s="33">
        <f>SUM($H$18:$H44)</f>
        <v>221698.64635995898</v>
      </c>
    </row>
    <row r="45" spans="1:13" x14ac:dyDescent="0.55000000000000004">
      <c r="A45" s="67">
        <f t="shared" si="3"/>
        <v>28</v>
      </c>
      <c r="B45" s="68">
        <f t="shared" si="4"/>
        <v>45261</v>
      </c>
      <c r="C45" s="69">
        <f t="shared" si="12"/>
        <v>295618.35635995882</v>
      </c>
      <c r="D45" s="69">
        <f t="shared" si="7"/>
        <v>25198.6</v>
      </c>
      <c r="E45" s="192">
        <f t="shared" si="14"/>
        <v>369.52294544994851</v>
      </c>
      <c r="F45" s="191">
        <f t="shared" si="9"/>
        <v>25198.6</v>
      </c>
      <c r="G45" s="191">
        <f t="shared" si="13"/>
        <v>20764.324654600616</v>
      </c>
      <c r="H45" s="191">
        <f t="shared" si="11"/>
        <v>4434.2753453993819</v>
      </c>
      <c r="I45" s="69">
        <f t="shared" si="6"/>
        <v>274854.03170535818</v>
      </c>
      <c r="J45" s="69">
        <f>SUM($H$18:$H45)</f>
        <v>226132.92170535837</v>
      </c>
      <c r="K45" s="75">
        <f>SUM(G44:G45)</f>
        <v>41221.787368492849</v>
      </c>
    </row>
    <row r="46" spans="1:13" x14ac:dyDescent="0.55000000000000004">
      <c r="A46" s="30">
        <f t="shared" si="3"/>
        <v>29</v>
      </c>
      <c r="B46" s="31">
        <f t="shared" si="4"/>
        <v>45444</v>
      </c>
      <c r="C46" s="33">
        <f t="shared" si="12"/>
        <v>274854.03170535818</v>
      </c>
      <c r="D46" s="33">
        <f t="shared" si="7"/>
        <v>25198.6</v>
      </c>
      <c r="E46" s="187">
        <f t="shared" si="14"/>
        <v>343.56753963169774</v>
      </c>
      <c r="F46" s="186">
        <f t="shared" si="9"/>
        <v>25198.6</v>
      </c>
      <c r="G46" s="186">
        <f t="shared" si="13"/>
        <v>21075.789524419626</v>
      </c>
      <c r="H46" s="186">
        <f t="shared" si="11"/>
        <v>4122.8104755803724</v>
      </c>
      <c r="I46" s="33">
        <f t="shared" si="6"/>
        <v>253778.24218093854</v>
      </c>
      <c r="J46" s="33">
        <f>SUM($H$18:$H46)</f>
        <v>230255.73218093874</v>
      </c>
    </row>
    <row r="47" spans="1:13" x14ac:dyDescent="0.55000000000000004">
      <c r="A47" s="67">
        <f t="shared" si="3"/>
        <v>30</v>
      </c>
      <c r="B47" s="68">
        <f t="shared" si="4"/>
        <v>45627</v>
      </c>
      <c r="C47" s="69">
        <f t="shared" si="12"/>
        <v>253778.24218093854</v>
      </c>
      <c r="D47" s="69">
        <f t="shared" si="7"/>
        <v>25198.6</v>
      </c>
      <c r="E47" s="192">
        <f t="shared" si="14"/>
        <v>317.2228027261732</v>
      </c>
      <c r="F47" s="191">
        <f t="shared" si="9"/>
        <v>25198.6</v>
      </c>
      <c r="G47" s="191">
        <f t="shared" si="13"/>
        <v>21391.92636728592</v>
      </c>
      <c r="H47" s="191">
        <f t="shared" si="11"/>
        <v>3806.6736327140779</v>
      </c>
      <c r="I47" s="69">
        <f t="shared" si="6"/>
        <v>232386.31581365262</v>
      </c>
      <c r="J47" s="69">
        <f>SUM($H$18:$H47)</f>
        <v>234062.40581365282</v>
      </c>
      <c r="K47" s="75">
        <f>SUM(G46:G47)</f>
        <v>42467.715891705549</v>
      </c>
    </row>
    <row r="48" spans="1:13" x14ac:dyDescent="0.55000000000000004">
      <c r="A48" s="30">
        <f t="shared" si="3"/>
        <v>31</v>
      </c>
      <c r="B48" s="31">
        <f t="shared" si="4"/>
        <v>45809</v>
      </c>
      <c r="C48" s="33">
        <f t="shared" si="12"/>
        <v>232386.31581365262</v>
      </c>
      <c r="D48" s="33">
        <f t="shared" si="7"/>
        <v>25198.6</v>
      </c>
      <c r="E48" s="187">
        <f t="shared" si="14"/>
        <v>290.48289476706577</v>
      </c>
      <c r="F48" s="186">
        <f t="shared" si="9"/>
        <v>25198.6</v>
      </c>
      <c r="G48" s="186">
        <f t="shared" si="13"/>
        <v>21712.805262795209</v>
      </c>
      <c r="H48" s="186">
        <f t="shared" si="11"/>
        <v>3485.7947372047893</v>
      </c>
      <c r="I48" s="33">
        <f t="shared" si="6"/>
        <v>210673.51055085741</v>
      </c>
      <c r="J48" s="33">
        <f>SUM($H$18:$H48)</f>
        <v>237548.20055085761</v>
      </c>
    </row>
    <row r="49" spans="1:11" x14ac:dyDescent="0.55000000000000004">
      <c r="A49" s="67">
        <f t="shared" si="3"/>
        <v>32</v>
      </c>
      <c r="B49" s="68">
        <f t="shared" si="4"/>
        <v>45992</v>
      </c>
      <c r="C49" s="69">
        <f t="shared" si="12"/>
        <v>210673.51055085741</v>
      </c>
      <c r="D49" s="69">
        <f t="shared" si="7"/>
        <v>25198.6</v>
      </c>
      <c r="E49" s="192">
        <f t="shared" si="14"/>
        <v>263.34188818857177</v>
      </c>
      <c r="F49" s="191">
        <f t="shared" si="9"/>
        <v>25198.6</v>
      </c>
      <c r="G49" s="191">
        <f t="shared" si="13"/>
        <v>22038.497341737137</v>
      </c>
      <c r="H49" s="191">
        <f t="shared" si="11"/>
        <v>3160.102658262861</v>
      </c>
      <c r="I49" s="69">
        <f t="shared" si="6"/>
        <v>188635.01320912025</v>
      </c>
      <c r="J49" s="69">
        <f>SUM($H$18:$H49)</f>
        <v>240708.30320912047</v>
      </c>
      <c r="K49" s="75">
        <f>SUM(G48:G49)</f>
        <v>43751.30260453235</v>
      </c>
    </row>
    <row r="50" spans="1:11" x14ac:dyDescent="0.55000000000000004">
      <c r="A50" s="30">
        <f t="shared" si="3"/>
        <v>33</v>
      </c>
      <c r="B50" s="31">
        <f t="shared" si="4"/>
        <v>46174</v>
      </c>
      <c r="C50" s="33">
        <f t="shared" si="12"/>
        <v>188635.01320912025</v>
      </c>
      <c r="D50" s="33">
        <f t="shared" si="7"/>
        <v>25198.6</v>
      </c>
      <c r="E50" s="187">
        <f t="shared" si="14"/>
        <v>235.79376651140032</v>
      </c>
      <c r="F50" s="186">
        <f t="shared" si="9"/>
        <v>25198.6</v>
      </c>
      <c r="G50" s="186">
        <f t="shared" si="13"/>
        <v>22369.074801863193</v>
      </c>
      <c r="H50" s="186">
        <f t="shared" si="11"/>
        <v>2829.5251981368037</v>
      </c>
      <c r="I50" s="33">
        <f t="shared" si="6"/>
        <v>166265.93840725705</v>
      </c>
      <c r="J50" s="33">
        <f>SUM($H$18:$H50)</f>
        <v>243537.82840725727</v>
      </c>
    </row>
    <row r="51" spans="1:11" x14ac:dyDescent="0.55000000000000004">
      <c r="A51" s="67">
        <f t="shared" si="3"/>
        <v>34</v>
      </c>
      <c r="B51" s="68">
        <f t="shared" si="4"/>
        <v>46357</v>
      </c>
      <c r="C51" s="69">
        <f t="shared" si="12"/>
        <v>166265.93840725705</v>
      </c>
      <c r="D51" s="69">
        <f t="shared" si="7"/>
        <v>25198.6</v>
      </c>
      <c r="E51" s="192">
        <f t="shared" si="14"/>
        <v>207.83242300907133</v>
      </c>
      <c r="F51" s="191">
        <f t="shared" si="9"/>
        <v>25198.6</v>
      </c>
      <c r="G51" s="191">
        <f t="shared" si="13"/>
        <v>22704.610923891141</v>
      </c>
      <c r="H51" s="191">
        <f t="shared" si="11"/>
        <v>2493.9890761088559</v>
      </c>
      <c r="I51" s="69">
        <f t="shared" si="6"/>
        <v>143561.32748336592</v>
      </c>
      <c r="J51" s="69">
        <f>SUM($H$18:$H51)</f>
        <v>246031.81748336612</v>
      </c>
      <c r="K51" s="75">
        <f>SUM(G50:G51)</f>
        <v>45073.685725754331</v>
      </c>
    </row>
    <row r="52" spans="1:11" x14ac:dyDescent="0.55000000000000004">
      <c r="A52" s="30">
        <f t="shared" si="3"/>
        <v>35</v>
      </c>
      <c r="B52" s="31">
        <f t="shared" si="4"/>
        <v>46539</v>
      </c>
      <c r="C52" s="33">
        <f t="shared" si="12"/>
        <v>143561.32748336592</v>
      </c>
      <c r="D52" s="33">
        <f t="shared" si="7"/>
        <v>25198.6</v>
      </c>
      <c r="E52" s="187">
        <f t="shared" si="14"/>
        <v>179.45165935420741</v>
      </c>
      <c r="F52" s="186">
        <f t="shared" si="9"/>
        <v>25198.6</v>
      </c>
      <c r="G52" s="186">
        <f t="shared" si="13"/>
        <v>23045.180087749512</v>
      </c>
      <c r="H52" s="186">
        <f t="shared" si="11"/>
        <v>2153.4199122504888</v>
      </c>
      <c r="I52" s="33">
        <f t="shared" si="6"/>
        <v>120516.14739561641</v>
      </c>
      <c r="J52" s="33">
        <f>SUM($H$18:$H52)</f>
        <v>248185.2373956166</v>
      </c>
    </row>
    <row r="53" spans="1:11" x14ac:dyDescent="0.55000000000000004">
      <c r="A53" s="67">
        <f t="shared" si="3"/>
        <v>36</v>
      </c>
      <c r="B53" s="68">
        <f t="shared" si="4"/>
        <v>46722</v>
      </c>
      <c r="C53" s="69">
        <f t="shared" si="12"/>
        <v>120516.14739561641</v>
      </c>
      <c r="D53" s="69">
        <f t="shared" si="7"/>
        <v>25198.6</v>
      </c>
      <c r="E53" s="192">
        <f t="shared" si="14"/>
        <v>150.64518424452052</v>
      </c>
      <c r="F53" s="191">
        <f t="shared" si="9"/>
        <v>25198.6</v>
      </c>
      <c r="G53" s="191">
        <f t="shared" si="13"/>
        <v>23390.857789065754</v>
      </c>
      <c r="H53" s="191">
        <f t="shared" si="11"/>
        <v>1807.742210934246</v>
      </c>
      <c r="I53" s="69">
        <f t="shared" si="6"/>
        <v>97125.28960655065</v>
      </c>
      <c r="J53" s="69">
        <f>SUM($H$18:$H53)</f>
        <v>249992.97960655086</v>
      </c>
      <c r="K53" s="75">
        <f>SUM(G52:G53)</f>
        <v>46436.037876815266</v>
      </c>
    </row>
    <row r="54" spans="1:11" x14ac:dyDescent="0.55000000000000004">
      <c r="A54" s="30">
        <f t="shared" si="3"/>
        <v>37</v>
      </c>
      <c r="B54" s="31">
        <f t="shared" si="4"/>
        <v>46905</v>
      </c>
      <c r="C54" s="33">
        <f t="shared" si="12"/>
        <v>97125.28960655065</v>
      </c>
      <c r="D54" s="33">
        <f t="shared" si="7"/>
        <v>25198.6</v>
      </c>
      <c r="E54" s="32">
        <f t="shared" si="14"/>
        <v>121.40661200818832</v>
      </c>
      <c r="F54" s="33">
        <f t="shared" si="9"/>
        <v>25198.6</v>
      </c>
      <c r="G54" s="33">
        <f t="shared" si="13"/>
        <v>23741.72065590174</v>
      </c>
      <c r="H54" s="33">
        <f t="shared" si="11"/>
        <v>1456.8793440982597</v>
      </c>
      <c r="I54" s="33">
        <f t="shared" si="6"/>
        <v>73383.568950648914</v>
      </c>
      <c r="J54" s="33">
        <f>SUM($H$18:$H54)</f>
        <v>251449.85895064913</v>
      </c>
    </row>
    <row r="55" spans="1:11" x14ac:dyDescent="0.55000000000000004">
      <c r="A55" s="67">
        <f t="shared" si="3"/>
        <v>38</v>
      </c>
      <c r="B55" s="68">
        <f t="shared" si="4"/>
        <v>47088</v>
      </c>
      <c r="C55" s="69">
        <f t="shared" si="12"/>
        <v>73383.568950648914</v>
      </c>
      <c r="D55" s="69">
        <f t="shared" si="7"/>
        <v>25198.6</v>
      </c>
      <c r="E55" s="70">
        <f t="shared" si="14"/>
        <v>91.729461188311149</v>
      </c>
      <c r="F55" s="69">
        <f t="shared" si="9"/>
        <v>25198.6</v>
      </c>
      <c r="G55" s="69">
        <f t="shared" si="13"/>
        <v>24097.846465740266</v>
      </c>
      <c r="H55" s="69">
        <f t="shared" si="11"/>
        <v>1100.7535342597337</v>
      </c>
      <c r="I55" s="69">
        <f t="shared" si="6"/>
        <v>49285.722484908649</v>
      </c>
      <c r="J55" s="69">
        <f>SUM($H$18:$H55)</f>
        <v>252550.61248490887</v>
      </c>
      <c r="K55" s="75">
        <f>SUM(G54:G55)</f>
        <v>47839.567121642001</v>
      </c>
    </row>
    <row r="56" spans="1:11" x14ac:dyDescent="0.55000000000000004">
      <c r="A56" s="30">
        <f t="shared" si="3"/>
        <v>39</v>
      </c>
      <c r="B56" s="31">
        <f t="shared" si="4"/>
        <v>47270</v>
      </c>
      <c r="C56" s="33">
        <f t="shared" si="12"/>
        <v>49285.722484908649</v>
      </c>
      <c r="D56" s="33">
        <f t="shared" si="7"/>
        <v>25198.6</v>
      </c>
      <c r="E56" s="32">
        <f t="shared" si="14"/>
        <v>61.607153106135812</v>
      </c>
      <c r="F56" s="33">
        <f t="shared" si="9"/>
        <v>25198.6</v>
      </c>
      <c r="G56" s="33">
        <f t="shared" si="13"/>
        <v>24459.314162726369</v>
      </c>
      <c r="H56" s="33">
        <f t="shared" si="11"/>
        <v>739.28583727362968</v>
      </c>
      <c r="I56" s="33">
        <f t="shared" si="6"/>
        <v>24826.40832218228</v>
      </c>
      <c r="J56" s="33">
        <f>SUM($H$18:$H56)</f>
        <v>253289.8983221825</v>
      </c>
    </row>
    <row r="57" spans="1:11" x14ac:dyDescent="0.55000000000000004">
      <c r="A57" s="67">
        <f t="shared" si="3"/>
        <v>40</v>
      </c>
      <c r="B57" s="68">
        <f t="shared" si="4"/>
        <v>47453</v>
      </c>
      <c r="C57" s="69">
        <f t="shared" si="12"/>
        <v>24826.40832218228</v>
      </c>
      <c r="D57" s="69">
        <f t="shared" si="7"/>
        <v>25198.6</v>
      </c>
      <c r="E57" s="70">
        <f t="shared" si="14"/>
        <v>31.03301040272785</v>
      </c>
      <c r="F57" s="69">
        <f t="shared" si="9"/>
        <v>25198.6</v>
      </c>
      <c r="G57" s="69">
        <f t="shared" si="13"/>
        <v>24826.203875167263</v>
      </c>
      <c r="H57" s="69">
        <f t="shared" si="11"/>
        <v>372.39612483273419</v>
      </c>
      <c r="I57" s="69">
        <f t="shared" si="6"/>
        <v>0</v>
      </c>
      <c r="J57" s="69">
        <f>SUM($H$18:$H57)</f>
        <v>253662.29444701524</v>
      </c>
      <c r="K57" s="75">
        <f>SUM(G56:G57)</f>
        <v>49285.518037893635</v>
      </c>
    </row>
  </sheetData>
  <mergeCells count="4">
    <mergeCell ref="A1:D1"/>
    <mergeCell ref="B4:D4"/>
    <mergeCell ref="F4:H4"/>
    <mergeCell ref="C12:D12"/>
  </mergeCells>
  <conditionalFormatting sqref="A18:E18 E19:E57">
    <cfRule type="expression" dxfId="44" priority="10" stopIfTrue="1">
      <formula>IF(ROW(A18)&gt;Last_Row,TRUE, FALSE)</formula>
    </cfRule>
    <cfRule type="expression" dxfId="43" priority="11" stopIfTrue="1">
      <formula>IF(ROW(A18)=Last_Row,TRUE, FALSE)</formula>
    </cfRule>
    <cfRule type="expression" dxfId="42" priority="12" stopIfTrue="1">
      <formula>IF(ROW(A18)&lt;Last_Row,TRUE, FALSE)</formula>
    </cfRule>
  </conditionalFormatting>
  <conditionalFormatting sqref="F18 H18:J18">
    <cfRule type="expression" dxfId="41" priority="13" stopIfTrue="1">
      <formula>IF(ROW(F18)&gt;Last_Row,TRUE, FALSE)</formula>
    </cfRule>
    <cfRule type="expression" dxfId="40" priority="14" stopIfTrue="1">
      <formula>IF(ROW(F18)=Last_Row,TRUE, FALSE)</formula>
    </cfRule>
    <cfRule type="expression" dxfId="39" priority="15" stopIfTrue="1">
      <formula>IF(ROW(F18)&lt;=Last_Row,TRUE, FALSE)</formula>
    </cfRule>
  </conditionalFormatting>
  <conditionalFormatting sqref="A19:D57">
    <cfRule type="expression" dxfId="38" priority="4" stopIfTrue="1">
      <formula>IF(ROW(A19)&gt;Last_Row,TRUE, FALSE)</formula>
    </cfRule>
    <cfRule type="expression" dxfId="37" priority="5" stopIfTrue="1">
      <formula>IF(ROW(A19)=Last_Row,TRUE, FALSE)</formula>
    </cfRule>
    <cfRule type="expression" dxfId="36" priority="6" stopIfTrue="1">
      <formula>IF(ROW(A19)&lt;Last_Row,TRUE, FALSE)</formula>
    </cfRule>
  </conditionalFormatting>
  <conditionalFormatting sqref="H19:J20 F19:F23 F21:J57">
    <cfRule type="expression" dxfId="35" priority="7" stopIfTrue="1">
      <formula>IF(ROW(F19)&gt;Last_Row,TRUE, FALSE)</formula>
    </cfRule>
    <cfRule type="expression" dxfId="34" priority="8" stopIfTrue="1">
      <formula>IF(ROW(F19)=Last_Row,TRUE, FALSE)</formula>
    </cfRule>
    <cfRule type="expression" dxfId="33" priority="9" stopIfTrue="1">
      <formula>IF(ROW(F19)&lt;=Last_Row,TRUE, FALSE)</formula>
    </cfRule>
  </conditionalFormatting>
  <conditionalFormatting sqref="G18:G20">
    <cfRule type="expression" dxfId="32" priority="1" stopIfTrue="1">
      <formula>IF(ROW(G18)&gt;Last_Row,TRUE, FALSE)</formula>
    </cfRule>
    <cfRule type="expression" dxfId="31" priority="2" stopIfTrue="1">
      <formula>IF(ROW(G18)=Last_Row,TRUE, FALSE)</formula>
    </cfRule>
    <cfRule type="expression" dxfId="30" priority="3" stopIfTrue="1">
      <formula>IF(ROW(G18)&lt;=Last_Row,TRUE, FALSE)</formula>
    </cfRule>
  </conditionalFormatting>
  <dataValidations count="3"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 xr:uid="{6CF0A6E7-4831-4EDA-BDD6-E21C36CC4153}"/>
    <dataValidation type="date" operator="greaterThanOrEqual" allowBlank="1" showInputMessage="1" showErrorMessage="1" errorTitle="Date" error="Please enter a valid date greater than or equal to January 1, 1900." sqref="D8:D9" xr:uid="{09DED8EE-F789-4D47-B34F-30D22891DFEF}">
      <formula1>1</formula1>
    </dataValidation>
    <dataValidation type="whole" allowBlank="1" showInputMessage="1" showErrorMessage="1" errorTitle="Years" error="Please enter a whole number of years from 1 to 30." sqref="D7" xr:uid="{6AF89739-D68E-43EB-BF48-C81088D6C609}">
      <formula1>1</formula1>
      <formula2>30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725C-24D6-4FC8-B63E-02F6006C8F06}">
  <dimension ref="A1:M59"/>
  <sheetViews>
    <sheetView topLeftCell="B13" workbookViewId="0">
      <pane xSplit="1" ySplit="4" topLeftCell="E34" activePane="bottomRight" state="frozen"/>
      <selection activeCell="B13" sqref="B13"/>
      <selection pane="topRight" activeCell="C13" sqref="C13"/>
      <selection pane="bottomLeft" activeCell="B17" sqref="B17"/>
      <selection pane="bottomRight" activeCell="C17" sqref="C17"/>
    </sheetView>
  </sheetViews>
  <sheetFormatPr defaultRowHeight="14.4" x14ac:dyDescent="0.55000000000000004"/>
  <cols>
    <col min="1" max="1" width="7" customWidth="1"/>
    <col min="2" max="2" width="10.83984375" customWidth="1"/>
    <col min="3" max="3" width="12.41796875" customWidth="1"/>
    <col min="4" max="4" width="15" customWidth="1"/>
    <col min="5" max="5" width="13.15625" customWidth="1"/>
    <col min="6" max="6" width="12.68359375" customWidth="1"/>
    <col min="7" max="7" width="13.83984375" customWidth="1"/>
    <col min="8" max="8" width="12" customWidth="1"/>
    <col min="9" max="9" width="13.41796875" customWidth="1"/>
    <col min="10" max="10" width="14.15625" customWidth="1"/>
    <col min="11" max="11" width="18.15625" customWidth="1"/>
    <col min="12" max="12" width="13.15625" customWidth="1"/>
  </cols>
  <sheetData>
    <row r="1" spans="1:11" s="2" customFormat="1" ht="22.8" x14ac:dyDescent="0.75">
      <c r="A1" s="195" t="s">
        <v>0</v>
      </c>
      <c r="B1" s="196"/>
      <c r="C1" s="196"/>
      <c r="D1" s="196"/>
      <c r="E1" s="172"/>
      <c r="F1" s="172"/>
      <c r="G1" s="172"/>
      <c r="H1" s="172"/>
      <c r="I1" s="172"/>
      <c r="J1" s="172"/>
      <c r="K1" s="1"/>
    </row>
    <row r="2" spans="1:11" s="2" customFormat="1" ht="3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1"/>
    </row>
    <row r="3" spans="1:11" s="2" customFormat="1" ht="20.25" customHeight="1" x14ac:dyDescent="0.45">
      <c r="A3" s="172"/>
      <c r="K3" s="1"/>
    </row>
    <row r="4" spans="1:11" s="2" customFormat="1" ht="14.25" customHeight="1" x14ac:dyDescent="0.45">
      <c r="A4" s="172"/>
      <c r="B4" s="197" t="s">
        <v>1</v>
      </c>
      <c r="C4" s="198"/>
      <c r="D4" s="199"/>
      <c r="E4" s="172"/>
      <c r="F4" s="197" t="s">
        <v>2</v>
      </c>
      <c r="G4" s="198"/>
      <c r="H4" s="199"/>
      <c r="I4" s="5"/>
      <c r="J4" s="172"/>
      <c r="K4" s="1"/>
    </row>
    <row r="5" spans="1:11" s="2" customFormat="1" ht="12.6" x14ac:dyDescent="0.45">
      <c r="A5" s="172"/>
      <c r="B5" s="6"/>
      <c r="C5" s="7" t="s">
        <v>3</v>
      </c>
      <c r="D5" s="8">
        <v>394760</v>
      </c>
      <c r="E5" s="172"/>
      <c r="F5" s="6"/>
      <c r="G5" s="7" t="s">
        <v>4</v>
      </c>
      <c r="H5" s="9">
        <v>13201.96</v>
      </c>
      <c r="I5" s="10"/>
      <c r="J5" s="11"/>
      <c r="K5" s="1"/>
    </row>
    <row r="6" spans="1:11" s="2" customFormat="1" ht="12.6" x14ac:dyDescent="0.45">
      <c r="A6" s="172"/>
      <c r="B6" s="6"/>
      <c r="C6" s="7" t="s">
        <v>5</v>
      </c>
      <c r="D6" s="12">
        <v>0.03</v>
      </c>
      <c r="E6" s="172"/>
      <c r="F6" s="6"/>
      <c r="G6" s="7" t="s">
        <v>6</v>
      </c>
      <c r="H6" s="13">
        <v>40</v>
      </c>
      <c r="I6" s="14"/>
      <c r="J6" s="15"/>
      <c r="K6" s="1"/>
    </row>
    <row r="7" spans="1:11" s="2" customFormat="1" ht="12.6" x14ac:dyDescent="0.45">
      <c r="A7" s="172"/>
      <c r="B7" s="6"/>
      <c r="C7" s="7" t="s">
        <v>7</v>
      </c>
      <c r="D7" s="16">
        <v>20</v>
      </c>
      <c r="E7" s="172"/>
      <c r="F7" s="6"/>
      <c r="G7" s="7" t="s">
        <v>8</v>
      </c>
      <c r="H7" s="13">
        <v>40</v>
      </c>
      <c r="I7" s="14"/>
      <c r="J7" s="172"/>
      <c r="K7" s="1"/>
    </row>
    <row r="8" spans="1:11" s="2" customFormat="1" ht="12.6" x14ac:dyDescent="0.45">
      <c r="A8" s="172"/>
      <c r="B8" s="6"/>
      <c r="C8" s="7" t="s">
        <v>9</v>
      </c>
      <c r="D8" s="16">
        <v>2</v>
      </c>
      <c r="E8" s="172"/>
      <c r="F8" s="6"/>
      <c r="G8" s="7" t="s">
        <v>10</v>
      </c>
      <c r="H8" s="9">
        <f>IF(Values_Entered,SUMIF(Beg_Bal,"&gt;0",Extra_Pay),"")</f>
        <v>11081.478768289406</v>
      </c>
      <c r="I8" s="10"/>
      <c r="J8" s="172"/>
      <c r="K8" s="1"/>
    </row>
    <row r="9" spans="1:11" s="2" customFormat="1" ht="12.6" x14ac:dyDescent="0.45">
      <c r="A9" s="172"/>
      <c r="B9" s="6"/>
      <c r="C9" s="7" t="s">
        <v>11</v>
      </c>
      <c r="D9" s="17">
        <v>38322</v>
      </c>
      <c r="E9" s="172"/>
      <c r="F9" s="18"/>
      <c r="G9" s="19" t="s">
        <v>12</v>
      </c>
      <c r="H9" s="9">
        <f>IF(Values_Entered,SUMIF(Beg_Bal,"&gt;0",Int),"")</f>
        <v>132977.74521947282</v>
      </c>
      <c r="I9" s="10"/>
      <c r="J9" s="172"/>
      <c r="K9" s="1"/>
    </row>
    <row r="10" spans="1:11" s="2" customFormat="1" ht="12.6" x14ac:dyDescent="0.45">
      <c r="A10" s="172"/>
      <c r="B10" s="18"/>
      <c r="C10" s="19" t="s">
        <v>13</v>
      </c>
      <c r="D10" s="20">
        <v>0</v>
      </c>
      <c r="E10" s="172"/>
      <c r="J10" s="172"/>
      <c r="K10" s="1"/>
    </row>
    <row r="11" spans="1:11" s="2" customFormat="1" ht="12.6" x14ac:dyDescent="0.45">
      <c r="A11" s="172"/>
      <c r="K11" s="1"/>
    </row>
    <row r="12" spans="1:11" s="2" customFormat="1" ht="12.6" x14ac:dyDescent="0.45">
      <c r="A12" s="172"/>
      <c r="B12" s="21" t="s">
        <v>14</v>
      </c>
      <c r="C12" s="200" t="s">
        <v>15</v>
      </c>
      <c r="D12" s="201"/>
      <c r="K12" s="1"/>
    </row>
    <row r="13" spans="1:11" s="2" customFormat="1" ht="12.6" x14ac:dyDescent="0.45">
      <c r="A13" s="172"/>
      <c r="B13" s="21"/>
      <c r="C13" s="22"/>
      <c r="D13" s="22"/>
      <c r="K13" s="1"/>
    </row>
    <row r="14" spans="1:11" s="2" customFormat="1" ht="6" customHeight="1" x14ac:dyDescent="0.45">
      <c r="A14" s="3"/>
      <c r="B14" s="4"/>
      <c r="C14" s="4"/>
      <c r="D14" s="4"/>
      <c r="E14" s="4"/>
      <c r="F14" s="4"/>
      <c r="G14" s="4"/>
      <c r="H14" s="4"/>
      <c r="I14" s="4"/>
      <c r="J14" s="4"/>
      <c r="K14" s="1"/>
    </row>
    <row r="15" spans="1:11" s="2" customFormat="1" ht="3.75" customHeight="1" x14ac:dyDescent="0.45">
      <c r="A15" s="172"/>
      <c r="K15" s="1"/>
    </row>
    <row r="16" spans="1:11" s="26" customFormat="1" ht="28.5" customHeight="1" x14ac:dyDescent="0.45">
      <c r="A16" s="23" t="s">
        <v>16</v>
      </c>
      <c r="B16" s="24" t="s">
        <v>17</v>
      </c>
      <c r="C16" s="24" t="s">
        <v>18</v>
      </c>
      <c r="D16" s="24" t="s">
        <v>19</v>
      </c>
      <c r="E16" s="35" t="s">
        <v>20</v>
      </c>
      <c r="F16" s="24" t="s">
        <v>21</v>
      </c>
      <c r="G16" s="24" t="s">
        <v>22</v>
      </c>
      <c r="H16" s="24" t="s">
        <v>23</v>
      </c>
      <c r="I16" s="24" t="s">
        <v>24</v>
      </c>
      <c r="J16" s="24" t="s">
        <v>25</v>
      </c>
      <c r="K16" s="25" t="s">
        <v>26</v>
      </c>
    </row>
    <row r="17" spans="1:11" s="26" customFormat="1" ht="6" customHeight="1" x14ac:dyDescent="0.45">
      <c r="A17" s="172"/>
      <c r="B17" s="27"/>
      <c r="C17" s="27"/>
      <c r="D17" s="27"/>
      <c r="E17" s="27"/>
      <c r="F17" s="27"/>
      <c r="G17" s="27"/>
      <c r="H17" s="27"/>
      <c r="I17" s="27"/>
      <c r="J17" s="28"/>
      <c r="K17" s="29"/>
    </row>
    <row r="18" spans="1:11" x14ac:dyDescent="0.55000000000000004">
      <c r="A18" s="30">
        <f>IF(Values_Entered,1,"")</f>
        <v>1</v>
      </c>
      <c r="B18" s="31">
        <f t="shared" ref="B18" si="0">IF(Pay_Num&lt;&gt;"",DATE(YEAR(Loan_Start),MONTH(Loan_Start)+(Pay_Num)*12/Num_Pmt_Per_Year,DAY(Loan_Start)),"")</f>
        <v>38504</v>
      </c>
      <c r="C18" s="32">
        <f>IF(Values_Entered,Loan_Amount,"")</f>
        <v>394760</v>
      </c>
      <c r="D18" s="32">
        <v>12861.41</v>
      </c>
      <c r="E18" s="32">
        <f>0.00125*384760</f>
        <v>480.95</v>
      </c>
      <c r="F18" s="32">
        <f t="shared" ref="F18" si="1">IF(AND(Pay_Num&lt;&gt;"",Sched_Pay+Extra_Pay&lt;Beg_Bal),Sched_Pay+Extra_Pay,IF(Pay_Num&lt;&gt;"",Beg_Bal,""))</f>
        <v>13342.36</v>
      </c>
      <c r="G18" s="33">
        <v>7090.01</v>
      </c>
      <c r="H18" s="32">
        <v>5771.4</v>
      </c>
      <c r="I18" s="32">
        <f t="shared" ref="I18" si="2">IF(AND(Pay_Num&lt;&gt;"",Sched_Pay+Extra_Pay&lt;Beg_Bal),Beg_Bal-Princ,IF(Pay_Num&lt;&gt;"",0,""))</f>
        <v>387669.99</v>
      </c>
      <c r="J18" s="32">
        <f>SUM($H$18:$H18)</f>
        <v>5771.4</v>
      </c>
    </row>
    <row r="19" spans="1:11" x14ac:dyDescent="0.55000000000000004">
      <c r="A19" s="67">
        <f t="shared" ref="A19:A57" si="3">IF(Values_Entered,A18+1,"")</f>
        <v>2</v>
      </c>
      <c r="B19" s="68">
        <f t="shared" ref="B19:B57" si="4">IF(Pay_Num&lt;&gt;"",DATE(YEAR(Loan_Start),MONTH(Loan_Start)+(Pay_Num)*12/Num_Pmt_Per_Year,DAY(Loan_Start)),"")</f>
        <v>38687</v>
      </c>
      <c r="C19" s="69">
        <f>IF(Pay_Num&lt;&gt;"",I18,"")</f>
        <v>387669.99</v>
      </c>
      <c r="D19" s="69">
        <f t="shared" ref="D19:D57" si="5">IF(Pay_Num&lt;&gt;"",Scheduled_Monthly_Payment,"")</f>
        <v>13201.96</v>
      </c>
      <c r="E19" s="70">
        <f>0.00125*C19</f>
        <v>484.58748750000001</v>
      </c>
      <c r="F19" s="69">
        <f t="shared" ref="F19:F57" si="6">IF(AND(Pay_Num&lt;&gt;"",Sched_Pay),Sched_Pay,IF(Pay_Num&lt;&gt;"",Beg_Bal,""))</f>
        <v>13201.96</v>
      </c>
      <c r="G19" s="69">
        <f>IF(Pay_Num&lt;&gt;"",Total_Pay-Int,"")</f>
        <v>7386.9101499999997</v>
      </c>
      <c r="H19" s="69">
        <f t="shared" ref="H19:H57" si="7">IF(Pay_Num&lt;&gt;"",Beg_Bal*Interest_Rate/Num_Pmt_Per_Year,"")</f>
        <v>5815.0498499999994</v>
      </c>
      <c r="I19" s="69">
        <f t="shared" ref="I19:I57" si="8">IF(AND(Pay_Num&lt;&gt;"",Sched_Pay+Extra_Pay&lt;Beg_Bal),Beg_Bal-Princ,IF(Pay_Num&lt;&gt;"",0,""))</f>
        <v>380283.07984999998</v>
      </c>
      <c r="J19" s="69">
        <f>SUM($H$18:$H19)</f>
        <v>11586.449849999999</v>
      </c>
      <c r="K19" s="75">
        <f>SUM(G18:G19)</f>
        <v>14476.92015</v>
      </c>
    </row>
    <row r="20" spans="1:11" x14ac:dyDescent="0.55000000000000004">
      <c r="A20" s="30">
        <f t="shared" si="3"/>
        <v>3</v>
      </c>
      <c r="B20" s="31">
        <f t="shared" si="4"/>
        <v>38869</v>
      </c>
      <c r="C20" s="33">
        <f>IF(Pay_Num&lt;&gt;"",I19,"")</f>
        <v>380283.07984999998</v>
      </c>
      <c r="D20" s="33">
        <f t="shared" si="5"/>
        <v>13201.96</v>
      </c>
      <c r="E20" s="32">
        <f t="shared" ref="E20:E57" si="9">0.00125*C20</f>
        <v>475.35384981249996</v>
      </c>
      <c r="F20" s="33">
        <f t="shared" si="6"/>
        <v>13201.96</v>
      </c>
      <c r="G20" s="33">
        <f t="shared" ref="G20" si="10">IF(Pay_Num&lt;&gt;"",Total_Pay-Int,"")</f>
        <v>7497.7138022499994</v>
      </c>
      <c r="H20" s="33">
        <f t="shared" si="7"/>
        <v>5704.2461977499997</v>
      </c>
      <c r="I20" s="33">
        <f t="shared" si="8"/>
        <v>372785.36604774999</v>
      </c>
      <c r="J20" s="33">
        <f>SUM($H$18:$H20)</f>
        <v>17290.69604775</v>
      </c>
    </row>
    <row r="21" spans="1:11" x14ac:dyDescent="0.55000000000000004">
      <c r="A21" s="67">
        <f t="shared" si="3"/>
        <v>4</v>
      </c>
      <c r="B21" s="68">
        <f t="shared" si="4"/>
        <v>39052</v>
      </c>
      <c r="C21" s="69">
        <f t="shared" ref="C21:C57" si="11">IF(Pay_Num&lt;&gt;"",I20,"")</f>
        <v>372785.36604774999</v>
      </c>
      <c r="D21" s="69">
        <f>IF(Pay_Num&lt;&gt;"",Scheduled_Monthly_Payment,"")</f>
        <v>13201.96</v>
      </c>
      <c r="E21" s="70">
        <f t="shared" si="9"/>
        <v>465.98170755968749</v>
      </c>
      <c r="F21" s="69">
        <f t="shared" si="6"/>
        <v>13201.96</v>
      </c>
      <c r="G21" s="69">
        <f t="shared" ref="G21:G57" si="12">IF(Pay_Num&lt;&gt;"",Total_Pay-Int,"")</f>
        <v>7610.1795092837492</v>
      </c>
      <c r="H21" s="69">
        <f t="shared" si="7"/>
        <v>5591.7804907162499</v>
      </c>
      <c r="I21" s="69">
        <f t="shared" si="8"/>
        <v>365175.18653846625</v>
      </c>
      <c r="J21" s="69">
        <f>SUM($H$18:$H21)</f>
        <v>22882.47653846625</v>
      </c>
      <c r="K21" s="75">
        <f>SUM(G20:G21)</f>
        <v>15107.89331153375</v>
      </c>
    </row>
    <row r="22" spans="1:11" x14ac:dyDescent="0.55000000000000004">
      <c r="A22" s="30">
        <f t="shared" si="3"/>
        <v>5</v>
      </c>
      <c r="B22" s="31">
        <f t="shared" si="4"/>
        <v>39234</v>
      </c>
      <c r="C22" s="33">
        <f t="shared" si="11"/>
        <v>365175.18653846625</v>
      </c>
      <c r="D22" s="33">
        <f t="shared" si="5"/>
        <v>13201.96</v>
      </c>
      <c r="E22" s="32">
        <f t="shared" si="9"/>
        <v>456.46898317308285</v>
      </c>
      <c r="F22" s="33">
        <f t="shared" si="6"/>
        <v>13201.96</v>
      </c>
      <c r="G22" s="33">
        <f t="shared" si="12"/>
        <v>7724.3322019230054</v>
      </c>
      <c r="H22" s="33">
        <f t="shared" si="7"/>
        <v>5477.6277980769937</v>
      </c>
      <c r="I22" s="33">
        <f t="shared" si="8"/>
        <v>357450.85433654324</v>
      </c>
      <c r="J22" s="33">
        <f>SUM($H$18:$H22)</f>
        <v>28360.104336543242</v>
      </c>
    </row>
    <row r="23" spans="1:11" x14ac:dyDescent="0.55000000000000004">
      <c r="A23" s="67">
        <f t="shared" si="3"/>
        <v>6</v>
      </c>
      <c r="B23" s="68">
        <f t="shared" si="4"/>
        <v>39417</v>
      </c>
      <c r="C23" s="69">
        <f t="shared" si="11"/>
        <v>357450.85433654324</v>
      </c>
      <c r="D23" s="69">
        <f t="shared" si="5"/>
        <v>13201.96</v>
      </c>
      <c r="E23" s="70">
        <f t="shared" si="9"/>
        <v>446.81356792067908</v>
      </c>
      <c r="F23" s="69">
        <f t="shared" si="6"/>
        <v>13201.96</v>
      </c>
      <c r="G23" s="69">
        <f t="shared" si="12"/>
        <v>7840.1971849518504</v>
      </c>
      <c r="H23" s="69">
        <f t="shared" si="7"/>
        <v>5361.7628150481487</v>
      </c>
      <c r="I23" s="69">
        <f t="shared" si="8"/>
        <v>349610.65715159138</v>
      </c>
      <c r="J23" s="69">
        <f>SUM($H$18:$H23)</f>
        <v>33721.867151591388</v>
      </c>
      <c r="K23" s="75">
        <f>SUM(G22:G23)</f>
        <v>15564.529386874856</v>
      </c>
    </row>
    <row r="24" spans="1:11" x14ac:dyDescent="0.55000000000000004">
      <c r="A24" s="30">
        <f t="shared" si="3"/>
        <v>7</v>
      </c>
      <c r="B24" s="31">
        <f t="shared" si="4"/>
        <v>39600</v>
      </c>
      <c r="C24" s="33">
        <f t="shared" si="11"/>
        <v>349610.65715159138</v>
      </c>
      <c r="D24" s="33">
        <f t="shared" si="5"/>
        <v>13201.96</v>
      </c>
      <c r="E24" s="32">
        <f t="shared" si="9"/>
        <v>437.01332143948923</v>
      </c>
      <c r="F24" s="33">
        <f t="shared" si="6"/>
        <v>13201.96</v>
      </c>
      <c r="G24" s="33">
        <f t="shared" si="12"/>
        <v>7957.8001427261288</v>
      </c>
      <c r="H24" s="33">
        <f t="shared" si="7"/>
        <v>5244.1598572738703</v>
      </c>
      <c r="I24" s="33">
        <f t="shared" si="8"/>
        <v>341652.85700886528</v>
      </c>
      <c r="J24" s="33">
        <f>SUM($H$18:$H24)</f>
        <v>38966.027008865261</v>
      </c>
    </row>
    <row r="25" spans="1:11" x14ac:dyDescent="0.55000000000000004">
      <c r="A25" s="67">
        <f t="shared" si="3"/>
        <v>8</v>
      </c>
      <c r="B25" s="68">
        <f t="shared" si="4"/>
        <v>39783</v>
      </c>
      <c r="C25" s="69">
        <f t="shared" si="11"/>
        <v>341652.85700886528</v>
      </c>
      <c r="D25" s="69">
        <f t="shared" si="5"/>
        <v>13201.96</v>
      </c>
      <c r="E25" s="70">
        <f t="shared" si="9"/>
        <v>427.06607126108162</v>
      </c>
      <c r="F25" s="69">
        <f t="shared" si="6"/>
        <v>13201.96</v>
      </c>
      <c r="G25" s="69">
        <f t="shared" si="12"/>
        <v>8077.1671448670204</v>
      </c>
      <c r="H25" s="69">
        <f t="shared" si="7"/>
        <v>5124.7928551329787</v>
      </c>
      <c r="I25" s="69">
        <f t="shared" si="8"/>
        <v>333575.68986399827</v>
      </c>
      <c r="J25" s="69">
        <f>SUM($H$18:$H25)</f>
        <v>44090.819863998244</v>
      </c>
      <c r="K25" s="75">
        <f>SUM(G24:G25)</f>
        <v>16034.96728759315</v>
      </c>
    </row>
    <row r="26" spans="1:11" x14ac:dyDescent="0.55000000000000004">
      <c r="A26" s="30">
        <f t="shared" si="3"/>
        <v>9</v>
      </c>
      <c r="B26" s="31">
        <f t="shared" si="4"/>
        <v>39965</v>
      </c>
      <c r="C26" s="33">
        <f t="shared" si="11"/>
        <v>333575.68986399827</v>
      </c>
      <c r="D26" s="33">
        <f t="shared" si="5"/>
        <v>13201.96</v>
      </c>
      <c r="E26" s="32">
        <f t="shared" si="9"/>
        <v>416.96961232999786</v>
      </c>
      <c r="F26" s="33">
        <f t="shared" si="6"/>
        <v>13201.96</v>
      </c>
      <c r="G26" s="33">
        <f t="shared" si="12"/>
        <v>8198.3246520400244</v>
      </c>
      <c r="H26" s="33">
        <f t="shared" si="7"/>
        <v>5003.6353479599738</v>
      </c>
      <c r="I26" s="33">
        <f t="shared" si="8"/>
        <v>325377.36521195824</v>
      </c>
      <c r="J26" s="33">
        <f>SUM($H$18:$H26)</f>
        <v>49094.455211958215</v>
      </c>
    </row>
    <row r="27" spans="1:11" x14ac:dyDescent="0.55000000000000004">
      <c r="A27" s="67">
        <f t="shared" si="3"/>
        <v>10</v>
      </c>
      <c r="B27" s="68">
        <f t="shared" si="4"/>
        <v>40148</v>
      </c>
      <c r="C27" s="69">
        <f t="shared" si="11"/>
        <v>325377.36521195824</v>
      </c>
      <c r="D27" s="69">
        <f t="shared" si="5"/>
        <v>13201.96</v>
      </c>
      <c r="E27" s="70">
        <f t="shared" si="9"/>
        <v>406.72170651494781</v>
      </c>
      <c r="F27" s="69">
        <f t="shared" si="6"/>
        <v>13201.96</v>
      </c>
      <c r="G27" s="69">
        <f t="shared" si="12"/>
        <v>8321.299521820627</v>
      </c>
      <c r="H27" s="69">
        <f t="shared" si="7"/>
        <v>4880.6604781793731</v>
      </c>
      <c r="I27" s="69">
        <f t="shared" si="8"/>
        <v>317056.06569013762</v>
      </c>
      <c r="J27" s="69">
        <f>SUM($H$18:$H27)</f>
        <v>53975.115690137587</v>
      </c>
      <c r="K27" s="75">
        <f>SUM(G26:G27)</f>
        <v>16519.624173860651</v>
      </c>
    </row>
    <row r="28" spans="1:11" x14ac:dyDescent="0.55000000000000004">
      <c r="A28" s="30">
        <f t="shared" si="3"/>
        <v>11</v>
      </c>
      <c r="B28" s="31">
        <f t="shared" si="4"/>
        <v>40330</v>
      </c>
      <c r="C28" s="33">
        <f t="shared" si="11"/>
        <v>317056.06569013762</v>
      </c>
      <c r="D28" s="33">
        <f t="shared" si="5"/>
        <v>13201.96</v>
      </c>
      <c r="E28" s="32">
        <f t="shared" si="9"/>
        <v>396.32008211267203</v>
      </c>
      <c r="F28" s="33">
        <f t="shared" si="6"/>
        <v>13201.96</v>
      </c>
      <c r="G28" s="33">
        <f t="shared" si="12"/>
        <v>8446.1190146479348</v>
      </c>
      <c r="H28" s="33">
        <f t="shared" si="7"/>
        <v>4755.8409853520643</v>
      </c>
      <c r="I28" s="33">
        <f t="shared" si="8"/>
        <v>308609.94667548966</v>
      </c>
      <c r="J28" s="33">
        <f>SUM($H$18:$H28)</f>
        <v>58730.956675489651</v>
      </c>
    </row>
    <row r="29" spans="1:11" x14ac:dyDescent="0.55000000000000004">
      <c r="A29" s="67">
        <f t="shared" si="3"/>
        <v>12</v>
      </c>
      <c r="B29" s="68">
        <f t="shared" si="4"/>
        <v>40513</v>
      </c>
      <c r="C29" s="69">
        <f t="shared" si="11"/>
        <v>308609.94667548966</v>
      </c>
      <c r="D29" s="69">
        <f t="shared" si="5"/>
        <v>13201.96</v>
      </c>
      <c r="E29" s="70">
        <f t="shared" si="9"/>
        <v>385.76243334436208</v>
      </c>
      <c r="F29" s="69">
        <f t="shared" si="6"/>
        <v>13201.96</v>
      </c>
      <c r="G29" s="69">
        <f t="shared" si="12"/>
        <v>8572.8107998676533</v>
      </c>
      <c r="H29" s="69">
        <f t="shared" si="7"/>
        <v>4629.149200132345</v>
      </c>
      <c r="I29" s="69">
        <f t="shared" si="8"/>
        <v>300037.13587562199</v>
      </c>
      <c r="J29" s="69">
        <f>SUM($H$18:$H29)</f>
        <v>63360.105875621994</v>
      </c>
      <c r="K29" s="75">
        <f>SUM(G28:G29)</f>
        <v>17018.929814515588</v>
      </c>
    </row>
    <row r="30" spans="1:11" x14ac:dyDescent="0.55000000000000004">
      <c r="A30" s="30">
        <f t="shared" si="3"/>
        <v>13</v>
      </c>
      <c r="B30" s="31">
        <f t="shared" si="4"/>
        <v>40695</v>
      </c>
      <c r="C30" s="33">
        <f t="shared" si="11"/>
        <v>300037.13587562199</v>
      </c>
      <c r="D30" s="33">
        <f t="shared" si="5"/>
        <v>13201.96</v>
      </c>
      <c r="E30" s="32">
        <f t="shared" si="9"/>
        <v>375.04641984452746</v>
      </c>
      <c r="F30" s="33">
        <f t="shared" si="6"/>
        <v>13201.96</v>
      </c>
      <c r="G30" s="33">
        <f t="shared" si="12"/>
        <v>8701.4029618656696</v>
      </c>
      <c r="H30" s="33">
        <f t="shared" si="7"/>
        <v>4500.5570381343296</v>
      </c>
      <c r="I30" s="33">
        <f t="shared" si="8"/>
        <v>291335.73291375634</v>
      </c>
      <c r="J30" s="33">
        <f>SUM($H$18:$H30)</f>
        <v>67860.662913756329</v>
      </c>
    </row>
    <row r="31" spans="1:11" x14ac:dyDescent="0.55000000000000004">
      <c r="A31" s="67">
        <f t="shared" si="3"/>
        <v>14</v>
      </c>
      <c r="B31" s="68">
        <f t="shared" si="4"/>
        <v>40878</v>
      </c>
      <c r="C31" s="69">
        <f t="shared" si="11"/>
        <v>291335.73291375634</v>
      </c>
      <c r="D31" s="69">
        <f t="shared" si="5"/>
        <v>13201.96</v>
      </c>
      <c r="E31" s="70">
        <f t="shared" si="9"/>
        <v>364.16966614219541</v>
      </c>
      <c r="F31" s="69">
        <f t="shared" si="6"/>
        <v>13201.96</v>
      </c>
      <c r="G31" s="69">
        <f t="shared" si="12"/>
        <v>8831.9240062936551</v>
      </c>
      <c r="H31" s="69">
        <f t="shared" si="7"/>
        <v>4370.0359937063449</v>
      </c>
      <c r="I31" s="69">
        <f t="shared" si="8"/>
        <v>282503.80890746269</v>
      </c>
      <c r="J31" s="69">
        <f>SUM($H$18:$H31)</f>
        <v>72230.698907462676</v>
      </c>
      <c r="K31" s="75">
        <f>SUM(G30:G31)</f>
        <v>17533.326968159323</v>
      </c>
    </row>
    <row r="32" spans="1:11" x14ac:dyDescent="0.55000000000000004">
      <c r="A32" s="30">
        <f t="shared" si="3"/>
        <v>15</v>
      </c>
      <c r="B32" s="31">
        <f t="shared" si="4"/>
        <v>41061</v>
      </c>
      <c r="C32" s="33">
        <f t="shared" si="11"/>
        <v>282503.80890746269</v>
      </c>
      <c r="D32" s="33">
        <f t="shared" si="5"/>
        <v>13201.96</v>
      </c>
      <c r="E32" s="32">
        <f t="shared" si="9"/>
        <v>353.12976113432836</v>
      </c>
      <c r="F32" s="33">
        <f t="shared" si="6"/>
        <v>13201.96</v>
      </c>
      <c r="G32" s="33">
        <f t="shared" si="12"/>
        <v>8964.4028663880599</v>
      </c>
      <c r="H32" s="33">
        <f t="shared" si="7"/>
        <v>4237.5571336119401</v>
      </c>
      <c r="I32" s="33">
        <f t="shared" si="8"/>
        <v>273539.40604107466</v>
      </c>
      <c r="J32" s="33">
        <f>SUM($H$18:$H32)</f>
        <v>76468.256041074623</v>
      </c>
    </row>
    <row r="33" spans="1:11" x14ac:dyDescent="0.55000000000000004">
      <c r="A33" s="67">
        <f t="shared" si="3"/>
        <v>16</v>
      </c>
      <c r="B33" s="68">
        <f t="shared" si="4"/>
        <v>41244</v>
      </c>
      <c r="C33" s="69">
        <f t="shared" si="11"/>
        <v>273539.40604107466</v>
      </c>
      <c r="D33" s="69">
        <f t="shared" si="5"/>
        <v>13201.96</v>
      </c>
      <c r="E33" s="70">
        <f t="shared" si="9"/>
        <v>341.92425755134332</v>
      </c>
      <c r="F33" s="69">
        <f t="shared" si="6"/>
        <v>13201.96</v>
      </c>
      <c r="G33" s="69">
        <f t="shared" si="12"/>
        <v>9098.8689093838802</v>
      </c>
      <c r="H33" s="69">
        <f t="shared" si="7"/>
        <v>4103.0910906161198</v>
      </c>
      <c r="I33" s="69">
        <f t="shared" si="8"/>
        <v>264440.53713169077</v>
      </c>
      <c r="J33" s="69">
        <f>SUM($H$18:$H33)</f>
        <v>80571.347131690738</v>
      </c>
      <c r="K33" s="75">
        <f>SUM(G32:G33)</f>
        <v>18063.27177577194</v>
      </c>
    </row>
    <row r="34" spans="1:11" x14ac:dyDescent="0.55000000000000004">
      <c r="A34" s="30">
        <f t="shared" si="3"/>
        <v>17</v>
      </c>
      <c r="B34" s="31">
        <f t="shared" si="4"/>
        <v>41426</v>
      </c>
      <c r="C34" s="33">
        <f t="shared" si="11"/>
        <v>264440.53713169077</v>
      </c>
      <c r="D34" s="33">
        <f t="shared" si="5"/>
        <v>13201.96</v>
      </c>
      <c r="E34" s="32">
        <f t="shared" si="9"/>
        <v>330.55067141461348</v>
      </c>
      <c r="F34" s="33">
        <f t="shared" si="6"/>
        <v>13201.96</v>
      </c>
      <c r="G34" s="33">
        <f t="shared" si="12"/>
        <v>9235.3519430246379</v>
      </c>
      <c r="H34" s="33">
        <f t="shared" si="7"/>
        <v>3966.6080569753613</v>
      </c>
      <c r="I34" s="33">
        <f t="shared" si="8"/>
        <v>255205.18518866613</v>
      </c>
      <c r="J34" s="33">
        <f>SUM($H$18:$H34)</f>
        <v>84537.955188666092</v>
      </c>
    </row>
    <row r="35" spans="1:11" x14ac:dyDescent="0.55000000000000004">
      <c r="A35" s="67">
        <f t="shared" si="3"/>
        <v>18</v>
      </c>
      <c r="B35" s="68">
        <f t="shared" si="4"/>
        <v>41609</v>
      </c>
      <c r="C35" s="69">
        <f t="shared" si="11"/>
        <v>255205.18518866613</v>
      </c>
      <c r="D35" s="69">
        <f t="shared" si="5"/>
        <v>13201.96</v>
      </c>
      <c r="E35" s="70">
        <f t="shared" si="9"/>
        <v>319.00648148583269</v>
      </c>
      <c r="F35" s="69">
        <f t="shared" si="6"/>
        <v>13201.96</v>
      </c>
      <c r="G35" s="69">
        <f t="shared" si="12"/>
        <v>9373.8822221700066</v>
      </c>
      <c r="H35" s="69">
        <f t="shared" si="7"/>
        <v>3828.0777778299916</v>
      </c>
      <c r="I35" s="69">
        <f t="shared" si="8"/>
        <v>245831.30296649612</v>
      </c>
      <c r="J35" s="69">
        <f>SUM($H$18:$H35)</f>
        <v>88366.032966496088</v>
      </c>
      <c r="K35" s="75">
        <f>SUM(G34:G35)</f>
        <v>18609.234165194644</v>
      </c>
    </row>
    <row r="36" spans="1:11" x14ac:dyDescent="0.55000000000000004">
      <c r="A36" s="30">
        <f t="shared" si="3"/>
        <v>19</v>
      </c>
      <c r="B36" s="31">
        <f t="shared" si="4"/>
        <v>41791</v>
      </c>
      <c r="C36" s="33">
        <f t="shared" si="11"/>
        <v>245831.30296649612</v>
      </c>
      <c r="D36" s="33">
        <f t="shared" si="5"/>
        <v>13201.96</v>
      </c>
      <c r="E36" s="32">
        <f t="shared" si="9"/>
        <v>307.28912870812013</v>
      </c>
      <c r="F36" s="33">
        <f t="shared" si="6"/>
        <v>13201.96</v>
      </c>
      <c r="G36" s="33">
        <f t="shared" si="12"/>
        <v>9514.4904555025569</v>
      </c>
      <c r="H36" s="33">
        <f t="shared" si="7"/>
        <v>3687.4695444974418</v>
      </c>
      <c r="I36" s="33">
        <f t="shared" si="8"/>
        <v>236316.81251099356</v>
      </c>
      <c r="J36" s="33">
        <f>SUM($H$18:$H36)</f>
        <v>92053.502510993523</v>
      </c>
    </row>
    <row r="37" spans="1:11" x14ac:dyDescent="0.55000000000000004">
      <c r="A37" s="67">
        <f t="shared" si="3"/>
        <v>20</v>
      </c>
      <c r="B37" s="68">
        <f t="shared" si="4"/>
        <v>41974</v>
      </c>
      <c r="C37" s="69">
        <f t="shared" si="11"/>
        <v>236316.81251099356</v>
      </c>
      <c r="D37" s="69">
        <f t="shared" si="5"/>
        <v>13201.96</v>
      </c>
      <c r="E37" s="70">
        <f t="shared" si="9"/>
        <v>295.39601563874197</v>
      </c>
      <c r="F37" s="69">
        <f t="shared" si="6"/>
        <v>13201.96</v>
      </c>
      <c r="G37" s="69">
        <f t="shared" si="12"/>
        <v>9657.2078123350948</v>
      </c>
      <c r="H37" s="69">
        <f t="shared" si="7"/>
        <v>3544.7521876649034</v>
      </c>
      <c r="I37" s="69">
        <f t="shared" si="8"/>
        <v>226659.60469865846</v>
      </c>
      <c r="J37" s="69">
        <f>SUM($H$18:$H37)</f>
        <v>95598.25469865842</v>
      </c>
      <c r="K37" s="75">
        <f>SUM(G36:G37)</f>
        <v>19171.698267837652</v>
      </c>
    </row>
    <row r="38" spans="1:11" x14ac:dyDescent="0.55000000000000004">
      <c r="A38" s="37">
        <f t="shared" si="3"/>
        <v>21</v>
      </c>
      <c r="B38" s="38">
        <f t="shared" si="4"/>
        <v>42156</v>
      </c>
      <c r="C38" s="34">
        <f t="shared" si="11"/>
        <v>226659.60469865846</v>
      </c>
      <c r="D38" s="34">
        <f t="shared" si="5"/>
        <v>13201.96</v>
      </c>
      <c r="E38" s="39">
        <f t="shared" si="9"/>
        <v>283.32450587332306</v>
      </c>
      <c r="F38" s="34">
        <f t="shared" si="6"/>
        <v>13201.96</v>
      </c>
      <c r="G38" s="34">
        <f t="shared" si="12"/>
        <v>9802.0659295201222</v>
      </c>
      <c r="H38" s="34">
        <f t="shared" si="7"/>
        <v>3399.8940704798765</v>
      </c>
      <c r="I38" s="34">
        <f t="shared" si="8"/>
        <v>216857.53876913834</v>
      </c>
      <c r="J38" s="34">
        <f>SUM($H$18:$H38)</f>
        <v>98998.148769138294</v>
      </c>
    </row>
    <row r="39" spans="1:11" x14ac:dyDescent="0.55000000000000004">
      <c r="A39" s="71">
        <f t="shared" si="3"/>
        <v>22</v>
      </c>
      <c r="B39" s="72">
        <f t="shared" si="4"/>
        <v>42339</v>
      </c>
      <c r="C39" s="73">
        <f t="shared" si="11"/>
        <v>216857.53876913834</v>
      </c>
      <c r="D39" s="73">
        <f t="shared" si="5"/>
        <v>13201.96</v>
      </c>
      <c r="E39" s="74">
        <f t="shared" si="9"/>
        <v>271.0719234614229</v>
      </c>
      <c r="F39" s="73">
        <f t="shared" si="6"/>
        <v>13201.96</v>
      </c>
      <c r="G39" s="73">
        <f t="shared" si="12"/>
        <v>9949.0969184629248</v>
      </c>
      <c r="H39" s="73">
        <f t="shared" si="7"/>
        <v>3252.8630815370748</v>
      </c>
      <c r="I39" s="73">
        <f t="shared" si="8"/>
        <v>206908.44185067542</v>
      </c>
      <c r="J39" s="73">
        <f>SUM($H$18:$H39)</f>
        <v>102251.01185067536</v>
      </c>
      <c r="K39" s="75">
        <f>SUM(G38:G39)</f>
        <v>19751.162847983047</v>
      </c>
    </row>
    <row r="40" spans="1:11" x14ac:dyDescent="0.55000000000000004">
      <c r="A40" s="30">
        <f t="shared" si="3"/>
        <v>23</v>
      </c>
      <c r="B40" s="31">
        <f t="shared" si="4"/>
        <v>42522</v>
      </c>
      <c r="C40" s="33">
        <f t="shared" si="11"/>
        <v>206908.44185067542</v>
      </c>
      <c r="D40" s="33">
        <f t="shared" si="5"/>
        <v>13201.96</v>
      </c>
      <c r="E40" s="32">
        <f t="shared" si="9"/>
        <v>258.63555231334425</v>
      </c>
      <c r="F40" s="33">
        <f t="shared" si="6"/>
        <v>13201.96</v>
      </c>
      <c r="G40" s="33">
        <f t="shared" si="12"/>
        <v>10098.333372239867</v>
      </c>
      <c r="H40" s="33">
        <f t="shared" si="7"/>
        <v>3103.6266277601312</v>
      </c>
      <c r="I40" s="33">
        <f t="shared" si="8"/>
        <v>196810.10847843555</v>
      </c>
      <c r="J40" s="33">
        <f>SUM($H$18:$H40)</f>
        <v>105354.63847843549</v>
      </c>
    </row>
    <row r="41" spans="1:11" x14ac:dyDescent="0.55000000000000004">
      <c r="A41" s="67">
        <f t="shared" si="3"/>
        <v>24</v>
      </c>
      <c r="B41" s="68">
        <f t="shared" si="4"/>
        <v>42705</v>
      </c>
      <c r="C41" s="69">
        <f t="shared" si="11"/>
        <v>196810.10847843555</v>
      </c>
      <c r="D41" s="69">
        <f t="shared" si="5"/>
        <v>13201.96</v>
      </c>
      <c r="E41" s="70">
        <f t="shared" si="9"/>
        <v>246.01263559804443</v>
      </c>
      <c r="F41" s="69">
        <f t="shared" si="6"/>
        <v>13201.96</v>
      </c>
      <c r="G41" s="69">
        <f t="shared" si="12"/>
        <v>10249.808372823467</v>
      </c>
      <c r="H41" s="69">
        <f t="shared" si="7"/>
        <v>2952.1516271765331</v>
      </c>
      <c r="I41" s="69">
        <f t="shared" si="8"/>
        <v>186560.30010561208</v>
      </c>
      <c r="J41" s="69">
        <f>SUM($H$18:$H41)</f>
        <v>108306.79010561202</v>
      </c>
      <c r="K41" s="75">
        <f>SUM(G40:G41)</f>
        <v>20348.141745063334</v>
      </c>
    </row>
    <row r="42" spans="1:11" x14ac:dyDescent="0.55000000000000004">
      <c r="A42" s="30">
        <f t="shared" si="3"/>
        <v>25</v>
      </c>
      <c r="B42" s="31">
        <f t="shared" si="4"/>
        <v>42887</v>
      </c>
      <c r="C42" s="33">
        <f t="shared" si="11"/>
        <v>186560.30010561208</v>
      </c>
      <c r="D42" s="33">
        <f t="shared" si="5"/>
        <v>13201.96</v>
      </c>
      <c r="E42" s="32">
        <f t="shared" si="9"/>
        <v>233.2003751320151</v>
      </c>
      <c r="F42" s="33">
        <f t="shared" si="6"/>
        <v>13201.96</v>
      </c>
      <c r="G42" s="33">
        <f t="shared" si="12"/>
        <v>10403.555498415819</v>
      </c>
      <c r="H42" s="33">
        <f t="shared" si="7"/>
        <v>2798.4045015841812</v>
      </c>
      <c r="I42" s="33">
        <f t="shared" si="8"/>
        <v>176156.74460719628</v>
      </c>
      <c r="J42" s="33">
        <f>SUM($H$18:$H42)</f>
        <v>111105.1946071962</v>
      </c>
    </row>
    <row r="43" spans="1:11" x14ac:dyDescent="0.55000000000000004">
      <c r="A43" s="67">
        <f t="shared" si="3"/>
        <v>26</v>
      </c>
      <c r="B43" s="68">
        <f t="shared" si="4"/>
        <v>43070</v>
      </c>
      <c r="C43" s="69">
        <f t="shared" si="11"/>
        <v>176156.74460719628</v>
      </c>
      <c r="D43" s="69">
        <f t="shared" si="5"/>
        <v>13201.96</v>
      </c>
      <c r="E43" s="70">
        <f t="shared" si="9"/>
        <v>220.19593075899536</v>
      </c>
      <c r="F43" s="69">
        <f t="shared" si="6"/>
        <v>13201.96</v>
      </c>
      <c r="G43" s="69">
        <f t="shared" si="12"/>
        <v>10559.608830892055</v>
      </c>
      <c r="H43" s="69">
        <f t="shared" si="7"/>
        <v>2642.3511691079439</v>
      </c>
      <c r="I43" s="69">
        <f t="shared" si="8"/>
        <v>165597.13577630423</v>
      </c>
      <c r="J43" s="69">
        <f>SUM($H$18:$H43)</f>
        <v>113747.54577630415</v>
      </c>
      <c r="K43" s="75">
        <f>SUM(G42:G43)</f>
        <v>20963.164329307874</v>
      </c>
    </row>
    <row r="44" spans="1:11" x14ac:dyDescent="0.55000000000000004">
      <c r="A44" s="30">
        <f t="shared" si="3"/>
        <v>27</v>
      </c>
      <c r="B44" s="31">
        <f t="shared" si="4"/>
        <v>43252</v>
      </c>
      <c r="C44" s="33">
        <f t="shared" si="11"/>
        <v>165597.13577630423</v>
      </c>
      <c r="D44" s="33">
        <f t="shared" si="5"/>
        <v>13201.96</v>
      </c>
      <c r="E44" s="32">
        <f t="shared" si="9"/>
        <v>206.99641972038029</v>
      </c>
      <c r="F44" s="33">
        <f t="shared" si="6"/>
        <v>13201.96</v>
      </c>
      <c r="G44" s="33">
        <f t="shared" si="12"/>
        <v>10718.002963355437</v>
      </c>
      <c r="H44" s="33">
        <f t="shared" si="7"/>
        <v>2483.9570366445632</v>
      </c>
      <c r="I44" s="33">
        <f t="shared" si="8"/>
        <v>154879.13281294878</v>
      </c>
      <c r="J44" s="33">
        <f>SUM($H$18:$H44)</f>
        <v>116231.50281294872</v>
      </c>
    </row>
    <row r="45" spans="1:11" x14ac:dyDescent="0.55000000000000004">
      <c r="A45" s="67">
        <f t="shared" si="3"/>
        <v>28</v>
      </c>
      <c r="B45" s="68">
        <f t="shared" si="4"/>
        <v>43435</v>
      </c>
      <c r="C45" s="69">
        <f t="shared" si="11"/>
        <v>154879.13281294878</v>
      </c>
      <c r="D45" s="69">
        <f t="shared" si="5"/>
        <v>13201.96</v>
      </c>
      <c r="E45" s="70">
        <f t="shared" si="9"/>
        <v>193.59891601618597</v>
      </c>
      <c r="F45" s="69">
        <f t="shared" si="6"/>
        <v>13201.96</v>
      </c>
      <c r="G45" s="69">
        <f t="shared" si="12"/>
        <v>10878.773007805768</v>
      </c>
      <c r="H45" s="69">
        <f t="shared" si="7"/>
        <v>2323.1869921942316</v>
      </c>
      <c r="I45" s="69">
        <f t="shared" si="8"/>
        <v>144000.359805143</v>
      </c>
      <c r="J45" s="69">
        <f>SUM($H$18:$H45)</f>
        <v>118554.68980514295</v>
      </c>
      <c r="K45" s="75">
        <f>SUM(G44:G45)</f>
        <v>21596.775971161205</v>
      </c>
    </row>
    <row r="46" spans="1:11" x14ac:dyDescent="0.55000000000000004">
      <c r="A46" s="30">
        <f t="shared" si="3"/>
        <v>29</v>
      </c>
      <c r="B46" s="31">
        <f t="shared" si="4"/>
        <v>43617</v>
      </c>
      <c r="C46" s="33">
        <f t="shared" si="11"/>
        <v>144000.359805143</v>
      </c>
      <c r="D46" s="33">
        <f t="shared" si="5"/>
        <v>13201.96</v>
      </c>
      <c r="E46" s="32">
        <f t="shared" si="9"/>
        <v>180.00044975642876</v>
      </c>
      <c r="F46" s="33">
        <f t="shared" si="6"/>
        <v>13201.96</v>
      </c>
      <c r="G46" s="33">
        <f t="shared" si="12"/>
        <v>11041.954602922855</v>
      </c>
      <c r="H46" s="33">
        <f t="shared" si="7"/>
        <v>2160.0053970771451</v>
      </c>
      <c r="I46" s="33">
        <f t="shared" si="8"/>
        <v>132958.40520222014</v>
      </c>
      <c r="J46" s="33">
        <f>SUM($H$18:$H46)</f>
        <v>120714.69520222009</v>
      </c>
    </row>
    <row r="47" spans="1:11" x14ac:dyDescent="0.55000000000000004">
      <c r="A47" s="67">
        <f t="shared" si="3"/>
        <v>30</v>
      </c>
      <c r="B47" s="68">
        <f t="shared" si="4"/>
        <v>43800</v>
      </c>
      <c r="C47" s="69">
        <f t="shared" si="11"/>
        <v>132958.40520222014</v>
      </c>
      <c r="D47" s="69">
        <f t="shared" si="5"/>
        <v>13201.96</v>
      </c>
      <c r="E47" s="70">
        <f t="shared" si="9"/>
        <v>166.19800650277517</v>
      </c>
      <c r="F47" s="69">
        <f t="shared" si="6"/>
        <v>13201.96</v>
      </c>
      <c r="G47" s="69">
        <f t="shared" si="12"/>
        <v>11207.583921966698</v>
      </c>
      <c r="H47" s="69">
        <f t="shared" si="7"/>
        <v>1994.3760780333021</v>
      </c>
      <c r="I47" s="69">
        <f t="shared" si="8"/>
        <v>121750.82128025344</v>
      </c>
      <c r="J47" s="69">
        <f>SUM($H$18:$H47)</f>
        <v>122709.07128025338</v>
      </c>
      <c r="K47" s="75">
        <f>SUM(G46:G47)</f>
        <v>22249.538524889555</v>
      </c>
    </row>
    <row r="48" spans="1:11" x14ac:dyDescent="0.55000000000000004">
      <c r="A48" s="37">
        <f t="shared" si="3"/>
        <v>31</v>
      </c>
      <c r="B48" s="38">
        <f t="shared" si="4"/>
        <v>43983</v>
      </c>
      <c r="C48" s="34">
        <f t="shared" si="11"/>
        <v>121750.82128025344</v>
      </c>
      <c r="D48" s="34">
        <f t="shared" si="5"/>
        <v>13201.96</v>
      </c>
      <c r="E48" s="39">
        <f t="shared" si="9"/>
        <v>152.18852660031681</v>
      </c>
      <c r="F48" s="34">
        <f t="shared" si="6"/>
        <v>13201.96</v>
      </c>
      <c r="G48" s="34">
        <f t="shared" si="12"/>
        <v>11375.697680796198</v>
      </c>
      <c r="H48" s="34">
        <f t="shared" si="7"/>
        <v>1826.2623192038016</v>
      </c>
      <c r="I48" s="34">
        <f t="shared" si="8"/>
        <v>110375.12359945723</v>
      </c>
      <c r="J48" s="34">
        <f>SUM($H$18:$H48)</f>
        <v>124535.33359945718</v>
      </c>
      <c r="K48" s="80"/>
    </row>
    <row r="49" spans="1:13" x14ac:dyDescent="0.55000000000000004">
      <c r="A49" s="71">
        <f t="shared" si="3"/>
        <v>32</v>
      </c>
      <c r="B49" s="72">
        <f t="shared" si="4"/>
        <v>44166</v>
      </c>
      <c r="C49" s="73">
        <f t="shared" si="11"/>
        <v>110375.12359945723</v>
      </c>
      <c r="D49" s="73">
        <f t="shared" si="5"/>
        <v>13201.96</v>
      </c>
      <c r="E49" s="74">
        <f t="shared" si="9"/>
        <v>137.96890449932155</v>
      </c>
      <c r="F49" s="73">
        <f t="shared" si="6"/>
        <v>13201.96</v>
      </c>
      <c r="G49" s="73">
        <f t="shared" si="12"/>
        <v>11546.333146008141</v>
      </c>
      <c r="H49" s="73">
        <f t="shared" si="7"/>
        <v>1655.6268539918585</v>
      </c>
      <c r="I49" s="73">
        <f t="shared" si="8"/>
        <v>98828.790453449095</v>
      </c>
      <c r="J49" s="73">
        <f>SUM($H$18:$H49)</f>
        <v>126190.96045344904</v>
      </c>
      <c r="K49" s="75">
        <f>SUM(G48:G49)</f>
        <v>22922.030826804337</v>
      </c>
    </row>
    <row r="50" spans="1:13" x14ac:dyDescent="0.55000000000000004">
      <c r="A50" s="76">
        <f t="shared" si="3"/>
        <v>33</v>
      </c>
      <c r="B50" s="77">
        <f t="shared" si="4"/>
        <v>44348</v>
      </c>
      <c r="C50" s="78">
        <f t="shared" si="11"/>
        <v>98828.790453449095</v>
      </c>
      <c r="D50" s="78">
        <f t="shared" si="5"/>
        <v>13201.96</v>
      </c>
      <c r="E50" s="79">
        <f t="shared" si="9"/>
        <v>123.53598806681137</v>
      </c>
      <c r="F50" s="78">
        <f t="shared" si="6"/>
        <v>13201.96</v>
      </c>
      <c r="G50" s="78">
        <f t="shared" si="12"/>
        <v>11719.528143198262</v>
      </c>
      <c r="H50" s="78">
        <f t="shared" si="7"/>
        <v>1482.4318568017363</v>
      </c>
      <c r="I50" s="78">
        <f t="shared" si="8"/>
        <v>87109.262310250837</v>
      </c>
      <c r="J50" s="78">
        <f>SUM($H$18:$H50)</f>
        <v>127673.39231025077</v>
      </c>
      <c r="L50" s="144"/>
      <c r="M50" s="145"/>
    </row>
    <row r="51" spans="1:13" x14ac:dyDescent="0.55000000000000004">
      <c r="A51" s="81">
        <f t="shared" si="3"/>
        <v>34</v>
      </c>
      <c r="B51" s="82">
        <f t="shared" si="4"/>
        <v>44531</v>
      </c>
      <c r="C51" s="83">
        <f t="shared" si="11"/>
        <v>87109.262310250837</v>
      </c>
      <c r="D51" s="83">
        <f t="shared" si="5"/>
        <v>13201.96</v>
      </c>
      <c r="E51" s="84">
        <f t="shared" si="9"/>
        <v>108.88657788781354</v>
      </c>
      <c r="F51" s="83">
        <f t="shared" si="6"/>
        <v>13201.96</v>
      </c>
      <c r="G51" s="83">
        <f t="shared" si="12"/>
        <v>11895.321065346237</v>
      </c>
      <c r="H51" s="83">
        <f t="shared" si="7"/>
        <v>1306.6389346537626</v>
      </c>
      <c r="I51" s="83">
        <f t="shared" si="8"/>
        <v>75213.941244904592</v>
      </c>
      <c r="J51" s="83">
        <f>SUM($H$18:$H51)</f>
        <v>128980.03124490453</v>
      </c>
      <c r="K51" s="85">
        <f>SUM(G50:G51)</f>
        <v>23614.8492085445</v>
      </c>
    </row>
    <row r="52" spans="1:13" x14ac:dyDescent="0.55000000000000004">
      <c r="A52" s="30">
        <f t="shared" si="3"/>
        <v>35</v>
      </c>
      <c r="B52" s="31">
        <f t="shared" si="4"/>
        <v>44713</v>
      </c>
      <c r="C52" s="33">
        <f t="shared" si="11"/>
        <v>75213.941244904592</v>
      </c>
      <c r="D52" s="33">
        <f t="shared" si="5"/>
        <v>13201.96</v>
      </c>
      <c r="E52" s="32">
        <f t="shared" si="9"/>
        <v>94.017426556130744</v>
      </c>
      <c r="F52" s="33">
        <f t="shared" si="6"/>
        <v>13201.96</v>
      </c>
      <c r="G52" s="33">
        <f t="shared" si="12"/>
        <v>12073.75088132643</v>
      </c>
      <c r="H52" s="33">
        <f t="shared" si="7"/>
        <v>1128.2091186735688</v>
      </c>
      <c r="I52" s="33">
        <f t="shared" si="8"/>
        <v>63140.190363578164</v>
      </c>
      <c r="J52" s="33">
        <f>SUM($H$18:$H52)</f>
        <v>130108.24036357809</v>
      </c>
      <c r="L52" s="144">
        <f>+(+E52+H52)*(1/6)</f>
        <v>203.7044242049499</v>
      </c>
      <c r="M52" s="145" t="s">
        <v>27</v>
      </c>
    </row>
    <row r="53" spans="1:13" x14ac:dyDescent="0.55000000000000004">
      <c r="A53" s="67">
        <f t="shared" si="3"/>
        <v>36</v>
      </c>
      <c r="B53" s="68">
        <f t="shared" si="4"/>
        <v>44896</v>
      </c>
      <c r="C53" s="69">
        <f t="shared" si="11"/>
        <v>63140.190363578164</v>
      </c>
      <c r="D53" s="69">
        <f t="shared" si="5"/>
        <v>13201.96</v>
      </c>
      <c r="E53" s="70">
        <f t="shared" si="9"/>
        <v>78.925237954472706</v>
      </c>
      <c r="F53" s="69">
        <f t="shared" si="6"/>
        <v>13201.96</v>
      </c>
      <c r="G53" s="69">
        <f t="shared" si="12"/>
        <v>12254.857144546328</v>
      </c>
      <c r="H53" s="69">
        <f t="shared" si="7"/>
        <v>947.10285545367242</v>
      </c>
      <c r="I53" s="69">
        <f t="shared" si="8"/>
        <v>50885.333219031832</v>
      </c>
      <c r="J53" s="69">
        <f>SUM($H$18:$H53)</f>
        <v>131055.34321903177</v>
      </c>
      <c r="K53" s="75">
        <f>SUM(G52:G53)</f>
        <v>24328.60802587276</v>
      </c>
    </row>
    <row r="54" spans="1:13" x14ac:dyDescent="0.55000000000000004">
      <c r="A54" s="184">
        <f t="shared" si="3"/>
        <v>37</v>
      </c>
      <c r="B54" s="185">
        <f t="shared" si="4"/>
        <v>45078</v>
      </c>
      <c r="C54" s="186">
        <f t="shared" si="11"/>
        <v>50885.333219031832</v>
      </c>
      <c r="D54" s="186">
        <f t="shared" si="5"/>
        <v>13201.96</v>
      </c>
      <c r="E54" s="187">
        <f t="shared" si="9"/>
        <v>63.606666523789791</v>
      </c>
      <c r="F54" s="186">
        <f t="shared" si="6"/>
        <v>13201.96</v>
      </c>
      <c r="G54" s="186">
        <f t="shared" si="12"/>
        <v>12438.680001714521</v>
      </c>
      <c r="H54" s="186">
        <f t="shared" si="7"/>
        <v>763.2799982854774</v>
      </c>
      <c r="I54" s="186">
        <f t="shared" si="8"/>
        <v>38446.653217317311</v>
      </c>
      <c r="J54" s="186">
        <f>SUM($H$18:$H54)</f>
        <v>131818.62321731725</v>
      </c>
      <c r="K54" s="188"/>
    </row>
    <row r="55" spans="1:13" x14ac:dyDescent="0.55000000000000004">
      <c r="A55" s="189">
        <f t="shared" si="3"/>
        <v>38</v>
      </c>
      <c r="B55" s="190">
        <f t="shared" si="4"/>
        <v>45261</v>
      </c>
      <c r="C55" s="191">
        <f t="shared" si="11"/>
        <v>38446.653217317311</v>
      </c>
      <c r="D55" s="191">
        <f t="shared" si="5"/>
        <v>13201.96</v>
      </c>
      <c r="E55" s="192">
        <f t="shared" si="9"/>
        <v>48.058316521646638</v>
      </c>
      <c r="F55" s="191">
        <f t="shared" si="6"/>
        <v>13201.96</v>
      </c>
      <c r="G55" s="191">
        <f t="shared" si="12"/>
        <v>12625.260201740239</v>
      </c>
      <c r="H55" s="191">
        <f t="shared" si="7"/>
        <v>576.69979825975963</v>
      </c>
      <c r="I55" s="191">
        <f t="shared" si="8"/>
        <v>25821.393015577072</v>
      </c>
      <c r="J55" s="191">
        <f>SUM($H$18:$H55)</f>
        <v>132395.32301557701</v>
      </c>
      <c r="K55" s="193">
        <f>SUM(G54:G55)</f>
        <v>25063.94020345476</v>
      </c>
    </row>
    <row r="56" spans="1:13" x14ac:dyDescent="0.55000000000000004">
      <c r="A56" s="184">
        <f t="shared" si="3"/>
        <v>39</v>
      </c>
      <c r="B56" s="185">
        <f t="shared" si="4"/>
        <v>45444</v>
      </c>
      <c r="C56" s="186">
        <f t="shared" si="11"/>
        <v>25821.393015577072</v>
      </c>
      <c r="D56" s="186">
        <f t="shared" si="5"/>
        <v>13201.96</v>
      </c>
      <c r="E56" s="187">
        <f t="shared" si="9"/>
        <v>32.276741269471344</v>
      </c>
      <c r="F56" s="186">
        <f t="shared" si="6"/>
        <v>13201.96</v>
      </c>
      <c r="G56" s="186">
        <f t="shared" si="12"/>
        <v>12814.639104766344</v>
      </c>
      <c r="H56" s="186">
        <f t="shared" si="7"/>
        <v>387.32089523365607</v>
      </c>
      <c r="I56" s="186">
        <f t="shared" si="8"/>
        <v>13006.753910810728</v>
      </c>
      <c r="J56" s="186">
        <f>SUM($H$18:$H56)</f>
        <v>132782.64391081067</v>
      </c>
      <c r="K56" s="188"/>
    </row>
    <row r="57" spans="1:13" x14ac:dyDescent="0.55000000000000004">
      <c r="A57" s="189">
        <f t="shared" si="3"/>
        <v>40</v>
      </c>
      <c r="B57" s="190">
        <f t="shared" si="4"/>
        <v>45627</v>
      </c>
      <c r="C57" s="191">
        <f t="shared" si="11"/>
        <v>13006.753910810728</v>
      </c>
      <c r="D57" s="191">
        <f t="shared" si="5"/>
        <v>13201.96</v>
      </c>
      <c r="E57" s="192">
        <f t="shared" si="9"/>
        <v>16.258442388513412</v>
      </c>
      <c r="F57" s="191">
        <f t="shared" si="6"/>
        <v>13201.96</v>
      </c>
      <c r="G57" s="191">
        <f t="shared" si="12"/>
        <v>13006.858691337839</v>
      </c>
      <c r="H57" s="191">
        <f t="shared" si="7"/>
        <v>195.10130866216093</v>
      </c>
      <c r="I57" s="191">
        <f t="shared" si="8"/>
        <v>0</v>
      </c>
      <c r="J57" s="191">
        <f>SUM($H$18:$H57)</f>
        <v>132977.74521947282</v>
      </c>
      <c r="K57" s="193">
        <f>SUM(G56:G57)</f>
        <v>25821.49779610418</v>
      </c>
    </row>
    <row r="59" spans="1:13" x14ac:dyDescent="0.55000000000000004">
      <c r="K59" s="36"/>
    </row>
  </sheetData>
  <mergeCells count="4">
    <mergeCell ref="A1:D1"/>
    <mergeCell ref="B4:D4"/>
    <mergeCell ref="F4:H4"/>
    <mergeCell ref="C12:D12"/>
  </mergeCells>
  <conditionalFormatting sqref="A18:E18 E19:E57">
    <cfRule type="expression" dxfId="29" priority="10" stopIfTrue="1">
      <formula>IF(ROW(A18)&gt;Last_Row,TRUE, FALSE)</formula>
    </cfRule>
    <cfRule type="expression" dxfId="28" priority="11" stopIfTrue="1">
      <formula>IF(ROW(A18)=Last_Row,TRUE, FALSE)</formula>
    </cfRule>
    <cfRule type="expression" dxfId="27" priority="12" stopIfTrue="1">
      <formula>IF(ROW(A18)&lt;Last_Row,TRUE, FALSE)</formula>
    </cfRule>
  </conditionalFormatting>
  <conditionalFormatting sqref="F18 H18:J18">
    <cfRule type="expression" dxfId="26" priority="13" stopIfTrue="1">
      <formula>IF(ROW(F18)&gt;Last_Row,TRUE, FALSE)</formula>
    </cfRule>
    <cfRule type="expression" dxfId="25" priority="14" stopIfTrue="1">
      <formula>IF(ROW(F18)=Last_Row,TRUE, FALSE)</formula>
    </cfRule>
    <cfRule type="expression" dxfId="24" priority="15" stopIfTrue="1">
      <formula>IF(ROW(F18)&lt;=Last_Row,TRUE, FALSE)</formula>
    </cfRule>
  </conditionalFormatting>
  <conditionalFormatting sqref="A19:D57">
    <cfRule type="expression" dxfId="23" priority="4" stopIfTrue="1">
      <formula>IF(ROW(A19)&gt;Last_Row,TRUE, FALSE)</formula>
    </cfRule>
    <cfRule type="expression" dxfId="22" priority="5" stopIfTrue="1">
      <formula>IF(ROW(A19)=Last_Row,TRUE, FALSE)</formula>
    </cfRule>
    <cfRule type="expression" dxfId="21" priority="6" stopIfTrue="1">
      <formula>IF(ROW(A19)&lt;Last_Row,TRUE, FALSE)</formula>
    </cfRule>
  </conditionalFormatting>
  <conditionalFormatting sqref="H19:J20 F21:J57 F19:F57">
    <cfRule type="expression" dxfId="20" priority="7" stopIfTrue="1">
      <formula>IF(ROW(F19)&gt;Last_Row,TRUE, FALSE)</formula>
    </cfRule>
    <cfRule type="expression" dxfId="19" priority="8" stopIfTrue="1">
      <formula>IF(ROW(F19)=Last_Row,TRUE, FALSE)</formula>
    </cfRule>
    <cfRule type="expression" dxfId="18" priority="9" stopIfTrue="1">
      <formula>IF(ROW(F19)&lt;=Last_Row,TRUE, FALSE)</formula>
    </cfRule>
  </conditionalFormatting>
  <conditionalFormatting sqref="G18:G20">
    <cfRule type="expression" dxfId="17" priority="1" stopIfTrue="1">
      <formula>IF(ROW(G18)&gt;Last_Row,TRUE, FALSE)</formula>
    </cfRule>
    <cfRule type="expression" dxfId="16" priority="2" stopIfTrue="1">
      <formula>IF(ROW(G18)=Last_Row,TRUE, FALSE)</formula>
    </cfRule>
    <cfRule type="expression" dxfId="15" priority="3" stopIfTrue="1">
      <formula>IF(ROW(G18)&lt;=Last_Row,TRUE,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 xr:uid="{3910BFB1-6FCA-43E8-AFAA-84AAFFDD6338}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8:D9" xr:uid="{29C9845B-BADD-4EEE-856A-5B3DAAD8F7A2}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 xr:uid="{D466DBB0-3142-4BEC-921F-CB0F978E8F49}"/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E892-455B-4315-B08A-E24917D39393}">
  <dimension ref="A1:Q862"/>
  <sheetViews>
    <sheetView topLeftCell="A199" workbookViewId="0">
      <selection activeCell="A3" sqref="A3"/>
    </sheetView>
  </sheetViews>
  <sheetFormatPr defaultColWidth="9.15625" defaultRowHeight="12.6" x14ac:dyDescent="0.55000000000000004"/>
  <cols>
    <col min="1" max="2" width="13" style="41" customWidth="1"/>
    <col min="3" max="3" width="13.26171875" style="41" customWidth="1"/>
    <col min="4" max="4" width="3.68359375" style="41" customWidth="1"/>
    <col min="5" max="6" width="13.26171875" style="41" customWidth="1"/>
    <col min="7" max="7" width="13.83984375" style="41" customWidth="1"/>
    <col min="8" max="8" width="10.83984375" style="41" customWidth="1"/>
    <col min="9" max="9" width="4" style="41" customWidth="1"/>
    <col min="10" max="10" width="37" style="41" customWidth="1"/>
    <col min="11" max="11" width="9.15625" style="41"/>
    <col min="12" max="12" width="8.68359375" style="41" customWidth="1"/>
    <col min="13" max="14" width="8.15625" style="41" hidden="1" customWidth="1"/>
    <col min="15" max="16" width="7" style="41" hidden="1" customWidth="1"/>
    <col min="17" max="17" width="11.83984375" style="41" hidden="1" customWidth="1"/>
    <col min="18" max="16384" width="9.15625" style="41"/>
  </cols>
  <sheetData>
    <row r="1" spans="1:17" ht="15" customHeight="1" x14ac:dyDescent="0.55000000000000004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7" ht="17.25" customHeight="1" x14ac:dyDescent="0.55000000000000004">
      <c r="A2" s="50"/>
      <c r="B2" s="203" t="s">
        <v>28</v>
      </c>
      <c r="C2" s="203"/>
      <c r="D2" s="203"/>
      <c r="E2" s="203"/>
      <c r="F2" s="203"/>
      <c r="G2" s="203"/>
      <c r="H2" s="203"/>
      <c r="I2" s="203"/>
      <c r="J2" s="203"/>
    </row>
    <row r="3" spans="1:17" ht="17.25" customHeight="1" x14ac:dyDescent="0.55000000000000004">
      <c r="A3" s="50"/>
      <c r="B3" s="204" t="s">
        <v>29</v>
      </c>
      <c r="C3" s="204"/>
      <c r="D3" s="204"/>
      <c r="E3" s="174"/>
      <c r="F3" s="174"/>
      <c r="G3" s="51">
        <v>165000</v>
      </c>
      <c r="H3" s="51"/>
    </row>
    <row r="4" spans="1:17" ht="16.5" customHeight="1" x14ac:dyDescent="0.55000000000000004">
      <c r="A4" s="52"/>
      <c r="B4" s="202" t="s">
        <v>30</v>
      </c>
      <c r="C4" s="202"/>
      <c r="D4" s="202"/>
      <c r="E4" s="173"/>
      <c r="F4" s="173"/>
      <c r="G4" s="53">
        <v>0.03</v>
      </c>
      <c r="H4" s="53"/>
    </row>
    <row r="5" spans="1:17" ht="17.25" customHeight="1" x14ac:dyDescent="0.55000000000000004">
      <c r="A5" s="49"/>
      <c r="B5" s="205" t="s">
        <v>31</v>
      </c>
      <c r="C5" s="205"/>
      <c r="D5" s="205"/>
      <c r="E5" s="175"/>
      <c r="F5" s="175"/>
      <c r="G5" s="54">
        <v>37916</v>
      </c>
      <c r="H5" s="54"/>
      <c r="O5" s="41" t="s">
        <v>23</v>
      </c>
      <c r="P5" s="41" t="s">
        <v>32</v>
      </c>
      <c r="Q5" s="41" t="s">
        <v>22</v>
      </c>
    </row>
    <row r="6" spans="1:17" ht="16.5" customHeight="1" x14ac:dyDescent="0.55000000000000004">
      <c r="A6" s="49"/>
      <c r="B6" s="49"/>
      <c r="C6" s="49"/>
      <c r="D6" s="49"/>
      <c r="E6" s="49"/>
      <c r="F6" s="49"/>
      <c r="G6" s="49"/>
      <c r="H6" s="49"/>
      <c r="I6" s="49"/>
      <c r="J6" s="49"/>
      <c r="M6" s="55">
        <v>38231</v>
      </c>
      <c r="N6" s="56">
        <v>1219.29</v>
      </c>
      <c r="O6" s="41">
        <v>686.29</v>
      </c>
      <c r="P6" s="41">
        <v>33</v>
      </c>
      <c r="Q6" s="57">
        <f>+N6-O6-P6</f>
        <v>500</v>
      </c>
    </row>
    <row r="7" spans="1:17" ht="15" customHeight="1" x14ac:dyDescent="0.55000000000000004">
      <c r="A7" s="49"/>
      <c r="B7" s="49"/>
      <c r="C7" s="49"/>
      <c r="D7" s="49"/>
      <c r="E7" s="49"/>
      <c r="F7" s="206" t="s">
        <v>33</v>
      </c>
      <c r="G7" s="49"/>
      <c r="H7" s="49"/>
      <c r="I7" s="49"/>
      <c r="J7" s="49"/>
      <c r="M7" s="55">
        <v>38534</v>
      </c>
      <c r="N7" s="56">
        <v>999.58</v>
      </c>
      <c r="O7" s="41">
        <v>556.25</v>
      </c>
      <c r="P7" s="41">
        <v>26.67</v>
      </c>
      <c r="Q7" s="57">
        <f t="shared" ref="Q7:Q24" si="0">+N7-O7-P7</f>
        <v>416.66</v>
      </c>
    </row>
    <row r="8" spans="1:17" ht="15.75" customHeight="1" x14ac:dyDescent="0.45">
      <c r="A8" s="58"/>
      <c r="B8" s="59" t="s">
        <v>34</v>
      </c>
      <c r="C8" s="59" t="s">
        <v>23</v>
      </c>
      <c r="D8" s="59"/>
      <c r="E8" s="59" t="s">
        <v>20</v>
      </c>
      <c r="F8" s="206"/>
      <c r="G8" s="59" t="s">
        <v>22</v>
      </c>
      <c r="H8" s="60">
        <f>+G3</f>
        <v>165000</v>
      </c>
      <c r="I8" s="60"/>
      <c r="M8" s="55">
        <v>38899</v>
      </c>
      <c r="N8" s="56">
        <v>989.38</v>
      </c>
      <c r="O8" s="41">
        <v>546.88</v>
      </c>
      <c r="P8" s="41">
        <v>25.83</v>
      </c>
      <c r="Q8" s="57">
        <f t="shared" si="0"/>
        <v>416.67</v>
      </c>
    </row>
    <row r="9" spans="1:17" ht="15.75" customHeight="1" x14ac:dyDescent="0.55000000000000004">
      <c r="A9" s="48">
        <v>38231</v>
      </c>
      <c r="B9" s="61">
        <f>_xlfn.XLOOKUP(A9,$M$6:$M$52,$N$6:$N$52,,-1,2)</f>
        <v>1219.29</v>
      </c>
      <c r="C9" s="61">
        <f t="shared" ref="C9:C72" si="1">_xlfn.XLOOKUP(A9,$M$6:$M$52,$O$6:$O$52,,-1,2)</f>
        <v>686.29</v>
      </c>
      <c r="D9" s="61"/>
      <c r="E9" s="61">
        <v>33</v>
      </c>
      <c r="F9" s="134">
        <v>0</v>
      </c>
      <c r="G9" s="63">
        <f>+B9-C9-E9</f>
        <v>500</v>
      </c>
      <c r="H9" s="60">
        <f>+H8-G9</f>
        <v>164500</v>
      </c>
      <c r="I9" s="60"/>
      <c r="J9" s="62"/>
      <c r="K9" s="62"/>
      <c r="M9" s="55">
        <v>39264</v>
      </c>
      <c r="N9" s="56">
        <v>1394.79</v>
      </c>
      <c r="O9" s="41">
        <v>536.46</v>
      </c>
      <c r="P9" s="41">
        <v>25</v>
      </c>
      <c r="Q9" s="57">
        <f t="shared" si="0"/>
        <v>833.32999999999993</v>
      </c>
    </row>
    <row r="10" spans="1:17" ht="15.75" customHeight="1" x14ac:dyDescent="0.55000000000000004">
      <c r="A10" s="48">
        <v>38261</v>
      </c>
      <c r="B10" s="61">
        <f t="shared" ref="B10:B73" si="2">_xlfn.XLOOKUP(A10,$M$6:$M$52,$N$6:$N$52,,-1,2)</f>
        <v>1219.29</v>
      </c>
      <c r="C10" s="64">
        <f t="shared" si="1"/>
        <v>686.29</v>
      </c>
      <c r="D10" s="61"/>
      <c r="E10" s="61">
        <v>33</v>
      </c>
      <c r="F10" s="134">
        <v>0</v>
      </c>
      <c r="G10" s="63">
        <f t="shared" ref="G10:G73" si="3">+B10-C10-E10</f>
        <v>500</v>
      </c>
      <c r="H10" s="60">
        <f>+H9-G10</f>
        <v>164000</v>
      </c>
      <c r="I10" s="60"/>
      <c r="M10" s="55">
        <v>39630</v>
      </c>
      <c r="N10" s="56">
        <v>1368.13</v>
      </c>
      <c r="O10" s="41">
        <v>511.46</v>
      </c>
      <c r="P10" s="41">
        <v>23.33</v>
      </c>
      <c r="Q10" s="57">
        <f t="shared" si="0"/>
        <v>833.34</v>
      </c>
    </row>
    <row r="11" spans="1:17" ht="15.75" customHeight="1" x14ac:dyDescent="0.55000000000000004">
      <c r="A11" s="48">
        <v>38292</v>
      </c>
      <c r="B11" s="61">
        <f t="shared" si="2"/>
        <v>1219.29</v>
      </c>
      <c r="C11" s="64">
        <f t="shared" si="1"/>
        <v>686.29</v>
      </c>
      <c r="D11" s="61"/>
      <c r="E11" s="61">
        <v>33</v>
      </c>
      <c r="F11" s="134"/>
      <c r="G11" s="63">
        <f t="shared" si="3"/>
        <v>500</v>
      </c>
      <c r="H11" s="60">
        <f t="shared" ref="H11:H74" si="4">+H10-G11</f>
        <v>163500</v>
      </c>
      <c r="I11" s="60"/>
      <c r="M11" s="55">
        <v>39995</v>
      </c>
      <c r="N11" s="41">
        <v>1341.46</v>
      </c>
      <c r="O11" s="41">
        <v>486.46</v>
      </c>
      <c r="P11" s="41">
        <v>21.67</v>
      </c>
      <c r="Q11" s="57">
        <f t="shared" si="0"/>
        <v>833.33</v>
      </c>
    </row>
    <row r="12" spans="1:17" ht="15.75" customHeight="1" x14ac:dyDescent="0.55000000000000004">
      <c r="A12" s="102">
        <v>38322</v>
      </c>
      <c r="B12" s="103">
        <f t="shared" si="2"/>
        <v>1219.29</v>
      </c>
      <c r="C12" s="104">
        <f t="shared" si="1"/>
        <v>686.29</v>
      </c>
      <c r="D12" s="103"/>
      <c r="E12" s="103">
        <v>33</v>
      </c>
      <c r="F12" s="135"/>
      <c r="G12" s="105">
        <f t="shared" si="3"/>
        <v>500</v>
      </c>
      <c r="H12" s="106">
        <f t="shared" si="4"/>
        <v>163000</v>
      </c>
      <c r="I12" s="106"/>
      <c r="J12" s="107"/>
      <c r="M12" s="55">
        <v>40360</v>
      </c>
      <c r="N12" s="41">
        <v>1310.6300000000001</v>
      </c>
      <c r="O12" s="41">
        <v>457.29</v>
      </c>
      <c r="P12" s="41">
        <v>20</v>
      </c>
      <c r="Q12" s="57">
        <f t="shared" si="0"/>
        <v>833.34000000000015</v>
      </c>
    </row>
    <row r="13" spans="1:17" ht="15.75" customHeight="1" x14ac:dyDescent="0.55000000000000004">
      <c r="A13" s="48">
        <v>38353</v>
      </c>
      <c r="B13" s="61">
        <f t="shared" si="2"/>
        <v>1219.29</v>
      </c>
      <c r="C13" s="64">
        <f t="shared" si="1"/>
        <v>686.29</v>
      </c>
      <c r="D13" s="61"/>
      <c r="E13" s="61">
        <v>33</v>
      </c>
      <c r="F13" s="134"/>
      <c r="G13" s="63">
        <f t="shared" si="3"/>
        <v>500</v>
      </c>
      <c r="H13" s="60">
        <f t="shared" si="4"/>
        <v>162500</v>
      </c>
      <c r="I13" s="60"/>
      <c r="M13" s="55">
        <v>40725</v>
      </c>
      <c r="N13" s="41">
        <v>1277.71</v>
      </c>
      <c r="O13" s="41">
        <v>426.04</v>
      </c>
      <c r="P13" s="41">
        <v>18.329999999999998</v>
      </c>
      <c r="Q13" s="57">
        <f t="shared" si="0"/>
        <v>833.34</v>
      </c>
    </row>
    <row r="14" spans="1:17" ht="15.75" customHeight="1" x14ac:dyDescent="0.55000000000000004">
      <c r="A14" s="48">
        <v>38384</v>
      </c>
      <c r="B14" s="61">
        <f t="shared" si="2"/>
        <v>1219.29</v>
      </c>
      <c r="C14" s="64">
        <f t="shared" si="1"/>
        <v>686.29</v>
      </c>
      <c r="D14" s="61"/>
      <c r="E14" s="61">
        <v>33</v>
      </c>
      <c r="F14" s="134"/>
      <c r="G14" s="63">
        <f t="shared" si="3"/>
        <v>500</v>
      </c>
      <c r="H14" s="60">
        <f t="shared" si="4"/>
        <v>162000</v>
      </c>
      <c r="I14" s="60"/>
      <c r="M14" s="55">
        <v>41091</v>
      </c>
      <c r="N14" s="41">
        <v>1234.3800000000001</v>
      </c>
      <c r="O14" s="41">
        <v>384.38</v>
      </c>
      <c r="P14" s="41">
        <v>16.670000000000002</v>
      </c>
      <c r="Q14" s="57">
        <f t="shared" si="0"/>
        <v>833.33000000000015</v>
      </c>
    </row>
    <row r="15" spans="1:17" ht="15.75" customHeight="1" x14ac:dyDescent="0.55000000000000004">
      <c r="A15" s="48">
        <v>38412</v>
      </c>
      <c r="B15" s="61">
        <f t="shared" si="2"/>
        <v>1219.29</v>
      </c>
      <c r="C15" s="64">
        <f t="shared" si="1"/>
        <v>686.29</v>
      </c>
      <c r="D15" s="61"/>
      <c r="E15" s="61">
        <v>33</v>
      </c>
      <c r="F15" s="134"/>
      <c r="G15" s="63">
        <f t="shared" si="3"/>
        <v>500</v>
      </c>
      <c r="H15" s="60">
        <f t="shared" si="4"/>
        <v>161500</v>
      </c>
      <c r="I15" s="60"/>
      <c r="M15" s="55">
        <v>41456</v>
      </c>
      <c r="N15" s="41">
        <v>1188.96</v>
      </c>
      <c r="O15" s="41">
        <v>340.63</v>
      </c>
      <c r="P15" s="41">
        <v>15</v>
      </c>
      <c r="Q15" s="57">
        <f t="shared" si="0"/>
        <v>833.33</v>
      </c>
    </row>
    <row r="16" spans="1:17" ht="15.75" customHeight="1" x14ac:dyDescent="0.55000000000000004">
      <c r="A16" s="48">
        <v>38443</v>
      </c>
      <c r="B16" s="61">
        <f t="shared" si="2"/>
        <v>1219.29</v>
      </c>
      <c r="C16" s="64">
        <f t="shared" si="1"/>
        <v>686.29</v>
      </c>
      <c r="D16" s="61"/>
      <c r="E16" s="61">
        <v>33</v>
      </c>
      <c r="F16" s="134"/>
      <c r="G16" s="63">
        <f t="shared" si="3"/>
        <v>500</v>
      </c>
      <c r="H16" s="60">
        <f t="shared" si="4"/>
        <v>161000</v>
      </c>
      <c r="I16" s="60"/>
      <c r="M16" s="55">
        <v>41821</v>
      </c>
      <c r="N16" s="41">
        <v>1143.54</v>
      </c>
      <c r="O16" s="41">
        <v>296.88</v>
      </c>
      <c r="P16" s="41">
        <v>13.33</v>
      </c>
      <c r="Q16" s="57">
        <f t="shared" si="0"/>
        <v>833.32999999999993</v>
      </c>
    </row>
    <row r="17" spans="1:17" ht="15.75" customHeight="1" x14ac:dyDescent="0.55000000000000004">
      <c r="A17" s="48">
        <v>38473</v>
      </c>
      <c r="B17" s="61">
        <f t="shared" si="2"/>
        <v>1219.29</v>
      </c>
      <c r="C17" s="64">
        <f t="shared" si="1"/>
        <v>686.29</v>
      </c>
      <c r="D17" s="61"/>
      <c r="E17" s="61">
        <v>33</v>
      </c>
      <c r="F17" s="134"/>
      <c r="G17" s="63">
        <f t="shared" si="3"/>
        <v>500</v>
      </c>
      <c r="H17" s="60">
        <f t="shared" si="4"/>
        <v>160500</v>
      </c>
      <c r="I17" s="60"/>
      <c r="M17" s="55">
        <v>42186</v>
      </c>
      <c r="N17" s="41">
        <v>1108.54</v>
      </c>
      <c r="O17" s="41">
        <v>263.54000000000002</v>
      </c>
      <c r="P17" s="41">
        <v>11.67</v>
      </c>
      <c r="Q17" s="57">
        <f t="shared" si="0"/>
        <v>833.33</v>
      </c>
    </row>
    <row r="18" spans="1:17" ht="15.75" customHeight="1" x14ac:dyDescent="0.55000000000000004">
      <c r="A18" s="48">
        <v>38504</v>
      </c>
      <c r="B18" s="61">
        <f t="shared" si="2"/>
        <v>1219.29</v>
      </c>
      <c r="C18" s="64">
        <f t="shared" si="1"/>
        <v>686.29</v>
      </c>
      <c r="D18" s="61"/>
      <c r="E18" s="61">
        <v>33</v>
      </c>
      <c r="F18" s="134"/>
      <c r="G18" s="63">
        <f t="shared" si="3"/>
        <v>500</v>
      </c>
      <c r="H18" s="60">
        <f t="shared" si="4"/>
        <v>160000</v>
      </c>
      <c r="I18" s="60"/>
      <c r="M18" s="55">
        <v>42552</v>
      </c>
      <c r="N18" s="41">
        <v>1072.5</v>
      </c>
      <c r="O18" s="41">
        <v>229.17</v>
      </c>
      <c r="P18" s="41">
        <v>10</v>
      </c>
      <c r="Q18" s="57">
        <f t="shared" si="0"/>
        <v>833.33</v>
      </c>
    </row>
    <row r="19" spans="1:17" ht="15.75" customHeight="1" x14ac:dyDescent="0.55000000000000004">
      <c r="A19" s="48">
        <v>38534</v>
      </c>
      <c r="B19" s="61">
        <f t="shared" si="2"/>
        <v>999.58</v>
      </c>
      <c r="C19" s="64">
        <f t="shared" si="1"/>
        <v>556.25</v>
      </c>
      <c r="D19" s="61"/>
      <c r="E19" s="61">
        <v>26.67</v>
      </c>
      <c r="F19" s="134"/>
      <c r="G19" s="63">
        <f t="shared" si="3"/>
        <v>416.66</v>
      </c>
      <c r="H19" s="60">
        <f t="shared" si="4"/>
        <v>159583.34</v>
      </c>
      <c r="I19" s="60"/>
      <c r="M19" s="55">
        <v>42917</v>
      </c>
      <c r="N19" s="41">
        <v>1027.08</v>
      </c>
      <c r="O19" s="41">
        <v>185.42</v>
      </c>
      <c r="P19" s="41">
        <v>8.33</v>
      </c>
      <c r="Q19" s="57">
        <f t="shared" si="0"/>
        <v>833.32999999999993</v>
      </c>
    </row>
    <row r="20" spans="1:17" ht="15.75" customHeight="1" x14ac:dyDescent="0.55000000000000004">
      <c r="A20" s="48">
        <v>38565</v>
      </c>
      <c r="B20" s="61">
        <f t="shared" si="2"/>
        <v>999.58</v>
      </c>
      <c r="C20" s="64">
        <f t="shared" si="1"/>
        <v>556.25</v>
      </c>
      <c r="D20" s="61"/>
      <c r="E20" s="61">
        <v>26.67</v>
      </c>
      <c r="F20" s="134"/>
      <c r="G20" s="63">
        <f t="shared" si="3"/>
        <v>416.66</v>
      </c>
      <c r="H20" s="60">
        <f t="shared" si="4"/>
        <v>159166.68</v>
      </c>
      <c r="I20" s="60"/>
      <c r="M20" s="55">
        <v>43282</v>
      </c>
      <c r="N20" s="41">
        <v>990</v>
      </c>
      <c r="O20" s="41">
        <v>150</v>
      </c>
      <c r="P20" s="41">
        <v>6.67</v>
      </c>
      <c r="Q20" s="57">
        <f t="shared" si="0"/>
        <v>833.33</v>
      </c>
    </row>
    <row r="21" spans="1:17" ht="15.75" customHeight="1" x14ac:dyDescent="0.55000000000000004">
      <c r="A21" s="48">
        <v>38596</v>
      </c>
      <c r="B21" s="61">
        <f t="shared" si="2"/>
        <v>999.58</v>
      </c>
      <c r="C21" s="64">
        <f t="shared" si="1"/>
        <v>556.25</v>
      </c>
      <c r="D21" s="61"/>
      <c r="E21" s="61">
        <v>26.67</v>
      </c>
      <c r="F21" s="134"/>
      <c r="G21" s="63">
        <f t="shared" si="3"/>
        <v>416.66</v>
      </c>
      <c r="H21" s="60">
        <f t="shared" si="4"/>
        <v>158750.01999999999</v>
      </c>
      <c r="I21" s="60"/>
      <c r="M21" s="55">
        <v>43647</v>
      </c>
      <c r="N21" s="41">
        <v>951.88</v>
      </c>
      <c r="O21" s="41">
        <v>113.54</v>
      </c>
      <c r="P21" s="41">
        <v>5</v>
      </c>
      <c r="Q21" s="57">
        <f t="shared" si="0"/>
        <v>833.34</v>
      </c>
    </row>
    <row r="22" spans="1:17" ht="15.75" customHeight="1" x14ac:dyDescent="0.55000000000000004">
      <c r="A22" s="48">
        <v>38626</v>
      </c>
      <c r="B22" s="61">
        <f t="shared" si="2"/>
        <v>999.58</v>
      </c>
      <c r="C22" s="61">
        <f t="shared" si="1"/>
        <v>556.25</v>
      </c>
      <c r="D22" s="61"/>
      <c r="E22" s="61">
        <v>26.67</v>
      </c>
      <c r="F22" s="134"/>
      <c r="G22" s="63">
        <f t="shared" si="3"/>
        <v>416.66</v>
      </c>
      <c r="H22" s="60">
        <f t="shared" si="4"/>
        <v>158333.35999999999</v>
      </c>
      <c r="I22" s="60"/>
      <c r="M22" s="55">
        <v>44013</v>
      </c>
      <c r="N22" s="41">
        <v>912.71</v>
      </c>
      <c r="O22" s="41">
        <v>76.040000000000006</v>
      </c>
      <c r="P22" s="41">
        <v>3.33</v>
      </c>
      <c r="Q22" s="57">
        <f t="shared" si="0"/>
        <v>833.34</v>
      </c>
    </row>
    <row r="23" spans="1:17" ht="15.75" customHeight="1" x14ac:dyDescent="0.55000000000000004">
      <c r="A23" s="48">
        <v>38657</v>
      </c>
      <c r="B23" s="61">
        <f t="shared" si="2"/>
        <v>999.58</v>
      </c>
      <c r="C23" s="61">
        <f t="shared" si="1"/>
        <v>556.25</v>
      </c>
      <c r="D23" s="61"/>
      <c r="E23" s="61">
        <v>26.67</v>
      </c>
      <c r="F23" s="134"/>
      <c r="G23" s="63">
        <f t="shared" si="3"/>
        <v>416.66</v>
      </c>
      <c r="H23" s="60">
        <f t="shared" si="4"/>
        <v>157916.69999999998</v>
      </c>
      <c r="I23" s="60"/>
      <c r="M23" s="55">
        <v>44378</v>
      </c>
      <c r="N23" s="41">
        <v>873.55</v>
      </c>
      <c r="O23" s="41">
        <v>38.54</v>
      </c>
      <c r="P23" s="41">
        <v>1.67</v>
      </c>
      <c r="Q23" s="57">
        <f t="shared" si="0"/>
        <v>833.34</v>
      </c>
    </row>
    <row r="24" spans="1:17" ht="15.75" customHeight="1" x14ac:dyDescent="0.55000000000000004">
      <c r="A24" s="102">
        <v>38687</v>
      </c>
      <c r="B24" s="103">
        <f t="shared" si="2"/>
        <v>999.58</v>
      </c>
      <c r="C24" s="103">
        <f t="shared" si="1"/>
        <v>556.25</v>
      </c>
      <c r="D24" s="103"/>
      <c r="E24" s="103">
        <v>26.67</v>
      </c>
      <c r="F24" s="135"/>
      <c r="G24" s="105">
        <f t="shared" si="3"/>
        <v>416.66</v>
      </c>
      <c r="H24" s="106">
        <f t="shared" si="4"/>
        <v>157500.03999999998</v>
      </c>
      <c r="I24" s="106"/>
      <c r="J24" s="107"/>
      <c r="M24" s="55">
        <v>44743</v>
      </c>
      <c r="N24" s="41">
        <v>0</v>
      </c>
      <c r="O24" s="41">
        <v>0</v>
      </c>
      <c r="Q24" s="57">
        <f t="shared" si="0"/>
        <v>0</v>
      </c>
    </row>
    <row r="25" spans="1:17" ht="15.75" customHeight="1" x14ac:dyDescent="0.55000000000000004">
      <c r="A25" s="48">
        <v>38718</v>
      </c>
      <c r="B25" s="61">
        <f t="shared" si="2"/>
        <v>999.58</v>
      </c>
      <c r="C25" s="61">
        <f t="shared" si="1"/>
        <v>556.25</v>
      </c>
      <c r="D25" s="61"/>
      <c r="E25" s="61">
        <v>26.67</v>
      </c>
      <c r="F25" s="134"/>
      <c r="G25" s="63">
        <f t="shared" si="3"/>
        <v>416.66</v>
      </c>
      <c r="H25" s="60">
        <f t="shared" si="4"/>
        <v>157083.37999999998</v>
      </c>
      <c r="I25" s="60"/>
      <c r="M25" s="55"/>
      <c r="Q25" s="57"/>
    </row>
    <row r="26" spans="1:17" ht="15.75" customHeight="1" x14ac:dyDescent="0.55000000000000004">
      <c r="A26" s="48">
        <v>38749</v>
      </c>
      <c r="B26" s="61">
        <f t="shared" si="2"/>
        <v>999.58</v>
      </c>
      <c r="C26" s="61">
        <f t="shared" si="1"/>
        <v>556.25</v>
      </c>
      <c r="D26" s="61"/>
      <c r="E26" s="61">
        <v>26.67</v>
      </c>
      <c r="F26" s="134"/>
      <c r="G26" s="63">
        <f t="shared" si="3"/>
        <v>416.66</v>
      </c>
      <c r="H26" s="60">
        <f t="shared" si="4"/>
        <v>156666.71999999997</v>
      </c>
      <c r="I26" s="60"/>
      <c r="M26" s="55"/>
      <c r="Q26" s="57"/>
    </row>
    <row r="27" spans="1:17" ht="15.75" customHeight="1" x14ac:dyDescent="0.55000000000000004">
      <c r="A27" s="48">
        <v>38777</v>
      </c>
      <c r="B27" s="61">
        <f t="shared" si="2"/>
        <v>999.58</v>
      </c>
      <c r="C27" s="61">
        <f t="shared" si="1"/>
        <v>556.25</v>
      </c>
      <c r="D27" s="61"/>
      <c r="E27" s="61">
        <v>26.67</v>
      </c>
      <c r="F27" s="134"/>
      <c r="G27" s="63">
        <f t="shared" si="3"/>
        <v>416.66</v>
      </c>
      <c r="H27" s="60">
        <f t="shared" si="4"/>
        <v>156250.05999999997</v>
      </c>
      <c r="I27" s="60"/>
      <c r="M27" s="55"/>
      <c r="Q27" s="57"/>
    </row>
    <row r="28" spans="1:17" ht="15.75" customHeight="1" x14ac:dyDescent="0.55000000000000004">
      <c r="A28" s="48">
        <v>38808</v>
      </c>
      <c r="B28" s="61">
        <f t="shared" si="2"/>
        <v>999.58</v>
      </c>
      <c r="C28" s="61">
        <f t="shared" si="1"/>
        <v>556.25</v>
      </c>
      <c r="D28" s="61"/>
      <c r="E28" s="61">
        <v>26.67</v>
      </c>
      <c r="F28" s="134"/>
      <c r="G28" s="63">
        <f t="shared" si="3"/>
        <v>416.66</v>
      </c>
      <c r="H28" s="60">
        <f t="shared" si="4"/>
        <v>155833.39999999997</v>
      </c>
      <c r="I28" s="60"/>
      <c r="M28" s="55"/>
      <c r="Q28" s="57"/>
    </row>
    <row r="29" spans="1:17" ht="15.75" customHeight="1" x14ac:dyDescent="0.55000000000000004">
      <c r="A29" s="48">
        <v>38838</v>
      </c>
      <c r="B29" s="61">
        <f t="shared" si="2"/>
        <v>999.58</v>
      </c>
      <c r="C29" s="61">
        <f t="shared" si="1"/>
        <v>556.25</v>
      </c>
      <c r="D29" s="61"/>
      <c r="E29" s="61">
        <v>26.67</v>
      </c>
      <c r="F29" s="134"/>
      <c r="G29" s="63">
        <f t="shared" si="3"/>
        <v>416.66</v>
      </c>
      <c r="H29" s="60">
        <f t="shared" si="4"/>
        <v>155416.73999999996</v>
      </c>
      <c r="I29" s="60"/>
      <c r="M29" s="55"/>
      <c r="Q29" s="57"/>
    </row>
    <row r="30" spans="1:17" ht="15.75" customHeight="1" x14ac:dyDescent="0.55000000000000004">
      <c r="A30" s="48">
        <v>38869</v>
      </c>
      <c r="B30" s="61">
        <f t="shared" si="2"/>
        <v>999.58</v>
      </c>
      <c r="C30" s="61">
        <f t="shared" si="1"/>
        <v>556.25</v>
      </c>
      <c r="D30" s="61"/>
      <c r="E30" s="61">
        <v>26.67</v>
      </c>
      <c r="F30" s="134"/>
      <c r="G30" s="63">
        <f t="shared" si="3"/>
        <v>416.66</v>
      </c>
      <c r="H30" s="60">
        <f t="shared" si="4"/>
        <v>155000.07999999996</v>
      </c>
      <c r="I30" s="60"/>
      <c r="M30" s="55"/>
      <c r="Q30" s="57"/>
    </row>
    <row r="31" spans="1:17" ht="15.75" customHeight="1" x14ac:dyDescent="0.55000000000000004">
      <c r="A31" s="48">
        <v>38899</v>
      </c>
      <c r="B31" s="61">
        <f t="shared" si="2"/>
        <v>989.38</v>
      </c>
      <c r="C31" s="61">
        <f t="shared" si="1"/>
        <v>546.88</v>
      </c>
      <c r="D31" s="61"/>
      <c r="E31" s="61">
        <v>25.83</v>
      </c>
      <c r="F31" s="134"/>
      <c r="G31" s="63">
        <f t="shared" si="3"/>
        <v>416.67</v>
      </c>
      <c r="H31" s="60">
        <f t="shared" si="4"/>
        <v>154583.40999999995</v>
      </c>
      <c r="I31" s="60"/>
      <c r="M31" s="55"/>
      <c r="Q31" s="57"/>
    </row>
    <row r="32" spans="1:17" ht="15.75" customHeight="1" x14ac:dyDescent="0.55000000000000004">
      <c r="A32" s="48">
        <v>38930</v>
      </c>
      <c r="B32" s="61">
        <f t="shared" si="2"/>
        <v>989.38</v>
      </c>
      <c r="C32" s="61">
        <f t="shared" si="1"/>
        <v>546.88</v>
      </c>
      <c r="D32" s="61"/>
      <c r="E32" s="61">
        <v>25.83</v>
      </c>
      <c r="F32" s="134"/>
      <c r="G32" s="63">
        <f t="shared" si="3"/>
        <v>416.67</v>
      </c>
      <c r="H32" s="60">
        <f t="shared" si="4"/>
        <v>154166.73999999993</v>
      </c>
      <c r="I32" s="60"/>
      <c r="M32" s="55"/>
      <c r="Q32" s="57"/>
    </row>
    <row r="33" spans="1:17" ht="15.75" customHeight="1" x14ac:dyDescent="0.55000000000000004">
      <c r="A33" s="48">
        <v>38961</v>
      </c>
      <c r="B33" s="61">
        <f t="shared" si="2"/>
        <v>989.38</v>
      </c>
      <c r="C33" s="61">
        <f t="shared" si="1"/>
        <v>546.88</v>
      </c>
      <c r="D33" s="61"/>
      <c r="E33" s="61">
        <v>25.83</v>
      </c>
      <c r="F33" s="134"/>
      <c r="G33" s="63">
        <f t="shared" si="3"/>
        <v>416.67</v>
      </c>
      <c r="H33" s="60">
        <f t="shared" si="4"/>
        <v>153750.06999999992</v>
      </c>
      <c r="I33" s="60"/>
      <c r="M33" s="55"/>
      <c r="Q33" s="57"/>
    </row>
    <row r="34" spans="1:17" ht="15.75" customHeight="1" x14ac:dyDescent="0.55000000000000004">
      <c r="A34" s="48">
        <v>38991</v>
      </c>
      <c r="B34" s="61">
        <f t="shared" si="2"/>
        <v>989.38</v>
      </c>
      <c r="C34" s="61">
        <f t="shared" si="1"/>
        <v>546.88</v>
      </c>
      <c r="D34" s="61"/>
      <c r="E34" s="61">
        <v>25.83</v>
      </c>
      <c r="F34" s="134"/>
      <c r="G34" s="63">
        <f t="shared" si="3"/>
        <v>416.67</v>
      </c>
      <c r="H34" s="60">
        <f t="shared" si="4"/>
        <v>153333.39999999991</v>
      </c>
      <c r="I34" s="60"/>
      <c r="M34" s="55"/>
      <c r="Q34" s="57"/>
    </row>
    <row r="35" spans="1:17" ht="15.75" customHeight="1" x14ac:dyDescent="0.55000000000000004">
      <c r="A35" s="48">
        <v>39022</v>
      </c>
      <c r="B35" s="61">
        <f t="shared" si="2"/>
        <v>989.38</v>
      </c>
      <c r="C35" s="61">
        <f t="shared" si="1"/>
        <v>546.88</v>
      </c>
      <c r="D35" s="61"/>
      <c r="E35" s="61">
        <v>25.83</v>
      </c>
      <c r="F35" s="134"/>
      <c r="G35" s="63">
        <f t="shared" si="3"/>
        <v>416.67</v>
      </c>
      <c r="H35" s="60">
        <f t="shared" si="4"/>
        <v>152916.72999999989</v>
      </c>
      <c r="I35" s="60"/>
      <c r="M35" s="55"/>
      <c r="Q35" s="57"/>
    </row>
    <row r="36" spans="1:17" ht="15.75" customHeight="1" x14ac:dyDescent="0.55000000000000004">
      <c r="A36" s="102">
        <v>39052</v>
      </c>
      <c r="B36" s="103">
        <f t="shared" si="2"/>
        <v>989.38</v>
      </c>
      <c r="C36" s="103">
        <f t="shared" si="1"/>
        <v>546.88</v>
      </c>
      <c r="D36" s="103"/>
      <c r="E36" s="103">
        <v>25.83</v>
      </c>
      <c r="F36" s="135"/>
      <c r="G36" s="105">
        <f t="shared" si="3"/>
        <v>416.67</v>
      </c>
      <c r="H36" s="106">
        <f t="shared" si="4"/>
        <v>152500.05999999988</v>
      </c>
      <c r="I36" s="106"/>
      <c r="J36" s="107"/>
      <c r="M36" s="55"/>
      <c r="Q36" s="57"/>
    </row>
    <row r="37" spans="1:17" ht="15.75" customHeight="1" x14ac:dyDescent="0.55000000000000004">
      <c r="A37" s="48">
        <v>39083</v>
      </c>
      <c r="B37" s="61">
        <f t="shared" si="2"/>
        <v>989.38</v>
      </c>
      <c r="C37" s="61">
        <f t="shared" si="1"/>
        <v>546.88</v>
      </c>
      <c r="D37" s="61"/>
      <c r="E37" s="61">
        <v>25.83</v>
      </c>
      <c r="F37" s="134"/>
      <c r="G37" s="63">
        <f t="shared" si="3"/>
        <v>416.67</v>
      </c>
      <c r="H37" s="60">
        <f t="shared" si="4"/>
        <v>152083.38999999987</v>
      </c>
      <c r="I37" s="60"/>
      <c r="M37" s="55"/>
      <c r="Q37" s="57"/>
    </row>
    <row r="38" spans="1:17" ht="15.75" customHeight="1" x14ac:dyDescent="0.55000000000000004">
      <c r="A38" s="48">
        <v>39114</v>
      </c>
      <c r="B38" s="61">
        <f t="shared" si="2"/>
        <v>989.38</v>
      </c>
      <c r="C38" s="61">
        <f t="shared" si="1"/>
        <v>546.88</v>
      </c>
      <c r="D38" s="61"/>
      <c r="E38" s="61">
        <v>25.83</v>
      </c>
      <c r="F38" s="134"/>
      <c r="G38" s="63">
        <f t="shared" si="3"/>
        <v>416.67</v>
      </c>
      <c r="H38" s="60">
        <f t="shared" si="4"/>
        <v>151666.71999999986</v>
      </c>
      <c r="I38" s="60"/>
      <c r="M38" s="55"/>
      <c r="Q38" s="57"/>
    </row>
    <row r="39" spans="1:17" ht="15.75" customHeight="1" x14ac:dyDescent="0.55000000000000004">
      <c r="A39" s="48">
        <v>39142</v>
      </c>
      <c r="B39" s="61">
        <f t="shared" si="2"/>
        <v>989.38</v>
      </c>
      <c r="C39" s="61">
        <f t="shared" si="1"/>
        <v>546.88</v>
      </c>
      <c r="D39" s="61"/>
      <c r="E39" s="61">
        <v>25.83</v>
      </c>
      <c r="F39" s="134"/>
      <c r="G39" s="63">
        <f t="shared" si="3"/>
        <v>416.67</v>
      </c>
      <c r="H39" s="60">
        <f t="shared" si="4"/>
        <v>151250.04999999984</v>
      </c>
      <c r="I39" s="60"/>
      <c r="M39" s="55"/>
      <c r="Q39" s="57"/>
    </row>
    <row r="40" spans="1:17" ht="15.75" customHeight="1" x14ac:dyDescent="0.55000000000000004">
      <c r="A40" s="48">
        <v>39173</v>
      </c>
      <c r="B40" s="61">
        <f t="shared" si="2"/>
        <v>989.38</v>
      </c>
      <c r="C40" s="61">
        <f t="shared" si="1"/>
        <v>546.88</v>
      </c>
      <c r="D40" s="61"/>
      <c r="E40" s="61">
        <v>25.83</v>
      </c>
      <c r="F40" s="134"/>
      <c r="G40" s="63">
        <f t="shared" si="3"/>
        <v>416.67</v>
      </c>
      <c r="H40" s="60">
        <f t="shared" si="4"/>
        <v>150833.37999999983</v>
      </c>
      <c r="I40" s="60"/>
      <c r="M40" s="55"/>
      <c r="Q40" s="57"/>
    </row>
    <row r="41" spans="1:17" ht="15.75" customHeight="1" x14ac:dyDescent="0.55000000000000004">
      <c r="A41" s="48">
        <v>39203</v>
      </c>
      <c r="B41" s="61">
        <f t="shared" si="2"/>
        <v>989.38</v>
      </c>
      <c r="C41" s="61">
        <f t="shared" si="1"/>
        <v>546.88</v>
      </c>
      <c r="D41" s="61"/>
      <c r="E41" s="61">
        <v>25.83</v>
      </c>
      <c r="F41" s="134"/>
      <c r="G41" s="63">
        <f t="shared" si="3"/>
        <v>416.67</v>
      </c>
      <c r="H41" s="60">
        <f t="shared" si="4"/>
        <v>150416.70999999982</v>
      </c>
      <c r="I41" s="60"/>
      <c r="M41" s="55"/>
      <c r="Q41" s="57"/>
    </row>
    <row r="42" spans="1:17" ht="15.75" customHeight="1" x14ac:dyDescent="0.55000000000000004">
      <c r="A42" s="48">
        <v>39234</v>
      </c>
      <c r="B42" s="61">
        <f t="shared" si="2"/>
        <v>989.38</v>
      </c>
      <c r="C42" s="61">
        <f t="shared" si="1"/>
        <v>546.88</v>
      </c>
      <c r="D42" s="61"/>
      <c r="E42" s="61">
        <v>25.83</v>
      </c>
      <c r="F42" s="134"/>
      <c r="G42" s="63">
        <f t="shared" si="3"/>
        <v>416.67</v>
      </c>
      <c r="H42" s="60">
        <f t="shared" si="4"/>
        <v>150000.0399999998</v>
      </c>
      <c r="I42" s="60"/>
      <c r="M42" s="55"/>
      <c r="Q42" s="57"/>
    </row>
    <row r="43" spans="1:17" ht="15.75" customHeight="1" x14ac:dyDescent="0.55000000000000004">
      <c r="A43" s="48">
        <v>39264</v>
      </c>
      <c r="B43" s="61">
        <f t="shared" si="2"/>
        <v>1394.79</v>
      </c>
      <c r="C43" s="61">
        <f t="shared" si="1"/>
        <v>536.46</v>
      </c>
      <c r="D43" s="61"/>
      <c r="E43" s="61">
        <v>25</v>
      </c>
      <c r="F43" s="134"/>
      <c r="G43" s="63">
        <f t="shared" si="3"/>
        <v>833.32999999999993</v>
      </c>
      <c r="H43" s="60">
        <f t="shared" si="4"/>
        <v>149166.70999999982</v>
      </c>
      <c r="I43" s="60"/>
      <c r="M43" s="55"/>
      <c r="Q43" s="57"/>
    </row>
    <row r="44" spans="1:17" ht="15.75" customHeight="1" x14ac:dyDescent="0.55000000000000004">
      <c r="A44" s="48">
        <v>39295</v>
      </c>
      <c r="B44" s="61">
        <f t="shared" si="2"/>
        <v>1394.79</v>
      </c>
      <c r="C44" s="61">
        <f t="shared" si="1"/>
        <v>536.46</v>
      </c>
      <c r="D44" s="61"/>
      <c r="E44" s="61">
        <v>25</v>
      </c>
      <c r="F44" s="134"/>
      <c r="G44" s="63">
        <f t="shared" si="3"/>
        <v>833.32999999999993</v>
      </c>
      <c r="H44" s="60">
        <f t="shared" si="4"/>
        <v>148333.37999999983</v>
      </c>
      <c r="I44" s="60"/>
      <c r="M44" s="55"/>
      <c r="Q44" s="57"/>
    </row>
    <row r="45" spans="1:17" ht="15.75" customHeight="1" x14ac:dyDescent="0.55000000000000004">
      <c r="A45" s="48">
        <v>39326</v>
      </c>
      <c r="B45" s="61">
        <f t="shared" si="2"/>
        <v>1394.79</v>
      </c>
      <c r="C45" s="61">
        <f t="shared" si="1"/>
        <v>536.46</v>
      </c>
      <c r="D45" s="61"/>
      <c r="E45" s="61">
        <v>25</v>
      </c>
      <c r="F45" s="134"/>
      <c r="G45" s="63">
        <f t="shared" si="3"/>
        <v>833.32999999999993</v>
      </c>
      <c r="H45" s="60">
        <f t="shared" si="4"/>
        <v>147500.04999999984</v>
      </c>
      <c r="I45" s="60"/>
      <c r="M45" s="55"/>
      <c r="Q45" s="57"/>
    </row>
    <row r="46" spans="1:17" ht="14.1" x14ac:dyDescent="0.55000000000000004">
      <c r="A46" s="48">
        <v>39356</v>
      </c>
      <c r="B46" s="61">
        <f t="shared" si="2"/>
        <v>1394.79</v>
      </c>
      <c r="C46" s="61">
        <f t="shared" si="1"/>
        <v>536.46</v>
      </c>
      <c r="D46" s="61"/>
      <c r="E46" s="61">
        <v>25</v>
      </c>
      <c r="F46" s="134"/>
      <c r="G46" s="63">
        <f t="shared" si="3"/>
        <v>833.32999999999993</v>
      </c>
      <c r="H46" s="60">
        <f t="shared" si="4"/>
        <v>146666.71999999986</v>
      </c>
      <c r="I46" s="60"/>
      <c r="M46" s="55"/>
      <c r="Q46" s="57"/>
    </row>
    <row r="47" spans="1:17" ht="14.1" x14ac:dyDescent="0.55000000000000004">
      <c r="A47" s="48">
        <v>39387</v>
      </c>
      <c r="B47" s="61">
        <f t="shared" si="2"/>
        <v>1394.79</v>
      </c>
      <c r="C47" s="61">
        <f t="shared" si="1"/>
        <v>536.46</v>
      </c>
      <c r="D47" s="61"/>
      <c r="E47" s="61">
        <v>25</v>
      </c>
      <c r="F47" s="134"/>
      <c r="G47" s="63">
        <f t="shared" si="3"/>
        <v>833.32999999999993</v>
      </c>
      <c r="H47" s="60">
        <f t="shared" si="4"/>
        <v>145833.38999999987</v>
      </c>
      <c r="I47" s="60"/>
      <c r="M47" s="55"/>
      <c r="Q47" s="57"/>
    </row>
    <row r="48" spans="1:17" ht="14.1" x14ac:dyDescent="0.55000000000000004">
      <c r="A48" s="102">
        <v>39417</v>
      </c>
      <c r="B48" s="103">
        <f t="shared" si="2"/>
        <v>1394.79</v>
      </c>
      <c r="C48" s="103">
        <f t="shared" si="1"/>
        <v>536.46</v>
      </c>
      <c r="D48" s="103"/>
      <c r="E48" s="103">
        <v>25</v>
      </c>
      <c r="F48" s="135"/>
      <c r="G48" s="105">
        <f t="shared" si="3"/>
        <v>833.32999999999993</v>
      </c>
      <c r="H48" s="106">
        <f t="shared" si="4"/>
        <v>145000.05999999988</v>
      </c>
      <c r="I48" s="106"/>
      <c r="J48" s="107"/>
      <c r="M48" s="55"/>
      <c r="Q48" s="57"/>
    </row>
    <row r="49" spans="1:17" ht="14.1" x14ac:dyDescent="0.55000000000000004">
      <c r="A49" s="48">
        <v>39448</v>
      </c>
      <c r="B49" s="61">
        <f t="shared" si="2"/>
        <v>1394.79</v>
      </c>
      <c r="C49" s="61">
        <f t="shared" si="1"/>
        <v>536.46</v>
      </c>
      <c r="D49" s="61"/>
      <c r="E49" s="61">
        <v>25</v>
      </c>
      <c r="F49" s="134"/>
      <c r="G49" s="63">
        <f t="shared" si="3"/>
        <v>833.32999999999993</v>
      </c>
      <c r="H49" s="60">
        <f t="shared" si="4"/>
        <v>144166.72999999989</v>
      </c>
      <c r="I49" s="60"/>
      <c r="M49" s="55"/>
      <c r="Q49" s="57"/>
    </row>
    <row r="50" spans="1:17" ht="14.1" x14ac:dyDescent="0.55000000000000004">
      <c r="A50" s="48">
        <v>39479</v>
      </c>
      <c r="B50" s="61">
        <f t="shared" si="2"/>
        <v>1394.79</v>
      </c>
      <c r="C50" s="61">
        <f t="shared" si="1"/>
        <v>536.46</v>
      </c>
      <c r="D50" s="61"/>
      <c r="E50" s="61">
        <v>25</v>
      </c>
      <c r="F50" s="134"/>
      <c r="G50" s="63">
        <f t="shared" si="3"/>
        <v>833.32999999999993</v>
      </c>
      <c r="H50" s="60">
        <f t="shared" si="4"/>
        <v>143333.39999999991</v>
      </c>
      <c r="I50" s="60"/>
      <c r="M50" s="55"/>
      <c r="Q50" s="57"/>
    </row>
    <row r="51" spans="1:17" ht="14.1" x14ac:dyDescent="0.55000000000000004">
      <c r="A51" s="48">
        <v>39508</v>
      </c>
      <c r="B51" s="61">
        <f t="shared" si="2"/>
        <v>1394.79</v>
      </c>
      <c r="C51" s="61">
        <f t="shared" si="1"/>
        <v>536.46</v>
      </c>
      <c r="D51" s="61"/>
      <c r="E51" s="61">
        <v>25</v>
      </c>
      <c r="F51" s="134"/>
      <c r="G51" s="63">
        <f t="shared" si="3"/>
        <v>833.32999999999993</v>
      </c>
      <c r="H51" s="60">
        <f t="shared" si="4"/>
        <v>142500.06999999992</v>
      </c>
      <c r="I51" s="60"/>
      <c r="M51" s="55"/>
      <c r="Q51" s="57"/>
    </row>
    <row r="52" spans="1:17" ht="14.1" x14ac:dyDescent="0.55000000000000004">
      <c r="A52" s="48">
        <v>39539</v>
      </c>
      <c r="B52" s="61">
        <f t="shared" si="2"/>
        <v>1394.79</v>
      </c>
      <c r="C52" s="61">
        <f t="shared" si="1"/>
        <v>536.46</v>
      </c>
      <c r="D52" s="61"/>
      <c r="E52" s="61">
        <v>25</v>
      </c>
      <c r="F52" s="134"/>
      <c r="G52" s="63">
        <f t="shared" si="3"/>
        <v>833.32999999999993</v>
      </c>
      <c r="H52" s="60">
        <f t="shared" si="4"/>
        <v>141666.73999999993</v>
      </c>
      <c r="I52" s="60"/>
      <c r="M52" s="55"/>
      <c r="Q52" s="57"/>
    </row>
    <row r="53" spans="1:17" ht="14.1" x14ac:dyDescent="0.55000000000000004">
      <c r="A53" s="48">
        <v>39569</v>
      </c>
      <c r="B53" s="61">
        <f t="shared" si="2"/>
        <v>1394.79</v>
      </c>
      <c r="C53" s="61">
        <f t="shared" si="1"/>
        <v>536.46</v>
      </c>
      <c r="D53" s="61"/>
      <c r="E53" s="61">
        <v>25</v>
      </c>
      <c r="F53" s="134"/>
      <c r="G53" s="63">
        <f t="shared" si="3"/>
        <v>833.32999999999993</v>
      </c>
      <c r="H53" s="60">
        <f t="shared" si="4"/>
        <v>140833.40999999995</v>
      </c>
      <c r="I53" s="60"/>
      <c r="M53" s="55"/>
    </row>
    <row r="54" spans="1:17" ht="14.1" x14ac:dyDescent="0.55000000000000004">
      <c r="A54" s="48">
        <v>39600</v>
      </c>
      <c r="B54" s="61">
        <f t="shared" si="2"/>
        <v>1394.79</v>
      </c>
      <c r="C54" s="61">
        <f t="shared" si="1"/>
        <v>536.46</v>
      </c>
      <c r="D54" s="61"/>
      <c r="E54" s="61">
        <v>25</v>
      </c>
      <c r="F54" s="134"/>
      <c r="G54" s="63">
        <f t="shared" si="3"/>
        <v>833.32999999999993</v>
      </c>
      <c r="H54" s="60">
        <f t="shared" si="4"/>
        <v>140000.07999999996</v>
      </c>
      <c r="I54" s="60"/>
      <c r="M54" s="55"/>
    </row>
    <row r="55" spans="1:17" ht="14.1" x14ac:dyDescent="0.55000000000000004">
      <c r="A55" s="48">
        <v>39630</v>
      </c>
      <c r="B55" s="61">
        <f t="shared" si="2"/>
        <v>1368.13</v>
      </c>
      <c r="C55" s="61">
        <f t="shared" si="1"/>
        <v>511.46</v>
      </c>
      <c r="D55" s="61"/>
      <c r="E55" s="61">
        <v>23.33</v>
      </c>
      <c r="F55" s="134"/>
      <c r="G55" s="63">
        <f t="shared" si="3"/>
        <v>833.34</v>
      </c>
      <c r="H55" s="60">
        <f t="shared" si="4"/>
        <v>139166.73999999996</v>
      </c>
      <c r="I55" s="60"/>
    </row>
    <row r="56" spans="1:17" ht="14.1" x14ac:dyDescent="0.55000000000000004">
      <c r="A56" s="48">
        <v>39661</v>
      </c>
      <c r="B56" s="61">
        <f t="shared" si="2"/>
        <v>1368.13</v>
      </c>
      <c r="C56" s="61">
        <f t="shared" si="1"/>
        <v>511.46</v>
      </c>
      <c r="D56" s="61"/>
      <c r="E56" s="61">
        <v>23.33</v>
      </c>
      <c r="F56" s="134"/>
      <c r="G56" s="63">
        <f t="shared" si="3"/>
        <v>833.34</v>
      </c>
      <c r="H56" s="60">
        <f t="shared" si="4"/>
        <v>138333.39999999997</v>
      </c>
      <c r="I56" s="60"/>
    </row>
    <row r="57" spans="1:17" ht="14.1" x14ac:dyDescent="0.55000000000000004">
      <c r="A57" s="48">
        <v>39692</v>
      </c>
      <c r="B57" s="61">
        <f t="shared" si="2"/>
        <v>1368.13</v>
      </c>
      <c r="C57" s="61">
        <f t="shared" si="1"/>
        <v>511.46</v>
      </c>
      <c r="D57" s="61"/>
      <c r="E57" s="61">
        <v>23.33</v>
      </c>
      <c r="F57" s="134"/>
      <c r="G57" s="63">
        <f t="shared" si="3"/>
        <v>833.34</v>
      </c>
      <c r="H57" s="60">
        <f t="shared" si="4"/>
        <v>137500.05999999997</v>
      </c>
      <c r="I57" s="60"/>
    </row>
    <row r="58" spans="1:17" ht="14.1" x14ac:dyDescent="0.55000000000000004">
      <c r="A58" s="48">
        <v>39722</v>
      </c>
      <c r="B58" s="61">
        <f t="shared" si="2"/>
        <v>1368.13</v>
      </c>
      <c r="C58" s="61">
        <f t="shared" si="1"/>
        <v>511.46</v>
      </c>
      <c r="D58" s="61"/>
      <c r="E58" s="61">
        <v>23.33</v>
      </c>
      <c r="F58" s="134"/>
      <c r="G58" s="63">
        <f t="shared" si="3"/>
        <v>833.34</v>
      </c>
      <c r="H58" s="60">
        <f t="shared" si="4"/>
        <v>136666.71999999997</v>
      </c>
      <c r="I58" s="60"/>
    </row>
    <row r="59" spans="1:17" ht="14.1" x14ac:dyDescent="0.55000000000000004">
      <c r="A59" s="48">
        <v>39753</v>
      </c>
      <c r="B59" s="61">
        <f t="shared" si="2"/>
        <v>1368.13</v>
      </c>
      <c r="C59" s="61">
        <f t="shared" si="1"/>
        <v>511.46</v>
      </c>
      <c r="D59" s="61"/>
      <c r="E59" s="61">
        <v>23.33</v>
      </c>
      <c r="F59" s="134"/>
      <c r="G59" s="63">
        <f t="shared" si="3"/>
        <v>833.34</v>
      </c>
      <c r="H59" s="60">
        <f t="shared" si="4"/>
        <v>135833.37999999998</v>
      </c>
      <c r="I59" s="60"/>
    </row>
    <row r="60" spans="1:17" ht="14.1" x14ac:dyDescent="0.55000000000000004">
      <c r="A60" s="102">
        <v>39783</v>
      </c>
      <c r="B60" s="103">
        <f t="shared" si="2"/>
        <v>1368.13</v>
      </c>
      <c r="C60" s="103">
        <f t="shared" si="1"/>
        <v>511.46</v>
      </c>
      <c r="D60" s="103"/>
      <c r="E60" s="103">
        <v>23.33</v>
      </c>
      <c r="F60" s="135"/>
      <c r="G60" s="105">
        <f t="shared" si="3"/>
        <v>833.34</v>
      </c>
      <c r="H60" s="106">
        <f t="shared" si="4"/>
        <v>135000.03999999998</v>
      </c>
      <c r="I60" s="106"/>
      <c r="J60" s="107"/>
    </row>
    <row r="61" spans="1:17" ht="14.1" x14ac:dyDescent="0.55000000000000004">
      <c r="A61" s="48">
        <v>39814</v>
      </c>
      <c r="B61" s="61">
        <f t="shared" si="2"/>
        <v>1368.13</v>
      </c>
      <c r="C61" s="61">
        <f t="shared" si="1"/>
        <v>511.46</v>
      </c>
      <c r="D61" s="61"/>
      <c r="E61" s="61">
        <v>23.33</v>
      </c>
      <c r="F61" s="134"/>
      <c r="G61" s="63">
        <f t="shared" si="3"/>
        <v>833.34</v>
      </c>
      <c r="H61" s="60">
        <f t="shared" si="4"/>
        <v>134166.69999999998</v>
      </c>
      <c r="I61" s="60"/>
    </row>
    <row r="62" spans="1:17" ht="14.1" x14ac:dyDescent="0.55000000000000004">
      <c r="A62" s="48">
        <v>39845</v>
      </c>
      <c r="B62" s="61">
        <f t="shared" si="2"/>
        <v>1368.13</v>
      </c>
      <c r="C62" s="61">
        <f t="shared" si="1"/>
        <v>511.46</v>
      </c>
      <c r="D62" s="61"/>
      <c r="E62" s="61">
        <v>23.33</v>
      </c>
      <c r="F62" s="134"/>
      <c r="G62" s="63">
        <f t="shared" si="3"/>
        <v>833.34</v>
      </c>
      <c r="H62" s="60">
        <f t="shared" si="4"/>
        <v>133333.35999999999</v>
      </c>
      <c r="I62" s="60"/>
    </row>
    <row r="63" spans="1:17" ht="14.1" x14ac:dyDescent="0.55000000000000004">
      <c r="A63" s="48">
        <v>39873</v>
      </c>
      <c r="B63" s="61">
        <f t="shared" si="2"/>
        <v>1368.13</v>
      </c>
      <c r="C63" s="61">
        <f t="shared" si="1"/>
        <v>511.46</v>
      </c>
      <c r="D63" s="61"/>
      <c r="E63" s="61">
        <v>23.33</v>
      </c>
      <c r="F63" s="134"/>
      <c r="G63" s="63">
        <f t="shared" si="3"/>
        <v>833.34</v>
      </c>
      <c r="H63" s="60">
        <f t="shared" si="4"/>
        <v>132500.01999999999</v>
      </c>
      <c r="I63" s="60"/>
    </row>
    <row r="64" spans="1:17" ht="14.1" x14ac:dyDescent="0.55000000000000004">
      <c r="A64" s="48">
        <v>39904</v>
      </c>
      <c r="B64" s="61">
        <f t="shared" si="2"/>
        <v>1368.13</v>
      </c>
      <c r="C64" s="61">
        <f t="shared" si="1"/>
        <v>511.46</v>
      </c>
      <c r="D64" s="61"/>
      <c r="E64" s="61">
        <v>23.33</v>
      </c>
      <c r="F64" s="134"/>
      <c r="G64" s="63">
        <f t="shared" si="3"/>
        <v>833.34</v>
      </c>
      <c r="H64" s="60">
        <f t="shared" si="4"/>
        <v>131666.68</v>
      </c>
      <c r="I64" s="60"/>
    </row>
    <row r="65" spans="1:10" ht="14.1" x14ac:dyDescent="0.55000000000000004">
      <c r="A65" s="48">
        <v>39934</v>
      </c>
      <c r="B65" s="61">
        <f t="shared" si="2"/>
        <v>1368.13</v>
      </c>
      <c r="C65" s="61">
        <f t="shared" si="1"/>
        <v>511.46</v>
      </c>
      <c r="D65" s="61"/>
      <c r="E65" s="61">
        <v>23.33</v>
      </c>
      <c r="F65" s="134"/>
      <c r="G65" s="63">
        <f t="shared" si="3"/>
        <v>833.34</v>
      </c>
      <c r="H65" s="60">
        <f t="shared" si="4"/>
        <v>130833.34</v>
      </c>
      <c r="I65" s="60"/>
    </row>
    <row r="66" spans="1:10" ht="14.1" x14ac:dyDescent="0.55000000000000004">
      <c r="A66" s="48">
        <v>39965</v>
      </c>
      <c r="B66" s="61">
        <f t="shared" si="2"/>
        <v>1368.13</v>
      </c>
      <c r="C66" s="61">
        <f t="shared" si="1"/>
        <v>511.46</v>
      </c>
      <c r="D66" s="61"/>
      <c r="E66" s="61">
        <v>23.33</v>
      </c>
      <c r="F66" s="134"/>
      <c r="G66" s="63">
        <f t="shared" si="3"/>
        <v>833.34</v>
      </c>
      <c r="H66" s="60">
        <f t="shared" si="4"/>
        <v>130000</v>
      </c>
      <c r="I66" s="60"/>
    </row>
    <row r="67" spans="1:10" ht="14.1" x14ac:dyDescent="0.55000000000000004">
      <c r="A67" s="48">
        <v>39995</v>
      </c>
      <c r="B67" s="61">
        <f t="shared" si="2"/>
        <v>1341.46</v>
      </c>
      <c r="C67" s="61">
        <f t="shared" si="1"/>
        <v>486.46</v>
      </c>
      <c r="D67" s="61"/>
      <c r="E67" s="61">
        <v>21.67</v>
      </c>
      <c r="F67" s="134"/>
      <c r="G67" s="63">
        <f t="shared" si="3"/>
        <v>833.33</v>
      </c>
      <c r="H67" s="60">
        <f t="shared" si="4"/>
        <v>129166.67</v>
      </c>
      <c r="I67" s="60"/>
    </row>
    <row r="68" spans="1:10" ht="14.1" x14ac:dyDescent="0.55000000000000004">
      <c r="A68" s="48">
        <v>40026</v>
      </c>
      <c r="B68" s="61">
        <f t="shared" si="2"/>
        <v>1341.46</v>
      </c>
      <c r="C68" s="61">
        <f t="shared" si="1"/>
        <v>486.46</v>
      </c>
      <c r="D68" s="61"/>
      <c r="E68" s="61">
        <v>21.67</v>
      </c>
      <c r="F68" s="134"/>
      <c r="G68" s="63">
        <f t="shared" si="3"/>
        <v>833.33</v>
      </c>
      <c r="H68" s="60">
        <f t="shared" si="4"/>
        <v>128333.34</v>
      </c>
      <c r="I68" s="60"/>
    </row>
    <row r="69" spans="1:10" ht="14.1" x14ac:dyDescent="0.55000000000000004">
      <c r="A69" s="48">
        <v>40057</v>
      </c>
      <c r="B69" s="61">
        <f t="shared" si="2"/>
        <v>1341.46</v>
      </c>
      <c r="C69" s="61">
        <f t="shared" si="1"/>
        <v>486.46</v>
      </c>
      <c r="D69" s="61"/>
      <c r="E69" s="61">
        <v>21.67</v>
      </c>
      <c r="F69" s="134"/>
      <c r="G69" s="63">
        <f t="shared" si="3"/>
        <v>833.33</v>
      </c>
      <c r="H69" s="60">
        <f t="shared" si="4"/>
        <v>127500.01</v>
      </c>
      <c r="I69" s="60"/>
    </row>
    <row r="70" spans="1:10" ht="14.1" x14ac:dyDescent="0.55000000000000004">
      <c r="A70" s="48">
        <v>40087</v>
      </c>
      <c r="B70" s="61">
        <f t="shared" si="2"/>
        <v>1341.46</v>
      </c>
      <c r="C70" s="61">
        <f t="shared" si="1"/>
        <v>486.46</v>
      </c>
      <c r="D70" s="61"/>
      <c r="E70" s="61">
        <v>21.67</v>
      </c>
      <c r="F70" s="134"/>
      <c r="G70" s="63">
        <f t="shared" si="3"/>
        <v>833.33</v>
      </c>
      <c r="H70" s="60">
        <f t="shared" si="4"/>
        <v>126666.68</v>
      </c>
      <c r="I70" s="60"/>
    </row>
    <row r="71" spans="1:10" ht="14.1" x14ac:dyDescent="0.55000000000000004">
      <c r="A71" s="48">
        <v>40118</v>
      </c>
      <c r="B71" s="61">
        <f t="shared" si="2"/>
        <v>1341.46</v>
      </c>
      <c r="C71" s="61">
        <f t="shared" si="1"/>
        <v>486.46</v>
      </c>
      <c r="D71" s="61"/>
      <c r="E71" s="61">
        <v>21.67</v>
      </c>
      <c r="F71" s="134"/>
      <c r="G71" s="63">
        <f t="shared" si="3"/>
        <v>833.33</v>
      </c>
      <c r="H71" s="60">
        <f t="shared" si="4"/>
        <v>125833.34999999999</v>
      </c>
      <c r="I71" s="60"/>
    </row>
    <row r="72" spans="1:10" ht="14.1" x14ac:dyDescent="0.55000000000000004">
      <c r="A72" s="102">
        <v>40148</v>
      </c>
      <c r="B72" s="103">
        <f t="shared" si="2"/>
        <v>1341.46</v>
      </c>
      <c r="C72" s="103">
        <f t="shared" si="1"/>
        <v>486.46</v>
      </c>
      <c r="D72" s="103"/>
      <c r="E72" s="103">
        <v>21.67</v>
      </c>
      <c r="F72" s="135"/>
      <c r="G72" s="105">
        <f t="shared" si="3"/>
        <v>833.33</v>
      </c>
      <c r="H72" s="106">
        <f t="shared" si="4"/>
        <v>125000.01999999999</v>
      </c>
      <c r="I72" s="106"/>
      <c r="J72" s="107"/>
    </row>
    <row r="73" spans="1:10" ht="14.1" x14ac:dyDescent="0.55000000000000004">
      <c r="A73" s="48">
        <v>40179</v>
      </c>
      <c r="B73" s="61">
        <f t="shared" si="2"/>
        <v>1341.46</v>
      </c>
      <c r="C73" s="61">
        <f t="shared" ref="C73:C136" si="5">_xlfn.XLOOKUP(A73,$M$6:$M$52,$O$6:$O$52,,-1,2)</f>
        <v>486.46</v>
      </c>
      <c r="D73" s="61"/>
      <c r="E73" s="61">
        <v>21.67</v>
      </c>
      <c r="F73" s="134"/>
      <c r="G73" s="63">
        <f t="shared" si="3"/>
        <v>833.33</v>
      </c>
      <c r="H73" s="60">
        <f t="shared" si="4"/>
        <v>124166.68999999999</v>
      </c>
      <c r="I73" s="60"/>
    </row>
    <row r="74" spans="1:10" ht="14.1" x14ac:dyDescent="0.55000000000000004">
      <c r="A74" s="48">
        <v>40210</v>
      </c>
      <c r="B74" s="61">
        <f t="shared" ref="B74:B137" si="6">_xlfn.XLOOKUP(A74,$M$6:$M$52,$N$6:$N$52,,-1,2)</f>
        <v>1341.46</v>
      </c>
      <c r="C74" s="61">
        <f t="shared" si="5"/>
        <v>486.46</v>
      </c>
      <c r="D74" s="61"/>
      <c r="E74" s="61">
        <v>21.67</v>
      </c>
      <c r="F74" s="134"/>
      <c r="G74" s="63">
        <f t="shared" ref="G74:G137" si="7">+B74-C74-E74</f>
        <v>833.33</v>
      </c>
      <c r="H74" s="60">
        <f t="shared" si="4"/>
        <v>123333.35999999999</v>
      </c>
      <c r="I74" s="60"/>
    </row>
    <row r="75" spans="1:10" ht="14.1" x14ac:dyDescent="0.55000000000000004">
      <c r="A75" s="48">
        <v>40238</v>
      </c>
      <c r="B75" s="61">
        <f t="shared" si="6"/>
        <v>1341.46</v>
      </c>
      <c r="C75" s="61">
        <f t="shared" si="5"/>
        <v>486.46</v>
      </c>
      <c r="D75" s="61"/>
      <c r="E75" s="61">
        <v>21.67</v>
      </c>
      <c r="F75" s="134"/>
      <c r="G75" s="63">
        <f t="shared" si="7"/>
        <v>833.33</v>
      </c>
      <c r="H75" s="60">
        <f t="shared" ref="H75:H138" si="8">+H74-G75</f>
        <v>122500.02999999998</v>
      </c>
      <c r="I75" s="60"/>
    </row>
    <row r="76" spans="1:10" ht="14.1" x14ac:dyDescent="0.55000000000000004">
      <c r="A76" s="48">
        <v>40269</v>
      </c>
      <c r="B76" s="61">
        <f t="shared" si="6"/>
        <v>1341.46</v>
      </c>
      <c r="C76" s="61">
        <f t="shared" si="5"/>
        <v>486.46</v>
      </c>
      <c r="D76" s="61"/>
      <c r="E76" s="61">
        <v>21.67</v>
      </c>
      <c r="F76" s="134"/>
      <c r="G76" s="63">
        <f t="shared" si="7"/>
        <v>833.33</v>
      </c>
      <c r="H76" s="60">
        <f t="shared" si="8"/>
        <v>121666.69999999998</v>
      </c>
      <c r="I76" s="60"/>
    </row>
    <row r="77" spans="1:10" ht="14.1" x14ac:dyDescent="0.55000000000000004">
      <c r="A77" s="48">
        <v>40299</v>
      </c>
      <c r="B77" s="61">
        <f t="shared" si="6"/>
        <v>1341.46</v>
      </c>
      <c r="C77" s="61">
        <f t="shared" si="5"/>
        <v>486.46</v>
      </c>
      <c r="D77" s="61"/>
      <c r="E77" s="61">
        <v>21.67</v>
      </c>
      <c r="F77" s="134"/>
      <c r="G77" s="63">
        <f t="shared" si="7"/>
        <v>833.33</v>
      </c>
      <c r="H77" s="60">
        <f t="shared" si="8"/>
        <v>120833.36999999998</v>
      </c>
      <c r="I77" s="60"/>
    </row>
    <row r="78" spans="1:10" ht="14.1" x14ac:dyDescent="0.55000000000000004">
      <c r="A78" s="48">
        <v>40330</v>
      </c>
      <c r="B78" s="61">
        <f t="shared" si="6"/>
        <v>1341.46</v>
      </c>
      <c r="C78" s="61">
        <f t="shared" si="5"/>
        <v>486.46</v>
      </c>
      <c r="D78" s="61"/>
      <c r="E78" s="61">
        <v>21.67</v>
      </c>
      <c r="F78" s="134"/>
      <c r="G78" s="63">
        <f t="shared" si="7"/>
        <v>833.33</v>
      </c>
      <c r="H78" s="60">
        <f t="shared" si="8"/>
        <v>120000.03999999998</v>
      </c>
      <c r="I78" s="60"/>
    </row>
    <row r="79" spans="1:10" ht="14.1" x14ac:dyDescent="0.55000000000000004">
      <c r="A79" s="48">
        <v>40360</v>
      </c>
      <c r="B79" s="61">
        <f t="shared" si="6"/>
        <v>1310.6300000000001</v>
      </c>
      <c r="C79" s="61">
        <f t="shared" si="5"/>
        <v>457.29</v>
      </c>
      <c r="D79" s="61"/>
      <c r="E79" s="61">
        <v>20</v>
      </c>
      <c r="F79" s="134"/>
      <c r="G79" s="63">
        <f t="shared" si="7"/>
        <v>833.34000000000015</v>
      </c>
      <c r="H79" s="60">
        <f t="shared" si="8"/>
        <v>119166.69999999998</v>
      </c>
      <c r="I79" s="60"/>
    </row>
    <row r="80" spans="1:10" ht="14.1" x14ac:dyDescent="0.55000000000000004">
      <c r="A80" s="48">
        <v>40391</v>
      </c>
      <c r="B80" s="61">
        <f t="shared" si="6"/>
        <v>1310.6300000000001</v>
      </c>
      <c r="C80" s="61">
        <f t="shared" si="5"/>
        <v>457.29</v>
      </c>
      <c r="D80" s="61"/>
      <c r="E80" s="61">
        <v>20</v>
      </c>
      <c r="F80" s="134"/>
      <c r="G80" s="63">
        <f t="shared" si="7"/>
        <v>833.34000000000015</v>
      </c>
      <c r="H80" s="60">
        <f t="shared" si="8"/>
        <v>118333.35999999999</v>
      </c>
      <c r="I80" s="60"/>
    </row>
    <row r="81" spans="1:10" ht="14.1" x14ac:dyDescent="0.55000000000000004">
      <c r="A81" s="48">
        <v>40422</v>
      </c>
      <c r="B81" s="61">
        <f t="shared" si="6"/>
        <v>1310.6300000000001</v>
      </c>
      <c r="C81" s="61">
        <f t="shared" si="5"/>
        <v>457.29</v>
      </c>
      <c r="D81" s="61"/>
      <c r="E81" s="61">
        <v>20</v>
      </c>
      <c r="F81" s="134"/>
      <c r="G81" s="63">
        <f t="shared" si="7"/>
        <v>833.34000000000015</v>
      </c>
      <c r="H81" s="60">
        <f t="shared" si="8"/>
        <v>117500.01999999999</v>
      </c>
      <c r="I81" s="60"/>
    </row>
    <row r="82" spans="1:10" ht="14.1" x14ac:dyDescent="0.55000000000000004">
      <c r="A82" s="48">
        <v>40452</v>
      </c>
      <c r="B82" s="61">
        <f t="shared" si="6"/>
        <v>1310.6300000000001</v>
      </c>
      <c r="C82" s="61">
        <f t="shared" si="5"/>
        <v>457.29</v>
      </c>
      <c r="D82" s="61"/>
      <c r="E82" s="61">
        <v>20</v>
      </c>
      <c r="F82" s="134"/>
      <c r="G82" s="63">
        <f t="shared" si="7"/>
        <v>833.34000000000015</v>
      </c>
      <c r="H82" s="60">
        <f t="shared" si="8"/>
        <v>116666.68</v>
      </c>
      <c r="I82" s="60"/>
    </row>
    <row r="83" spans="1:10" ht="14.1" x14ac:dyDescent="0.55000000000000004">
      <c r="A83" s="48">
        <v>40483</v>
      </c>
      <c r="B83" s="61">
        <f t="shared" si="6"/>
        <v>1310.6300000000001</v>
      </c>
      <c r="C83" s="61">
        <f t="shared" si="5"/>
        <v>457.29</v>
      </c>
      <c r="D83" s="61"/>
      <c r="E83" s="61">
        <v>20</v>
      </c>
      <c r="F83" s="134"/>
      <c r="G83" s="63">
        <f t="shared" si="7"/>
        <v>833.34000000000015</v>
      </c>
      <c r="H83" s="60">
        <f t="shared" si="8"/>
        <v>115833.34</v>
      </c>
      <c r="I83" s="60"/>
    </row>
    <row r="84" spans="1:10" ht="14.1" x14ac:dyDescent="0.55000000000000004">
      <c r="A84" s="102">
        <v>40513</v>
      </c>
      <c r="B84" s="103">
        <f t="shared" si="6"/>
        <v>1310.6300000000001</v>
      </c>
      <c r="C84" s="103">
        <f t="shared" si="5"/>
        <v>457.29</v>
      </c>
      <c r="D84" s="103"/>
      <c r="E84" s="103">
        <v>20</v>
      </c>
      <c r="F84" s="135"/>
      <c r="G84" s="105">
        <f t="shared" si="7"/>
        <v>833.34000000000015</v>
      </c>
      <c r="H84" s="106">
        <f t="shared" si="8"/>
        <v>115000</v>
      </c>
      <c r="I84" s="107"/>
      <c r="J84" s="107"/>
    </row>
    <row r="85" spans="1:10" ht="14.1" x14ac:dyDescent="0.55000000000000004">
      <c r="A85" s="48">
        <v>40544</v>
      </c>
      <c r="B85" s="61">
        <f t="shared" si="6"/>
        <v>1310.6300000000001</v>
      </c>
      <c r="C85" s="61">
        <f t="shared" si="5"/>
        <v>457.29</v>
      </c>
      <c r="D85" s="61"/>
      <c r="E85" s="61">
        <v>20</v>
      </c>
      <c r="F85" s="134"/>
      <c r="G85" s="63">
        <f t="shared" si="7"/>
        <v>833.34000000000015</v>
      </c>
      <c r="H85" s="60">
        <f t="shared" si="8"/>
        <v>114166.66</v>
      </c>
    </row>
    <row r="86" spans="1:10" ht="14.1" x14ac:dyDescent="0.55000000000000004">
      <c r="A86" s="48">
        <v>40575</v>
      </c>
      <c r="B86" s="61">
        <f t="shared" si="6"/>
        <v>1310.6300000000001</v>
      </c>
      <c r="C86" s="61">
        <f t="shared" si="5"/>
        <v>457.29</v>
      </c>
      <c r="D86" s="61"/>
      <c r="E86" s="61">
        <v>20</v>
      </c>
      <c r="F86" s="134"/>
      <c r="G86" s="63">
        <f t="shared" si="7"/>
        <v>833.34000000000015</v>
      </c>
      <c r="H86" s="60">
        <f t="shared" si="8"/>
        <v>113333.32</v>
      </c>
    </row>
    <row r="87" spans="1:10" ht="14.1" x14ac:dyDescent="0.55000000000000004">
      <c r="A87" s="48">
        <v>40603</v>
      </c>
      <c r="B87" s="61">
        <f t="shared" si="6"/>
        <v>1310.6300000000001</v>
      </c>
      <c r="C87" s="61">
        <f t="shared" si="5"/>
        <v>457.29</v>
      </c>
      <c r="D87" s="61"/>
      <c r="E87" s="61">
        <v>20</v>
      </c>
      <c r="F87" s="134"/>
      <c r="G87" s="63">
        <f t="shared" si="7"/>
        <v>833.34000000000015</v>
      </c>
      <c r="H87" s="60">
        <f t="shared" si="8"/>
        <v>112499.98000000001</v>
      </c>
    </row>
    <row r="88" spans="1:10" ht="14.1" x14ac:dyDescent="0.55000000000000004">
      <c r="A88" s="48">
        <v>40634</v>
      </c>
      <c r="B88" s="61">
        <f t="shared" si="6"/>
        <v>1310.6300000000001</v>
      </c>
      <c r="C88" s="61">
        <f t="shared" si="5"/>
        <v>457.29</v>
      </c>
      <c r="D88" s="61"/>
      <c r="E88" s="61">
        <v>20</v>
      </c>
      <c r="F88" s="134"/>
      <c r="G88" s="63">
        <f t="shared" si="7"/>
        <v>833.34000000000015</v>
      </c>
      <c r="H88" s="60">
        <f t="shared" si="8"/>
        <v>111666.64000000001</v>
      </c>
    </row>
    <row r="89" spans="1:10" ht="14.1" x14ac:dyDescent="0.55000000000000004">
      <c r="A89" s="48">
        <v>40664</v>
      </c>
      <c r="B89" s="61">
        <f t="shared" si="6"/>
        <v>1310.6300000000001</v>
      </c>
      <c r="C89" s="61">
        <f t="shared" si="5"/>
        <v>457.29</v>
      </c>
      <c r="D89" s="61"/>
      <c r="E89" s="61">
        <v>20</v>
      </c>
      <c r="F89" s="134"/>
      <c r="G89" s="63">
        <f t="shared" si="7"/>
        <v>833.34000000000015</v>
      </c>
      <c r="H89" s="60">
        <f t="shared" si="8"/>
        <v>110833.30000000002</v>
      </c>
    </row>
    <row r="90" spans="1:10" ht="14.1" x14ac:dyDescent="0.55000000000000004">
      <c r="A90" s="48">
        <v>40695</v>
      </c>
      <c r="B90" s="61">
        <f t="shared" si="6"/>
        <v>1310.6300000000001</v>
      </c>
      <c r="C90" s="61">
        <f t="shared" si="5"/>
        <v>457.29</v>
      </c>
      <c r="D90" s="61"/>
      <c r="E90" s="61">
        <v>20</v>
      </c>
      <c r="F90" s="134"/>
      <c r="G90" s="63">
        <f t="shared" si="7"/>
        <v>833.34000000000015</v>
      </c>
      <c r="H90" s="60">
        <f t="shared" si="8"/>
        <v>109999.96000000002</v>
      </c>
    </row>
    <row r="91" spans="1:10" ht="14.1" x14ac:dyDescent="0.55000000000000004">
      <c r="A91" s="48">
        <v>40725</v>
      </c>
      <c r="B91" s="61">
        <f t="shared" si="6"/>
        <v>1277.71</v>
      </c>
      <c r="C91" s="61">
        <f t="shared" si="5"/>
        <v>426.04</v>
      </c>
      <c r="D91" s="61"/>
      <c r="E91" s="61">
        <v>18.329999999999998</v>
      </c>
      <c r="F91" s="134"/>
      <c r="G91" s="63">
        <f t="shared" si="7"/>
        <v>833.34</v>
      </c>
      <c r="H91" s="60">
        <f t="shared" si="8"/>
        <v>109166.62000000002</v>
      </c>
    </row>
    <row r="92" spans="1:10" ht="14.1" x14ac:dyDescent="0.55000000000000004">
      <c r="A92" s="48">
        <v>40756</v>
      </c>
      <c r="B92" s="61">
        <f t="shared" si="6"/>
        <v>1277.71</v>
      </c>
      <c r="C92" s="61">
        <f t="shared" si="5"/>
        <v>426.04</v>
      </c>
      <c r="D92" s="61"/>
      <c r="E92" s="61">
        <v>18.329999999999998</v>
      </c>
      <c r="F92" s="134"/>
      <c r="G92" s="63">
        <f t="shared" si="7"/>
        <v>833.34</v>
      </c>
      <c r="H92" s="60">
        <f t="shared" si="8"/>
        <v>108333.28000000003</v>
      </c>
    </row>
    <row r="93" spans="1:10" ht="14.1" x14ac:dyDescent="0.55000000000000004">
      <c r="A93" s="48">
        <v>40787</v>
      </c>
      <c r="B93" s="61">
        <f t="shared" si="6"/>
        <v>1277.71</v>
      </c>
      <c r="C93" s="61">
        <f t="shared" si="5"/>
        <v>426.04</v>
      </c>
      <c r="D93" s="61"/>
      <c r="E93" s="61">
        <v>18.329999999999998</v>
      </c>
      <c r="F93" s="134"/>
      <c r="G93" s="63">
        <f t="shared" si="7"/>
        <v>833.34</v>
      </c>
      <c r="H93" s="60">
        <f t="shared" si="8"/>
        <v>107499.94000000003</v>
      </c>
    </row>
    <row r="94" spans="1:10" ht="14.1" x14ac:dyDescent="0.55000000000000004">
      <c r="A94" s="48">
        <v>40817</v>
      </c>
      <c r="B94" s="61">
        <f t="shared" si="6"/>
        <v>1277.71</v>
      </c>
      <c r="C94" s="61">
        <f t="shared" si="5"/>
        <v>426.04</v>
      </c>
      <c r="D94" s="61"/>
      <c r="E94" s="61">
        <v>18.329999999999998</v>
      </c>
      <c r="F94" s="134"/>
      <c r="G94" s="63">
        <f t="shared" si="7"/>
        <v>833.34</v>
      </c>
      <c r="H94" s="60">
        <f t="shared" si="8"/>
        <v>106666.60000000003</v>
      </c>
    </row>
    <row r="95" spans="1:10" ht="14.1" x14ac:dyDescent="0.55000000000000004">
      <c r="A95" s="48">
        <v>40848</v>
      </c>
      <c r="B95" s="61">
        <f t="shared" si="6"/>
        <v>1277.71</v>
      </c>
      <c r="C95" s="61">
        <f t="shared" si="5"/>
        <v>426.04</v>
      </c>
      <c r="D95" s="61"/>
      <c r="E95" s="61">
        <v>18.329999999999998</v>
      </c>
      <c r="F95" s="134"/>
      <c r="G95" s="63">
        <f t="shared" si="7"/>
        <v>833.34</v>
      </c>
      <c r="H95" s="60">
        <f t="shared" si="8"/>
        <v>105833.26000000004</v>
      </c>
    </row>
    <row r="96" spans="1:10" ht="14.1" x14ac:dyDescent="0.55000000000000004">
      <c r="A96" s="102">
        <v>40878</v>
      </c>
      <c r="B96" s="103">
        <f t="shared" si="6"/>
        <v>1277.71</v>
      </c>
      <c r="C96" s="103">
        <f t="shared" si="5"/>
        <v>426.04</v>
      </c>
      <c r="D96" s="103"/>
      <c r="E96" s="103">
        <v>18.329999999999998</v>
      </c>
      <c r="F96" s="135"/>
      <c r="G96" s="105">
        <f t="shared" si="7"/>
        <v>833.34</v>
      </c>
      <c r="H96" s="106">
        <f t="shared" si="8"/>
        <v>104999.92000000004</v>
      </c>
      <c r="I96" s="107"/>
      <c r="J96" s="107"/>
    </row>
    <row r="97" spans="1:10" ht="14.1" x14ac:dyDescent="0.55000000000000004">
      <c r="A97" s="48">
        <v>40909</v>
      </c>
      <c r="B97" s="61">
        <f t="shared" si="6"/>
        <v>1277.71</v>
      </c>
      <c r="C97" s="61">
        <f t="shared" si="5"/>
        <v>426.04</v>
      </c>
      <c r="D97" s="61"/>
      <c r="E97" s="61">
        <v>18.329999999999998</v>
      </c>
      <c r="F97" s="134"/>
      <c r="G97" s="63">
        <f t="shared" si="7"/>
        <v>833.34</v>
      </c>
      <c r="H97" s="60">
        <f t="shared" si="8"/>
        <v>104166.58000000005</v>
      </c>
    </row>
    <row r="98" spans="1:10" ht="14.1" x14ac:dyDescent="0.55000000000000004">
      <c r="A98" s="48">
        <v>40940</v>
      </c>
      <c r="B98" s="61">
        <f t="shared" si="6"/>
        <v>1277.71</v>
      </c>
      <c r="C98" s="61">
        <f t="shared" si="5"/>
        <v>426.04</v>
      </c>
      <c r="D98" s="61"/>
      <c r="E98" s="61">
        <v>18.329999999999998</v>
      </c>
      <c r="F98" s="134"/>
      <c r="G98" s="63">
        <f t="shared" si="7"/>
        <v>833.34</v>
      </c>
      <c r="H98" s="60">
        <f t="shared" si="8"/>
        <v>103333.24000000005</v>
      </c>
    </row>
    <row r="99" spans="1:10" ht="14.1" x14ac:dyDescent="0.55000000000000004">
      <c r="A99" s="48">
        <v>40969</v>
      </c>
      <c r="B99" s="61">
        <f t="shared" si="6"/>
        <v>1277.71</v>
      </c>
      <c r="C99" s="61">
        <f t="shared" si="5"/>
        <v>426.04</v>
      </c>
      <c r="D99" s="61"/>
      <c r="E99" s="61">
        <v>18.329999999999998</v>
      </c>
      <c r="F99" s="134"/>
      <c r="G99" s="63">
        <f t="shared" si="7"/>
        <v>833.34</v>
      </c>
      <c r="H99" s="60">
        <f t="shared" si="8"/>
        <v>102499.90000000005</v>
      </c>
    </row>
    <row r="100" spans="1:10" ht="14.1" x14ac:dyDescent="0.55000000000000004">
      <c r="A100" s="48">
        <v>41000</v>
      </c>
      <c r="B100" s="61">
        <f t="shared" si="6"/>
        <v>1277.71</v>
      </c>
      <c r="C100" s="61">
        <f t="shared" si="5"/>
        <v>426.04</v>
      </c>
      <c r="D100" s="61"/>
      <c r="E100" s="61">
        <v>18.329999999999998</v>
      </c>
      <c r="F100" s="134"/>
      <c r="G100" s="63">
        <f t="shared" si="7"/>
        <v>833.34</v>
      </c>
      <c r="H100" s="60">
        <f t="shared" si="8"/>
        <v>101666.56000000006</v>
      </c>
    </row>
    <row r="101" spans="1:10" ht="14.1" x14ac:dyDescent="0.55000000000000004">
      <c r="A101" s="48">
        <v>41030</v>
      </c>
      <c r="B101" s="61">
        <f t="shared" si="6"/>
        <v>1277.71</v>
      </c>
      <c r="C101" s="61">
        <f t="shared" si="5"/>
        <v>426.04</v>
      </c>
      <c r="D101" s="61"/>
      <c r="E101" s="61">
        <v>18.329999999999998</v>
      </c>
      <c r="F101" s="134"/>
      <c r="G101" s="63">
        <f t="shared" si="7"/>
        <v>833.34</v>
      </c>
      <c r="H101" s="60">
        <f t="shared" si="8"/>
        <v>100833.22000000006</v>
      </c>
    </row>
    <row r="102" spans="1:10" ht="14.1" x14ac:dyDescent="0.55000000000000004">
      <c r="A102" s="48">
        <v>41061</v>
      </c>
      <c r="B102" s="61">
        <f t="shared" si="6"/>
        <v>1277.71</v>
      </c>
      <c r="C102" s="61">
        <f t="shared" si="5"/>
        <v>426.04</v>
      </c>
      <c r="D102" s="61"/>
      <c r="E102" s="61">
        <v>18.329999999999998</v>
      </c>
      <c r="F102" s="134"/>
      <c r="G102" s="63">
        <f t="shared" si="7"/>
        <v>833.34</v>
      </c>
      <c r="H102" s="60">
        <f t="shared" si="8"/>
        <v>99999.880000000063</v>
      </c>
    </row>
    <row r="103" spans="1:10" ht="14.1" x14ac:dyDescent="0.55000000000000004">
      <c r="A103" s="48">
        <v>41091</v>
      </c>
      <c r="B103" s="61">
        <f t="shared" si="6"/>
        <v>1234.3800000000001</v>
      </c>
      <c r="C103" s="61">
        <f t="shared" si="5"/>
        <v>384.38</v>
      </c>
      <c r="D103" s="61"/>
      <c r="E103" s="61">
        <v>16.670000000000002</v>
      </c>
      <c r="F103" s="134"/>
      <c r="G103" s="63">
        <f t="shared" si="7"/>
        <v>833.33000000000015</v>
      </c>
      <c r="H103" s="60">
        <f t="shared" si="8"/>
        <v>99166.550000000061</v>
      </c>
    </row>
    <row r="104" spans="1:10" ht="14.1" x14ac:dyDescent="0.55000000000000004">
      <c r="A104" s="48">
        <v>41122</v>
      </c>
      <c r="B104" s="61">
        <f t="shared" si="6"/>
        <v>1234.3800000000001</v>
      </c>
      <c r="C104" s="61">
        <f t="shared" si="5"/>
        <v>384.38</v>
      </c>
      <c r="D104" s="61"/>
      <c r="E104" s="61">
        <v>16.670000000000002</v>
      </c>
      <c r="F104" s="134"/>
      <c r="G104" s="63">
        <f t="shared" si="7"/>
        <v>833.33000000000015</v>
      </c>
      <c r="H104" s="60">
        <f t="shared" si="8"/>
        <v>98333.220000000059</v>
      </c>
    </row>
    <row r="105" spans="1:10" ht="14.1" x14ac:dyDescent="0.55000000000000004">
      <c r="A105" s="48">
        <v>41153</v>
      </c>
      <c r="B105" s="61">
        <f t="shared" si="6"/>
        <v>1234.3800000000001</v>
      </c>
      <c r="C105" s="61">
        <f t="shared" si="5"/>
        <v>384.38</v>
      </c>
      <c r="D105" s="61"/>
      <c r="E105" s="61">
        <v>16.670000000000002</v>
      </c>
      <c r="F105" s="134"/>
      <c r="G105" s="63">
        <f t="shared" si="7"/>
        <v>833.33000000000015</v>
      </c>
      <c r="H105" s="60">
        <f t="shared" si="8"/>
        <v>97499.890000000058</v>
      </c>
    </row>
    <row r="106" spans="1:10" ht="14.1" x14ac:dyDescent="0.55000000000000004">
      <c r="A106" s="48">
        <v>41183</v>
      </c>
      <c r="B106" s="61">
        <f t="shared" si="6"/>
        <v>1234.3800000000001</v>
      </c>
      <c r="C106" s="61">
        <f t="shared" si="5"/>
        <v>384.38</v>
      </c>
      <c r="D106" s="61"/>
      <c r="E106" s="61">
        <v>16.670000000000002</v>
      </c>
      <c r="F106" s="134"/>
      <c r="G106" s="63">
        <f t="shared" si="7"/>
        <v>833.33000000000015</v>
      </c>
      <c r="H106" s="60">
        <f t="shared" si="8"/>
        <v>96666.560000000056</v>
      </c>
    </row>
    <row r="107" spans="1:10" ht="14.1" x14ac:dyDescent="0.55000000000000004">
      <c r="A107" s="48">
        <v>41214</v>
      </c>
      <c r="B107" s="61">
        <f t="shared" si="6"/>
        <v>1234.3800000000001</v>
      </c>
      <c r="C107" s="61">
        <f t="shared" si="5"/>
        <v>384.38</v>
      </c>
      <c r="D107" s="61"/>
      <c r="E107" s="61">
        <v>16.670000000000002</v>
      </c>
      <c r="F107" s="134"/>
      <c r="G107" s="63">
        <f t="shared" si="7"/>
        <v>833.33000000000015</v>
      </c>
      <c r="H107" s="60">
        <f t="shared" si="8"/>
        <v>95833.230000000054</v>
      </c>
    </row>
    <row r="108" spans="1:10" ht="14.1" x14ac:dyDescent="0.55000000000000004">
      <c r="A108" s="102">
        <v>41244</v>
      </c>
      <c r="B108" s="103">
        <f t="shared" si="6"/>
        <v>1234.3800000000001</v>
      </c>
      <c r="C108" s="103">
        <f t="shared" si="5"/>
        <v>384.38</v>
      </c>
      <c r="D108" s="103"/>
      <c r="E108" s="103">
        <v>16.670000000000002</v>
      </c>
      <c r="F108" s="135"/>
      <c r="G108" s="105">
        <f t="shared" si="7"/>
        <v>833.33000000000015</v>
      </c>
      <c r="H108" s="106">
        <f t="shared" si="8"/>
        <v>94999.900000000052</v>
      </c>
      <c r="I108" s="107"/>
      <c r="J108" s="107"/>
    </row>
    <row r="109" spans="1:10" ht="14.1" x14ac:dyDescent="0.55000000000000004">
      <c r="A109" s="48">
        <v>41275</v>
      </c>
      <c r="B109" s="61">
        <f t="shared" si="6"/>
        <v>1234.3800000000001</v>
      </c>
      <c r="C109" s="61">
        <f t="shared" si="5"/>
        <v>384.38</v>
      </c>
      <c r="D109" s="61"/>
      <c r="E109" s="61">
        <v>16.670000000000002</v>
      </c>
      <c r="F109" s="134"/>
      <c r="G109" s="63">
        <f t="shared" si="7"/>
        <v>833.33000000000015</v>
      </c>
      <c r="H109" s="60">
        <f t="shared" si="8"/>
        <v>94166.570000000051</v>
      </c>
    </row>
    <row r="110" spans="1:10" ht="14.1" x14ac:dyDescent="0.55000000000000004">
      <c r="A110" s="48">
        <v>41306</v>
      </c>
      <c r="B110" s="61">
        <f t="shared" si="6"/>
        <v>1234.3800000000001</v>
      </c>
      <c r="C110" s="61">
        <f t="shared" si="5"/>
        <v>384.38</v>
      </c>
      <c r="D110" s="61"/>
      <c r="E110" s="61">
        <v>16.670000000000002</v>
      </c>
      <c r="F110" s="134"/>
      <c r="G110" s="63">
        <f t="shared" si="7"/>
        <v>833.33000000000015</v>
      </c>
      <c r="H110" s="60">
        <f t="shared" si="8"/>
        <v>93333.240000000049</v>
      </c>
    </row>
    <row r="111" spans="1:10" ht="14.1" x14ac:dyDescent="0.55000000000000004">
      <c r="A111" s="48">
        <v>41334</v>
      </c>
      <c r="B111" s="61">
        <f t="shared" si="6"/>
        <v>1234.3800000000001</v>
      </c>
      <c r="C111" s="61">
        <f t="shared" si="5"/>
        <v>384.38</v>
      </c>
      <c r="D111" s="61"/>
      <c r="E111" s="61">
        <v>16.670000000000002</v>
      </c>
      <c r="F111" s="134"/>
      <c r="G111" s="63">
        <f t="shared" si="7"/>
        <v>833.33000000000015</v>
      </c>
      <c r="H111" s="60">
        <f t="shared" si="8"/>
        <v>92499.910000000047</v>
      </c>
    </row>
    <row r="112" spans="1:10" ht="14.1" x14ac:dyDescent="0.55000000000000004">
      <c r="A112" s="48">
        <v>41365</v>
      </c>
      <c r="B112" s="61">
        <f t="shared" si="6"/>
        <v>1234.3800000000001</v>
      </c>
      <c r="C112" s="61">
        <f t="shared" si="5"/>
        <v>384.38</v>
      </c>
      <c r="D112" s="61"/>
      <c r="E112" s="61">
        <v>16.670000000000002</v>
      </c>
      <c r="F112" s="134"/>
      <c r="G112" s="63">
        <f t="shared" si="7"/>
        <v>833.33000000000015</v>
      </c>
      <c r="H112" s="60">
        <f t="shared" si="8"/>
        <v>91666.580000000045</v>
      </c>
    </row>
    <row r="113" spans="1:10" ht="14.1" x14ac:dyDescent="0.55000000000000004">
      <c r="A113" s="48">
        <v>41395</v>
      </c>
      <c r="B113" s="61">
        <f t="shared" si="6"/>
        <v>1234.3800000000001</v>
      </c>
      <c r="C113" s="61">
        <f t="shared" si="5"/>
        <v>384.38</v>
      </c>
      <c r="D113" s="61"/>
      <c r="E113" s="61">
        <v>16.670000000000002</v>
      </c>
      <c r="F113" s="134"/>
      <c r="G113" s="63">
        <f t="shared" si="7"/>
        <v>833.33000000000015</v>
      </c>
      <c r="H113" s="60">
        <f t="shared" si="8"/>
        <v>90833.250000000044</v>
      </c>
    </row>
    <row r="114" spans="1:10" ht="14.1" x14ac:dyDescent="0.55000000000000004">
      <c r="A114" s="48">
        <v>41426</v>
      </c>
      <c r="B114" s="61">
        <f t="shared" si="6"/>
        <v>1234.3800000000001</v>
      </c>
      <c r="C114" s="61">
        <f t="shared" si="5"/>
        <v>384.38</v>
      </c>
      <c r="D114" s="61"/>
      <c r="E114" s="61">
        <v>16.670000000000002</v>
      </c>
      <c r="F114" s="134"/>
      <c r="G114" s="63">
        <f t="shared" si="7"/>
        <v>833.33000000000015</v>
      </c>
      <c r="H114" s="60">
        <f t="shared" si="8"/>
        <v>89999.920000000042</v>
      </c>
    </row>
    <row r="115" spans="1:10" ht="14.1" x14ac:dyDescent="0.55000000000000004">
      <c r="A115" s="48">
        <v>41456</v>
      </c>
      <c r="B115" s="61">
        <f t="shared" si="6"/>
        <v>1188.96</v>
      </c>
      <c r="C115" s="61">
        <f t="shared" si="5"/>
        <v>340.63</v>
      </c>
      <c r="D115" s="61"/>
      <c r="E115" s="61">
        <v>15</v>
      </c>
      <c r="F115" s="134"/>
      <c r="G115" s="63">
        <f t="shared" si="7"/>
        <v>833.33</v>
      </c>
      <c r="H115" s="60">
        <f t="shared" si="8"/>
        <v>89166.59000000004</v>
      </c>
    </row>
    <row r="116" spans="1:10" ht="14.1" x14ac:dyDescent="0.55000000000000004">
      <c r="A116" s="48">
        <v>41487</v>
      </c>
      <c r="B116" s="61">
        <f t="shared" si="6"/>
        <v>1188.96</v>
      </c>
      <c r="C116" s="61">
        <f t="shared" si="5"/>
        <v>340.63</v>
      </c>
      <c r="D116" s="61"/>
      <c r="E116" s="61">
        <v>15</v>
      </c>
      <c r="F116" s="134"/>
      <c r="G116" s="63">
        <f t="shared" si="7"/>
        <v>833.33</v>
      </c>
      <c r="H116" s="60">
        <f t="shared" si="8"/>
        <v>88333.260000000038</v>
      </c>
    </row>
    <row r="117" spans="1:10" ht="14.1" x14ac:dyDescent="0.55000000000000004">
      <c r="A117" s="48">
        <v>41518</v>
      </c>
      <c r="B117" s="61">
        <f t="shared" si="6"/>
        <v>1188.96</v>
      </c>
      <c r="C117" s="61">
        <f t="shared" si="5"/>
        <v>340.63</v>
      </c>
      <c r="D117" s="61"/>
      <c r="E117" s="61">
        <v>15</v>
      </c>
      <c r="F117" s="134"/>
      <c r="G117" s="63">
        <f t="shared" si="7"/>
        <v>833.33</v>
      </c>
      <c r="H117" s="60">
        <f t="shared" si="8"/>
        <v>87499.930000000037</v>
      </c>
    </row>
    <row r="118" spans="1:10" ht="14.1" x14ac:dyDescent="0.55000000000000004">
      <c r="A118" s="48">
        <v>41548</v>
      </c>
      <c r="B118" s="61">
        <f t="shared" si="6"/>
        <v>1188.96</v>
      </c>
      <c r="C118" s="61">
        <f t="shared" si="5"/>
        <v>340.63</v>
      </c>
      <c r="D118" s="61"/>
      <c r="E118" s="61">
        <v>15</v>
      </c>
      <c r="F118" s="134"/>
      <c r="G118" s="63">
        <f t="shared" si="7"/>
        <v>833.33</v>
      </c>
      <c r="H118" s="60">
        <f t="shared" si="8"/>
        <v>86666.600000000035</v>
      </c>
    </row>
    <row r="119" spans="1:10" ht="14.1" x14ac:dyDescent="0.55000000000000004">
      <c r="A119" s="48">
        <v>41579</v>
      </c>
      <c r="B119" s="61">
        <f t="shared" si="6"/>
        <v>1188.96</v>
      </c>
      <c r="C119" s="61">
        <f t="shared" si="5"/>
        <v>340.63</v>
      </c>
      <c r="D119" s="61"/>
      <c r="E119" s="61">
        <v>15</v>
      </c>
      <c r="F119" s="134"/>
      <c r="G119" s="63">
        <f t="shared" si="7"/>
        <v>833.33</v>
      </c>
      <c r="H119" s="60">
        <f t="shared" si="8"/>
        <v>85833.270000000033</v>
      </c>
    </row>
    <row r="120" spans="1:10" ht="14.1" x14ac:dyDescent="0.55000000000000004">
      <c r="A120" s="102">
        <v>41609</v>
      </c>
      <c r="B120" s="103">
        <f t="shared" si="6"/>
        <v>1188.96</v>
      </c>
      <c r="C120" s="103">
        <f t="shared" si="5"/>
        <v>340.63</v>
      </c>
      <c r="D120" s="103"/>
      <c r="E120" s="103">
        <v>15</v>
      </c>
      <c r="F120" s="135"/>
      <c r="G120" s="105">
        <f t="shared" si="7"/>
        <v>833.33</v>
      </c>
      <c r="H120" s="106">
        <f t="shared" si="8"/>
        <v>84999.940000000031</v>
      </c>
      <c r="I120" s="107"/>
      <c r="J120" s="107"/>
    </row>
    <row r="121" spans="1:10" ht="14.1" x14ac:dyDescent="0.55000000000000004">
      <c r="A121" s="48">
        <v>41640</v>
      </c>
      <c r="B121" s="61">
        <f t="shared" si="6"/>
        <v>1188.96</v>
      </c>
      <c r="C121" s="61">
        <f t="shared" si="5"/>
        <v>340.63</v>
      </c>
      <c r="D121" s="61"/>
      <c r="E121" s="61">
        <v>15</v>
      </c>
      <c r="F121" s="134"/>
      <c r="G121" s="63">
        <f t="shared" si="7"/>
        <v>833.33</v>
      </c>
      <c r="H121" s="60">
        <f t="shared" si="8"/>
        <v>84166.61000000003</v>
      </c>
    </row>
    <row r="122" spans="1:10" ht="14.1" x14ac:dyDescent="0.55000000000000004">
      <c r="A122" s="48">
        <v>41671</v>
      </c>
      <c r="B122" s="61">
        <f t="shared" si="6"/>
        <v>1188.96</v>
      </c>
      <c r="C122" s="61">
        <f t="shared" si="5"/>
        <v>340.63</v>
      </c>
      <c r="D122" s="61"/>
      <c r="E122" s="61">
        <v>15</v>
      </c>
      <c r="F122" s="134"/>
      <c r="G122" s="63">
        <f t="shared" si="7"/>
        <v>833.33</v>
      </c>
      <c r="H122" s="60">
        <f t="shared" si="8"/>
        <v>83333.280000000028</v>
      </c>
    </row>
    <row r="123" spans="1:10" ht="14.1" x14ac:dyDescent="0.55000000000000004">
      <c r="A123" s="48">
        <v>41699</v>
      </c>
      <c r="B123" s="61">
        <f t="shared" si="6"/>
        <v>1188.96</v>
      </c>
      <c r="C123" s="61">
        <f t="shared" si="5"/>
        <v>340.63</v>
      </c>
      <c r="D123" s="61"/>
      <c r="E123" s="61">
        <v>15</v>
      </c>
      <c r="F123" s="134"/>
      <c r="G123" s="63">
        <f t="shared" si="7"/>
        <v>833.33</v>
      </c>
      <c r="H123" s="60">
        <f t="shared" si="8"/>
        <v>82499.950000000026</v>
      </c>
    </row>
    <row r="124" spans="1:10" ht="14.1" x14ac:dyDescent="0.55000000000000004">
      <c r="A124" s="48">
        <v>41730</v>
      </c>
      <c r="B124" s="61">
        <f t="shared" si="6"/>
        <v>1188.96</v>
      </c>
      <c r="C124" s="61">
        <f t="shared" si="5"/>
        <v>340.63</v>
      </c>
      <c r="D124" s="61"/>
      <c r="E124" s="61">
        <v>15</v>
      </c>
      <c r="F124" s="134"/>
      <c r="G124" s="63">
        <f t="shared" si="7"/>
        <v>833.33</v>
      </c>
      <c r="H124" s="60">
        <f t="shared" si="8"/>
        <v>81666.620000000024</v>
      </c>
    </row>
    <row r="125" spans="1:10" ht="14.1" x14ac:dyDescent="0.55000000000000004">
      <c r="A125" s="48">
        <v>41760</v>
      </c>
      <c r="B125" s="61">
        <f t="shared" si="6"/>
        <v>1188.96</v>
      </c>
      <c r="C125" s="61">
        <f t="shared" si="5"/>
        <v>340.63</v>
      </c>
      <c r="D125" s="61"/>
      <c r="E125" s="61">
        <v>15</v>
      </c>
      <c r="F125" s="134"/>
      <c r="G125" s="63">
        <f t="shared" si="7"/>
        <v>833.33</v>
      </c>
      <c r="H125" s="60">
        <f t="shared" si="8"/>
        <v>80833.290000000023</v>
      </c>
    </row>
    <row r="126" spans="1:10" ht="14.1" x14ac:dyDescent="0.55000000000000004">
      <c r="A126" s="48">
        <v>41791</v>
      </c>
      <c r="B126" s="61">
        <f t="shared" si="6"/>
        <v>1188.96</v>
      </c>
      <c r="C126" s="61">
        <f t="shared" si="5"/>
        <v>340.63</v>
      </c>
      <c r="D126" s="61"/>
      <c r="E126" s="61">
        <v>15</v>
      </c>
      <c r="F126" s="134"/>
      <c r="G126" s="63">
        <f t="shared" si="7"/>
        <v>833.33</v>
      </c>
      <c r="H126" s="60">
        <f t="shared" si="8"/>
        <v>79999.960000000021</v>
      </c>
    </row>
    <row r="127" spans="1:10" ht="14.1" x14ac:dyDescent="0.55000000000000004">
      <c r="A127" s="48">
        <v>41821</v>
      </c>
      <c r="B127" s="61">
        <f t="shared" si="6"/>
        <v>1143.54</v>
      </c>
      <c r="C127" s="61">
        <f t="shared" si="5"/>
        <v>296.88</v>
      </c>
      <c r="D127" s="61"/>
      <c r="E127" s="61">
        <v>13.33</v>
      </c>
      <c r="F127" s="134"/>
      <c r="G127" s="63">
        <f t="shared" si="7"/>
        <v>833.32999999999993</v>
      </c>
      <c r="H127" s="60">
        <f t="shared" si="8"/>
        <v>79166.630000000019</v>
      </c>
    </row>
    <row r="128" spans="1:10" ht="14.1" x14ac:dyDescent="0.55000000000000004">
      <c r="A128" s="48">
        <v>41852</v>
      </c>
      <c r="B128" s="61">
        <f t="shared" si="6"/>
        <v>1143.54</v>
      </c>
      <c r="C128" s="61">
        <f t="shared" si="5"/>
        <v>296.88</v>
      </c>
      <c r="D128" s="61"/>
      <c r="E128" s="61">
        <v>13.33</v>
      </c>
      <c r="F128" s="134"/>
      <c r="G128" s="63">
        <f t="shared" si="7"/>
        <v>833.32999999999993</v>
      </c>
      <c r="H128" s="60">
        <f t="shared" si="8"/>
        <v>78333.300000000017</v>
      </c>
    </row>
    <row r="129" spans="1:10" ht="14.1" x14ac:dyDescent="0.55000000000000004">
      <c r="A129" s="48">
        <v>41883</v>
      </c>
      <c r="B129" s="61">
        <f t="shared" si="6"/>
        <v>1143.54</v>
      </c>
      <c r="C129" s="61">
        <f t="shared" si="5"/>
        <v>296.88</v>
      </c>
      <c r="D129" s="61"/>
      <c r="E129" s="61">
        <v>13.33</v>
      </c>
      <c r="F129" s="134"/>
      <c r="G129" s="63">
        <f t="shared" si="7"/>
        <v>833.32999999999993</v>
      </c>
      <c r="H129" s="60">
        <f t="shared" si="8"/>
        <v>77499.970000000016</v>
      </c>
    </row>
    <row r="130" spans="1:10" ht="14.1" x14ac:dyDescent="0.55000000000000004">
      <c r="A130" s="48">
        <v>41913</v>
      </c>
      <c r="B130" s="61">
        <f t="shared" si="6"/>
        <v>1143.54</v>
      </c>
      <c r="C130" s="61">
        <f t="shared" si="5"/>
        <v>296.88</v>
      </c>
      <c r="D130" s="61"/>
      <c r="E130" s="61">
        <v>13.33</v>
      </c>
      <c r="F130" s="134"/>
      <c r="G130" s="63">
        <f t="shared" si="7"/>
        <v>833.32999999999993</v>
      </c>
      <c r="H130" s="60">
        <f t="shared" si="8"/>
        <v>76666.640000000014</v>
      </c>
    </row>
    <row r="131" spans="1:10" ht="14.1" x14ac:dyDescent="0.55000000000000004">
      <c r="A131" s="48">
        <v>41944</v>
      </c>
      <c r="B131" s="61">
        <f t="shared" si="6"/>
        <v>1143.54</v>
      </c>
      <c r="C131" s="61">
        <f t="shared" si="5"/>
        <v>296.88</v>
      </c>
      <c r="D131" s="61"/>
      <c r="E131" s="61">
        <v>13.33</v>
      </c>
      <c r="F131" s="134"/>
      <c r="G131" s="63">
        <f t="shared" si="7"/>
        <v>833.32999999999993</v>
      </c>
      <c r="H131" s="60">
        <f t="shared" si="8"/>
        <v>75833.310000000012</v>
      </c>
    </row>
    <row r="132" spans="1:10" ht="14.1" x14ac:dyDescent="0.55000000000000004">
      <c r="A132" s="102">
        <v>41974</v>
      </c>
      <c r="B132" s="103">
        <f t="shared" si="6"/>
        <v>1143.54</v>
      </c>
      <c r="C132" s="103">
        <f t="shared" si="5"/>
        <v>296.88</v>
      </c>
      <c r="D132" s="103"/>
      <c r="E132" s="103">
        <v>13.33</v>
      </c>
      <c r="F132" s="135"/>
      <c r="G132" s="105">
        <f t="shared" si="7"/>
        <v>833.32999999999993</v>
      </c>
      <c r="H132" s="106">
        <f t="shared" si="8"/>
        <v>74999.98000000001</v>
      </c>
      <c r="I132" s="107"/>
      <c r="J132" s="107"/>
    </row>
    <row r="133" spans="1:10" ht="14.1" x14ac:dyDescent="0.55000000000000004">
      <c r="A133" s="48">
        <v>42005</v>
      </c>
      <c r="B133" s="61">
        <f t="shared" si="6"/>
        <v>1143.54</v>
      </c>
      <c r="C133" s="61">
        <f t="shared" si="5"/>
        <v>296.88</v>
      </c>
      <c r="D133" s="61"/>
      <c r="E133" s="61">
        <v>13.33</v>
      </c>
      <c r="F133" s="134"/>
      <c r="G133" s="63">
        <f t="shared" si="7"/>
        <v>833.32999999999993</v>
      </c>
      <c r="H133" s="60">
        <f t="shared" si="8"/>
        <v>74166.650000000009</v>
      </c>
    </row>
    <row r="134" spans="1:10" ht="14.1" x14ac:dyDescent="0.55000000000000004">
      <c r="A134" s="48">
        <v>42036</v>
      </c>
      <c r="B134" s="61">
        <f t="shared" si="6"/>
        <v>1143.54</v>
      </c>
      <c r="C134" s="61">
        <f t="shared" si="5"/>
        <v>296.88</v>
      </c>
      <c r="D134" s="61"/>
      <c r="E134" s="61">
        <v>13.33</v>
      </c>
      <c r="F134" s="134"/>
      <c r="G134" s="63">
        <f t="shared" si="7"/>
        <v>833.32999999999993</v>
      </c>
      <c r="H134" s="60">
        <f t="shared" si="8"/>
        <v>73333.320000000007</v>
      </c>
    </row>
    <row r="135" spans="1:10" ht="14.1" x14ac:dyDescent="0.55000000000000004">
      <c r="A135" s="48">
        <v>42064</v>
      </c>
      <c r="B135" s="61">
        <f t="shared" si="6"/>
        <v>1143.54</v>
      </c>
      <c r="C135" s="61">
        <f t="shared" si="5"/>
        <v>296.88</v>
      </c>
      <c r="D135" s="61"/>
      <c r="E135" s="61">
        <v>13.33</v>
      </c>
      <c r="F135" s="134"/>
      <c r="G135" s="63">
        <f t="shared" si="7"/>
        <v>833.32999999999993</v>
      </c>
      <c r="H135" s="60">
        <f t="shared" si="8"/>
        <v>72499.990000000005</v>
      </c>
    </row>
    <row r="136" spans="1:10" ht="14.1" x14ac:dyDescent="0.55000000000000004">
      <c r="A136" s="48">
        <v>42095</v>
      </c>
      <c r="B136" s="61">
        <f t="shared" si="6"/>
        <v>1143.54</v>
      </c>
      <c r="C136" s="61">
        <f t="shared" si="5"/>
        <v>296.88</v>
      </c>
      <c r="D136" s="61"/>
      <c r="E136" s="61">
        <v>13.33</v>
      </c>
      <c r="F136" s="134"/>
      <c r="G136" s="63">
        <f t="shared" si="7"/>
        <v>833.32999999999993</v>
      </c>
      <c r="H136" s="60">
        <f t="shared" si="8"/>
        <v>71666.66</v>
      </c>
    </row>
    <row r="137" spans="1:10" ht="14.1" x14ac:dyDescent="0.55000000000000004">
      <c r="A137" s="48">
        <v>42125</v>
      </c>
      <c r="B137" s="61">
        <f t="shared" si="6"/>
        <v>1143.54</v>
      </c>
      <c r="C137" s="61">
        <f t="shared" ref="C137:C200" si="9">_xlfn.XLOOKUP(A137,$M$6:$M$52,$O$6:$O$52,,-1,2)</f>
        <v>296.88</v>
      </c>
      <c r="D137" s="61"/>
      <c r="E137" s="61">
        <v>13.33</v>
      </c>
      <c r="F137" s="134"/>
      <c r="G137" s="63">
        <f t="shared" si="7"/>
        <v>833.32999999999993</v>
      </c>
      <c r="H137" s="60">
        <f t="shared" si="8"/>
        <v>70833.33</v>
      </c>
    </row>
    <row r="138" spans="1:10" ht="14.1" x14ac:dyDescent="0.55000000000000004">
      <c r="A138" s="48">
        <v>42156</v>
      </c>
      <c r="B138" s="61">
        <f t="shared" ref="B138:B201" si="10">_xlfn.XLOOKUP(A138,$M$6:$M$52,$N$6:$N$52,,-1,2)</f>
        <v>1143.54</v>
      </c>
      <c r="C138" s="61">
        <f t="shared" si="9"/>
        <v>296.88</v>
      </c>
      <c r="D138" s="61"/>
      <c r="E138" s="61">
        <v>13.33</v>
      </c>
      <c r="F138" s="134"/>
      <c r="G138" s="63">
        <f t="shared" ref="G138:G201" si="11">+B138-C138-E138</f>
        <v>833.32999999999993</v>
      </c>
      <c r="H138" s="60">
        <f t="shared" si="8"/>
        <v>70000</v>
      </c>
    </row>
    <row r="139" spans="1:10" ht="14.1" x14ac:dyDescent="0.55000000000000004">
      <c r="A139" s="48">
        <v>42186</v>
      </c>
      <c r="B139" s="61">
        <f t="shared" si="10"/>
        <v>1108.54</v>
      </c>
      <c r="C139" s="61">
        <f t="shared" si="9"/>
        <v>263.54000000000002</v>
      </c>
      <c r="D139" s="61"/>
      <c r="E139" s="61">
        <v>11.67</v>
      </c>
      <c r="F139" s="134"/>
      <c r="G139" s="63">
        <f t="shared" si="11"/>
        <v>833.33</v>
      </c>
      <c r="H139" s="60">
        <f t="shared" ref="H139:H202" si="12">+H138-G139</f>
        <v>69166.67</v>
      </c>
    </row>
    <row r="140" spans="1:10" ht="14.1" x14ac:dyDescent="0.55000000000000004">
      <c r="A140" s="48">
        <v>42217</v>
      </c>
      <c r="B140" s="61">
        <f t="shared" si="10"/>
        <v>1108.54</v>
      </c>
      <c r="C140" s="61">
        <f t="shared" si="9"/>
        <v>263.54000000000002</v>
      </c>
      <c r="D140" s="61"/>
      <c r="E140" s="61">
        <v>11.67</v>
      </c>
      <c r="F140" s="134"/>
      <c r="G140" s="63">
        <f t="shared" si="11"/>
        <v>833.33</v>
      </c>
      <c r="H140" s="60">
        <f t="shared" si="12"/>
        <v>68333.34</v>
      </c>
    </row>
    <row r="141" spans="1:10" ht="14.1" x14ac:dyDescent="0.55000000000000004">
      <c r="A141" s="48">
        <v>42248</v>
      </c>
      <c r="B141" s="61">
        <f t="shared" si="10"/>
        <v>1108.54</v>
      </c>
      <c r="C141" s="61">
        <f t="shared" si="9"/>
        <v>263.54000000000002</v>
      </c>
      <c r="D141" s="61"/>
      <c r="E141" s="61">
        <v>11.67</v>
      </c>
      <c r="F141" s="134"/>
      <c r="G141" s="63">
        <f t="shared" si="11"/>
        <v>833.33</v>
      </c>
      <c r="H141" s="60">
        <f t="shared" si="12"/>
        <v>67500.009999999995</v>
      </c>
    </row>
    <row r="142" spans="1:10" ht="14.1" x14ac:dyDescent="0.55000000000000004">
      <c r="A142" s="48">
        <v>42278</v>
      </c>
      <c r="B142" s="61">
        <f t="shared" si="10"/>
        <v>1108.54</v>
      </c>
      <c r="C142" s="61">
        <f t="shared" si="9"/>
        <v>263.54000000000002</v>
      </c>
      <c r="D142" s="61"/>
      <c r="E142" s="61">
        <v>11.67</v>
      </c>
      <c r="F142" s="134"/>
      <c r="G142" s="63">
        <f t="shared" si="11"/>
        <v>833.33</v>
      </c>
      <c r="H142" s="60">
        <f t="shared" si="12"/>
        <v>66666.679999999993</v>
      </c>
    </row>
    <row r="143" spans="1:10" ht="14.1" x14ac:dyDescent="0.55000000000000004">
      <c r="A143" s="48">
        <v>42309</v>
      </c>
      <c r="B143" s="61">
        <f t="shared" si="10"/>
        <v>1108.54</v>
      </c>
      <c r="C143" s="61">
        <f t="shared" si="9"/>
        <v>263.54000000000002</v>
      </c>
      <c r="D143" s="61"/>
      <c r="E143" s="61">
        <v>11.67</v>
      </c>
      <c r="F143" s="134"/>
      <c r="G143" s="63">
        <f t="shared" si="11"/>
        <v>833.33</v>
      </c>
      <c r="H143" s="60">
        <f t="shared" si="12"/>
        <v>65833.349999999991</v>
      </c>
    </row>
    <row r="144" spans="1:10" ht="14.1" x14ac:dyDescent="0.55000000000000004">
      <c r="A144" s="102">
        <v>42339</v>
      </c>
      <c r="B144" s="103">
        <f t="shared" si="10"/>
        <v>1108.54</v>
      </c>
      <c r="C144" s="103">
        <f t="shared" si="9"/>
        <v>263.54000000000002</v>
      </c>
      <c r="D144" s="103"/>
      <c r="E144" s="103">
        <v>11.67</v>
      </c>
      <c r="F144" s="135"/>
      <c r="G144" s="105">
        <f t="shared" si="11"/>
        <v>833.33</v>
      </c>
      <c r="H144" s="106">
        <f t="shared" si="12"/>
        <v>65000.01999999999</v>
      </c>
      <c r="I144" s="107"/>
      <c r="J144" s="107"/>
    </row>
    <row r="145" spans="1:10" ht="14.1" x14ac:dyDescent="0.55000000000000004">
      <c r="A145" s="48">
        <v>42370</v>
      </c>
      <c r="B145" s="61">
        <f t="shared" si="10"/>
        <v>1108.54</v>
      </c>
      <c r="C145" s="61">
        <f t="shared" si="9"/>
        <v>263.54000000000002</v>
      </c>
      <c r="D145" s="61"/>
      <c r="E145" s="61">
        <v>11.67</v>
      </c>
      <c r="F145" s="134"/>
      <c r="G145" s="63">
        <f t="shared" si="11"/>
        <v>833.33</v>
      </c>
      <c r="H145" s="60">
        <f t="shared" si="12"/>
        <v>64166.689999999988</v>
      </c>
    </row>
    <row r="146" spans="1:10" ht="14.1" x14ac:dyDescent="0.55000000000000004">
      <c r="A146" s="48">
        <v>42401</v>
      </c>
      <c r="B146" s="61">
        <f t="shared" si="10"/>
        <v>1108.54</v>
      </c>
      <c r="C146" s="61">
        <f t="shared" si="9"/>
        <v>263.54000000000002</v>
      </c>
      <c r="D146" s="61"/>
      <c r="E146" s="61">
        <v>11.67</v>
      </c>
      <c r="F146" s="134"/>
      <c r="G146" s="63">
        <f t="shared" si="11"/>
        <v>833.33</v>
      </c>
      <c r="H146" s="60">
        <f t="shared" si="12"/>
        <v>63333.359999999986</v>
      </c>
    </row>
    <row r="147" spans="1:10" ht="14.1" x14ac:dyDescent="0.55000000000000004">
      <c r="A147" s="48">
        <v>42430</v>
      </c>
      <c r="B147" s="61">
        <f t="shared" si="10"/>
        <v>1108.54</v>
      </c>
      <c r="C147" s="61">
        <f t="shared" si="9"/>
        <v>263.54000000000002</v>
      </c>
      <c r="D147" s="61"/>
      <c r="E147" s="61">
        <v>11.67</v>
      </c>
      <c r="F147" s="134"/>
      <c r="G147" s="63">
        <f t="shared" si="11"/>
        <v>833.33</v>
      </c>
      <c r="H147" s="60">
        <f t="shared" si="12"/>
        <v>62500.029999999984</v>
      </c>
    </row>
    <row r="148" spans="1:10" ht="14.1" x14ac:dyDescent="0.55000000000000004">
      <c r="A148" s="48">
        <v>42461</v>
      </c>
      <c r="B148" s="61">
        <f t="shared" si="10"/>
        <v>1108.54</v>
      </c>
      <c r="C148" s="61">
        <f t="shared" si="9"/>
        <v>263.54000000000002</v>
      </c>
      <c r="D148" s="61"/>
      <c r="E148" s="61">
        <v>11.67</v>
      </c>
      <c r="F148" s="134"/>
      <c r="G148" s="63">
        <f t="shared" si="11"/>
        <v>833.33</v>
      </c>
      <c r="H148" s="60">
        <f t="shared" si="12"/>
        <v>61666.699999999983</v>
      </c>
    </row>
    <row r="149" spans="1:10" ht="14.1" x14ac:dyDescent="0.55000000000000004">
      <c r="A149" s="48">
        <v>42491</v>
      </c>
      <c r="B149" s="61">
        <f t="shared" si="10"/>
        <v>1108.54</v>
      </c>
      <c r="C149" s="61">
        <f t="shared" si="9"/>
        <v>263.54000000000002</v>
      </c>
      <c r="D149" s="61"/>
      <c r="E149" s="61">
        <v>11.67</v>
      </c>
      <c r="F149" s="134"/>
      <c r="G149" s="63">
        <f t="shared" si="11"/>
        <v>833.33</v>
      </c>
      <c r="H149" s="60">
        <f t="shared" si="12"/>
        <v>60833.369999999981</v>
      </c>
    </row>
    <row r="150" spans="1:10" ht="14.1" x14ac:dyDescent="0.55000000000000004">
      <c r="A150" s="48">
        <v>42522</v>
      </c>
      <c r="B150" s="61">
        <f t="shared" si="10"/>
        <v>1108.54</v>
      </c>
      <c r="C150" s="61">
        <f t="shared" si="9"/>
        <v>263.54000000000002</v>
      </c>
      <c r="D150" s="61"/>
      <c r="E150" s="61">
        <v>11.67</v>
      </c>
      <c r="F150" s="134"/>
      <c r="G150" s="63">
        <f t="shared" si="11"/>
        <v>833.33</v>
      </c>
      <c r="H150" s="60">
        <f t="shared" si="12"/>
        <v>60000.039999999979</v>
      </c>
    </row>
    <row r="151" spans="1:10" ht="14.1" x14ac:dyDescent="0.55000000000000004">
      <c r="A151" s="48">
        <v>42552</v>
      </c>
      <c r="B151" s="61">
        <f t="shared" si="10"/>
        <v>1072.5</v>
      </c>
      <c r="C151" s="61">
        <f t="shared" si="9"/>
        <v>229.17</v>
      </c>
      <c r="D151" s="61"/>
      <c r="E151" s="61">
        <v>10</v>
      </c>
      <c r="F151" s="134"/>
      <c r="G151" s="63">
        <f t="shared" si="11"/>
        <v>833.33</v>
      </c>
      <c r="H151" s="60">
        <f t="shared" si="12"/>
        <v>59166.709999999977</v>
      </c>
    </row>
    <row r="152" spans="1:10" ht="14.1" x14ac:dyDescent="0.55000000000000004">
      <c r="A152" s="48">
        <v>42583</v>
      </c>
      <c r="B152" s="61">
        <f t="shared" si="10"/>
        <v>1072.5</v>
      </c>
      <c r="C152" s="61">
        <f t="shared" si="9"/>
        <v>229.17</v>
      </c>
      <c r="D152" s="61"/>
      <c r="E152" s="61">
        <v>10</v>
      </c>
      <c r="F152" s="134"/>
      <c r="G152" s="63">
        <f t="shared" si="11"/>
        <v>833.33</v>
      </c>
      <c r="H152" s="60">
        <f t="shared" si="12"/>
        <v>58333.379999999976</v>
      </c>
    </row>
    <row r="153" spans="1:10" ht="14.1" x14ac:dyDescent="0.55000000000000004">
      <c r="A153" s="48">
        <v>42614</v>
      </c>
      <c r="B153" s="61">
        <f t="shared" si="10"/>
        <v>1072.5</v>
      </c>
      <c r="C153" s="61">
        <f t="shared" si="9"/>
        <v>229.17</v>
      </c>
      <c r="D153" s="61"/>
      <c r="E153" s="61">
        <v>10</v>
      </c>
      <c r="F153" s="134"/>
      <c r="G153" s="63">
        <f t="shared" si="11"/>
        <v>833.33</v>
      </c>
      <c r="H153" s="60">
        <f t="shared" si="12"/>
        <v>57500.049999999974</v>
      </c>
    </row>
    <row r="154" spans="1:10" ht="14.1" x14ac:dyDescent="0.55000000000000004">
      <c r="A154" s="48">
        <v>42644</v>
      </c>
      <c r="B154" s="61">
        <f t="shared" si="10"/>
        <v>1072.5</v>
      </c>
      <c r="C154" s="61">
        <f t="shared" si="9"/>
        <v>229.17</v>
      </c>
      <c r="D154" s="61"/>
      <c r="E154" s="61">
        <v>10</v>
      </c>
      <c r="F154" s="134"/>
      <c r="G154" s="63">
        <f t="shared" si="11"/>
        <v>833.33</v>
      </c>
      <c r="H154" s="60">
        <f t="shared" si="12"/>
        <v>56666.719999999972</v>
      </c>
    </row>
    <row r="155" spans="1:10" ht="14.1" x14ac:dyDescent="0.55000000000000004">
      <c r="A155" s="48">
        <v>42675</v>
      </c>
      <c r="B155" s="61">
        <f t="shared" si="10"/>
        <v>1072.5</v>
      </c>
      <c r="C155" s="61">
        <f t="shared" si="9"/>
        <v>229.17</v>
      </c>
      <c r="D155" s="61"/>
      <c r="E155" s="61">
        <v>10</v>
      </c>
      <c r="F155" s="134"/>
      <c r="G155" s="63">
        <f t="shared" si="11"/>
        <v>833.33</v>
      </c>
      <c r="H155" s="60">
        <f t="shared" si="12"/>
        <v>55833.38999999997</v>
      </c>
    </row>
    <row r="156" spans="1:10" ht="14.1" x14ac:dyDescent="0.55000000000000004">
      <c r="A156" s="102">
        <v>42705</v>
      </c>
      <c r="B156" s="103">
        <f t="shared" si="10"/>
        <v>1072.5</v>
      </c>
      <c r="C156" s="103">
        <f t="shared" si="9"/>
        <v>229.17</v>
      </c>
      <c r="D156" s="103"/>
      <c r="E156" s="103">
        <v>10</v>
      </c>
      <c r="F156" s="135"/>
      <c r="G156" s="105">
        <f t="shared" si="11"/>
        <v>833.33</v>
      </c>
      <c r="H156" s="106">
        <f t="shared" si="12"/>
        <v>55000.059999999969</v>
      </c>
      <c r="I156" s="107"/>
      <c r="J156" s="107"/>
    </row>
    <row r="157" spans="1:10" ht="14.1" x14ac:dyDescent="0.55000000000000004">
      <c r="A157" s="48">
        <v>42736</v>
      </c>
      <c r="B157" s="61">
        <f t="shared" si="10"/>
        <v>1072.5</v>
      </c>
      <c r="C157" s="61">
        <f t="shared" si="9"/>
        <v>229.17</v>
      </c>
      <c r="D157" s="61"/>
      <c r="E157" s="61">
        <v>10</v>
      </c>
      <c r="F157" s="134"/>
      <c r="G157" s="63">
        <f t="shared" si="11"/>
        <v>833.33</v>
      </c>
      <c r="H157" s="60">
        <f t="shared" si="12"/>
        <v>54166.729999999967</v>
      </c>
    </row>
    <row r="158" spans="1:10" ht="14.1" x14ac:dyDescent="0.55000000000000004">
      <c r="A158" s="48">
        <v>42767</v>
      </c>
      <c r="B158" s="61">
        <f t="shared" si="10"/>
        <v>1072.5</v>
      </c>
      <c r="C158" s="61">
        <f t="shared" si="9"/>
        <v>229.17</v>
      </c>
      <c r="D158" s="61"/>
      <c r="E158" s="61">
        <v>10</v>
      </c>
      <c r="F158" s="134"/>
      <c r="G158" s="63">
        <f t="shared" si="11"/>
        <v>833.33</v>
      </c>
      <c r="H158" s="60">
        <f t="shared" si="12"/>
        <v>53333.399999999965</v>
      </c>
    </row>
    <row r="159" spans="1:10" ht="14.1" x14ac:dyDescent="0.55000000000000004">
      <c r="A159" s="48">
        <v>42795</v>
      </c>
      <c r="B159" s="61">
        <f t="shared" si="10"/>
        <v>1072.5</v>
      </c>
      <c r="C159" s="61">
        <f t="shared" si="9"/>
        <v>229.17</v>
      </c>
      <c r="D159" s="61"/>
      <c r="E159" s="61">
        <v>10</v>
      </c>
      <c r="F159" s="134"/>
      <c r="G159" s="63">
        <f t="shared" si="11"/>
        <v>833.33</v>
      </c>
      <c r="H159" s="60">
        <f t="shared" si="12"/>
        <v>52500.069999999963</v>
      </c>
    </row>
    <row r="160" spans="1:10" ht="14.1" x14ac:dyDescent="0.55000000000000004">
      <c r="A160" s="48">
        <v>42826</v>
      </c>
      <c r="B160" s="61">
        <f t="shared" si="10"/>
        <v>1072.5</v>
      </c>
      <c r="C160" s="61">
        <f t="shared" si="9"/>
        <v>229.17</v>
      </c>
      <c r="D160" s="61"/>
      <c r="E160" s="61">
        <v>10</v>
      </c>
      <c r="F160" s="134"/>
      <c r="G160" s="63">
        <f t="shared" si="11"/>
        <v>833.33</v>
      </c>
      <c r="H160" s="60">
        <f t="shared" si="12"/>
        <v>51666.739999999962</v>
      </c>
    </row>
    <row r="161" spans="1:10" ht="14.1" x14ac:dyDescent="0.55000000000000004">
      <c r="A161" s="48">
        <v>42856</v>
      </c>
      <c r="B161" s="61">
        <f t="shared" si="10"/>
        <v>1072.5</v>
      </c>
      <c r="C161" s="61">
        <f t="shared" si="9"/>
        <v>229.17</v>
      </c>
      <c r="D161" s="61"/>
      <c r="E161" s="61">
        <v>10</v>
      </c>
      <c r="F161" s="134"/>
      <c r="G161" s="63">
        <f t="shared" si="11"/>
        <v>833.33</v>
      </c>
      <c r="H161" s="60">
        <f t="shared" si="12"/>
        <v>50833.40999999996</v>
      </c>
    </row>
    <row r="162" spans="1:10" ht="14.1" x14ac:dyDescent="0.55000000000000004">
      <c r="A162" s="48">
        <v>42887</v>
      </c>
      <c r="B162" s="61">
        <f t="shared" si="10"/>
        <v>1072.5</v>
      </c>
      <c r="C162" s="61">
        <f t="shared" si="9"/>
        <v>229.17</v>
      </c>
      <c r="D162" s="61"/>
      <c r="E162" s="61">
        <v>10</v>
      </c>
      <c r="F162" s="134"/>
      <c r="G162" s="63">
        <f t="shared" si="11"/>
        <v>833.33</v>
      </c>
      <c r="H162" s="60">
        <f t="shared" si="12"/>
        <v>50000.079999999958</v>
      </c>
    </row>
    <row r="163" spans="1:10" ht="14.1" x14ac:dyDescent="0.55000000000000004">
      <c r="A163" s="48">
        <v>42917</v>
      </c>
      <c r="B163" s="61">
        <f t="shared" si="10"/>
        <v>1027.08</v>
      </c>
      <c r="C163" s="61">
        <f t="shared" si="9"/>
        <v>185.42</v>
      </c>
      <c r="D163" s="61"/>
      <c r="E163" s="61">
        <v>8.33</v>
      </c>
      <c r="F163" s="134"/>
      <c r="G163" s="63">
        <f t="shared" si="11"/>
        <v>833.32999999999993</v>
      </c>
      <c r="H163" s="60">
        <f t="shared" si="12"/>
        <v>49166.749999999956</v>
      </c>
    </row>
    <row r="164" spans="1:10" ht="14.1" x14ac:dyDescent="0.55000000000000004">
      <c r="A164" s="48">
        <v>42948</v>
      </c>
      <c r="B164" s="61">
        <f t="shared" si="10"/>
        <v>1027.08</v>
      </c>
      <c r="C164" s="61">
        <f t="shared" si="9"/>
        <v>185.42</v>
      </c>
      <c r="D164" s="61"/>
      <c r="E164" s="61">
        <v>8.33</v>
      </c>
      <c r="F164" s="134"/>
      <c r="G164" s="63">
        <f t="shared" si="11"/>
        <v>833.32999999999993</v>
      </c>
      <c r="H164" s="60">
        <f t="shared" si="12"/>
        <v>48333.419999999955</v>
      </c>
    </row>
    <row r="165" spans="1:10" ht="14.1" x14ac:dyDescent="0.55000000000000004">
      <c r="A165" s="48">
        <v>42979</v>
      </c>
      <c r="B165" s="61">
        <f t="shared" si="10"/>
        <v>1027.08</v>
      </c>
      <c r="C165" s="61">
        <f t="shared" si="9"/>
        <v>185.42</v>
      </c>
      <c r="D165" s="61"/>
      <c r="E165" s="61">
        <v>8.33</v>
      </c>
      <c r="F165" s="134"/>
      <c r="G165" s="63">
        <f t="shared" si="11"/>
        <v>833.32999999999993</v>
      </c>
      <c r="H165" s="60">
        <f t="shared" si="12"/>
        <v>47500.089999999953</v>
      </c>
    </row>
    <row r="166" spans="1:10" ht="14.1" x14ac:dyDescent="0.55000000000000004">
      <c r="A166" s="48">
        <v>43009</v>
      </c>
      <c r="B166" s="61">
        <f t="shared" si="10"/>
        <v>1027.08</v>
      </c>
      <c r="C166" s="61">
        <f t="shared" si="9"/>
        <v>185.42</v>
      </c>
      <c r="D166" s="61"/>
      <c r="E166" s="61">
        <v>8.33</v>
      </c>
      <c r="F166" s="134"/>
      <c r="G166" s="63">
        <f t="shared" si="11"/>
        <v>833.32999999999993</v>
      </c>
      <c r="H166" s="60">
        <f t="shared" si="12"/>
        <v>46666.759999999951</v>
      </c>
    </row>
    <row r="167" spans="1:10" ht="14.1" x14ac:dyDescent="0.55000000000000004">
      <c r="A167" s="48">
        <v>43040</v>
      </c>
      <c r="B167" s="61">
        <f t="shared" si="10"/>
        <v>1027.08</v>
      </c>
      <c r="C167" s="61">
        <f t="shared" si="9"/>
        <v>185.42</v>
      </c>
      <c r="D167" s="61"/>
      <c r="E167" s="61">
        <v>8.33</v>
      </c>
      <c r="F167" s="134"/>
      <c r="G167" s="63">
        <f t="shared" si="11"/>
        <v>833.32999999999993</v>
      </c>
      <c r="H167" s="60">
        <f t="shared" si="12"/>
        <v>45833.429999999949</v>
      </c>
    </row>
    <row r="168" spans="1:10" ht="14.1" x14ac:dyDescent="0.55000000000000004">
      <c r="A168" s="102">
        <v>43070</v>
      </c>
      <c r="B168" s="103">
        <f t="shared" si="10"/>
        <v>1027.08</v>
      </c>
      <c r="C168" s="103">
        <f t="shared" si="9"/>
        <v>185.42</v>
      </c>
      <c r="D168" s="103"/>
      <c r="E168" s="103">
        <v>8.33</v>
      </c>
      <c r="F168" s="135"/>
      <c r="G168" s="105">
        <f t="shared" si="11"/>
        <v>833.32999999999993</v>
      </c>
      <c r="H168" s="106">
        <f t="shared" si="12"/>
        <v>45000.099999999948</v>
      </c>
      <c r="I168" s="107"/>
      <c r="J168" s="107"/>
    </row>
    <row r="169" spans="1:10" ht="14.1" x14ac:dyDescent="0.55000000000000004">
      <c r="A169" s="48">
        <v>43101</v>
      </c>
      <c r="B169" s="61">
        <f t="shared" si="10"/>
        <v>1027.08</v>
      </c>
      <c r="C169" s="61">
        <f t="shared" si="9"/>
        <v>185.42</v>
      </c>
      <c r="D169" s="61"/>
      <c r="E169" s="61">
        <v>8.33</v>
      </c>
      <c r="F169" s="134"/>
      <c r="G169" s="63">
        <f t="shared" si="11"/>
        <v>833.32999999999993</v>
      </c>
      <c r="H169" s="60">
        <f t="shared" si="12"/>
        <v>44166.769999999946</v>
      </c>
    </row>
    <row r="170" spans="1:10" ht="14.1" x14ac:dyDescent="0.55000000000000004">
      <c r="A170" s="48">
        <v>43132</v>
      </c>
      <c r="B170" s="61">
        <f t="shared" si="10"/>
        <v>1027.08</v>
      </c>
      <c r="C170" s="61">
        <f t="shared" si="9"/>
        <v>185.42</v>
      </c>
      <c r="D170" s="61"/>
      <c r="E170" s="61">
        <v>8.33</v>
      </c>
      <c r="F170" s="134"/>
      <c r="G170" s="63">
        <f t="shared" si="11"/>
        <v>833.32999999999993</v>
      </c>
      <c r="H170" s="60">
        <f t="shared" si="12"/>
        <v>43333.439999999944</v>
      </c>
    </row>
    <row r="171" spans="1:10" ht="14.1" x14ac:dyDescent="0.55000000000000004">
      <c r="A171" s="48">
        <v>43160</v>
      </c>
      <c r="B171" s="61">
        <f t="shared" si="10"/>
        <v>1027.08</v>
      </c>
      <c r="C171" s="61">
        <f t="shared" si="9"/>
        <v>185.42</v>
      </c>
      <c r="D171" s="61"/>
      <c r="E171" s="61">
        <v>8.33</v>
      </c>
      <c r="F171" s="134"/>
      <c r="G171" s="63">
        <f t="shared" si="11"/>
        <v>833.32999999999993</v>
      </c>
      <c r="H171" s="60">
        <f t="shared" si="12"/>
        <v>42500.109999999942</v>
      </c>
    </row>
    <row r="172" spans="1:10" ht="14.1" x14ac:dyDescent="0.55000000000000004">
      <c r="A172" s="48">
        <v>43191</v>
      </c>
      <c r="B172" s="61">
        <f t="shared" si="10"/>
        <v>1027.08</v>
      </c>
      <c r="C172" s="61">
        <f t="shared" si="9"/>
        <v>185.42</v>
      </c>
      <c r="D172" s="61"/>
      <c r="E172" s="61">
        <v>8.33</v>
      </c>
      <c r="F172" s="134"/>
      <c r="G172" s="63">
        <f t="shared" si="11"/>
        <v>833.32999999999993</v>
      </c>
      <c r="H172" s="60">
        <f t="shared" si="12"/>
        <v>41666.779999999941</v>
      </c>
    </row>
    <row r="173" spans="1:10" ht="14.1" x14ac:dyDescent="0.55000000000000004">
      <c r="A173" s="48">
        <v>43221</v>
      </c>
      <c r="B173" s="61">
        <f t="shared" si="10"/>
        <v>1027.08</v>
      </c>
      <c r="C173" s="61">
        <f t="shared" si="9"/>
        <v>185.42</v>
      </c>
      <c r="D173" s="61"/>
      <c r="E173" s="61">
        <v>8.33</v>
      </c>
      <c r="F173" s="134"/>
      <c r="G173" s="63">
        <f t="shared" si="11"/>
        <v>833.32999999999993</v>
      </c>
      <c r="H173" s="60">
        <f t="shared" si="12"/>
        <v>40833.449999999939</v>
      </c>
    </row>
    <row r="174" spans="1:10" ht="14.1" x14ac:dyDescent="0.55000000000000004">
      <c r="A174" s="48">
        <v>43252</v>
      </c>
      <c r="B174" s="61">
        <f t="shared" si="10"/>
        <v>1027.08</v>
      </c>
      <c r="C174" s="61">
        <f t="shared" si="9"/>
        <v>185.42</v>
      </c>
      <c r="D174" s="61"/>
      <c r="E174" s="61">
        <v>8.33</v>
      </c>
      <c r="F174" s="134"/>
      <c r="G174" s="63">
        <f t="shared" si="11"/>
        <v>833.32999999999993</v>
      </c>
      <c r="H174" s="60">
        <f t="shared" si="12"/>
        <v>40000.119999999937</v>
      </c>
    </row>
    <row r="175" spans="1:10" ht="14.1" x14ac:dyDescent="0.55000000000000004">
      <c r="A175" s="48">
        <v>43282</v>
      </c>
      <c r="B175" s="61">
        <f t="shared" si="10"/>
        <v>990</v>
      </c>
      <c r="C175" s="61">
        <f t="shared" si="9"/>
        <v>150</v>
      </c>
      <c r="D175" s="61"/>
      <c r="E175" s="61">
        <v>6.67</v>
      </c>
      <c r="F175" s="134"/>
      <c r="G175" s="63">
        <f t="shared" si="11"/>
        <v>833.33</v>
      </c>
      <c r="H175" s="60">
        <f t="shared" si="12"/>
        <v>39166.789999999935</v>
      </c>
    </row>
    <row r="176" spans="1:10" ht="14.1" x14ac:dyDescent="0.55000000000000004">
      <c r="A176" s="48">
        <v>43313</v>
      </c>
      <c r="B176" s="61">
        <f t="shared" si="10"/>
        <v>990</v>
      </c>
      <c r="C176" s="61">
        <f t="shared" si="9"/>
        <v>150</v>
      </c>
      <c r="D176" s="61"/>
      <c r="E176" s="61">
        <v>6.67</v>
      </c>
      <c r="F176" s="134"/>
      <c r="G176" s="63">
        <f t="shared" si="11"/>
        <v>833.33</v>
      </c>
      <c r="H176" s="60">
        <f t="shared" si="12"/>
        <v>38333.459999999934</v>
      </c>
    </row>
    <row r="177" spans="1:10" ht="14.1" x14ac:dyDescent="0.55000000000000004">
      <c r="A177" s="48">
        <v>43344</v>
      </c>
      <c r="B177" s="61">
        <f t="shared" si="10"/>
        <v>990</v>
      </c>
      <c r="C177" s="61">
        <f t="shared" si="9"/>
        <v>150</v>
      </c>
      <c r="D177" s="61"/>
      <c r="E177" s="61">
        <v>6.67</v>
      </c>
      <c r="F177" s="134"/>
      <c r="G177" s="63">
        <f t="shared" si="11"/>
        <v>833.33</v>
      </c>
      <c r="H177" s="60">
        <f t="shared" si="12"/>
        <v>37500.129999999932</v>
      </c>
    </row>
    <row r="178" spans="1:10" ht="14.1" x14ac:dyDescent="0.55000000000000004">
      <c r="A178" s="48">
        <v>43374</v>
      </c>
      <c r="B178" s="61">
        <f t="shared" si="10"/>
        <v>990</v>
      </c>
      <c r="C178" s="61">
        <f t="shared" si="9"/>
        <v>150</v>
      </c>
      <c r="D178" s="61"/>
      <c r="E178" s="61">
        <v>6.67</v>
      </c>
      <c r="F178" s="134"/>
      <c r="G178" s="63">
        <f t="shared" si="11"/>
        <v>833.33</v>
      </c>
      <c r="H178" s="60">
        <f t="shared" si="12"/>
        <v>36666.79999999993</v>
      </c>
    </row>
    <row r="179" spans="1:10" ht="14.1" x14ac:dyDescent="0.55000000000000004">
      <c r="A179" s="48">
        <v>43405</v>
      </c>
      <c r="B179" s="61">
        <f t="shared" si="10"/>
        <v>990</v>
      </c>
      <c r="C179" s="61">
        <f t="shared" si="9"/>
        <v>150</v>
      </c>
      <c r="D179" s="61"/>
      <c r="E179" s="61">
        <v>6.67</v>
      </c>
      <c r="F179" s="134"/>
      <c r="G179" s="63">
        <f t="shared" si="11"/>
        <v>833.33</v>
      </c>
      <c r="H179" s="60">
        <f t="shared" si="12"/>
        <v>35833.469999999928</v>
      </c>
    </row>
    <row r="180" spans="1:10" ht="14.1" x14ac:dyDescent="0.55000000000000004">
      <c r="A180" s="48">
        <v>43435</v>
      </c>
      <c r="B180" s="61">
        <f t="shared" si="10"/>
        <v>990</v>
      </c>
      <c r="C180" s="61">
        <f t="shared" si="9"/>
        <v>150</v>
      </c>
      <c r="D180" s="61"/>
      <c r="E180" s="61">
        <v>6.67</v>
      </c>
      <c r="F180" s="134"/>
      <c r="G180" s="63">
        <f t="shared" si="11"/>
        <v>833.33</v>
      </c>
      <c r="H180" s="60">
        <f t="shared" si="12"/>
        <v>35000.139999999927</v>
      </c>
    </row>
    <row r="181" spans="1:10" ht="14.1" x14ac:dyDescent="0.55000000000000004">
      <c r="A181" s="102">
        <v>43466</v>
      </c>
      <c r="B181" s="103">
        <f t="shared" si="10"/>
        <v>990</v>
      </c>
      <c r="C181" s="103">
        <f t="shared" si="9"/>
        <v>150</v>
      </c>
      <c r="D181" s="103"/>
      <c r="E181" s="103">
        <v>6.67</v>
      </c>
      <c r="F181" s="135"/>
      <c r="G181" s="105">
        <f t="shared" si="11"/>
        <v>833.33</v>
      </c>
      <c r="H181" s="106">
        <f t="shared" si="12"/>
        <v>34166.809999999925</v>
      </c>
      <c r="I181" s="107"/>
      <c r="J181" s="107"/>
    </row>
    <row r="182" spans="1:10" ht="14.1" x14ac:dyDescent="0.55000000000000004">
      <c r="A182" s="48">
        <v>43497</v>
      </c>
      <c r="B182" s="61">
        <f t="shared" si="10"/>
        <v>990</v>
      </c>
      <c r="C182" s="61">
        <f t="shared" si="9"/>
        <v>150</v>
      </c>
      <c r="D182" s="61"/>
      <c r="E182" s="61">
        <v>6.67</v>
      </c>
      <c r="F182" s="134"/>
      <c r="G182" s="63">
        <f t="shared" si="11"/>
        <v>833.33</v>
      </c>
      <c r="H182" s="60">
        <f t="shared" si="12"/>
        <v>33333.479999999923</v>
      </c>
    </row>
    <row r="183" spans="1:10" ht="14.1" x14ac:dyDescent="0.55000000000000004">
      <c r="A183" s="48">
        <v>43525</v>
      </c>
      <c r="B183" s="61">
        <f t="shared" si="10"/>
        <v>990</v>
      </c>
      <c r="C183" s="61">
        <f t="shared" si="9"/>
        <v>150</v>
      </c>
      <c r="D183" s="61"/>
      <c r="E183" s="61">
        <v>6.67</v>
      </c>
      <c r="F183" s="134"/>
      <c r="G183" s="63">
        <f t="shared" si="11"/>
        <v>833.33</v>
      </c>
      <c r="H183" s="60">
        <f t="shared" si="12"/>
        <v>32500.149999999921</v>
      </c>
    </row>
    <row r="184" spans="1:10" ht="14.1" x14ac:dyDescent="0.55000000000000004">
      <c r="A184" s="48">
        <v>43556</v>
      </c>
      <c r="B184" s="61">
        <f t="shared" si="10"/>
        <v>990</v>
      </c>
      <c r="C184" s="61">
        <f t="shared" si="9"/>
        <v>150</v>
      </c>
      <c r="D184" s="61"/>
      <c r="E184" s="61">
        <v>6.67</v>
      </c>
      <c r="F184" s="134"/>
      <c r="G184" s="63">
        <f t="shared" si="11"/>
        <v>833.33</v>
      </c>
      <c r="H184" s="60">
        <f t="shared" si="12"/>
        <v>31666.81999999992</v>
      </c>
    </row>
    <row r="185" spans="1:10" ht="14.1" x14ac:dyDescent="0.55000000000000004">
      <c r="A185" s="48">
        <v>43586</v>
      </c>
      <c r="B185" s="61">
        <f t="shared" si="10"/>
        <v>990</v>
      </c>
      <c r="C185" s="61">
        <f t="shared" si="9"/>
        <v>150</v>
      </c>
      <c r="D185" s="61"/>
      <c r="E185" s="61">
        <v>6.67</v>
      </c>
      <c r="F185" s="134"/>
      <c r="G185" s="63">
        <f t="shared" si="11"/>
        <v>833.33</v>
      </c>
      <c r="H185" s="60">
        <f t="shared" si="12"/>
        <v>30833.489999999918</v>
      </c>
    </row>
    <row r="186" spans="1:10" ht="14.1" x14ac:dyDescent="0.55000000000000004">
      <c r="A186" s="48">
        <v>43617</v>
      </c>
      <c r="B186" s="61">
        <f t="shared" si="10"/>
        <v>990</v>
      </c>
      <c r="C186" s="61">
        <f t="shared" si="9"/>
        <v>150</v>
      </c>
      <c r="D186" s="61"/>
      <c r="E186" s="61">
        <v>6.67</v>
      </c>
      <c r="F186" s="134"/>
      <c r="G186" s="63">
        <f t="shared" si="11"/>
        <v>833.33</v>
      </c>
      <c r="H186" s="60">
        <f t="shared" si="12"/>
        <v>30000.159999999916</v>
      </c>
    </row>
    <row r="187" spans="1:10" ht="14.1" x14ac:dyDescent="0.55000000000000004">
      <c r="A187" s="48">
        <v>43647</v>
      </c>
      <c r="B187" s="61">
        <f t="shared" si="10"/>
        <v>951.88</v>
      </c>
      <c r="C187" s="61">
        <f t="shared" si="9"/>
        <v>113.54</v>
      </c>
      <c r="D187" s="61"/>
      <c r="E187" s="61">
        <v>5</v>
      </c>
      <c r="F187" s="134"/>
      <c r="G187" s="63">
        <f t="shared" si="11"/>
        <v>833.34</v>
      </c>
      <c r="H187" s="60">
        <f t="shared" si="12"/>
        <v>29166.819999999916</v>
      </c>
    </row>
    <row r="188" spans="1:10" ht="14.1" x14ac:dyDescent="0.55000000000000004">
      <c r="A188" s="48">
        <v>43678</v>
      </c>
      <c r="B188" s="61">
        <f t="shared" si="10"/>
        <v>951.88</v>
      </c>
      <c r="C188" s="61">
        <f t="shared" si="9"/>
        <v>113.54</v>
      </c>
      <c r="D188" s="61"/>
      <c r="E188" s="61">
        <v>5</v>
      </c>
      <c r="F188" s="134"/>
      <c r="G188" s="63">
        <f t="shared" si="11"/>
        <v>833.34</v>
      </c>
      <c r="H188" s="60">
        <f t="shared" si="12"/>
        <v>28333.479999999916</v>
      </c>
    </row>
    <row r="189" spans="1:10" ht="14.1" x14ac:dyDescent="0.55000000000000004">
      <c r="A189" s="48">
        <v>43709</v>
      </c>
      <c r="B189" s="61">
        <f t="shared" si="10"/>
        <v>951.88</v>
      </c>
      <c r="C189" s="61">
        <f t="shared" si="9"/>
        <v>113.54</v>
      </c>
      <c r="D189" s="61"/>
      <c r="E189" s="61">
        <v>5</v>
      </c>
      <c r="F189" s="134"/>
      <c r="G189" s="63">
        <f t="shared" si="11"/>
        <v>833.34</v>
      </c>
      <c r="H189" s="60">
        <f t="shared" si="12"/>
        <v>27500.139999999916</v>
      </c>
    </row>
    <row r="190" spans="1:10" ht="14.1" x14ac:dyDescent="0.55000000000000004">
      <c r="A190" s="48">
        <v>43739</v>
      </c>
      <c r="B190" s="61">
        <f t="shared" si="10"/>
        <v>951.88</v>
      </c>
      <c r="C190" s="61">
        <f t="shared" si="9"/>
        <v>113.54</v>
      </c>
      <c r="D190" s="61"/>
      <c r="E190" s="61">
        <v>5</v>
      </c>
      <c r="F190" s="134"/>
      <c r="G190" s="63">
        <f t="shared" si="11"/>
        <v>833.34</v>
      </c>
      <c r="H190" s="60">
        <f t="shared" si="12"/>
        <v>26666.799999999916</v>
      </c>
    </row>
    <row r="191" spans="1:10" ht="14.1" x14ac:dyDescent="0.55000000000000004">
      <c r="A191" s="48">
        <v>43770</v>
      </c>
      <c r="B191" s="61">
        <f t="shared" si="10"/>
        <v>951.88</v>
      </c>
      <c r="C191" s="61">
        <f t="shared" si="9"/>
        <v>113.54</v>
      </c>
      <c r="D191" s="61"/>
      <c r="E191" s="61">
        <v>5</v>
      </c>
      <c r="F191" s="134"/>
      <c r="G191" s="63">
        <f t="shared" si="11"/>
        <v>833.34</v>
      </c>
      <c r="H191" s="60">
        <f t="shared" si="12"/>
        <v>25833.459999999915</v>
      </c>
    </row>
    <row r="192" spans="1:10" ht="14.1" x14ac:dyDescent="0.55000000000000004">
      <c r="A192" s="102">
        <v>43800</v>
      </c>
      <c r="B192" s="103">
        <f t="shared" si="10"/>
        <v>951.88</v>
      </c>
      <c r="C192" s="103">
        <f t="shared" si="9"/>
        <v>113.54</v>
      </c>
      <c r="D192" s="103"/>
      <c r="E192" s="103">
        <v>5</v>
      </c>
      <c r="F192" s="135"/>
      <c r="G192" s="105">
        <f t="shared" si="11"/>
        <v>833.34</v>
      </c>
      <c r="H192" s="106">
        <f t="shared" si="12"/>
        <v>25000.119999999915</v>
      </c>
      <c r="I192" s="109"/>
      <c r="J192" s="155">
        <f>SUM(G182:G192)</f>
        <v>9166.69</v>
      </c>
    </row>
    <row r="193" spans="1:12" ht="14.1" x14ac:dyDescent="0.55000000000000004">
      <c r="A193" s="48">
        <v>43831</v>
      </c>
      <c r="B193" s="61">
        <f t="shared" si="10"/>
        <v>951.88</v>
      </c>
      <c r="C193" s="61">
        <f t="shared" si="9"/>
        <v>113.54</v>
      </c>
      <c r="D193" s="61"/>
      <c r="E193" s="61">
        <v>5</v>
      </c>
      <c r="F193" s="134"/>
      <c r="G193" s="63">
        <f t="shared" si="11"/>
        <v>833.34</v>
      </c>
      <c r="H193" s="60">
        <f t="shared" si="12"/>
        <v>24166.779999999915</v>
      </c>
    </row>
    <row r="194" spans="1:12" ht="14.1" x14ac:dyDescent="0.55000000000000004">
      <c r="A194" s="48">
        <v>43862</v>
      </c>
      <c r="B194" s="61">
        <f t="shared" si="10"/>
        <v>951.88</v>
      </c>
      <c r="C194" s="61">
        <f t="shared" si="9"/>
        <v>113.54</v>
      </c>
      <c r="D194" s="61"/>
      <c r="E194" s="61">
        <v>5</v>
      </c>
      <c r="F194" s="134"/>
      <c r="G194" s="63">
        <f t="shared" si="11"/>
        <v>833.34</v>
      </c>
      <c r="H194" s="60">
        <f t="shared" si="12"/>
        <v>23333.439999999915</v>
      </c>
    </row>
    <row r="195" spans="1:12" ht="14.1" x14ac:dyDescent="0.55000000000000004">
      <c r="A195" s="48">
        <v>43891</v>
      </c>
      <c r="B195" s="61">
        <f t="shared" si="10"/>
        <v>951.88</v>
      </c>
      <c r="C195" s="61">
        <f t="shared" si="9"/>
        <v>113.54</v>
      </c>
      <c r="D195" s="61"/>
      <c r="E195" s="61">
        <v>5</v>
      </c>
      <c r="F195" s="134"/>
      <c r="G195" s="63">
        <f t="shared" si="11"/>
        <v>833.34</v>
      </c>
      <c r="H195" s="60">
        <f t="shared" si="12"/>
        <v>22500.099999999915</v>
      </c>
    </row>
    <row r="196" spans="1:12" ht="14.1" x14ac:dyDescent="0.55000000000000004">
      <c r="A196" s="48">
        <v>43922</v>
      </c>
      <c r="B196" s="61">
        <f t="shared" si="10"/>
        <v>951.88</v>
      </c>
      <c r="C196" s="61">
        <f t="shared" si="9"/>
        <v>113.54</v>
      </c>
      <c r="D196" s="61"/>
      <c r="E196" s="61">
        <v>5</v>
      </c>
      <c r="F196" s="134"/>
      <c r="G196" s="63">
        <f t="shared" si="11"/>
        <v>833.34</v>
      </c>
      <c r="H196" s="60">
        <f t="shared" si="12"/>
        <v>21666.759999999915</v>
      </c>
    </row>
    <row r="197" spans="1:12" ht="14.1" x14ac:dyDescent="0.55000000000000004">
      <c r="A197" s="48">
        <v>43952</v>
      </c>
      <c r="B197" s="61">
        <f t="shared" si="10"/>
        <v>951.88</v>
      </c>
      <c r="C197" s="61">
        <f t="shared" si="9"/>
        <v>113.54</v>
      </c>
      <c r="D197" s="61"/>
      <c r="E197" s="61">
        <v>5</v>
      </c>
      <c r="F197" s="134"/>
      <c r="G197" s="63">
        <f t="shared" si="11"/>
        <v>833.34</v>
      </c>
      <c r="H197" s="60">
        <f t="shared" si="12"/>
        <v>20833.419999999915</v>
      </c>
    </row>
    <row r="198" spans="1:12" ht="14.1" x14ac:dyDescent="0.55000000000000004">
      <c r="A198" s="48">
        <v>43983</v>
      </c>
      <c r="B198" s="61">
        <f t="shared" si="10"/>
        <v>951.88</v>
      </c>
      <c r="C198" s="61">
        <f t="shared" si="9"/>
        <v>113.54</v>
      </c>
      <c r="D198" s="61"/>
      <c r="E198" s="61">
        <v>5</v>
      </c>
      <c r="F198" s="134"/>
      <c r="G198" s="63">
        <f t="shared" si="11"/>
        <v>833.34</v>
      </c>
      <c r="H198" s="60">
        <f t="shared" si="12"/>
        <v>20000.079999999914</v>
      </c>
    </row>
    <row r="199" spans="1:12" ht="14.1" x14ac:dyDescent="0.55000000000000004">
      <c r="A199" s="48">
        <v>44013</v>
      </c>
      <c r="B199" s="61">
        <f t="shared" si="10"/>
        <v>912.71</v>
      </c>
      <c r="C199" s="61">
        <f t="shared" si="9"/>
        <v>76.040000000000006</v>
      </c>
      <c r="D199" s="61"/>
      <c r="E199" s="61">
        <v>3.33</v>
      </c>
      <c r="F199" s="134"/>
      <c r="G199" s="63">
        <f t="shared" si="11"/>
        <v>833.34</v>
      </c>
      <c r="H199" s="60">
        <f t="shared" si="12"/>
        <v>19166.739999999914</v>
      </c>
    </row>
    <row r="200" spans="1:12" ht="14.1" x14ac:dyDescent="0.55000000000000004">
      <c r="A200" s="48">
        <v>44044</v>
      </c>
      <c r="B200" s="61">
        <f t="shared" si="10"/>
        <v>912.71</v>
      </c>
      <c r="C200" s="61">
        <f t="shared" si="9"/>
        <v>76.040000000000006</v>
      </c>
      <c r="D200" s="61"/>
      <c r="E200" s="61">
        <v>3.33</v>
      </c>
      <c r="F200" s="134"/>
      <c r="G200" s="63">
        <f t="shared" si="11"/>
        <v>833.34</v>
      </c>
      <c r="H200" s="60">
        <f t="shared" si="12"/>
        <v>18333.399999999914</v>
      </c>
    </row>
    <row r="201" spans="1:12" ht="14.1" x14ac:dyDescent="0.55000000000000004">
      <c r="A201" s="48">
        <v>44075</v>
      </c>
      <c r="B201" s="61">
        <f t="shared" si="10"/>
        <v>912.71</v>
      </c>
      <c r="C201" s="61">
        <f t="shared" ref="C201:C222" si="13">_xlfn.XLOOKUP(A201,$M$6:$M$52,$O$6:$O$52,,-1,2)</f>
        <v>76.040000000000006</v>
      </c>
      <c r="D201" s="61"/>
      <c r="E201" s="61">
        <v>3.33</v>
      </c>
      <c r="F201" s="134"/>
      <c r="G201" s="63">
        <f t="shared" si="11"/>
        <v>833.34</v>
      </c>
      <c r="H201" s="60">
        <f t="shared" si="12"/>
        <v>17500.059999999914</v>
      </c>
    </row>
    <row r="202" spans="1:12" ht="14.1" x14ac:dyDescent="0.55000000000000004">
      <c r="A202" s="48">
        <v>44105</v>
      </c>
      <c r="B202" s="61">
        <f t="shared" ref="B202:B210" si="14">_xlfn.XLOOKUP(A202,$M$6:$M$52,$N$6:$N$52,,-1,2)</f>
        <v>912.71</v>
      </c>
      <c r="C202" s="61">
        <f t="shared" si="13"/>
        <v>76.040000000000006</v>
      </c>
      <c r="D202" s="61"/>
      <c r="E202" s="61">
        <v>3.33</v>
      </c>
      <c r="F202" s="134"/>
      <c r="G202" s="63">
        <f t="shared" ref="G202:G210" si="15">+B202-C202-E202</f>
        <v>833.34</v>
      </c>
      <c r="H202" s="60">
        <f t="shared" si="12"/>
        <v>16666.719999999914</v>
      </c>
    </row>
    <row r="203" spans="1:12" ht="14.1" x14ac:dyDescent="0.55000000000000004">
      <c r="A203" s="48">
        <v>44136</v>
      </c>
      <c r="B203" s="61">
        <f t="shared" si="14"/>
        <v>912.71</v>
      </c>
      <c r="C203" s="61">
        <f t="shared" si="13"/>
        <v>76.040000000000006</v>
      </c>
      <c r="D203" s="61"/>
      <c r="E203" s="61">
        <v>3.33</v>
      </c>
      <c r="F203" s="134"/>
      <c r="G203" s="63">
        <f t="shared" si="15"/>
        <v>833.34</v>
      </c>
      <c r="H203" s="60">
        <f t="shared" ref="H203:H222" si="16">+H202-G203</f>
        <v>15833.379999999914</v>
      </c>
    </row>
    <row r="204" spans="1:12" ht="14.1" x14ac:dyDescent="0.55000000000000004">
      <c r="A204" s="102">
        <v>44166</v>
      </c>
      <c r="B204" s="103">
        <f t="shared" si="14"/>
        <v>912.71</v>
      </c>
      <c r="C204" s="103">
        <f t="shared" si="13"/>
        <v>76.040000000000006</v>
      </c>
      <c r="D204" s="103"/>
      <c r="E204" s="103">
        <v>3.33</v>
      </c>
      <c r="F204" s="135"/>
      <c r="G204" s="105">
        <f t="shared" si="15"/>
        <v>833.34</v>
      </c>
      <c r="H204" s="106">
        <f t="shared" si="16"/>
        <v>15000.039999999914</v>
      </c>
      <c r="I204" s="109" t="s">
        <v>35</v>
      </c>
      <c r="J204" s="155">
        <f>SUM(G193:G204)</f>
        <v>10000.08</v>
      </c>
    </row>
    <row r="205" spans="1:12" ht="14.1" x14ac:dyDescent="0.55000000000000004">
      <c r="A205" s="130">
        <v>44197</v>
      </c>
      <c r="B205" s="66">
        <f t="shared" si="14"/>
        <v>912.71</v>
      </c>
      <c r="C205" s="66">
        <f t="shared" si="13"/>
        <v>76.040000000000006</v>
      </c>
      <c r="D205" s="66"/>
      <c r="E205" s="66">
        <v>3.33</v>
      </c>
      <c r="F205" s="137"/>
      <c r="G205" s="131">
        <f t="shared" si="15"/>
        <v>833.34</v>
      </c>
      <c r="H205" s="132">
        <f t="shared" si="16"/>
        <v>14166.699999999913</v>
      </c>
      <c r="I205" s="65"/>
      <c r="J205" s="65"/>
      <c r="K205" s="146"/>
      <c r="L205" s="147"/>
    </row>
    <row r="206" spans="1:12" ht="14.1" x14ac:dyDescent="0.55000000000000004">
      <c r="A206" s="130">
        <v>44228</v>
      </c>
      <c r="B206" s="66">
        <f t="shared" si="14"/>
        <v>912.71</v>
      </c>
      <c r="C206" s="66">
        <f t="shared" si="13"/>
        <v>76.040000000000006</v>
      </c>
      <c r="D206" s="66"/>
      <c r="E206" s="66">
        <v>3.33</v>
      </c>
      <c r="F206" s="137"/>
      <c r="G206" s="131">
        <f t="shared" si="15"/>
        <v>833.34</v>
      </c>
      <c r="H206" s="132">
        <f t="shared" si="16"/>
        <v>13333.359999999913</v>
      </c>
      <c r="I206" s="65"/>
      <c r="J206" s="65"/>
    </row>
    <row r="207" spans="1:12" ht="14.1" x14ac:dyDescent="0.55000000000000004">
      <c r="A207" s="130">
        <v>44256</v>
      </c>
      <c r="B207" s="66">
        <f t="shared" si="14"/>
        <v>912.71</v>
      </c>
      <c r="C207" s="66">
        <f t="shared" si="13"/>
        <v>76.040000000000006</v>
      </c>
      <c r="D207" s="66"/>
      <c r="E207" s="66">
        <v>3.33</v>
      </c>
      <c r="F207" s="137"/>
      <c r="G207" s="131">
        <f t="shared" si="15"/>
        <v>833.34</v>
      </c>
      <c r="H207" s="132">
        <f t="shared" si="16"/>
        <v>12500.019999999913</v>
      </c>
      <c r="I207" s="65"/>
      <c r="J207" s="65"/>
    </row>
    <row r="208" spans="1:12" ht="14.1" x14ac:dyDescent="0.55000000000000004">
      <c r="A208" s="130">
        <v>44287</v>
      </c>
      <c r="B208" s="66">
        <f t="shared" si="14"/>
        <v>912.71</v>
      </c>
      <c r="C208" s="66">
        <f t="shared" si="13"/>
        <v>76.040000000000006</v>
      </c>
      <c r="D208" s="66"/>
      <c r="E208" s="66">
        <v>3.33</v>
      </c>
      <c r="F208" s="137"/>
      <c r="G208" s="131">
        <f t="shared" si="15"/>
        <v>833.34</v>
      </c>
      <c r="H208" s="132">
        <f t="shared" si="16"/>
        <v>11666.679999999913</v>
      </c>
      <c r="I208" s="65"/>
      <c r="J208" s="65"/>
    </row>
    <row r="209" spans="1:12" ht="14.1" x14ac:dyDescent="0.55000000000000004">
      <c r="A209" s="130">
        <v>44317</v>
      </c>
      <c r="B209" s="66">
        <f t="shared" si="14"/>
        <v>912.71</v>
      </c>
      <c r="C209" s="66">
        <f t="shared" si="13"/>
        <v>76.040000000000006</v>
      </c>
      <c r="D209" s="66"/>
      <c r="E209" s="66">
        <v>3.33</v>
      </c>
      <c r="F209" s="137"/>
      <c r="G209" s="131">
        <f t="shared" si="15"/>
        <v>833.34</v>
      </c>
      <c r="H209" s="132">
        <f t="shared" si="16"/>
        <v>10833.339999999913</v>
      </c>
      <c r="I209" s="65"/>
      <c r="J209" s="65"/>
    </row>
    <row r="210" spans="1:12" ht="14.1" x14ac:dyDescent="0.55000000000000004">
      <c r="A210" s="130">
        <v>44348</v>
      </c>
      <c r="B210" s="66">
        <f t="shared" si="14"/>
        <v>912.71</v>
      </c>
      <c r="C210" s="66">
        <f t="shared" si="13"/>
        <v>76.040000000000006</v>
      </c>
      <c r="D210" s="66"/>
      <c r="E210" s="66">
        <v>3.33</v>
      </c>
      <c r="F210" s="137"/>
      <c r="G210" s="131">
        <f t="shared" si="15"/>
        <v>833.34</v>
      </c>
      <c r="H210" s="132">
        <f t="shared" si="16"/>
        <v>9999.9999999999127</v>
      </c>
      <c r="I210" s="65"/>
      <c r="J210" s="65"/>
    </row>
    <row r="211" spans="1:12" ht="14.1" x14ac:dyDescent="0.55000000000000004">
      <c r="A211" s="130">
        <v>44378</v>
      </c>
      <c r="B211" s="66">
        <f>_xlfn.XLOOKUP(A211,$M$6:$M$52,$N$6:$N$52,,-1,2)+F211</f>
        <v>429.46999999999997</v>
      </c>
      <c r="C211" s="66">
        <f t="shared" si="13"/>
        <v>38.54</v>
      </c>
      <c r="D211" s="66"/>
      <c r="E211" s="66">
        <v>1.67</v>
      </c>
      <c r="F211" s="66">
        <v>-444.08</v>
      </c>
      <c r="G211" s="131">
        <f>+B211-C211-E211-F211</f>
        <v>833.33999999999992</v>
      </c>
      <c r="H211" s="132">
        <f t="shared" si="16"/>
        <v>9166.6599999999125</v>
      </c>
      <c r="I211" s="65"/>
      <c r="J211" s="65"/>
    </row>
    <row r="212" spans="1:12" ht="14.1" x14ac:dyDescent="0.55000000000000004">
      <c r="A212" s="130">
        <v>44409</v>
      </c>
      <c r="B212" s="66">
        <f t="shared" ref="B212:B222" si="17">_xlfn.XLOOKUP(A212,$M$6:$M$52,$N$6:$N$52,,-1,2)+F212</f>
        <v>429.46999999999997</v>
      </c>
      <c r="C212" s="66">
        <f t="shared" si="13"/>
        <v>38.54</v>
      </c>
      <c r="D212" s="66"/>
      <c r="E212" s="66">
        <v>1.67</v>
      </c>
      <c r="F212" s="66">
        <v>-444.08</v>
      </c>
      <c r="G212" s="131">
        <f t="shared" ref="G212:G222" si="18">+B212-C212-E212-F212</f>
        <v>833.33999999999992</v>
      </c>
      <c r="H212" s="132">
        <f t="shared" si="16"/>
        <v>8333.3199999999124</v>
      </c>
      <c r="I212" s="65"/>
      <c r="J212" s="65"/>
    </row>
    <row r="213" spans="1:12" ht="14.1" x14ac:dyDescent="0.55000000000000004">
      <c r="A213" s="130">
        <v>44440</v>
      </c>
      <c r="B213" s="66">
        <f t="shared" si="17"/>
        <v>429.46999999999997</v>
      </c>
      <c r="C213" s="66">
        <f t="shared" si="13"/>
        <v>38.54</v>
      </c>
      <c r="D213" s="66"/>
      <c r="E213" s="66">
        <v>1.67</v>
      </c>
      <c r="F213" s="66">
        <v>-444.08</v>
      </c>
      <c r="G213" s="131">
        <f t="shared" si="18"/>
        <v>833.33999999999992</v>
      </c>
      <c r="H213" s="132">
        <f t="shared" si="16"/>
        <v>7499.9799999999123</v>
      </c>
      <c r="I213" s="65"/>
      <c r="J213" s="65"/>
    </row>
    <row r="214" spans="1:12" ht="14.1" x14ac:dyDescent="0.55000000000000004">
      <c r="A214" s="130">
        <v>44470</v>
      </c>
      <c r="B214" s="66">
        <f t="shared" si="17"/>
        <v>429.46999999999997</v>
      </c>
      <c r="C214" s="66">
        <f t="shared" si="13"/>
        <v>38.54</v>
      </c>
      <c r="D214" s="66"/>
      <c r="E214" s="66">
        <v>1.67</v>
      </c>
      <c r="F214" s="66">
        <v>-444.08</v>
      </c>
      <c r="G214" s="131">
        <f t="shared" si="18"/>
        <v>833.33999999999992</v>
      </c>
      <c r="H214" s="132">
        <f t="shared" si="16"/>
        <v>6666.6399999999121</v>
      </c>
      <c r="I214" s="65"/>
      <c r="J214" s="65"/>
    </row>
    <row r="215" spans="1:12" ht="14.1" x14ac:dyDescent="0.55000000000000004">
      <c r="A215" s="130">
        <v>44501</v>
      </c>
      <c r="B215" s="66">
        <f t="shared" si="17"/>
        <v>429.46999999999997</v>
      </c>
      <c r="C215" s="66">
        <f t="shared" si="13"/>
        <v>38.54</v>
      </c>
      <c r="D215" s="66"/>
      <c r="E215" s="66">
        <v>1.67</v>
      </c>
      <c r="F215" s="66">
        <v>-444.08</v>
      </c>
      <c r="G215" s="131">
        <f t="shared" si="18"/>
        <v>833.33999999999992</v>
      </c>
      <c r="H215" s="132">
        <f t="shared" si="16"/>
        <v>5833.299999999912</v>
      </c>
      <c r="I215" s="65"/>
      <c r="J215" s="65"/>
    </row>
    <row r="216" spans="1:12" ht="14.1" x14ac:dyDescent="0.55000000000000004">
      <c r="A216" s="138">
        <v>44531</v>
      </c>
      <c r="B216" s="139">
        <f t="shared" si="17"/>
        <v>429.46999999999997</v>
      </c>
      <c r="C216" s="139">
        <f t="shared" si="13"/>
        <v>38.54</v>
      </c>
      <c r="D216" s="139"/>
      <c r="E216" s="139">
        <v>1.67</v>
      </c>
      <c r="F216" s="139">
        <v>-444.08</v>
      </c>
      <c r="G216" s="140">
        <f t="shared" si="18"/>
        <v>833.33999999999992</v>
      </c>
      <c r="H216" s="141">
        <f t="shared" si="16"/>
        <v>4999.9599999999118</v>
      </c>
      <c r="I216" s="143" t="s">
        <v>36</v>
      </c>
      <c r="J216" s="142">
        <f>SUM(G205:G216)</f>
        <v>10000.08</v>
      </c>
    </row>
    <row r="217" spans="1:12" ht="14.1" x14ac:dyDescent="0.55000000000000004">
      <c r="A217" s="48">
        <v>44562</v>
      </c>
      <c r="B217" s="61">
        <f t="shared" si="17"/>
        <v>429.46999999999997</v>
      </c>
      <c r="C217" s="61">
        <f t="shared" si="13"/>
        <v>38.54</v>
      </c>
      <c r="D217" s="61"/>
      <c r="E217" s="61">
        <v>1.67</v>
      </c>
      <c r="F217" s="61">
        <v>-444.08</v>
      </c>
      <c r="G217" s="63">
        <f t="shared" si="18"/>
        <v>833.33999999999992</v>
      </c>
      <c r="H217" s="60">
        <f t="shared" si="16"/>
        <v>4166.6199999999117</v>
      </c>
      <c r="K217" s="146">
        <f>+C217+E217</f>
        <v>40.21</v>
      </c>
      <c r="L217" s="147" t="s">
        <v>27</v>
      </c>
    </row>
    <row r="218" spans="1:12" ht="14.1" x14ac:dyDescent="0.55000000000000004">
      <c r="A218" s="48">
        <v>44593</v>
      </c>
      <c r="B218" s="61">
        <f t="shared" si="17"/>
        <v>429.46999999999997</v>
      </c>
      <c r="C218" s="61">
        <f t="shared" si="13"/>
        <v>38.54</v>
      </c>
      <c r="D218" s="61"/>
      <c r="E218" s="61">
        <v>1.67</v>
      </c>
      <c r="F218" s="61">
        <v>-444.08</v>
      </c>
      <c r="G218" s="63">
        <f t="shared" si="18"/>
        <v>833.33999999999992</v>
      </c>
      <c r="H218" s="60">
        <f t="shared" si="16"/>
        <v>3333.2799999999115</v>
      </c>
    </row>
    <row r="219" spans="1:12" ht="14.1" x14ac:dyDescent="0.55000000000000004">
      <c r="A219" s="48">
        <v>44621</v>
      </c>
      <c r="B219" s="61">
        <f t="shared" si="17"/>
        <v>429.46999999999997</v>
      </c>
      <c r="C219" s="61">
        <f t="shared" si="13"/>
        <v>38.54</v>
      </c>
      <c r="D219" s="61"/>
      <c r="E219" s="61">
        <v>1.67</v>
      </c>
      <c r="F219" s="61">
        <v>-444.08</v>
      </c>
      <c r="G219" s="63">
        <f t="shared" si="18"/>
        <v>833.33999999999992</v>
      </c>
      <c r="H219" s="60">
        <f t="shared" si="16"/>
        <v>2499.9399999999114</v>
      </c>
    </row>
    <row r="220" spans="1:12" ht="14.1" x14ac:dyDescent="0.55000000000000004">
      <c r="A220" s="48">
        <v>44652</v>
      </c>
      <c r="B220" s="61">
        <f t="shared" si="17"/>
        <v>429.46999999999997</v>
      </c>
      <c r="C220" s="61">
        <f t="shared" si="13"/>
        <v>38.54</v>
      </c>
      <c r="D220" s="61"/>
      <c r="E220" s="61">
        <v>1.67</v>
      </c>
      <c r="F220" s="61">
        <v>-444.08</v>
      </c>
      <c r="G220" s="63">
        <f t="shared" si="18"/>
        <v>833.33999999999992</v>
      </c>
      <c r="H220" s="60">
        <f t="shared" si="16"/>
        <v>1666.5999999999115</v>
      </c>
    </row>
    <row r="221" spans="1:12" ht="14.1" x14ac:dyDescent="0.55000000000000004">
      <c r="A221" s="48">
        <v>44682</v>
      </c>
      <c r="B221" s="61">
        <f t="shared" si="17"/>
        <v>429.46999999999997</v>
      </c>
      <c r="C221" s="61">
        <f t="shared" si="13"/>
        <v>38.54</v>
      </c>
      <c r="D221" s="61"/>
      <c r="E221" s="61">
        <v>1.67</v>
      </c>
      <c r="F221" s="61">
        <v>-444.08</v>
      </c>
      <c r="G221" s="63">
        <f t="shared" si="18"/>
        <v>833.33999999999992</v>
      </c>
      <c r="H221" s="60">
        <f t="shared" si="16"/>
        <v>833.25999999991154</v>
      </c>
    </row>
    <row r="222" spans="1:12" ht="14.1" x14ac:dyDescent="0.55000000000000004">
      <c r="A222" s="102">
        <v>44713</v>
      </c>
      <c r="B222" s="103">
        <f t="shared" si="17"/>
        <v>429.46999999999997</v>
      </c>
      <c r="C222" s="103">
        <f t="shared" si="13"/>
        <v>38.54</v>
      </c>
      <c r="D222" s="103"/>
      <c r="E222" s="103">
        <v>1.67</v>
      </c>
      <c r="F222" s="103">
        <v>-444.08</v>
      </c>
      <c r="G222" s="105">
        <f t="shared" si="18"/>
        <v>833.33999999999992</v>
      </c>
      <c r="H222" s="106">
        <f t="shared" si="16"/>
        <v>-8.00000000883756E-2</v>
      </c>
      <c r="I222" s="107"/>
      <c r="J222" s="108">
        <f>SUM(G217:G222)</f>
        <v>5000.04</v>
      </c>
    </row>
    <row r="223" spans="1:12" ht="14.1" x14ac:dyDescent="0.55000000000000004">
      <c r="A223" s="48"/>
      <c r="B223" s="61"/>
      <c r="C223" s="61"/>
      <c r="D223" s="61"/>
      <c r="E223" s="61"/>
      <c r="F223" s="61"/>
      <c r="G223" s="63"/>
      <c r="H223" s="60"/>
    </row>
    <row r="224" spans="1:12" ht="14.1" x14ac:dyDescent="0.55000000000000004">
      <c r="A224" s="48"/>
      <c r="B224" s="100">
        <f>+SUM(B9:B223)</f>
        <v>237081.78000000017</v>
      </c>
      <c r="C224" s="100">
        <f>+SUM(C9:C223)</f>
        <v>74050.65999999964</v>
      </c>
      <c r="D224" s="100"/>
      <c r="E224" s="100">
        <f>+SUM(E9:E223)</f>
        <v>3360.0000000000005</v>
      </c>
      <c r="F224" s="100">
        <f>+SUM(F9:F223)</f>
        <v>-5328.96</v>
      </c>
      <c r="G224" s="100">
        <f>+SUM(G9:G223)</f>
        <v>165000.0799999999</v>
      </c>
    </row>
    <row r="225" spans="1:7" ht="14.1" x14ac:dyDescent="0.55000000000000004">
      <c r="A225" s="48"/>
      <c r="B225" s="61"/>
    </row>
    <row r="226" spans="1:7" ht="14.1" x14ac:dyDescent="0.45">
      <c r="A226" s="48"/>
      <c r="B226" s="136">
        <v>237081.42</v>
      </c>
      <c r="C226" s="133">
        <v>74050.42</v>
      </c>
      <c r="D226" s="133"/>
      <c r="E226" s="133">
        <v>3360</v>
      </c>
      <c r="F226" s="133">
        <v>5329</v>
      </c>
      <c r="G226" s="133">
        <v>165000</v>
      </c>
    </row>
    <row r="227" spans="1:7" ht="14.1" x14ac:dyDescent="0.55000000000000004">
      <c r="A227" s="48"/>
      <c r="B227" s="101">
        <f>+B224-B226</f>
        <v>0.36000000016065314</v>
      </c>
      <c r="C227" s="101">
        <f>+C224-C226</f>
        <v>0.23999999964144081</v>
      </c>
      <c r="D227" s="101"/>
      <c r="E227" s="101">
        <v>0</v>
      </c>
      <c r="F227" s="101">
        <v>0</v>
      </c>
      <c r="G227" s="101">
        <f>+G224-G226</f>
        <v>7.9999999899882823E-2</v>
      </c>
    </row>
    <row r="228" spans="1:7" ht="14.1" x14ac:dyDescent="0.55000000000000004">
      <c r="A228" s="48"/>
      <c r="B228" s="61"/>
    </row>
    <row r="229" spans="1:7" ht="14.1" x14ac:dyDescent="0.55000000000000004">
      <c r="A229" s="48"/>
      <c r="B229" s="61"/>
    </row>
    <row r="230" spans="1:7" ht="14.1" x14ac:dyDescent="0.55000000000000004">
      <c r="A230" s="48"/>
      <c r="B230" s="61"/>
    </row>
    <row r="231" spans="1:7" ht="14.1" x14ac:dyDescent="0.55000000000000004">
      <c r="A231" s="48"/>
      <c r="B231" s="61"/>
    </row>
    <row r="232" spans="1:7" ht="14.1" x14ac:dyDescent="0.55000000000000004">
      <c r="A232" s="48"/>
      <c r="B232" s="61"/>
    </row>
    <row r="233" spans="1:7" ht="14.1" x14ac:dyDescent="0.55000000000000004">
      <c r="B233" s="61"/>
    </row>
    <row r="234" spans="1:7" ht="14.1" x14ac:dyDescent="0.55000000000000004">
      <c r="B234" s="61"/>
    </row>
    <row r="235" spans="1:7" ht="14.1" x14ac:dyDescent="0.55000000000000004">
      <c r="B235" s="61"/>
    </row>
    <row r="236" spans="1:7" ht="14.1" x14ac:dyDescent="0.55000000000000004">
      <c r="B236" s="61"/>
    </row>
    <row r="237" spans="1:7" ht="14.1" x14ac:dyDescent="0.55000000000000004">
      <c r="B237" s="61"/>
    </row>
    <row r="238" spans="1:7" ht="14.1" x14ac:dyDescent="0.55000000000000004">
      <c r="B238" s="61"/>
    </row>
    <row r="239" spans="1:7" ht="14.1" x14ac:dyDescent="0.55000000000000004">
      <c r="B239" s="61"/>
    </row>
    <row r="240" spans="1:7" ht="14.1" x14ac:dyDescent="0.55000000000000004">
      <c r="B240" s="61"/>
    </row>
    <row r="241" spans="2:2" ht="14.1" x14ac:dyDescent="0.55000000000000004">
      <c r="B241" s="61"/>
    </row>
    <row r="242" spans="2:2" ht="14.1" x14ac:dyDescent="0.55000000000000004">
      <c r="B242" s="61"/>
    </row>
    <row r="243" spans="2:2" ht="14.1" x14ac:dyDescent="0.55000000000000004">
      <c r="B243" s="61"/>
    </row>
    <row r="244" spans="2:2" ht="14.1" x14ac:dyDescent="0.55000000000000004">
      <c r="B244" s="61"/>
    </row>
    <row r="245" spans="2:2" ht="14.1" x14ac:dyDescent="0.55000000000000004">
      <c r="B245" s="61"/>
    </row>
    <row r="246" spans="2:2" ht="14.1" x14ac:dyDescent="0.55000000000000004">
      <c r="B246" s="61"/>
    </row>
    <row r="247" spans="2:2" ht="14.1" x14ac:dyDescent="0.55000000000000004">
      <c r="B247" s="61"/>
    </row>
    <row r="248" spans="2:2" ht="14.1" x14ac:dyDescent="0.55000000000000004">
      <c r="B248" s="61"/>
    </row>
    <row r="249" spans="2:2" ht="14.1" x14ac:dyDescent="0.55000000000000004">
      <c r="B249" s="61"/>
    </row>
    <row r="250" spans="2:2" ht="14.1" x14ac:dyDescent="0.55000000000000004">
      <c r="B250" s="61"/>
    </row>
    <row r="251" spans="2:2" ht="14.1" x14ac:dyDescent="0.55000000000000004">
      <c r="B251" s="61"/>
    </row>
    <row r="252" spans="2:2" ht="14.1" x14ac:dyDescent="0.55000000000000004">
      <c r="B252" s="61"/>
    </row>
    <row r="253" spans="2:2" ht="14.1" x14ac:dyDescent="0.55000000000000004">
      <c r="B253" s="61"/>
    </row>
    <row r="254" spans="2:2" ht="14.1" x14ac:dyDescent="0.55000000000000004">
      <c r="B254" s="61"/>
    </row>
    <row r="255" spans="2:2" ht="14.1" x14ac:dyDescent="0.55000000000000004">
      <c r="B255" s="61"/>
    </row>
    <row r="256" spans="2:2" ht="14.1" x14ac:dyDescent="0.55000000000000004">
      <c r="B256" s="61"/>
    </row>
    <row r="257" spans="2:2" ht="14.1" x14ac:dyDescent="0.55000000000000004">
      <c r="B257" s="61"/>
    </row>
    <row r="258" spans="2:2" ht="14.1" x14ac:dyDescent="0.55000000000000004">
      <c r="B258" s="61"/>
    </row>
    <row r="259" spans="2:2" ht="14.1" x14ac:dyDescent="0.55000000000000004">
      <c r="B259" s="61"/>
    </row>
    <row r="260" spans="2:2" ht="14.1" x14ac:dyDescent="0.55000000000000004">
      <c r="B260" s="61"/>
    </row>
    <row r="261" spans="2:2" ht="14.1" x14ac:dyDescent="0.55000000000000004">
      <c r="B261" s="61"/>
    </row>
    <row r="262" spans="2:2" ht="14.1" x14ac:dyDescent="0.55000000000000004">
      <c r="B262" s="61"/>
    </row>
    <row r="263" spans="2:2" ht="14.1" x14ac:dyDescent="0.55000000000000004">
      <c r="B263" s="61"/>
    </row>
    <row r="264" spans="2:2" ht="14.1" x14ac:dyDescent="0.55000000000000004">
      <c r="B264" s="61"/>
    </row>
    <row r="265" spans="2:2" ht="14.1" x14ac:dyDescent="0.55000000000000004">
      <c r="B265" s="61"/>
    </row>
    <row r="266" spans="2:2" ht="14.1" x14ac:dyDescent="0.55000000000000004">
      <c r="B266" s="61"/>
    </row>
    <row r="267" spans="2:2" ht="14.1" x14ac:dyDescent="0.55000000000000004">
      <c r="B267" s="61"/>
    </row>
    <row r="268" spans="2:2" ht="14.1" x14ac:dyDescent="0.55000000000000004">
      <c r="B268" s="61"/>
    </row>
    <row r="269" spans="2:2" ht="14.1" x14ac:dyDescent="0.55000000000000004">
      <c r="B269" s="61"/>
    </row>
    <row r="270" spans="2:2" ht="14.1" x14ac:dyDescent="0.55000000000000004">
      <c r="B270" s="61"/>
    </row>
    <row r="271" spans="2:2" ht="14.1" x14ac:dyDescent="0.55000000000000004">
      <c r="B271" s="61"/>
    </row>
    <row r="272" spans="2:2" ht="14.1" x14ac:dyDescent="0.55000000000000004">
      <c r="B272" s="61"/>
    </row>
    <row r="273" spans="2:2" ht="14.1" x14ac:dyDescent="0.55000000000000004">
      <c r="B273" s="61"/>
    </row>
    <row r="274" spans="2:2" ht="14.1" x14ac:dyDescent="0.55000000000000004">
      <c r="B274" s="61"/>
    </row>
    <row r="275" spans="2:2" ht="14.1" x14ac:dyDescent="0.55000000000000004">
      <c r="B275" s="61"/>
    </row>
    <row r="276" spans="2:2" ht="14.1" x14ac:dyDescent="0.55000000000000004">
      <c r="B276" s="61"/>
    </row>
    <row r="277" spans="2:2" ht="14.1" x14ac:dyDescent="0.55000000000000004">
      <c r="B277" s="61"/>
    </row>
    <row r="278" spans="2:2" ht="14.1" x14ac:dyDescent="0.55000000000000004">
      <c r="B278" s="61"/>
    </row>
    <row r="279" spans="2:2" ht="14.1" x14ac:dyDescent="0.55000000000000004">
      <c r="B279" s="61"/>
    </row>
    <row r="280" spans="2:2" ht="14.1" x14ac:dyDescent="0.55000000000000004">
      <c r="B280" s="61"/>
    </row>
    <row r="281" spans="2:2" ht="14.1" x14ac:dyDescent="0.55000000000000004">
      <c r="B281" s="61"/>
    </row>
    <row r="282" spans="2:2" ht="14.1" x14ac:dyDescent="0.55000000000000004">
      <c r="B282" s="61"/>
    </row>
    <row r="283" spans="2:2" ht="14.1" x14ac:dyDescent="0.55000000000000004">
      <c r="B283" s="61"/>
    </row>
    <row r="284" spans="2:2" ht="14.1" x14ac:dyDescent="0.55000000000000004">
      <c r="B284" s="61"/>
    </row>
    <row r="285" spans="2:2" ht="14.1" x14ac:dyDescent="0.55000000000000004">
      <c r="B285" s="61"/>
    </row>
    <row r="286" spans="2:2" ht="14.1" x14ac:dyDescent="0.55000000000000004">
      <c r="B286" s="61"/>
    </row>
    <row r="287" spans="2:2" ht="14.1" x14ac:dyDescent="0.55000000000000004">
      <c r="B287" s="61"/>
    </row>
    <row r="288" spans="2:2" ht="14.1" x14ac:dyDescent="0.55000000000000004">
      <c r="B288" s="61"/>
    </row>
    <row r="289" spans="2:2" ht="14.1" x14ac:dyDescent="0.55000000000000004">
      <c r="B289" s="61"/>
    </row>
    <row r="290" spans="2:2" ht="14.1" x14ac:dyDescent="0.55000000000000004">
      <c r="B290" s="61"/>
    </row>
    <row r="291" spans="2:2" ht="14.1" x14ac:dyDescent="0.55000000000000004">
      <c r="B291" s="61"/>
    </row>
    <row r="292" spans="2:2" ht="14.1" x14ac:dyDescent="0.55000000000000004">
      <c r="B292" s="61"/>
    </row>
    <row r="293" spans="2:2" ht="14.1" x14ac:dyDescent="0.55000000000000004">
      <c r="B293" s="61"/>
    </row>
    <row r="294" spans="2:2" ht="14.1" x14ac:dyDescent="0.55000000000000004">
      <c r="B294" s="61"/>
    </row>
    <row r="295" spans="2:2" ht="14.1" x14ac:dyDescent="0.55000000000000004">
      <c r="B295" s="61"/>
    </row>
    <row r="296" spans="2:2" ht="14.1" x14ac:dyDescent="0.55000000000000004">
      <c r="B296" s="61"/>
    </row>
    <row r="297" spans="2:2" ht="14.1" x14ac:dyDescent="0.55000000000000004">
      <c r="B297" s="61"/>
    </row>
    <row r="298" spans="2:2" ht="14.1" x14ac:dyDescent="0.55000000000000004">
      <c r="B298" s="61"/>
    </row>
    <row r="299" spans="2:2" ht="14.1" x14ac:dyDescent="0.55000000000000004">
      <c r="B299" s="61"/>
    </row>
    <row r="300" spans="2:2" ht="14.1" x14ac:dyDescent="0.55000000000000004">
      <c r="B300" s="61"/>
    </row>
    <row r="301" spans="2:2" ht="14.1" x14ac:dyDescent="0.55000000000000004">
      <c r="B301" s="61"/>
    </row>
    <row r="302" spans="2:2" ht="14.1" x14ac:dyDescent="0.55000000000000004">
      <c r="B302" s="61"/>
    </row>
    <row r="303" spans="2:2" ht="14.1" x14ac:dyDescent="0.55000000000000004">
      <c r="B303" s="61"/>
    </row>
    <row r="304" spans="2:2" ht="14.1" x14ac:dyDescent="0.55000000000000004">
      <c r="B304" s="61"/>
    </row>
    <row r="305" spans="2:2" ht="14.1" x14ac:dyDescent="0.55000000000000004">
      <c r="B305" s="61"/>
    </row>
    <row r="306" spans="2:2" ht="14.1" x14ac:dyDescent="0.55000000000000004">
      <c r="B306" s="61"/>
    </row>
    <row r="307" spans="2:2" ht="14.1" x14ac:dyDescent="0.55000000000000004">
      <c r="B307" s="61"/>
    </row>
    <row r="308" spans="2:2" ht="14.1" x14ac:dyDescent="0.55000000000000004">
      <c r="B308" s="61"/>
    </row>
    <row r="309" spans="2:2" ht="14.1" x14ac:dyDescent="0.55000000000000004">
      <c r="B309" s="61"/>
    </row>
    <row r="310" spans="2:2" ht="14.1" x14ac:dyDescent="0.55000000000000004">
      <c r="B310" s="61"/>
    </row>
    <row r="311" spans="2:2" ht="14.1" x14ac:dyDescent="0.55000000000000004">
      <c r="B311" s="61"/>
    </row>
    <row r="312" spans="2:2" ht="14.1" x14ac:dyDescent="0.55000000000000004">
      <c r="B312" s="61"/>
    </row>
    <row r="313" spans="2:2" ht="14.1" x14ac:dyDescent="0.55000000000000004">
      <c r="B313" s="61"/>
    </row>
    <row r="314" spans="2:2" ht="14.1" x14ac:dyDescent="0.55000000000000004">
      <c r="B314" s="61"/>
    </row>
    <row r="315" spans="2:2" ht="14.1" x14ac:dyDescent="0.55000000000000004">
      <c r="B315" s="61"/>
    </row>
    <row r="316" spans="2:2" ht="14.1" x14ac:dyDescent="0.55000000000000004">
      <c r="B316" s="61"/>
    </row>
    <row r="317" spans="2:2" ht="14.1" x14ac:dyDescent="0.55000000000000004">
      <c r="B317" s="61"/>
    </row>
    <row r="318" spans="2:2" ht="14.1" x14ac:dyDescent="0.55000000000000004">
      <c r="B318" s="61"/>
    </row>
    <row r="319" spans="2:2" ht="14.1" x14ac:dyDescent="0.55000000000000004">
      <c r="B319" s="61"/>
    </row>
    <row r="320" spans="2:2" ht="14.1" x14ac:dyDescent="0.55000000000000004">
      <c r="B320" s="61"/>
    </row>
    <row r="321" spans="2:2" ht="14.1" x14ac:dyDescent="0.55000000000000004">
      <c r="B321" s="61"/>
    </row>
    <row r="322" spans="2:2" ht="14.1" x14ac:dyDescent="0.55000000000000004">
      <c r="B322" s="61"/>
    </row>
    <row r="323" spans="2:2" ht="14.1" x14ac:dyDescent="0.55000000000000004">
      <c r="B323" s="61"/>
    </row>
    <row r="324" spans="2:2" ht="14.1" x14ac:dyDescent="0.55000000000000004">
      <c r="B324" s="61"/>
    </row>
    <row r="325" spans="2:2" ht="14.1" x14ac:dyDescent="0.55000000000000004">
      <c r="B325" s="61"/>
    </row>
    <row r="326" spans="2:2" ht="14.1" x14ac:dyDescent="0.55000000000000004">
      <c r="B326" s="61"/>
    </row>
    <row r="327" spans="2:2" ht="14.1" x14ac:dyDescent="0.55000000000000004">
      <c r="B327" s="61"/>
    </row>
    <row r="328" spans="2:2" ht="14.1" x14ac:dyDescent="0.55000000000000004">
      <c r="B328" s="61"/>
    </row>
    <row r="329" spans="2:2" ht="14.1" x14ac:dyDescent="0.55000000000000004">
      <c r="B329" s="61"/>
    </row>
    <row r="330" spans="2:2" ht="14.1" x14ac:dyDescent="0.55000000000000004">
      <c r="B330" s="61"/>
    </row>
    <row r="331" spans="2:2" ht="14.1" x14ac:dyDescent="0.55000000000000004">
      <c r="B331" s="61"/>
    </row>
    <row r="332" spans="2:2" ht="14.1" x14ac:dyDescent="0.55000000000000004">
      <c r="B332" s="61"/>
    </row>
    <row r="333" spans="2:2" ht="14.1" x14ac:dyDescent="0.55000000000000004">
      <c r="B333" s="61"/>
    </row>
    <row r="334" spans="2:2" ht="14.1" x14ac:dyDescent="0.55000000000000004">
      <c r="B334" s="61"/>
    </row>
    <row r="335" spans="2:2" ht="14.1" x14ac:dyDescent="0.55000000000000004">
      <c r="B335" s="61"/>
    </row>
    <row r="336" spans="2:2" ht="14.1" x14ac:dyDescent="0.55000000000000004">
      <c r="B336" s="61"/>
    </row>
    <row r="337" spans="2:2" ht="14.1" x14ac:dyDescent="0.55000000000000004">
      <c r="B337" s="61"/>
    </row>
    <row r="338" spans="2:2" ht="14.1" x14ac:dyDescent="0.55000000000000004">
      <c r="B338" s="61"/>
    </row>
    <row r="339" spans="2:2" ht="14.1" x14ac:dyDescent="0.55000000000000004">
      <c r="B339" s="61"/>
    </row>
    <row r="340" spans="2:2" ht="14.1" x14ac:dyDescent="0.55000000000000004">
      <c r="B340" s="61"/>
    </row>
    <row r="341" spans="2:2" ht="14.1" x14ac:dyDescent="0.55000000000000004">
      <c r="B341" s="61"/>
    </row>
    <row r="342" spans="2:2" ht="14.1" x14ac:dyDescent="0.55000000000000004">
      <c r="B342" s="61"/>
    </row>
    <row r="343" spans="2:2" ht="14.1" x14ac:dyDescent="0.55000000000000004">
      <c r="B343" s="61"/>
    </row>
    <row r="344" spans="2:2" ht="14.1" x14ac:dyDescent="0.55000000000000004">
      <c r="B344" s="61"/>
    </row>
    <row r="345" spans="2:2" ht="14.1" x14ac:dyDescent="0.55000000000000004">
      <c r="B345" s="61"/>
    </row>
    <row r="346" spans="2:2" ht="14.1" x14ac:dyDescent="0.55000000000000004">
      <c r="B346" s="61"/>
    </row>
    <row r="347" spans="2:2" ht="14.1" x14ac:dyDescent="0.55000000000000004">
      <c r="B347" s="61"/>
    </row>
    <row r="348" spans="2:2" ht="14.1" x14ac:dyDescent="0.55000000000000004">
      <c r="B348" s="61"/>
    </row>
    <row r="349" spans="2:2" ht="14.1" x14ac:dyDescent="0.55000000000000004">
      <c r="B349" s="61"/>
    </row>
    <row r="350" spans="2:2" ht="14.1" x14ac:dyDescent="0.55000000000000004">
      <c r="B350" s="61"/>
    </row>
    <row r="351" spans="2:2" ht="14.1" x14ac:dyDescent="0.55000000000000004">
      <c r="B351" s="61"/>
    </row>
    <row r="352" spans="2:2" ht="14.1" x14ac:dyDescent="0.55000000000000004">
      <c r="B352" s="61"/>
    </row>
    <row r="353" spans="2:2" ht="14.1" x14ac:dyDescent="0.55000000000000004">
      <c r="B353" s="61"/>
    </row>
    <row r="354" spans="2:2" ht="14.1" x14ac:dyDescent="0.55000000000000004">
      <c r="B354" s="61"/>
    </row>
    <row r="355" spans="2:2" ht="14.1" x14ac:dyDescent="0.55000000000000004">
      <c r="B355" s="61"/>
    </row>
    <row r="356" spans="2:2" ht="14.1" x14ac:dyDescent="0.55000000000000004">
      <c r="B356" s="61"/>
    </row>
    <row r="357" spans="2:2" ht="14.1" x14ac:dyDescent="0.55000000000000004">
      <c r="B357" s="61"/>
    </row>
    <row r="358" spans="2:2" ht="14.1" x14ac:dyDescent="0.55000000000000004">
      <c r="B358" s="61"/>
    </row>
    <row r="359" spans="2:2" ht="14.1" x14ac:dyDescent="0.55000000000000004">
      <c r="B359" s="61"/>
    </row>
    <row r="360" spans="2:2" ht="14.1" x14ac:dyDescent="0.55000000000000004">
      <c r="B360" s="61"/>
    </row>
    <row r="361" spans="2:2" ht="14.1" x14ac:dyDescent="0.55000000000000004">
      <c r="B361" s="61"/>
    </row>
    <row r="362" spans="2:2" ht="14.1" x14ac:dyDescent="0.55000000000000004">
      <c r="B362" s="61"/>
    </row>
    <row r="363" spans="2:2" ht="14.1" x14ac:dyDescent="0.55000000000000004">
      <c r="B363" s="61"/>
    </row>
    <row r="364" spans="2:2" ht="14.1" x14ac:dyDescent="0.55000000000000004">
      <c r="B364" s="61"/>
    </row>
    <row r="365" spans="2:2" ht="14.1" x14ac:dyDescent="0.55000000000000004">
      <c r="B365" s="61"/>
    </row>
    <row r="366" spans="2:2" ht="14.1" x14ac:dyDescent="0.55000000000000004">
      <c r="B366" s="61"/>
    </row>
    <row r="367" spans="2:2" ht="14.1" x14ac:dyDescent="0.55000000000000004">
      <c r="B367" s="61"/>
    </row>
    <row r="368" spans="2:2" ht="14.1" x14ac:dyDescent="0.55000000000000004">
      <c r="B368" s="61"/>
    </row>
    <row r="369" spans="2:2" ht="14.1" x14ac:dyDescent="0.55000000000000004">
      <c r="B369" s="61"/>
    </row>
    <row r="370" spans="2:2" ht="14.1" x14ac:dyDescent="0.55000000000000004">
      <c r="B370" s="61"/>
    </row>
    <row r="371" spans="2:2" ht="14.1" x14ac:dyDescent="0.55000000000000004">
      <c r="B371" s="61"/>
    </row>
    <row r="372" spans="2:2" ht="14.1" x14ac:dyDescent="0.55000000000000004">
      <c r="B372" s="61"/>
    </row>
    <row r="373" spans="2:2" ht="14.1" x14ac:dyDescent="0.55000000000000004">
      <c r="B373" s="61"/>
    </row>
    <row r="374" spans="2:2" ht="14.1" x14ac:dyDescent="0.55000000000000004">
      <c r="B374" s="61"/>
    </row>
    <row r="375" spans="2:2" ht="14.1" x14ac:dyDescent="0.55000000000000004">
      <c r="B375" s="61"/>
    </row>
    <row r="376" spans="2:2" ht="14.1" x14ac:dyDescent="0.55000000000000004">
      <c r="B376" s="61"/>
    </row>
    <row r="377" spans="2:2" ht="14.1" x14ac:dyDescent="0.55000000000000004">
      <c r="B377" s="61"/>
    </row>
    <row r="378" spans="2:2" ht="14.1" x14ac:dyDescent="0.55000000000000004">
      <c r="B378" s="61"/>
    </row>
    <row r="379" spans="2:2" ht="14.1" x14ac:dyDescent="0.55000000000000004">
      <c r="B379" s="61"/>
    </row>
    <row r="380" spans="2:2" ht="14.1" x14ac:dyDescent="0.55000000000000004">
      <c r="B380" s="61"/>
    </row>
    <row r="381" spans="2:2" ht="14.1" x14ac:dyDescent="0.55000000000000004">
      <c r="B381" s="61"/>
    </row>
    <row r="382" spans="2:2" ht="14.1" x14ac:dyDescent="0.55000000000000004">
      <c r="B382" s="61"/>
    </row>
    <row r="383" spans="2:2" ht="14.1" x14ac:dyDescent="0.55000000000000004">
      <c r="B383" s="61"/>
    </row>
    <row r="384" spans="2:2" ht="14.1" x14ac:dyDescent="0.55000000000000004">
      <c r="B384" s="61"/>
    </row>
    <row r="385" spans="2:2" ht="14.1" x14ac:dyDescent="0.55000000000000004">
      <c r="B385" s="61"/>
    </row>
    <row r="386" spans="2:2" ht="14.1" x14ac:dyDescent="0.55000000000000004">
      <c r="B386" s="61"/>
    </row>
    <row r="387" spans="2:2" ht="14.1" x14ac:dyDescent="0.55000000000000004">
      <c r="B387" s="61"/>
    </row>
    <row r="388" spans="2:2" ht="14.1" x14ac:dyDescent="0.55000000000000004">
      <c r="B388" s="61"/>
    </row>
    <row r="389" spans="2:2" ht="14.1" x14ac:dyDescent="0.55000000000000004">
      <c r="B389" s="61"/>
    </row>
    <row r="390" spans="2:2" ht="14.1" x14ac:dyDescent="0.55000000000000004">
      <c r="B390" s="61"/>
    </row>
    <row r="391" spans="2:2" ht="14.1" x14ac:dyDescent="0.55000000000000004">
      <c r="B391" s="61"/>
    </row>
    <row r="392" spans="2:2" ht="14.1" x14ac:dyDescent="0.55000000000000004">
      <c r="B392" s="61"/>
    </row>
    <row r="393" spans="2:2" ht="14.1" x14ac:dyDescent="0.55000000000000004">
      <c r="B393" s="61"/>
    </row>
    <row r="394" spans="2:2" ht="14.1" x14ac:dyDescent="0.55000000000000004">
      <c r="B394" s="61"/>
    </row>
    <row r="395" spans="2:2" ht="14.1" x14ac:dyDescent="0.55000000000000004">
      <c r="B395" s="61"/>
    </row>
    <row r="396" spans="2:2" ht="14.1" x14ac:dyDescent="0.55000000000000004">
      <c r="B396" s="61"/>
    </row>
    <row r="397" spans="2:2" ht="14.1" x14ac:dyDescent="0.55000000000000004">
      <c r="B397" s="61"/>
    </row>
    <row r="398" spans="2:2" ht="14.1" x14ac:dyDescent="0.55000000000000004">
      <c r="B398" s="61"/>
    </row>
    <row r="399" spans="2:2" ht="14.1" x14ac:dyDescent="0.55000000000000004">
      <c r="B399" s="61"/>
    </row>
    <row r="400" spans="2:2" ht="14.1" x14ac:dyDescent="0.55000000000000004">
      <c r="B400" s="61"/>
    </row>
    <row r="401" spans="2:2" ht="14.1" x14ac:dyDescent="0.55000000000000004">
      <c r="B401" s="61"/>
    </row>
    <row r="402" spans="2:2" ht="14.1" x14ac:dyDescent="0.55000000000000004">
      <c r="B402" s="61"/>
    </row>
    <row r="403" spans="2:2" ht="14.1" x14ac:dyDescent="0.55000000000000004">
      <c r="B403" s="61"/>
    </row>
    <row r="404" spans="2:2" ht="14.1" x14ac:dyDescent="0.55000000000000004">
      <c r="B404" s="61"/>
    </row>
    <row r="405" spans="2:2" ht="14.1" x14ac:dyDescent="0.55000000000000004">
      <c r="B405" s="61"/>
    </row>
    <row r="406" spans="2:2" ht="14.1" x14ac:dyDescent="0.55000000000000004">
      <c r="B406" s="61"/>
    </row>
    <row r="407" spans="2:2" ht="14.1" x14ac:dyDescent="0.55000000000000004">
      <c r="B407" s="61"/>
    </row>
    <row r="408" spans="2:2" ht="14.1" x14ac:dyDescent="0.55000000000000004">
      <c r="B408" s="61"/>
    </row>
    <row r="409" spans="2:2" ht="14.1" x14ac:dyDescent="0.55000000000000004">
      <c r="B409" s="61"/>
    </row>
    <row r="410" spans="2:2" ht="14.1" x14ac:dyDescent="0.55000000000000004">
      <c r="B410" s="61"/>
    </row>
    <row r="411" spans="2:2" ht="14.1" x14ac:dyDescent="0.55000000000000004">
      <c r="B411" s="61"/>
    </row>
    <row r="412" spans="2:2" ht="14.1" x14ac:dyDescent="0.55000000000000004">
      <c r="B412" s="61"/>
    </row>
    <row r="413" spans="2:2" ht="14.1" x14ac:dyDescent="0.55000000000000004">
      <c r="B413" s="61"/>
    </row>
    <row r="414" spans="2:2" ht="14.1" x14ac:dyDescent="0.55000000000000004">
      <c r="B414" s="61"/>
    </row>
    <row r="415" spans="2:2" ht="14.1" x14ac:dyDescent="0.55000000000000004">
      <c r="B415" s="61"/>
    </row>
    <row r="416" spans="2:2" ht="14.1" x14ac:dyDescent="0.55000000000000004">
      <c r="B416" s="61"/>
    </row>
    <row r="417" spans="2:2" ht="14.1" x14ac:dyDescent="0.55000000000000004">
      <c r="B417" s="61"/>
    </row>
    <row r="418" spans="2:2" ht="14.1" x14ac:dyDescent="0.55000000000000004">
      <c r="B418" s="61"/>
    </row>
    <row r="419" spans="2:2" ht="14.1" x14ac:dyDescent="0.55000000000000004">
      <c r="B419" s="61"/>
    </row>
    <row r="420" spans="2:2" ht="14.1" x14ac:dyDescent="0.55000000000000004">
      <c r="B420" s="61"/>
    </row>
    <row r="421" spans="2:2" ht="14.1" x14ac:dyDescent="0.55000000000000004">
      <c r="B421" s="61"/>
    </row>
    <row r="422" spans="2:2" ht="14.1" x14ac:dyDescent="0.55000000000000004">
      <c r="B422" s="61"/>
    </row>
    <row r="423" spans="2:2" ht="14.1" x14ac:dyDescent="0.55000000000000004">
      <c r="B423" s="61"/>
    </row>
    <row r="424" spans="2:2" ht="14.1" x14ac:dyDescent="0.55000000000000004">
      <c r="B424" s="61"/>
    </row>
    <row r="425" spans="2:2" ht="14.1" x14ac:dyDescent="0.55000000000000004">
      <c r="B425" s="61"/>
    </row>
    <row r="426" spans="2:2" ht="14.1" x14ac:dyDescent="0.55000000000000004">
      <c r="B426" s="61"/>
    </row>
    <row r="427" spans="2:2" ht="14.1" x14ac:dyDescent="0.55000000000000004">
      <c r="B427" s="61"/>
    </row>
    <row r="428" spans="2:2" ht="14.1" x14ac:dyDescent="0.55000000000000004">
      <c r="B428" s="61"/>
    </row>
    <row r="429" spans="2:2" ht="14.1" x14ac:dyDescent="0.55000000000000004">
      <c r="B429" s="61"/>
    </row>
    <row r="430" spans="2:2" ht="14.1" x14ac:dyDescent="0.55000000000000004">
      <c r="B430" s="61"/>
    </row>
    <row r="431" spans="2:2" ht="14.1" x14ac:dyDescent="0.55000000000000004">
      <c r="B431" s="61"/>
    </row>
    <row r="432" spans="2:2" ht="14.1" x14ac:dyDescent="0.55000000000000004">
      <c r="B432" s="61"/>
    </row>
    <row r="433" spans="2:2" ht="14.1" x14ac:dyDescent="0.55000000000000004">
      <c r="B433" s="61"/>
    </row>
    <row r="434" spans="2:2" ht="14.1" x14ac:dyDescent="0.55000000000000004">
      <c r="B434" s="61"/>
    </row>
    <row r="435" spans="2:2" ht="14.1" x14ac:dyDescent="0.55000000000000004">
      <c r="B435" s="61"/>
    </row>
    <row r="436" spans="2:2" ht="14.1" x14ac:dyDescent="0.55000000000000004">
      <c r="B436" s="61"/>
    </row>
    <row r="437" spans="2:2" ht="14.1" x14ac:dyDescent="0.55000000000000004">
      <c r="B437" s="61"/>
    </row>
    <row r="438" spans="2:2" ht="14.1" x14ac:dyDescent="0.55000000000000004">
      <c r="B438" s="61"/>
    </row>
    <row r="439" spans="2:2" ht="14.1" x14ac:dyDescent="0.55000000000000004">
      <c r="B439" s="61"/>
    </row>
    <row r="440" spans="2:2" ht="14.1" x14ac:dyDescent="0.55000000000000004">
      <c r="B440" s="61"/>
    </row>
    <row r="441" spans="2:2" ht="14.1" x14ac:dyDescent="0.55000000000000004">
      <c r="B441" s="61"/>
    </row>
    <row r="442" spans="2:2" ht="14.1" x14ac:dyDescent="0.55000000000000004">
      <c r="B442" s="61"/>
    </row>
    <row r="443" spans="2:2" ht="14.1" x14ac:dyDescent="0.55000000000000004">
      <c r="B443" s="61"/>
    </row>
    <row r="444" spans="2:2" ht="14.1" x14ac:dyDescent="0.55000000000000004">
      <c r="B444" s="61"/>
    </row>
    <row r="445" spans="2:2" ht="14.1" x14ac:dyDescent="0.55000000000000004">
      <c r="B445" s="61"/>
    </row>
    <row r="446" spans="2:2" ht="14.1" x14ac:dyDescent="0.55000000000000004">
      <c r="B446" s="61"/>
    </row>
    <row r="447" spans="2:2" ht="14.1" x14ac:dyDescent="0.55000000000000004">
      <c r="B447" s="61"/>
    </row>
    <row r="448" spans="2:2" ht="14.1" x14ac:dyDescent="0.55000000000000004">
      <c r="B448" s="61"/>
    </row>
    <row r="449" spans="2:2" ht="14.1" x14ac:dyDescent="0.55000000000000004">
      <c r="B449" s="61"/>
    </row>
    <row r="450" spans="2:2" ht="14.1" x14ac:dyDescent="0.55000000000000004">
      <c r="B450" s="61"/>
    </row>
    <row r="451" spans="2:2" ht="14.1" x14ac:dyDescent="0.55000000000000004">
      <c r="B451" s="61"/>
    </row>
    <row r="452" spans="2:2" ht="14.1" x14ac:dyDescent="0.55000000000000004">
      <c r="B452" s="61"/>
    </row>
    <row r="453" spans="2:2" ht="14.1" x14ac:dyDescent="0.55000000000000004">
      <c r="B453" s="61"/>
    </row>
    <row r="454" spans="2:2" ht="14.1" x14ac:dyDescent="0.55000000000000004">
      <c r="B454" s="61"/>
    </row>
    <row r="455" spans="2:2" ht="14.1" x14ac:dyDescent="0.55000000000000004">
      <c r="B455" s="61"/>
    </row>
    <row r="456" spans="2:2" ht="14.1" x14ac:dyDescent="0.55000000000000004">
      <c r="B456" s="61"/>
    </row>
    <row r="457" spans="2:2" ht="14.1" x14ac:dyDescent="0.55000000000000004">
      <c r="B457" s="61"/>
    </row>
    <row r="458" spans="2:2" ht="14.1" x14ac:dyDescent="0.55000000000000004">
      <c r="B458" s="61"/>
    </row>
    <row r="459" spans="2:2" ht="14.1" x14ac:dyDescent="0.55000000000000004">
      <c r="B459" s="61"/>
    </row>
    <row r="460" spans="2:2" ht="14.1" x14ac:dyDescent="0.55000000000000004">
      <c r="B460" s="61"/>
    </row>
    <row r="461" spans="2:2" ht="14.1" x14ac:dyDescent="0.55000000000000004">
      <c r="B461" s="61"/>
    </row>
    <row r="462" spans="2:2" ht="14.1" x14ac:dyDescent="0.55000000000000004">
      <c r="B462" s="61"/>
    </row>
    <row r="463" spans="2:2" ht="14.1" x14ac:dyDescent="0.55000000000000004">
      <c r="B463" s="61"/>
    </row>
    <row r="464" spans="2:2" ht="14.1" x14ac:dyDescent="0.55000000000000004">
      <c r="B464" s="61"/>
    </row>
    <row r="465" spans="2:2" ht="14.1" x14ac:dyDescent="0.55000000000000004">
      <c r="B465" s="61"/>
    </row>
    <row r="466" spans="2:2" ht="14.1" x14ac:dyDescent="0.55000000000000004">
      <c r="B466" s="61"/>
    </row>
    <row r="467" spans="2:2" ht="14.1" x14ac:dyDescent="0.55000000000000004">
      <c r="B467" s="61"/>
    </row>
    <row r="468" spans="2:2" ht="14.1" x14ac:dyDescent="0.55000000000000004">
      <c r="B468" s="61"/>
    </row>
    <row r="469" spans="2:2" ht="14.1" x14ac:dyDescent="0.55000000000000004">
      <c r="B469" s="61"/>
    </row>
    <row r="470" spans="2:2" ht="14.1" x14ac:dyDescent="0.55000000000000004">
      <c r="B470" s="61"/>
    </row>
    <row r="471" spans="2:2" ht="14.1" x14ac:dyDescent="0.55000000000000004">
      <c r="B471" s="61"/>
    </row>
    <row r="472" spans="2:2" ht="14.1" x14ac:dyDescent="0.55000000000000004">
      <c r="B472" s="61"/>
    </row>
    <row r="473" spans="2:2" ht="14.1" x14ac:dyDescent="0.55000000000000004">
      <c r="B473" s="61"/>
    </row>
    <row r="474" spans="2:2" ht="14.1" x14ac:dyDescent="0.55000000000000004">
      <c r="B474" s="61"/>
    </row>
    <row r="475" spans="2:2" ht="14.1" x14ac:dyDescent="0.55000000000000004">
      <c r="B475" s="61"/>
    </row>
    <row r="476" spans="2:2" ht="14.1" x14ac:dyDescent="0.55000000000000004">
      <c r="B476" s="61"/>
    </row>
    <row r="477" spans="2:2" ht="14.1" x14ac:dyDescent="0.55000000000000004">
      <c r="B477" s="61"/>
    </row>
    <row r="478" spans="2:2" ht="14.1" x14ac:dyDescent="0.55000000000000004">
      <c r="B478" s="61"/>
    </row>
    <row r="479" spans="2:2" ht="14.1" x14ac:dyDescent="0.55000000000000004">
      <c r="B479" s="61"/>
    </row>
    <row r="480" spans="2:2" ht="14.1" x14ac:dyDescent="0.55000000000000004">
      <c r="B480" s="61"/>
    </row>
    <row r="481" spans="2:2" ht="14.1" x14ac:dyDescent="0.55000000000000004">
      <c r="B481" s="61"/>
    </row>
    <row r="482" spans="2:2" ht="14.1" x14ac:dyDescent="0.55000000000000004">
      <c r="B482" s="61"/>
    </row>
    <row r="483" spans="2:2" ht="14.1" x14ac:dyDescent="0.55000000000000004">
      <c r="B483" s="61"/>
    </row>
    <row r="484" spans="2:2" ht="14.1" x14ac:dyDescent="0.55000000000000004">
      <c r="B484" s="61"/>
    </row>
    <row r="485" spans="2:2" ht="14.1" x14ac:dyDescent="0.55000000000000004">
      <c r="B485" s="61"/>
    </row>
    <row r="486" spans="2:2" ht="14.1" x14ac:dyDescent="0.55000000000000004">
      <c r="B486" s="61"/>
    </row>
    <row r="487" spans="2:2" ht="14.1" x14ac:dyDescent="0.55000000000000004">
      <c r="B487" s="61"/>
    </row>
    <row r="488" spans="2:2" ht="14.1" x14ac:dyDescent="0.55000000000000004">
      <c r="B488" s="61"/>
    </row>
    <row r="489" spans="2:2" ht="14.1" x14ac:dyDescent="0.55000000000000004">
      <c r="B489" s="61"/>
    </row>
    <row r="490" spans="2:2" ht="14.1" x14ac:dyDescent="0.55000000000000004">
      <c r="B490" s="61"/>
    </row>
    <row r="491" spans="2:2" ht="14.1" x14ac:dyDescent="0.55000000000000004">
      <c r="B491" s="61"/>
    </row>
    <row r="492" spans="2:2" ht="14.1" x14ac:dyDescent="0.55000000000000004">
      <c r="B492" s="61"/>
    </row>
    <row r="493" spans="2:2" ht="14.1" x14ac:dyDescent="0.55000000000000004">
      <c r="B493" s="61"/>
    </row>
    <row r="494" spans="2:2" ht="14.1" x14ac:dyDescent="0.55000000000000004">
      <c r="B494" s="61"/>
    </row>
    <row r="495" spans="2:2" ht="14.1" x14ac:dyDescent="0.55000000000000004">
      <c r="B495" s="61"/>
    </row>
    <row r="496" spans="2:2" ht="14.1" x14ac:dyDescent="0.55000000000000004">
      <c r="B496" s="61"/>
    </row>
    <row r="497" spans="2:2" ht="14.1" x14ac:dyDescent="0.55000000000000004">
      <c r="B497" s="61"/>
    </row>
    <row r="498" spans="2:2" ht="14.1" x14ac:dyDescent="0.55000000000000004">
      <c r="B498" s="61"/>
    </row>
    <row r="499" spans="2:2" ht="14.1" x14ac:dyDescent="0.55000000000000004">
      <c r="B499" s="61"/>
    </row>
    <row r="500" spans="2:2" ht="14.1" x14ac:dyDescent="0.55000000000000004">
      <c r="B500" s="61"/>
    </row>
    <row r="501" spans="2:2" ht="14.1" x14ac:dyDescent="0.55000000000000004">
      <c r="B501" s="61"/>
    </row>
    <row r="502" spans="2:2" ht="14.1" x14ac:dyDescent="0.55000000000000004">
      <c r="B502" s="61"/>
    </row>
    <row r="503" spans="2:2" ht="14.1" x14ac:dyDescent="0.55000000000000004">
      <c r="B503" s="61"/>
    </row>
    <row r="504" spans="2:2" ht="14.1" x14ac:dyDescent="0.55000000000000004">
      <c r="B504" s="61"/>
    </row>
    <row r="505" spans="2:2" ht="14.1" x14ac:dyDescent="0.55000000000000004">
      <c r="B505" s="61"/>
    </row>
    <row r="506" spans="2:2" ht="14.1" x14ac:dyDescent="0.55000000000000004">
      <c r="B506" s="61"/>
    </row>
    <row r="507" spans="2:2" ht="14.1" x14ac:dyDescent="0.55000000000000004">
      <c r="B507" s="61"/>
    </row>
    <row r="508" spans="2:2" ht="14.1" x14ac:dyDescent="0.55000000000000004">
      <c r="B508" s="61"/>
    </row>
    <row r="509" spans="2:2" ht="14.1" x14ac:dyDescent="0.55000000000000004">
      <c r="B509" s="61"/>
    </row>
    <row r="510" spans="2:2" ht="14.1" x14ac:dyDescent="0.55000000000000004">
      <c r="B510" s="61"/>
    </row>
    <row r="511" spans="2:2" ht="14.1" x14ac:dyDescent="0.55000000000000004">
      <c r="B511" s="61"/>
    </row>
    <row r="512" spans="2:2" ht="14.1" x14ac:dyDescent="0.55000000000000004">
      <c r="B512" s="61"/>
    </row>
    <row r="513" spans="2:2" ht="14.1" x14ac:dyDescent="0.55000000000000004">
      <c r="B513" s="61"/>
    </row>
    <row r="514" spans="2:2" ht="14.1" x14ac:dyDescent="0.55000000000000004">
      <c r="B514" s="61"/>
    </row>
    <row r="515" spans="2:2" ht="14.1" x14ac:dyDescent="0.55000000000000004">
      <c r="B515" s="61"/>
    </row>
    <row r="516" spans="2:2" ht="14.1" x14ac:dyDescent="0.55000000000000004">
      <c r="B516" s="61"/>
    </row>
    <row r="517" spans="2:2" ht="14.1" x14ac:dyDescent="0.55000000000000004">
      <c r="B517" s="61"/>
    </row>
    <row r="518" spans="2:2" ht="14.1" x14ac:dyDescent="0.55000000000000004">
      <c r="B518" s="61"/>
    </row>
    <row r="519" spans="2:2" ht="14.1" x14ac:dyDescent="0.55000000000000004">
      <c r="B519" s="61"/>
    </row>
    <row r="520" spans="2:2" ht="14.1" x14ac:dyDescent="0.55000000000000004">
      <c r="B520" s="61"/>
    </row>
    <row r="521" spans="2:2" ht="14.1" x14ac:dyDescent="0.55000000000000004">
      <c r="B521" s="61"/>
    </row>
    <row r="522" spans="2:2" ht="14.1" x14ac:dyDescent="0.55000000000000004">
      <c r="B522" s="61"/>
    </row>
    <row r="523" spans="2:2" ht="14.1" x14ac:dyDescent="0.55000000000000004">
      <c r="B523" s="61"/>
    </row>
    <row r="524" spans="2:2" ht="14.1" x14ac:dyDescent="0.55000000000000004">
      <c r="B524" s="61"/>
    </row>
    <row r="525" spans="2:2" ht="14.1" x14ac:dyDescent="0.55000000000000004">
      <c r="B525" s="61"/>
    </row>
    <row r="526" spans="2:2" ht="14.1" x14ac:dyDescent="0.55000000000000004">
      <c r="B526" s="61"/>
    </row>
    <row r="527" spans="2:2" ht="14.1" x14ac:dyDescent="0.55000000000000004">
      <c r="B527" s="61"/>
    </row>
    <row r="528" spans="2:2" ht="14.1" x14ac:dyDescent="0.55000000000000004">
      <c r="B528" s="61"/>
    </row>
    <row r="529" spans="2:2" ht="14.1" x14ac:dyDescent="0.55000000000000004">
      <c r="B529" s="61"/>
    </row>
    <row r="530" spans="2:2" ht="14.1" x14ac:dyDescent="0.55000000000000004">
      <c r="B530" s="61"/>
    </row>
    <row r="531" spans="2:2" ht="14.1" x14ac:dyDescent="0.55000000000000004">
      <c r="B531" s="61"/>
    </row>
    <row r="532" spans="2:2" ht="14.1" x14ac:dyDescent="0.55000000000000004">
      <c r="B532" s="61"/>
    </row>
    <row r="533" spans="2:2" ht="14.1" x14ac:dyDescent="0.55000000000000004">
      <c r="B533" s="61"/>
    </row>
    <row r="534" spans="2:2" ht="14.1" x14ac:dyDescent="0.55000000000000004">
      <c r="B534" s="61"/>
    </row>
    <row r="535" spans="2:2" ht="14.1" x14ac:dyDescent="0.55000000000000004">
      <c r="B535" s="61"/>
    </row>
    <row r="536" spans="2:2" ht="14.1" x14ac:dyDescent="0.55000000000000004">
      <c r="B536" s="61"/>
    </row>
    <row r="537" spans="2:2" ht="14.1" x14ac:dyDescent="0.55000000000000004">
      <c r="B537" s="61"/>
    </row>
    <row r="538" spans="2:2" ht="14.1" x14ac:dyDescent="0.55000000000000004">
      <c r="B538" s="61"/>
    </row>
    <row r="539" spans="2:2" ht="14.1" x14ac:dyDescent="0.55000000000000004">
      <c r="B539" s="61"/>
    </row>
    <row r="540" spans="2:2" ht="14.1" x14ac:dyDescent="0.55000000000000004">
      <c r="B540" s="61"/>
    </row>
    <row r="541" spans="2:2" ht="14.1" x14ac:dyDescent="0.55000000000000004">
      <c r="B541" s="61"/>
    </row>
    <row r="542" spans="2:2" ht="14.1" x14ac:dyDescent="0.55000000000000004">
      <c r="B542" s="61"/>
    </row>
    <row r="543" spans="2:2" ht="14.1" x14ac:dyDescent="0.55000000000000004">
      <c r="B543" s="61"/>
    </row>
    <row r="544" spans="2:2" ht="14.1" x14ac:dyDescent="0.55000000000000004">
      <c r="B544" s="61"/>
    </row>
    <row r="545" spans="2:2" ht="14.1" x14ac:dyDescent="0.55000000000000004">
      <c r="B545" s="61"/>
    </row>
    <row r="546" spans="2:2" ht="14.1" x14ac:dyDescent="0.55000000000000004">
      <c r="B546" s="61"/>
    </row>
    <row r="547" spans="2:2" ht="14.1" x14ac:dyDescent="0.55000000000000004">
      <c r="B547" s="61"/>
    </row>
    <row r="548" spans="2:2" ht="14.1" x14ac:dyDescent="0.55000000000000004">
      <c r="B548" s="61"/>
    </row>
    <row r="549" spans="2:2" ht="14.1" x14ac:dyDescent="0.55000000000000004">
      <c r="B549" s="61"/>
    </row>
    <row r="550" spans="2:2" ht="14.1" x14ac:dyDescent="0.55000000000000004">
      <c r="B550" s="61"/>
    </row>
    <row r="551" spans="2:2" ht="14.1" x14ac:dyDescent="0.55000000000000004">
      <c r="B551" s="61"/>
    </row>
    <row r="552" spans="2:2" ht="14.1" x14ac:dyDescent="0.55000000000000004">
      <c r="B552" s="61"/>
    </row>
    <row r="553" spans="2:2" ht="14.1" x14ac:dyDescent="0.55000000000000004">
      <c r="B553" s="61"/>
    </row>
    <row r="554" spans="2:2" ht="14.1" x14ac:dyDescent="0.55000000000000004">
      <c r="B554" s="61"/>
    </row>
    <row r="555" spans="2:2" ht="14.1" x14ac:dyDescent="0.55000000000000004">
      <c r="B555" s="61"/>
    </row>
    <row r="556" spans="2:2" ht="14.1" x14ac:dyDescent="0.55000000000000004">
      <c r="B556" s="61"/>
    </row>
    <row r="557" spans="2:2" ht="14.1" x14ac:dyDescent="0.55000000000000004">
      <c r="B557" s="61"/>
    </row>
    <row r="558" spans="2:2" ht="14.1" x14ac:dyDescent="0.55000000000000004">
      <c r="B558" s="61"/>
    </row>
    <row r="559" spans="2:2" ht="14.1" x14ac:dyDescent="0.55000000000000004">
      <c r="B559" s="61"/>
    </row>
    <row r="560" spans="2:2" ht="14.1" x14ac:dyDescent="0.55000000000000004">
      <c r="B560" s="61"/>
    </row>
    <row r="561" spans="2:2" ht="14.1" x14ac:dyDescent="0.55000000000000004">
      <c r="B561" s="61"/>
    </row>
    <row r="562" spans="2:2" ht="14.1" x14ac:dyDescent="0.55000000000000004">
      <c r="B562" s="61"/>
    </row>
    <row r="563" spans="2:2" ht="14.1" x14ac:dyDescent="0.55000000000000004">
      <c r="B563" s="61"/>
    </row>
    <row r="564" spans="2:2" ht="14.1" x14ac:dyDescent="0.55000000000000004">
      <c r="B564" s="61"/>
    </row>
    <row r="565" spans="2:2" ht="14.1" x14ac:dyDescent="0.55000000000000004">
      <c r="B565" s="61"/>
    </row>
    <row r="566" spans="2:2" ht="14.1" x14ac:dyDescent="0.55000000000000004">
      <c r="B566" s="61"/>
    </row>
    <row r="567" spans="2:2" ht="14.1" x14ac:dyDescent="0.55000000000000004">
      <c r="B567" s="61"/>
    </row>
    <row r="568" spans="2:2" ht="14.1" x14ac:dyDescent="0.55000000000000004">
      <c r="B568" s="61"/>
    </row>
    <row r="569" spans="2:2" ht="14.1" x14ac:dyDescent="0.55000000000000004">
      <c r="B569" s="61"/>
    </row>
    <row r="570" spans="2:2" ht="14.1" x14ac:dyDescent="0.55000000000000004">
      <c r="B570" s="61"/>
    </row>
    <row r="571" spans="2:2" ht="14.1" x14ac:dyDescent="0.55000000000000004">
      <c r="B571" s="61"/>
    </row>
    <row r="572" spans="2:2" ht="14.1" x14ac:dyDescent="0.55000000000000004">
      <c r="B572" s="61"/>
    </row>
    <row r="573" spans="2:2" ht="14.1" x14ac:dyDescent="0.55000000000000004">
      <c r="B573" s="61"/>
    </row>
    <row r="574" spans="2:2" ht="14.1" x14ac:dyDescent="0.55000000000000004">
      <c r="B574" s="61"/>
    </row>
    <row r="575" spans="2:2" ht="14.1" x14ac:dyDescent="0.55000000000000004">
      <c r="B575" s="61"/>
    </row>
    <row r="576" spans="2:2" ht="14.1" x14ac:dyDescent="0.55000000000000004">
      <c r="B576" s="61"/>
    </row>
    <row r="577" spans="2:2" ht="14.1" x14ac:dyDescent="0.55000000000000004">
      <c r="B577" s="61"/>
    </row>
    <row r="578" spans="2:2" ht="14.1" x14ac:dyDescent="0.55000000000000004">
      <c r="B578" s="61"/>
    </row>
    <row r="579" spans="2:2" ht="14.1" x14ac:dyDescent="0.55000000000000004">
      <c r="B579" s="61"/>
    </row>
    <row r="580" spans="2:2" ht="14.1" x14ac:dyDescent="0.55000000000000004">
      <c r="B580" s="61"/>
    </row>
    <row r="581" spans="2:2" ht="14.1" x14ac:dyDescent="0.55000000000000004">
      <c r="B581" s="61"/>
    </row>
    <row r="582" spans="2:2" ht="14.1" x14ac:dyDescent="0.55000000000000004">
      <c r="B582" s="61"/>
    </row>
    <row r="583" spans="2:2" ht="14.1" x14ac:dyDescent="0.55000000000000004">
      <c r="B583" s="61"/>
    </row>
    <row r="584" spans="2:2" ht="14.1" x14ac:dyDescent="0.55000000000000004">
      <c r="B584" s="61"/>
    </row>
    <row r="585" spans="2:2" ht="14.1" x14ac:dyDescent="0.55000000000000004">
      <c r="B585" s="61"/>
    </row>
    <row r="586" spans="2:2" ht="14.1" x14ac:dyDescent="0.55000000000000004">
      <c r="B586" s="61"/>
    </row>
    <row r="587" spans="2:2" ht="14.1" x14ac:dyDescent="0.55000000000000004">
      <c r="B587" s="61"/>
    </row>
    <row r="588" spans="2:2" ht="14.1" x14ac:dyDescent="0.55000000000000004">
      <c r="B588" s="61"/>
    </row>
    <row r="589" spans="2:2" ht="14.1" x14ac:dyDescent="0.55000000000000004">
      <c r="B589" s="61"/>
    </row>
    <row r="590" spans="2:2" ht="14.1" x14ac:dyDescent="0.55000000000000004">
      <c r="B590" s="61"/>
    </row>
    <row r="591" spans="2:2" ht="14.1" x14ac:dyDescent="0.55000000000000004">
      <c r="B591" s="61"/>
    </row>
    <row r="592" spans="2:2" ht="14.1" x14ac:dyDescent="0.55000000000000004">
      <c r="B592" s="61"/>
    </row>
    <row r="593" spans="2:2" ht="14.1" x14ac:dyDescent="0.55000000000000004">
      <c r="B593" s="61"/>
    </row>
    <row r="594" spans="2:2" ht="14.1" x14ac:dyDescent="0.55000000000000004">
      <c r="B594" s="61"/>
    </row>
    <row r="595" spans="2:2" ht="14.1" x14ac:dyDescent="0.55000000000000004">
      <c r="B595" s="61"/>
    </row>
    <row r="596" spans="2:2" ht="14.1" x14ac:dyDescent="0.55000000000000004">
      <c r="B596" s="61"/>
    </row>
    <row r="597" spans="2:2" ht="14.1" x14ac:dyDescent="0.55000000000000004">
      <c r="B597" s="61"/>
    </row>
    <row r="598" spans="2:2" ht="14.1" x14ac:dyDescent="0.55000000000000004">
      <c r="B598" s="61"/>
    </row>
    <row r="599" spans="2:2" ht="14.1" x14ac:dyDescent="0.55000000000000004">
      <c r="B599" s="61"/>
    </row>
    <row r="600" spans="2:2" ht="14.1" x14ac:dyDescent="0.55000000000000004">
      <c r="B600" s="61"/>
    </row>
    <row r="601" spans="2:2" ht="14.1" x14ac:dyDescent="0.55000000000000004">
      <c r="B601" s="61"/>
    </row>
    <row r="602" spans="2:2" ht="14.1" x14ac:dyDescent="0.55000000000000004">
      <c r="B602" s="61"/>
    </row>
    <row r="603" spans="2:2" ht="14.1" x14ac:dyDescent="0.55000000000000004">
      <c r="B603" s="61"/>
    </row>
    <row r="604" spans="2:2" ht="14.1" x14ac:dyDescent="0.55000000000000004">
      <c r="B604" s="61"/>
    </row>
    <row r="605" spans="2:2" ht="14.1" x14ac:dyDescent="0.55000000000000004">
      <c r="B605" s="61"/>
    </row>
    <row r="606" spans="2:2" ht="14.1" x14ac:dyDescent="0.55000000000000004">
      <c r="B606" s="61"/>
    </row>
    <row r="607" spans="2:2" ht="14.1" x14ac:dyDescent="0.55000000000000004">
      <c r="B607" s="61"/>
    </row>
    <row r="608" spans="2:2" ht="14.1" x14ac:dyDescent="0.55000000000000004">
      <c r="B608" s="61"/>
    </row>
    <row r="609" spans="2:2" ht="14.1" x14ac:dyDescent="0.55000000000000004">
      <c r="B609" s="61"/>
    </row>
    <row r="610" spans="2:2" ht="14.1" x14ac:dyDescent="0.55000000000000004">
      <c r="B610" s="61"/>
    </row>
    <row r="611" spans="2:2" ht="14.1" x14ac:dyDescent="0.55000000000000004">
      <c r="B611" s="61"/>
    </row>
    <row r="612" spans="2:2" ht="14.1" x14ac:dyDescent="0.55000000000000004">
      <c r="B612" s="61"/>
    </row>
    <row r="613" spans="2:2" ht="14.1" x14ac:dyDescent="0.55000000000000004">
      <c r="B613" s="61"/>
    </row>
    <row r="614" spans="2:2" ht="14.1" x14ac:dyDescent="0.55000000000000004">
      <c r="B614" s="61"/>
    </row>
    <row r="615" spans="2:2" ht="14.1" x14ac:dyDescent="0.55000000000000004">
      <c r="B615" s="61"/>
    </row>
    <row r="616" spans="2:2" ht="14.1" x14ac:dyDescent="0.55000000000000004">
      <c r="B616" s="61"/>
    </row>
    <row r="617" spans="2:2" ht="14.1" x14ac:dyDescent="0.55000000000000004">
      <c r="B617" s="61"/>
    </row>
    <row r="618" spans="2:2" ht="14.1" x14ac:dyDescent="0.55000000000000004">
      <c r="B618" s="61"/>
    </row>
    <row r="619" spans="2:2" ht="14.1" x14ac:dyDescent="0.55000000000000004">
      <c r="B619" s="61"/>
    </row>
    <row r="620" spans="2:2" ht="14.1" x14ac:dyDescent="0.55000000000000004">
      <c r="B620" s="61"/>
    </row>
    <row r="621" spans="2:2" ht="14.1" x14ac:dyDescent="0.55000000000000004">
      <c r="B621" s="61"/>
    </row>
    <row r="622" spans="2:2" ht="14.1" x14ac:dyDescent="0.55000000000000004">
      <c r="B622" s="61"/>
    </row>
    <row r="623" spans="2:2" ht="14.1" x14ac:dyDescent="0.55000000000000004">
      <c r="B623" s="61"/>
    </row>
    <row r="624" spans="2:2" ht="14.1" x14ac:dyDescent="0.55000000000000004">
      <c r="B624" s="61"/>
    </row>
    <row r="625" spans="2:2" ht="14.1" x14ac:dyDescent="0.55000000000000004">
      <c r="B625" s="61"/>
    </row>
    <row r="626" spans="2:2" ht="14.1" x14ac:dyDescent="0.55000000000000004">
      <c r="B626" s="61"/>
    </row>
    <row r="627" spans="2:2" ht="14.1" x14ac:dyDescent="0.55000000000000004">
      <c r="B627" s="61"/>
    </row>
    <row r="628" spans="2:2" ht="14.1" x14ac:dyDescent="0.55000000000000004">
      <c r="B628" s="61"/>
    </row>
    <row r="629" spans="2:2" ht="14.1" x14ac:dyDescent="0.55000000000000004">
      <c r="B629" s="61"/>
    </row>
    <row r="630" spans="2:2" ht="14.1" x14ac:dyDescent="0.55000000000000004">
      <c r="B630" s="61"/>
    </row>
    <row r="631" spans="2:2" ht="14.1" x14ac:dyDescent="0.55000000000000004">
      <c r="B631" s="61"/>
    </row>
    <row r="632" spans="2:2" ht="14.1" x14ac:dyDescent="0.55000000000000004">
      <c r="B632" s="61"/>
    </row>
    <row r="633" spans="2:2" ht="14.1" x14ac:dyDescent="0.55000000000000004">
      <c r="B633" s="61"/>
    </row>
    <row r="634" spans="2:2" ht="14.1" x14ac:dyDescent="0.55000000000000004">
      <c r="B634" s="61"/>
    </row>
    <row r="635" spans="2:2" ht="14.1" x14ac:dyDescent="0.55000000000000004">
      <c r="B635" s="61"/>
    </row>
    <row r="636" spans="2:2" ht="14.1" x14ac:dyDescent="0.55000000000000004">
      <c r="B636" s="61"/>
    </row>
    <row r="637" spans="2:2" ht="14.1" x14ac:dyDescent="0.55000000000000004">
      <c r="B637" s="61"/>
    </row>
    <row r="638" spans="2:2" ht="14.1" x14ac:dyDescent="0.55000000000000004">
      <c r="B638" s="61"/>
    </row>
    <row r="639" spans="2:2" ht="14.1" x14ac:dyDescent="0.55000000000000004">
      <c r="B639" s="61"/>
    </row>
    <row r="640" spans="2:2" ht="14.1" x14ac:dyDescent="0.55000000000000004">
      <c r="B640" s="61"/>
    </row>
    <row r="641" spans="2:2" ht="14.1" x14ac:dyDescent="0.55000000000000004">
      <c r="B641" s="61"/>
    </row>
    <row r="642" spans="2:2" ht="14.1" x14ac:dyDescent="0.55000000000000004">
      <c r="B642" s="61"/>
    </row>
    <row r="643" spans="2:2" ht="14.1" x14ac:dyDescent="0.55000000000000004">
      <c r="B643" s="61"/>
    </row>
    <row r="644" spans="2:2" ht="14.1" x14ac:dyDescent="0.55000000000000004">
      <c r="B644" s="61"/>
    </row>
    <row r="645" spans="2:2" ht="14.1" x14ac:dyDescent="0.55000000000000004">
      <c r="B645" s="61"/>
    </row>
    <row r="646" spans="2:2" ht="14.1" x14ac:dyDescent="0.55000000000000004">
      <c r="B646" s="61"/>
    </row>
    <row r="647" spans="2:2" ht="14.1" x14ac:dyDescent="0.55000000000000004">
      <c r="B647" s="61"/>
    </row>
    <row r="648" spans="2:2" ht="14.1" x14ac:dyDescent="0.55000000000000004">
      <c r="B648" s="61"/>
    </row>
    <row r="649" spans="2:2" ht="14.1" x14ac:dyDescent="0.55000000000000004">
      <c r="B649" s="61"/>
    </row>
    <row r="650" spans="2:2" ht="14.1" x14ac:dyDescent="0.55000000000000004">
      <c r="B650" s="61"/>
    </row>
    <row r="651" spans="2:2" ht="14.1" x14ac:dyDescent="0.55000000000000004">
      <c r="B651" s="61"/>
    </row>
    <row r="652" spans="2:2" ht="14.1" x14ac:dyDescent="0.55000000000000004">
      <c r="B652" s="61"/>
    </row>
    <row r="653" spans="2:2" ht="14.1" x14ac:dyDescent="0.55000000000000004">
      <c r="B653" s="61"/>
    </row>
    <row r="654" spans="2:2" ht="14.1" x14ac:dyDescent="0.55000000000000004">
      <c r="B654" s="61"/>
    </row>
    <row r="655" spans="2:2" ht="14.1" x14ac:dyDescent="0.55000000000000004">
      <c r="B655" s="61"/>
    </row>
    <row r="656" spans="2:2" ht="14.1" x14ac:dyDescent="0.55000000000000004">
      <c r="B656" s="61"/>
    </row>
    <row r="657" spans="2:2" ht="14.1" x14ac:dyDescent="0.55000000000000004">
      <c r="B657" s="61"/>
    </row>
    <row r="658" spans="2:2" ht="14.1" x14ac:dyDescent="0.55000000000000004">
      <c r="B658" s="61"/>
    </row>
    <row r="659" spans="2:2" ht="14.1" x14ac:dyDescent="0.55000000000000004">
      <c r="B659" s="61"/>
    </row>
    <row r="660" spans="2:2" ht="14.1" x14ac:dyDescent="0.55000000000000004">
      <c r="B660" s="61"/>
    </row>
    <row r="661" spans="2:2" ht="14.1" x14ac:dyDescent="0.55000000000000004">
      <c r="B661" s="61"/>
    </row>
    <row r="662" spans="2:2" ht="14.1" x14ac:dyDescent="0.55000000000000004">
      <c r="B662" s="61"/>
    </row>
    <row r="663" spans="2:2" ht="14.1" x14ac:dyDescent="0.55000000000000004">
      <c r="B663" s="61"/>
    </row>
    <row r="664" spans="2:2" ht="14.1" x14ac:dyDescent="0.55000000000000004">
      <c r="B664" s="61"/>
    </row>
    <row r="665" spans="2:2" ht="14.1" x14ac:dyDescent="0.55000000000000004">
      <c r="B665" s="61"/>
    </row>
    <row r="666" spans="2:2" ht="14.1" x14ac:dyDescent="0.55000000000000004">
      <c r="B666" s="61"/>
    </row>
    <row r="667" spans="2:2" ht="14.1" x14ac:dyDescent="0.55000000000000004">
      <c r="B667" s="61"/>
    </row>
    <row r="668" spans="2:2" ht="14.1" x14ac:dyDescent="0.55000000000000004">
      <c r="B668" s="61"/>
    </row>
    <row r="669" spans="2:2" ht="14.1" x14ac:dyDescent="0.55000000000000004">
      <c r="B669" s="61"/>
    </row>
    <row r="670" spans="2:2" ht="14.1" x14ac:dyDescent="0.55000000000000004">
      <c r="B670" s="61"/>
    </row>
    <row r="671" spans="2:2" ht="14.1" x14ac:dyDescent="0.55000000000000004">
      <c r="B671" s="61"/>
    </row>
    <row r="672" spans="2:2" ht="14.1" x14ac:dyDescent="0.55000000000000004">
      <c r="B672" s="61"/>
    </row>
    <row r="673" spans="2:2" ht="14.1" x14ac:dyDescent="0.55000000000000004">
      <c r="B673" s="61"/>
    </row>
    <row r="674" spans="2:2" ht="14.1" x14ac:dyDescent="0.55000000000000004">
      <c r="B674" s="61"/>
    </row>
    <row r="675" spans="2:2" ht="14.1" x14ac:dyDescent="0.55000000000000004">
      <c r="B675" s="61"/>
    </row>
    <row r="676" spans="2:2" ht="14.1" x14ac:dyDescent="0.55000000000000004">
      <c r="B676" s="61"/>
    </row>
    <row r="677" spans="2:2" ht="14.1" x14ac:dyDescent="0.55000000000000004">
      <c r="B677" s="61"/>
    </row>
    <row r="678" spans="2:2" ht="14.1" x14ac:dyDescent="0.55000000000000004">
      <c r="B678" s="61"/>
    </row>
    <row r="679" spans="2:2" ht="14.1" x14ac:dyDescent="0.55000000000000004">
      <c r="B679" s="61"/>
    </row>
    <row r="680" spans="2:2" ht="14.1" x14ac:dyDescent="0.55000000000000004">
      <c r="B680" s="61"/>
    </row>
    <row r="681" spans="2:2" ht="14.1" x14ac:dyDescent="0.55000000000000004">
      <c r="B681" s="61"/>
    </row>
    <row r="682" spans="2:2" ht="14.1" x14ac:dyDescent="0.55000000000000004">
      <c r="B682" s="61"/>
    </row>
    <row r="683" spans="2:2" ht="14.1" x14ac:dyDescent="0.55000000000000004">
      <c r="B683" s="61"/>
    </row>
    <row r="684" spans="2:2" ht="14.1" x14ac:dyDescent="0.55000000000000004">
      <c r="B684" s="61"/>
    </row>
    <row r="685" spans="2:2" ht="14.1" x14ac:dyDescent="0.55000000000000004">
      <c r="B685" s="61"/>
    </row>
    <row r="686" spans="2:2" ht="14.1" x14ac:dyDescent="0.55000000000000004">
      <c r="B686" s="61"/>
    </row>
    <row r="687" spans="2:2" ht="14.1" x14ac:dyDescent="0.55000000000000004">
      <c r="B687" s="61"/>
    </row>
    <row r="688" spans="2:2" ht="14.1" x14ac:dyDescent="0.55000000000000004">
      <c r="B688" s="61"/>
    </row>
    <row r="689" spans="2:2" ht="14.1" x14ac:dyDescent="0.55000000000000004">
      <c r="B689" s="61"/>
    </row>
    <row r="690" spans="2:2" ht="14.1" x14ac:dyDescent="0.55000000000000004">
      <c r="B690" s="61"/>
    </row>
    <row r="691" spans="2:2" ht="14.1" x14ac:dyDescent="0.55000000000000004">
      <c r="B691" s="61"/>
    </row>
    <row r="692" spans="2:2" ht="14.1" x14ac:dyDescent="0.55000000000000004">
      <c r="B692" s="61"/>
    </row>
    <row r="693" spans="2:2" ht="14.1" x14ac:dyDescent="0.55000000000000004">
      <c r="B693" s="61"/>
    </row>
    <row r="694" spans="2:2" ht="14.1" x14ac:dyDescent="0.55000000000000004">
      <c r="B694" s="61"/>
    </row>
    <row r="695" spans="2:2" ht="14.1" x14ac:dyDescent="0.55000000000000004">
      <c r="B695" s="61"/>
    </row>
    <row r="696" spans="2:2" ht="14.1" x14ac:dyDescent="0.55000000000000004">
      <c r="B696" s="61"/>
    </row>
    <row r="697" spans="2:2" ht="14.1" x14ac:dyDescent="0.55000000000000004">
      <c r="B697" s="61"/>
    </row>
    <row r="698" spans="2:2" ht="14.1" x14ac:dyDescent="0.55000000000000004">
      <c r="B698" s="61"/>
    </row>
    <row r="699" spans="2:2" ht="14.1" x14ac:dyDescent="0.55000000000000004">
      <c r="B699" s="61"/>
    </row>
    <row r="700" spans="2:2" ht="14.1" x14ac:dyDescent="0.55000000000000004">
      <c r="B700" s="61"/>
    </row>
    <row r="701" spans="2:2" ht="14.1" x14ac:dyDescent="0.55000000000000004">
      <c r="B701" s="61"/>
    </row>
    <row r="702" spans="2:2" ht="14.1" x14ac:dyDescent="0.55000000000000004">
      <c r="B702" s="61"/>
    </row>
    <row r="703" spans="2:2" ht="14.1" x14ac:dyDescent="0.55000000000000004">
      <c r="B703" s="61"/>
    </row>
    <row r="704" spans="2:2" ht="14.1" x14ac:dyDescent="0.55000000000000004">
      <c r="B704" s="61"/>
    </row>
    <row r="705" spans="2:2" ht="14.1" x14ac:dyDescent="0.55000000000000004">
      <c r="B705" s="61"/>
    </row>
    <row r="706" spans="2:2" ht="14.1" x14ac:dyDescent="0.55000000000000004">
      <c r="B706" s="61"/>
    </row>
    <row r="707" spans="2:2" ht="14.1" x14ac:dyDescent="0.55000000000000004">
      <c r="B707" s="61"/>
    </row>
    <row r="708" spans="2:2" ht="14.1" x14ac:dyDescent="0.55000000000000004">
      <c r="B708" s="61"/>
    </row>
    <row r="709" spans="2:2" ht="14.1" x14ac:dyDescent="0.55000000000000004">
      <c r="B709" s="61"/>
    </row>
    <row r="710" spans="2:2" ht="14.1" x14ac:dyDescent="0.55000000000000004">
      <c r="B710" s="61"/>
    </row>
    <row r="711" spans="2:2" ht="14.1" x14ac:dyDescent="0.55000000000000004">
      <c r="B711" s="61"/>
    </row>
    <row r="712" spans="2:2" ht="14.1" x14ac:dyDescent="0.55000000000000004">
      <c r="B712" s="61"/>
    </row>
    <row r="713" spans="2:2" ht="14.1" x14ac:dyDescent="0.55000000000000004">
      <c r="B713" s="61"/>
    </row>
    <row r="714" spans="2:2" ht="14.1" x14ac:dyDescent="0.55000000000000004">
      <c r="B714" s="61"/>
    </row>
    <row r="715" spans="2:2" ht="14.1" x14ac:dyDescent="0.55000000000000004">
      <c r="B715" s="61"/>
    </row>
    <row r="716" spans="2:2" ht="14.1" x14ac:dyDescent="0.55000000000000004">
      <c r="B716" s="61"/>
    </row>
    <row r="717" spans="2:2" ht="14.1" x14ac:dyDescent="0.55000000000000004">
      <c r="B717" s="61"/>
    </row>
    <row r="718" spans="2:2" ht="14.1" x14ac:dyDescent="0.55000000000000004">
      <c r="B718" s="61"/>
    </row>
    <row r="719" spans="2:2" ht="14.1" x14ac:dyDescent="0.55000000000000004">
      <c r="B719" s="61"/>
    </row>
    <row r="720" spans="2:2" ht="14.1" x14ac:dyDescent="0.55000000000000004">
      <c r="B720" s="61"/>
    </row>
    <row r="721" spans="2:2" ht="14.1" x14ac:dyDescent="0.55000000000000004">
      <c r="B721" s="61"/>
    </row>
    <row r="722" spans="2:2" ht="14.1" x14ac:dyDescent="0.55000000000000004">
      <c r="B722" s="61"/>
    </row>
    <row r="723" spans="2:2" ht="14.1" x14ac:dyDescent="0.55000000000000004">
      <c r="B723" s="61"/>
    </row>
    <row r="724" spans="2:2" ht="14.1" x14ac:dyDescent="0.55000000000000004">
      <c r="B724" s="61"/>
    </row>
    <row r="725" spans="2:2" ht="14.1" x14ac:dyDescent="0.55000000000000004">
      <c r="B725" s="61"/>
    </row>
    <row r="726" spans="2:2" ht="14.1" x14ac:dyDescent="0.55000000000000004">
      <c r="B726" s="61"/>
    </row>
    <row r="727" spans="2:2" ht="14.1" x14ac:dyDescent="0.55000000000000004">
      <c r="B727" s="61"/>
    </row>
    <row r="728" spans="2:2" ht="14.1" x14ac:dyDescent="0.55000000000000004">
      <c r="B728" s="61"/>
    </row>
    <row r="729" spans="2:2" ht="14.1" x14ac:dyDescent="0.55000000000000004">
      <c r="B729" s="61"/>
    </row>
    <row r="730" spans="2:2" ht="14.1" x14ac:dyDescent="0.55000000000000004">
      <c r="B730" s="61"/>
    </row>
    <row r="731" spans="2:2" ht="14.1" x14ac:dyDescent="0.55000000000000004">
      <c r="B731" s="61"/>
    </row>
    <row r="732" spans="2:2" ht="14.1" x14ac:dyDescent="0.55000000000000004">
      <c r="B732" s="61"/>
    </row>
    <row r="733" spans="2:2" ht="14.1" x14ac:dyDescent="0.55000000000000004">
      <c r="B733" s="61"/>
    </row>
    <row r="734" spans="2:2" ht="14.1" x14ac:dyDescent="0.55000000000000004">
      <c r="B734" s="61"/>
    </row>
    <row r="735" spans="2:2" ht="14.1" x14ac:dyDescent="0.55000000000000004">
      <c r="B735" s="61"/>
    </row>
    <row r="736" spans="2:2" ht="14.1" x14ac:dyDescent="0.55000000000000004">
      <c r="B736" s="61"/>
    </row>
    <row r="737" spans="2:2" ht="14.1" x14ac:dyDescent="0.55000000000000004">
      <c r="B737" s="61"/>
    </row>
    <row r="738" spans="2:2" ht="14.1" x14ac:dyDescent="0.55000000000000004">
      <c r="B738" s="61"/>
    </row>
    <row r="739" spans="2:2" ht="14.1" x14ac:dyDescent="0.55000000000000004">
      <c r="B739" s="61"/>
    </row>
    <row r="740" spans="2:2" ht="14.1" x14ac:dyDescent="0.55000000000000004">
      <c r="B740" s="61"/>
    </row>
    <row r="741" spans="2:2" ht="14.1" x14ac:dyDescent="0.55000000000000004">
      <c r="B741" s="61"/>
    </row>
    <row r="742" spans="2:2" ht="14.1" x14ac:dyDescent="0.55000000000000004">
      <c r="B742" s="61"/>
    </row>
    <row r="743" spans="2:2" ht="14.1" x14ac:dyDescent="0.55000000000000004">
      <c r="B743" s="61"/>
    </row>
    <row r="744" spans="2:2" ht="14.1" x14ac:dyDescent="0.55000000000000004">
      <c r="B744" s="61"/>
    </row>
    <row r="745" spans="2:2" ht="14.1" x14ac:dyDescent="0.55000000000000004">
      <c r="B745" s="61"/>
    </row>
    <row r="746" spans="2:2" ht="14.1" x14ac:dyDescent="0.55000000000000004">
      <c r="B746" s="61"/>
    </row>
    <row r="747" spans="2:2" ht="14.1" x14ac:dyDescent="0.55000000000000004">
      <c r="B747" s="61"/>
    </row>
    <row r="748" spans="2:2" ht="14.1" x14ac:dyDescent="0.55000000000000004">
      <c r="B748" s="61"/>
    </row>
    <row r="749" spans="2:2" ht="14.1" x14ac:dyDescent="0.55000000000000004">
      <c r="B749" s="61"/>
    </row>
    <row r="750" spans="2:2" ht="14.1" x14ac:dyDescent="0.55000000000000004">
      <c r="B750" s="61"/>
    </row>
    <row r="751" spans="2:2" ht="14.1" x14ac:dyDescent="0.55000000000000004">
      <c r="B751" s="61"/>
    </row>
    <row r="752" spans="2:2" ht="14.1" x14ac:dyDescent="0.55000000000000004">
      <c r="B752" s="61"/>
    </row>
    <row r="753" spans="2:2" ht="14.1" x14ac:dyDescent="0.55000000000000004">
      <c r="B753" s="61"/>
    </row>
    <row r="754" spans="2:2" ht="14.1" x14ac:dyDescent="0.55000000000000004">
      <c r="B754" s="61"/>
    </row>
    <row r="755" spans="2:2" ht="14.1" x14ac:dyDescent="0.55000000000000004">
      <c r="B755" s="61"/>
    </row>
    <row r="756" spans="2:2" ht="14.1" x14ac:dyDescent="0.55000000000000004">
      <c r="B756" s="61"/>
    </row>
    <row r="757" spans="2:2" ht="14.1" x14ac:dyDescent="0.55000000000000004">
      <c r="B757" s="61"/>
    </row>
    <row r="758" spans="2:2" ht="14.1" x14ac:dyDescent="0.55000000000000004">
      <c r="B758" s="61"/>
    </row>
    <row r="759" spans="2:2" ht="14.1" x14ac:dyDescent="0.55000000000000004">
      <c r="B759" s="61"/>
    </row>
    <row r="760" spans="2:2" ht="14.1" x14ac:dyDescent="0.55000000000000004">
      <c r="B760" s="61"/>
    </row>
    <row r="761" spans="2:2" ht="14.1" x14ac:dyDescent="0.55000000000000004">
      <c r="B761" s="61"/>
    </row>
    <row r="762" spans="2:2" ht="14.1" x14ac:dyDescent="0.55000000000000004">
      <c r="B762" s="61"/>
    </row>
    <row r="763" spans="2:2" ht="14.1" x14ac:dyDescent="0.55000000000000004">
      <c r="B763" s="61"/>
    </row>
    <row r="764" spans="2:2" ht="14.1" x14ac:dyDescent="0.55000000000000004">
      <c r="B764" s="61"/>
    </row>
    <row r="765" spans="2:2" ht="14.1" x14ac:dyDescent="0.55000000000000004">
      <c r="B765" s="61"/>
    </row>
    <row r="766" spans="2:2" ht="14.1" x14ac:dyDescent="0.55000000000000004">
      <c r="B766" s="61"/>
    </row>
    <row r="767" spans="2:2" ht="14.1" x14ac:dyDescent="0.55000000000000004">
      <c r="B767" s="61"/>
    </row>
    <row r="768" spans="2:2" ht="14.1" x14ac:dyDescent="0.55000000000000004">
      <c r="B768" s="61"/>
    </row>
    <row r="769" spans="2:2" ht="14.1" x14ac:dyDescent="0.55000000000000004">
      <c r="B769" s="61"/>
    </row>
    <row r="770" spans="2:2" ht="14.1" x14ac:dyDescent="0.55000000000000004">
      <c r="B770" s="61"/>
    </row>
    <row r="771" spans="2:2" ht="14.1" x14ac:dyDescent="0.55000000000000004">
      <c r="B771" s="61"/>
    </row>
    <row r="772" spans="2:2" ht="14.1" x14ac:dyDescent="0.55000000000000004">
      <c r="B772" s="61"/>
    </row>
    <row r="773" spans="2:2" ht="14.1" x14ac:dyDescent="0.55000000000000004">
      <c r="B773" s="61"/>
    </row>
    <row r="774" spans="2:2" ht="14.1" x14ac:dyDescent="0.55000000000000004">
      <c r="B774" s="61"/>
    </row>
    <row r="775" spans="2:2" ht="14.1" x14ac:dyDescent="0.55000000000000004">
      <c r="B775" s="61"/>
    </row>
    <row r="776" spans="2:2" ht="14.1" x14ac:dyDescent="0.55000000000000004">
      <c r="B776" s="61"/>
    </row>
    <row r="777" spans="2:2" ht="14.1" x14ac:dyDescent="0.55000000000000004">
      <c r="B777" s="61"/>
    </row>
    <row r="778" spans="2:2" ht="14.1" x14ac:dyDescent="0.55000000000000004">
      <c r="B778" s="61"/>
    </row>
    <row r="779" spans="2:2" ht="14.1" x14ac:dyDescent="0.55000000000000004">
      <c r="B779" s="61"/>
    </row>
    <row r="780" spans="2:2" ht="14.1" x14ac:dyDescent="0.55000000000000004">
      <c r="B780" s="61"/>
    </row>
    <row r="781" spans="2:2" ht="14.1" x14ac:dyDescent="0.55000000000000004">
      <c r="B781" s="61"/>
    </row>
    <row r="782" spans="2:2" ht="14.1" x14ac:dyDescent="0.55000000000000004">
      <c r="B782" s="61"/>
    </row>
    <row r="783" spans="2:2" ht="14.1" x14ac:dyDescent="0.55000000000000004">
      <c r="B783" s="61"/>
    </row>
    <row r="784" spans="2:2" ht="14.1" x14ac:dyDescent="0.55000000000000004">
      <c r="B784" s="61"/>
    </row>
    <row r="785" spans="2:2" ht="14.1" x14ac:dyDescent="0.55000000000000004">
      <c r="B785" s="61"/>
    </row>
    <row r="786" spans="2:2" ht="14.1" x14ac:dyDescent="0.55000000000000004">
      <c r="B786" s="61"/>
    </row>
    <row r="787" spans="2:2" ht="14.1" x14ac:dyDescent="0.55000000000000004">
      <c r="B787" s="61"/>
    </row>
    <row r="788" spans="2:2" ht="14.1" x14ac:dyDescent="0.55000000000000004">
      <c r="B788" s="61"/>
    </row>
    <row r="789" spans="2:2" ht="14.1" x14ac:dyDescent="0.55000000000000004">
      <c r="B789" s="61"/>
    </row>
    <row r="790" spans="2:2" ht="14.1" x14ac:dyDescent="0.55000000000000004">
      <c r="B790" s="61"/>
    </row>
    <row r="791" spans="2:2" ht="14.1" x14ac:dyDescent="0.55000000000000004">
      <c r="B791" s="61"/>
    </row>
    <row r="792" spans="2:2" ht="14.1" x14ac:dyDescent="0.55000000000000004">
      <c r="B792" s="61"/>
    </row>
    <row r="793" spans="2:2" ht="14.1" x14ac:dyDescent="0.55000000000000004">
      <c r="B793" s="61"/>
    </row>
    <row r="794" spans="2:2" ht="14.1" x14ac:dyDescent="0.55000000000000004">
      <c r="B794" s="61"/>
    </row>
    <row r="795" spans="2:2" ht="14.1" x14ac:dyDescent="0.55000000000000004">
      <c r="B795" s="61"/>
    </row>
    <row r="796" spans="2:2" ht="14.1" x14ac:dyDescent="0.55000000000000004">
      <c r="B796" s="61"/>
    </row>
    <row r="797" spans="2:2" ht="14.1" x14ac:dyDescent="0.55000000000000004">
      <c r="B797" s="61"/>
    </row>
    <row r="798" spans="2:2" ht="14.1" x14ac:dyDescent="0.55000000000000004">
      <c r="B798" s="61"/>
    </row>
    <row r="799" spans="2:2" ht="14.1" x14ac:dyDescent="0.55000000000000004">
      <c r="B799" s="61"/>
    </row>
    <row r="800" spans="2:2" ht="14.1" x14ac:dyDescent="0.55000000000000004">
      <c r="B800" s="61"/>
    </row>
    <row r="801" spans="2:2" ht="14.1" x14ac:dyDescent="0.55000000000000004">
      <c r="B801" s="61"/>
    </row>
    <row r="802" spans="2:2" ht="14.1" x14ac:dyDescent="0.55000000000000004">
      <c r="B802" s="61"/>
    </row>
    <row r="803" spans="2:2" ht="14.1" x14ac:dyDescent="0.55000000000000004">
      <c r="B803" s="61"/>
    </row>
    <row r="804" spans="2:2" ht="14.1" x14ac:dyDescent="0.55000000000000004">
      <c r="B804" s="61"/>
    </row>
    <row r="805" spans="2:2" ht="14.1" x14ac:dyDescent="0.55000000000000004">
      <c r="B805" s="61"/>
    </row>
    <row r="806" spans="2:2" ht="14.1" x14ac:dyDescent="0.55000000000000004">
      <c r="B806" s="61"/>
    </row>
    <row r="807" spans="2:2" ht="14.1" x14ac:dyDescent="0.55000000000000004">
      <c r="B807" s="61"/>
    </row>
    <row r="808" spans="2:2" ht="14.1" x14ac:dyDescent="0.55000000000000004">
      <c r="B808" s="61"/>
    </row>
    <row r="809" spans="2:2" ht="14.1" x14ac:dyDescent="0.55000000000000004">
      <c r="B809" s="61"/>
    </row>
    <row r="810" spans="2:2" ht="14.1" x14ac:dyDescent="0.55000000000000004">
      <c r="B810" s="61"/>
    </row>
    <row r="811" spans="2:2" ht="14.1" x14ac:dyDescent="0.55000000000000004">
      <c r="B811" s="61"/>
    </row>
    <row r="812" spans="2:2" ht="14.1" x14ac:dyDescent="0.55000000000000004">
      <c r="B812" s="61"/>
    </row>
    <row r="813" spans="2:2" ht="14.1" x14ac:dyDescent="0.55000000000000004">
      <c r="B813" s="61"/>
    </row>
    <row r="814" spans="2:2" ht="14.1" x14ac:dyDescent="0.55000000000000004">
      <c r="B814" s="61"/>
    </row>
    <row r="815" spans="2:2" ht="14.1" x14ac:dyDescent="0.55000000000000004">
      <c r="B815" s="61"/>
    </row>
    <row r="816" spans="2:2" ht="14.1" x14ac:dyDescent="0.55000000000000004">
      <c r="B816" s="61"/>
    </row>
    <row r="817" spans="2:2" ht="14.1" x14ac:dyDescent="0.55000000000000004">
      <c r="B817" s="61"/>
    </row>
    <row r="818" spans="2:2" ht="14.1" x14ac:dyDescent="0.55000000000000004">
      <c r="B818" s="61"/>
    </row>
    <row r="819" spans="2:2" ht="14.1" x14ac:dyDescent="0.55000000000000004">
      <c r="B819" s="61"/>
    </row>
    <row r="820" spans="2:2" ht="14.1" x14ac:dyDescent="0.55000000000000004">
      <c r="B820" s="61"/>
    </row>
    <row r="821" spans="2:2" ht="14.1" x14ac:dyDescent="0.55000000000000004">
      <c r="B821" s="61"/>
    </row>
    <row r="822" spans="2:2" ht="14.1" x14ac:dyDescent="0.55000000000000004">
      <c r="B822" s="61"/>
    </row>
    <row r="823" spans="2:2" ht="14.1" x14ac:dyDescent="0.55000000000000004">
      <c r="B823" s="61"/>
    </row>
    <row r="824" spans="2:2" ht="14.1" x14ac:dyDescent="0.55000000000000004">
      <c r="B824" s="61"/>
    </row>
    <row r="825" spans="2:2" ht="14.1" x14ac:dyDescent="0.55000000000000004">
      <c r="B825" s="61"/>
    </row>
    <row r="826" spans="2:2" ht="14.1" x14ac:dyDescent="0.55000000000000004">
      <c r="B826" s="61"/>
    </row>
    <row r="827" spans="2:2" ht="14.1" x14ac:dyDescent="0.55000000000000004">
      <c r="B827" s="61"/>
    </row>
    <row r="828" spans="2:2" ht="14.1" x14ac:dyDescent="0.55000000000000004">
      <c r="B828" s="61"/>
    </row>
    <row r="829" spans="2:2" ht="14.1" x14ac:dyDescent="0.55000000000000004">
      <c r="B829" s="61"/>
    </row>
    <row r="830" spans="2:2" ht="14.1" x14ac:dyDescent="0.55000000000000004">
      <c r="B830" s="61"/>
    </row>
    <row r="831" spans="2:2" ht="14.1" x14ac:dyDescent="0.55000000000000004">
      <c r="B831" s="61"/>
    </row>
    <row r="832" spans="2:2" ht="14.1" x14ac:dyDescent="0.55000000000000004">
      <c r="B832" s="61"/>
    </row>
    <row r="833" spans="2:2" ht="14.1" x14ac:dyDescent="0.55000000000000004">
      <c r="B833" s="61"/>
    </row>
    <row r="834" spans="2:2" ht="14.1" x14ac:dyDescent="0.55000000000000004">
      <c r="B834" s="61"/>
    </row>
    <row r="835" spans="2:2" ht="14.1" x14ac:dyDescent="0.55000000000000004">
      <c r="B835" s="61"/>
    </row>
    <row r="836" spans="2:2" ht="14.1" x14ac:dyDescent="0.55000000000000004">
      <c r="B836" s="61"/>
    </row>
    <row r="837" spans="2:2" ht="14.1" x14ac:dyDescent="0.55000000000000004">
      <c r="B837" s="61"/>
    </row>
    <row r="838" spans="2:2" ht="14.1" x14ac:dyDescent="0.55000000000000004">
      <c r="B838" s="61"/>
    </row>
    <row r="839" spans="2:2" ht="14.1" x14ac:dyDescent="0.55000000000000004">
      <c r="B839" s="61"/>
    </row>
    <row r="840" spans="2:2" ht="14.1" x14ac:dyDescent="0.55000000000000004">
      <c r="B840" s="61"/>
    </row>
    <row r="841" spans="2:2" ht="14.1" x14ac:dyDescent="0.55000000000000004">
      <c r="B841" s="61"/>
    </row>
    <row r="842" spans="2:2" ht="14.1" x14ac:dyDescent="0.55000000000000004">
      <c r="B842" s="61"/>
    </row>
    <row r="843" spans="2:2" ht="14.1" x14ac:dyDescent="0.55000000000000004">
      <c r="B843" s="61"/>
    </row>
    <row r="844" spans="2:2" ht="14.1" x14ac:dyDescent="0.55000000000000004">
      <c r="B844" s="61"/>
    </row>
    <row r="845" spans="2:2" ht="14.1" x14ac:dyDescent="0.55000000000000004">
      <c r="B845" s="61"/>
    </row>
    <row r="846" spans="2:2" ht="14.1" x14ac:dyDescent="0.55000000000000004">
      <c r="B846" s="61"/>
    </row>
    <row r="847" spans="2:2" ht="14.1" x14ac:dyDescent="0.55000000000000004">
      <c r="B847" s="61"/>
    </row>
    <row r="848" spans="2:2" ht="14.1" x14ac:dyDescent="0.55000000000000004">
      <c r="B848" s="61"/>
    </row>
    <row r="849" spans="2:2" ht="14.1" x14ac:dyDescent="0.55000000000000004">
      <c r="B849" s="61"/>
    </row>
    <row r="850" spans="2:2" ht="14.1" x14ac:dyDescent="0.55000000000000004">
      <c r="B850" s="61"/>
    </row>
    <row r="851" spans="2:2" ht="14.1" x14ac:dyDescent="0.55000000000000004">
      <c r="B851" s="61"/>
    </row>
    <row r="852" spans="2:2" ht="14.1" x14ac:dyDescent="0.55000000000000004">
      <c r="B852" s="61"/>
    </row>
    <row r="853" spans="2:2" ht="14.1" x14ac:dyDescent="0.55000000000000004">
      <c r="B853" s="61"/>
    </row>
    <row r="854" spans="2:2" ht="14.1" x14ac:dyDescent="0.55000000000000004">
      <c r="B854" s="61"/>
    </row>
    <row r="855" spans="2:2" ht="14.1" x14ac:dyDescent="0.55000000000000004">
      <c r="B855" s="61"/>
    </row>
    <row r="856" spans="2:2" ht="14.1" x14ac:dyDescent="0.55000000000000004">
      <c r="B856" s="61"/>
    </row>
    <row r="857" spans="2:2" ht="14.1" x14ac:dyDescent="0.55000000000000004">
      <c r="B857" s="61"/>
    </row>
    <row r="858" spans="2:2" ht="14.1" x14ac:dyDescent="0.55000000000000004">
      <c r="B858" s="61"/>
    </row>
    <row r="859" spans="2:2" ht="14.1" x14ac:dyDescent="0.55000000000000004">
      <c r="B859" s="61"/>
    </row>
    <row r="860" spans="2:2" ht="14.1" x14ac:dyDescent="0.55000000000000004">
      <c r="B860" s="61"/>
    </row>
    <row r="861" spans="2:2" ht="14.1" x14ac:dyDescent="0.55000000000000004">
      <c r="B861" s="61"/>
    </row>
    <row r="862" spans="2:2" ht="14.1" x14ac:dyDescent="0.55000000000000004">
      <c r="B862" s="61"/>
    </row>
  </sheetData>
  <mergeCells count="5">
    <mergeCell ref="B4:D4"/>
    <mergeCell ref="B2:J2"/>
    <mergeCell ref="B3:D3"/>
    <mergeCell ref="B5:D5"/>
    <mergeCell ref="F7:F8"/>
  </mergeCells>
  <conditionalFormatting sqref="C18">
    <cfRule type="expression" dxfId="14" priority="10" stopIfTrue="1">
      <formula>IF(ROW(C18)&gt;Last_Row,TRUE, FALSE)</formula>
    </cfRule>
    <cfRule type="expression" dxfId="13" priority="11" stopIfTrue="1">
      <formula>IF(ROW(C18)=Last_Row,TRUE, FALSE)</formula>
    </cfRule>
    <cfRule type="expression" dxfId="12" priority="12" stopIfTrue="1">
      <formula>IF(ROW(C18)&lt;Last_Row,TRUE, FALSE)</formula>
    </cfRule>
  </conditionalFormatting>
  <conditionalFormatting sqref="H18 J18:L18">
    <cfRule type="expression" dxfId="11" priority="13" stopIfTrue="1">
      <formula>IF(ROW(H18)&gt;Last_Row,TRUE, FALSE)</formula>
    </cfRule>
    <cfRule type="expression" dxfId="10" priority="14" stopIfTrue="1">
      <formula>IF(ROW(H18)=Last_Row,TRUE, FALSE)</formula>
    </cfRule>
    <cfRule type="expression" dxfId="9" priority="15" stopIfTrue="1">
      <formula>IF(ROW(H18)&lt;=Last_Row,TRUE, FALSE)</formula>
    </cfRule>
  </conditionalFormatting>
  <conditionalFormatting sqref="C19:C57">
    <cfRule type="expression" dxfId="8" priority="4" stopIfTrue="1">
      <formula>IF(ROW(C19)&gt;Last_Row,TRUE, FALSE)</formula>
    </cfRule>
    <cfRule type="expression" dxfId="7" priority="5" stopIfTrue="1">
      <formula>IF(ROW(C19)=Last_Row,TRUE, FALSE)</formula>
    </cfRule>
    <cfRule type="expression" dxfId="6" priority="6" stopIfTrue="1">
      <formula>IF(ROW(C19)&lt;Last_Row,TRUE, FALSE)</formula>
    </cfRule>
  </conditionalFormatting>
  <conditionalFormatting sqref="J19:L20 H21:L57 H19:H20">
    <cfRule type="expression" dxfId="5" priority="7" stopIfTrue="1">
      <formula>IF(ROW(H19)&gt;Last_Row,TRUE, FALSE)</formula>
    </cfRule>
    <cfRule type="expression" dxfId="4" priority="8" stopIfTrue="1">
      <formula>IF(ROW(H19)=Last_Row,TRUE, FALSE)</formula>
    </cfRule>
    <cfRule type="expression" dxfId="3" priority="9" stopIfTrue="1">
      <formula>IF(ROW(H19)&lt;=Last_Row,TRUE, FALSE)</formula>
    </cfRule>
  </conditionalFormatting>
  <conditionalFormatting sqref="I18:I20">
    <cfRule type="expression" dxfId="2" priority="1" stopIfTrue="1">
      <formula>IF(ROW(I18)&gt;Last_Row,TRUE, FALSE)</formula>
    </cfRule>
    <cfRule type="expression" dxfId="1" priority="2" stopIfTrue="1">
      <formula>IF(ROW(I18)=Last_Row,TRUE, FALSE)</formula>
    </cfRule>
    <cfRule type="expression" dxfId="0" priority="3" stopIfTrue="1">
      <formula>IF(ROW(I18)&lt;=Last_Row,TRUE, FALSE)</formula>
    </cfRule>
  </conditionalFormatting>
  <dataValidations count="1">
    <dataValidation type="whole" allowBlank="1" showInputMessage="1" showErrorMessage="1" errorTitle="Years" error="Please enter a whole number of years from 1 to 30." sqref="D7:E7" xr:uid="{CDFF1450-847F-4D40-AB20-FDC974775C73}">
      <formula1>1</formula1>
      <formula2>30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FD6E-0D3F-4C0B-AC04-433CBC9D50AF}">
  <dimension ref="A1:K119"/>
  <sheetViews>
    <sheetView topLeftCell="A15" workbookViewId="0">
      <selection activeCell="G20" sqref="G20"/>
    </sheetView>
  </sheetViews>
  <sheetFormatPr defaultColWidth="9.15625" defaultRowHeight="14.4" x14ac:dyDescent="0.55000000000000004"/>
  <cols>
    <col min="1" max="1" width="13" style="40" customWidth="1"/>
    <col min="2" max="2" width="13.41796875" style="40" customWidth="1"/>
    <col min="3" max="3" width="9" style="40" customWidth="1"/>
    <col min="4" max="4" width="13.83984375" style="40" customWidth="1"/>
    <col min="5" max="5" width="18.578125" style="40" customWidth="1"/>
    <col min="6" max="6" width="4" style="40" customWidth="1"/>
    <col min="7" max="7" width="12.15625" style="40" customWidth="1"/>
    <col min="8" max="8" width="12.578125" style="40" customWidth="1"/>
    <col min="9" max="9" width="9.15625" style="40"/>
    <col min="10" max="10" width="12.68359375" style="40" customWidth="1"/>
    <col min="11" max="11" width="13.26171875" style="40" customWidth="1"/>
    <col min="12" max="16384" width="9.15625" style="40"/>
  </cols>
  <sheetData>
    <row r="1" spans="1:8" ht="15" customHeight="1" x14ac:dyDescent="0.55000000000000004">
      <c r="A1" s="211"/>
      <c r="B1" s="211"/>
      <c r="C1" s="211"/>
      <c r="D1" s="211"/>
      <c r="E1" s="211"/>
      <c r="F1" s="211"/>
      <c r="G1" s="211"/>
    </row>
    <row r="2" spans="1:8" ht="17.25" customHeight="1" x14ac:dyDescent="0.55000000000000004">
      <c r="A2" s="203" t="s">
        <v>28</v>
      </c>
      <c r="B2" s="203"/>
      <c r="C2" s="203"/>
      <c r="D2" s="203"/>
      <c r="E2" s="203"/>
      <c r="F2" s="203"/>
      <c r="G2" s="203"/>
    </row>
    <row r="3" spans="1:8" ht="17.25" customHeight="1" x14ac:dyDescent="0.55000000000000004">
      <c r="A3" s="204" t="s">
        <v>29</v>
      </c>
      <c r="B3" s="204"/>
      <c r="C3" s="204"/>
      <c r="D3" s="212">
        <v>2000000</v>
      </c>
      <c r="E3" s="212"/>
      <c r="F3" s="41"/>
      <c r="G3" s="41"/>
    </row>
    <row r="4" spans="1:8" ht="16.5" customHeight="1" x14ac:dyDescent="0.55000000000000004">
      <c r="A4" s="202" t="s">
        <v>30</v>
      </c>
      <c r="B4" s="202"/>
      <c r="C4" s="202"/>
      <c r="D4" s="213">
        <v>2.75E-2</v>
      </c>
      <c r="E4" s="213"/>
      <c r="F4" s="41"/>
      <c r="G4" s="41"/>
    </row>
    <row r="5" spans="1:8" ht="17.25" customHeight="1" x14ac:dyDescent="0.55000000000000004">
      <c r="A5" s="205" t="s">
        <v>31</v>
      </c>
      <c r="B5" s="205"/>
      <c r="C5" s="205"/>
      <c r="D5" s="208">
        <v>43300</v>
      </c>
      <c r="E5" s="208"/>
      <c r="F5" s="41"/>
      <c r="G5" s="41"/>
    </row>
    <row r="6" spans="1:8" ht="16.5" customHeight="1" x14ac:dyDescent="0.55000000000000004">
      <c r="A6" s="209"/>
      <c r="B6" s="209"/>
      <c r="C6" s="209"/>
      <c r="D6" s="209"/>
      <c r="E6" s="209"/>
      <c r="F6" s="209"/>
      <c r="G6" s="209"/>
    </row>
    <row r="7" spans="1:8" x14ac:dyDescent="0.55000000000000004">
      <c r="A7" s="209"/>
      <c r="B7" s="209"/>
      <c r="C7" s="209"/>
      <c r="D7" s="209"/>
      <c r="E7" s="209"/>
      <c r="F7" s="209"/>
      <c r="G7" s="209"/>
    </row>
    <row r="8" spans="1:8" ht="15.75" customHeight="1" x14ac:dyDescent="0.55000000000000004">
      <c r="A8" s="120"/>
      <c r="B8" s="210" t="s">
        <v>23</v>
      </c>
      <c r="C8" s="210"/>
      <c r="D8" s="176" t="s">
        <v>22</v>
      </c>
      <c r="E8" s="110">
        <f>+D3</f>
        <v>2000000</v>
      </c>
      <c r="F8" s="110"/>
    </row>
    <row r="9" spans="1:8" ht="15.75" customHeight="1" x14ac:dyDescent="0.55000000000000004">
      <c r="A9" s="42">
        <v>43466</v>
      </c>
      <c r="B9" s="160">
        <f>+$D$4/2*E8</f>
        <v>27500</v>
      </c>
      <c r="C9" s="160"/>
      <c r="D9" s="43">
        <v>30500</v>
      </c>
      <c r="E9" s="110">
        <f>+E8-D9</f>
        <v>1969500</v>
      </c>
      <c r="F9" s="110"/>
      <c r="G9" s="207"/>
      <c r="H9" s="207"/>
    </row>
    <row r="10" spans="1:8" ht="15.75" customHeight="1" x14ac:dyDescent="0.55000000000000004">
      <c r="A10" s="42">
        <v>43647</v>
      </c>
      <c r="B10" s="160">
        <f>+$D$4/2*E9</f>
        <v>27080.625</v>
      </c>
      <c r="C10" s="160"/>
      <c r="D10" s="44"/>
      <c r="E10" s="110">
        <f t="shared" ref="E10:E73" si="0">+E9-D10</f>
        <v>1969500</v>
      </c>
      <c r="F10" s="110"/>
    </row>
    <row r="11" spans="1:8" ht="15.75" customHeight="1" x14ac:dyDescent="0.55000000000000004">
      <c r="A11" s="42">
        <v>43831</v>
      </c>
      <c r="B11" s="160">
        <f t="shared" ref="B11:B74" si="1">+$D$4/2*E10</f>
        <v>27080.625</v>
      </c>
      <c r="C11" s="160"/>
      <c r="D11" s="43">
        <v>31500</v>
      </c>
      <c r="E11" s="110">
        <f t="shared" si="0"/>
        <v>1938000</v>
      </c>
      <c r="F11" s="110"/>
    </row>
    <row r="12" spans="1:8" ht="15.75" customHeight="1" x14ac:dyDescent="0.55000000000000004">
      <c r="A12" s="42">
        <v>44013</v>
      </c>
      <c r="B12" s="160">
        <f t="shared" si="1"/>
        <v>26647.5</v>
      </c>
      <c r="C12" s="160"/>
      <c r="D12" s="44"/>
      <c r="E12" s="110">
        <f t="shared" si="0"/>
        <v>1938000</v>
      </c>
      <c r="F12" s="110"/>
    </row>
    <row r="13" spans="1:8" ht="15.75" customHeight="1" x14ac:dyDescent="0.55000000000000004">
      <c r="A13" s="45">
        <v>44197</v>
      </c>
      <c r="B13" s="163">
        <f t="shared" si="1"/>
        <v>26647.5</v>
      </c>
      <c r="C13" s="163"/>
      <c r="D13" s="46">
        <v>32000</v>
      </c>
      <c r="E13" s="111">
        <f t="shared" si="0"/>
        <v>1906000</v>
      </c>
      <c r="F13" s="111"/>
      <c r="G13" s="148"/>
      <c r="H13" s="149"/>
    </row>
    <row r="14" spans="1:8" ht="15.75" customHeight="1" x14ac:dyDescent="0.55000000000000004">
      <c r="A14" s="45">
        <v>44378</v>
      </c>
      <c r="B14" s="163">
        <f t="shared" si="1"/>
        <v>26207.5</v>
      </c>
      <c r="C14" s="163"/>
      <c r="D14" s="47"/>
      <c r="E14" s="111">
        <f t="shared" si="0"/>
        <v>1906000</v>
      </c>
      <c r="F14" s="111"/>
    </row>
    <row r="15" spans="1:8" ht="15.75" customHeight="1" x14ac:dyDescent="0.55000000000000004">
      <c r="A15" s="45">
        <v>44562</v>
      </c>
      <c r="B15" s="163">
        <f t="shared" si="1"/>
        <v>26207.5</v>
      </c>
      <c r="C15" s="163"/>
      <c r="D15" s="46">
        <v>33000</v>
      </c>
      <c r="E15" s="111">
        <f t="shared" si="0"/>
        <v>1873000</v>
      </c>
      <c r="F15" s="111"/>
    </row>
    <row r="16" spans="1:8" ht="15.75" customHeight="1" x14ac:dyDescent="0.55000000000000004">
      <c r="A16" s="42">
        <v>44743</v>
      </c>
      <c r="B16" s="160">
        <f t="shared" si="1"/>
        <v>25753.75</v>
      </c>
      <c r="C16" s="160"/>
      <c r="D16" s="44"/>
      <c r="E16" s="110">
        <f t="shared" si="0"/>
        <v>1873000</v>
      </c>
      <c r="F16" s="110"/>
      <c r="G16" s="148">
        <v>0</v>
      </c>
      <c r="H16" s="149" t="s">
        <v>37</v>
      </c>
    </row>
    <row r="17" spans="1:11" ht="15.75" customHeight="1" x14ac:dyDescent="0.55000000000000004">
      <c r="A17" s="178">
        <v>44927</v>
      </c>
      <c r="B17" s="179">
        <f t="shared" si="1"/>
        <v>25753.75</v>
      </c>
      <c r="C17" s="179"/>
      <c r="D17" s="181">
        <v>34000</v>
      </c>
      <c r="E17" s="182">
        <f t="shared" si="0"/>
        <v>1839000</v>
      </c>
      <c r="F17" s="110"/>
    </row>
    <row r="18" spans="1:11" ht="15.75" customHeight="1" x14ac:dyDescent="0.55000000000000004">
      <c r="A18" s="178">
        <v>45108</v>
      </c>
      <c r="B18" s="179">
        <f t="shared" si="1"/>
        <v>25286.25</v>
      </c>
      <c r="C18" s="179"/>
      <c r="D18" s="183"/>
      <c r="E18" s="182">
        <f t="shared" si="0"/>
        <v>1839000</v>
      </c>
      <c r="F18" s="110"/>
    </row>
    <row r="19" spans="1:11" ht="15.75" customHeight="1" x14ac:dyDescent="0.55000000000000004">
      <c r="A19" s="178">
        <v>45292</v>
      </c>
      <c r="B19" s="179">
        <f t="shared" si="1"/>
        <v>25286.25</v>
      </c>
      <c r="C19" s="179"/>
      <c r="D19" s="181">
        <v>35000</v>
      </c>
      <c r="E19" s="182">
        <f t="shared" si="0"/>
        <v>1804000</v>
      </c>
      <c r="F19" s="110"/>
      <c r="J19" s="167" t="s">
        <v>22</v>
      </c>
      <c r="K19" s="167" t="s">
        <v>23</v>
      </c>
    </row>
    <row r="20" spans="1:11" ht="15.75" customHeight="1" x14ac:dyDescent="0.55000000000000004">
      <c r="A20" s="178">
        <v>45474</v>
      </c>
      <c r="B20" s="179">
        <f t="shared" si="1"/>
        <v>24805</v>
      </c>
      <c r="C20" s="179"/>
      <c r="D20" s="183"/>
      <c r="E20" s="182">
        <f t="shared" si="0"/>
        <v>1804000</v>
      </c>
      <c r="F20" s="110"/>
      <c r="I20" s="168">
        <v>2022</v>
      </c>
      <c r="J20" s="165">
        <f>D16</f>
        <v>0</v>
      </c>
      <c r="K20" s="165">
        <f>SUM(B16)</f>
        <v>25753.75</v>
      </c>
    </row>
    <row r="21" spans="1:11" ht="15.75" customHeight="1" x14ac:dyDescent="0.55000000000000004">
      <c r="A21" s="178">
        <v>45658</v>
      </c>
      <c r="B21" s="179">
        <f t="shared" si="1"/>
        <v>24805</v>
      </c>
      <c r="C21" s="179"/>
      <c r="D21" s="181">
        <v>36000</v>
      </c>
      <c r="E21" s="182">
        <f t="shared" si="0"/>
        <v>1768000</v>
      </c>
      <c r="F21" s="110"/>
      <c r="I21" s="168">
        <v>2023</v>
      </c>
      <c r="J21" s="165">
        <f>D17</f>
        <v>34000</v>
      </c>
      <c r="K21" s="165">
        <f>SUM(B17:B18)</f>
        <v>51040</v>
      </c>
    </row>
    <row r="22" spans="1:11" ht="15.75" customHeight="1" x14ac:dyDescent="0.55000000000000004">
      <c r="A22" s="178">
        <v>45839</v>
      </c>
      <c r="B22" s="179">
        <f t="shared" si="1"/>
        <v>24310</v>
      </c>
      <c r="C22" s="179"/>
      <c r="D22" s="183"/>
      <c r="E22" s="182">
        <f t="shared" si="0"/>
        <v>1768000</v>
      </c>
      <c r="F22" s="110"/>
      <c r="I22" s="168">
        <v>2024</v>
      </c>
      <c r="J22" s="165">
        <f>D19</f>
        <v>35000</v>
      </c>
      <c r="K22" s="165">
        <f>SUM(B19:B20)</f>
        <v>50091.25</v>
      </c>
    </row>
    <row r="23" spans="1:11" ht="15.75" customHeight="1" x14ac:dyDescent="0.55000000000000004">
      <c r="A23" s="178">
        <v>46023</v>
      </c>
      <c r="B23" s="179">
        <f t="shared" si="1"/>
        <v>24310</v>
      </c>
      <c r="C23" s="179"/>
      <c r="D23" s="181">
        <v>37000</v>
      </c>
      <c r="E23" s="182">
        <f t="shared" si="0"/>
        <v>1731000</v>
      </c>
      <c r="F23" s="110"/>
      <c r="I23" s="168">
        <v>2025</v>
      </c>
      <c r="J23" s="165">
        <f>D21</f>
        <v>36000</v>
      </c>
      <c r="K23" s="165">
        <f>SUM(B21:B22)</f>
        <v>49115</v>
      </c>
    </row>
    <row r="24" spans="1:11" ht="15.75" customHeight="1" x14ac:dyDescent="0.55000000000000004">
      <c r="A24" s="178">
        <v>46204</v>
      </c>
      <c r="B24" s="179">
        <f t="shared" si="1"/>
        <v>23801.25</v>
      </c>
      <c r="C24" s="179"/>
      <c r="D24" s="183"/>
      <c r="E24" s="182">
        <f t="shared" si="0"/>
        <v>1731000</v>
      </c>
      <c r="F24" s="110"/>
      <c r="I24" s="168">
        <v>2026</v>
      </c>
      <c r="J24" s="165">
        <f>D23</f>
        <v>37000</v>
      </c>
      <c r="K24" s="165">
        <f>SUM(B23:B24)</f>
        <v>48111.25</v>
      </c>
    </row>
    <row r="25" spans="1:11" ht="15.75" customHeight="1" x14ac:dyDescent="0.55000000000000004">
      <c r="A25" s="178">
        <v>46388</v>
      </c>
      <c r="B25" s="179">
        <f t="shared" si="1"/>
        <v>23801.25</v>
      </c>
      <c r="C25" s="179"/>
      <c r="D25" s="181">
        <v>38000</v>
      </c>
      <c r="E25" s="182">
        <f t="shared" si="0"/>
        <v>1693000</v>
      </c>
      <c r="F25" s="110"/>
      <c r="I25" s="168">
        <v>2027</v>
      </c>
      <c r="J25" s="165">
        <f>D25</f>
        <v>38000</v>
      </c>
      <c r="K25" s="165">
        <f>SUM(B25:B26)</f>
        <v>47080</v>
      </c>
    </row>
    <row r="26" spans="1:11" ht="15.75" customHeight="1" x14ac:dyDescent="0.55000000000000004">
      <c r="A26" s="178">
        <v>46569</v>
      </c>
      <c r="B26" s="179">
        <f t="shared" si="1"/>
        <v>23278.75</v>
      </c>
      <c r="C26" s="179"/>
      <c r="D26" s="183"/>
      <c r="E26" s="182">
        <f t="shared" si="0"/>
        <v>1693000</v>
      </c>
      <c r="F26" s="110"/>
      <c r="I26" s="168">
        <v>2028</v>
      </c>
      <c r="J26" s="165">
        <f>D27</f>
        <v>39000</v>
      </c>
      <c r="K26" s="165">
        <f>B27+B28</f>
        <v>46021.25</v>
      </c>
    </row>
    <row r="27" spans="1:11" ht="15.75" customHeight="1" x14ac:dyDescent="0.55000000000000004">
      <c r="A27" s="42">
        <v>46753</v>
      </c>
      <c r="B27" s="160">
        <f t="shared" si="1"/>
        <v>23278.75</v>
      </c>
      <c r="C27" s="160"/>
      <c r="D27" s="43">
        <v>39000</v>
      </c>
      <c r="E27" s="110">
        <f t="shared" si="0"/>
        <v>1654000</v>
      </c>
      <c r="F27" s="110"/>
      <c r="I27" s="168">
        <v>2029</v>
      </c>
      <c r="J27" s="165">
        <f>D29</f>
        <v>40000</v>
      </c>
      <c r="K27" s="165">
        <f>B29+B30</f>
        <v>44935</v>
      </c>
    </row>
    <row r="28" spans="1:11" ht="15.75" customHeight="1" x14ac:dyDescent="0.55000000000000004">
      <c r="A28" s="42">
        <v>46935</v>
      </c>
      <c r="B28" s="160">
        <f t="shared" si="1"/>
        <v>22742.5</v>
      </c>
      <c r="C28" s="160"/>
      <c r="D28" s="44"/>
      <c r="E28" s="110">
        <f t="shared" si="0"/>
        <v>1654000</v>
      </c>
      <c r="F28" s="110"/>
      <c r="I28" s="168">
        <v>2030</v>
      </c>
      <c r="J28" s="165">
        <f>D31</f>
        <v>41000</v>
      </c>
      <c r="K28" s="165">
        <f>B31+B32</f>
        <v>43821.25</v>
      </c>
    </row>
    <row r="29" spans="1:11" ht="15.75" customHeight="1" x14ac:dyDescent="0.55000000000000004">
      <c r="A29" s="42">
        <v>47119</v>
      </c>
      <c r="B29" s="160">
        <f t="shared" si="1"/>
        <v>22742.5</v>
      </c>
      <c r="C29" s="160"/>
      <c r="D29" s="43">
        <v>40000</v>
      </c>
      <c r="E29" s="110">
        <f t="shared" si="0"/>
        <v>1614000</v>
      </c>
      <c r="F29" s="110"/>
      <c r="I29" s="168">
        <v>2031</v>
      </c>
      <c r="J29" s="165">
        <f>D33</f>
        <v>42000</v>
      </c>
      <c r="K29" s="165">
        <f>B33+B34</f>
        <v>42680</v>
      </c>
    </row>
    <row r="30" spans="1:11" ht="15.75" customHeight="1" x14ac:dyDescent="0.55000000000000004">
      <c r="A30" s="42">
        <v>47300</v>
      </c>
      <c r="B30" s="160">
        <f t="shared" si="1"/>
        <v>22192.5</v>
      </c>
      <c r="C30" s="160"/>
      <c r="D30" s="44"/>
      <c r="E30" s="110">
        <f t="shared" si="0"/>
        <v>1614000</v>
      </c>
      <c r="F30" s="110"/>
      <c r="I30" s="168">
        <v>2032</v>
      </c>
      <c r="J30" s="165">
        <f>D35</f>
        <v>43500</v>
      </c>
      <c r="K30" s="165">
        <f>B35+B36</f>
        <v>41504.375</v>
      </c>
    </row>
    <row r="31" spans="1:11" ht="15.75" customHeight="1" x14ac:dyDescent="0.55000000000000004">
      <c r="A31" s="42">
        <v>47484</v>
      </c>
      <c r="B31" s="160">
        <f t="shared" si="1"/>
        <v>22192.5</v>
      </c>
      <c r="C31" s="160"/>
      <c r="D31" s="43">
        <v>41000</v>
      </c>
      <c r="E31" s="110">
        <f t="shared" si="0"/>
        <v>1573000</v>
      </c>
      <c r="F31" s="110"/>
      <c r="I31" s="168">
        <v>2033</v>
      </c>
      <c r="J31" s="165">
        <f>D37</f>
        <v>44500</v>
      </c>
      <c r="K31" s="165">
        <f>B37+B38</f>
        <v>40294.375</v>
      </c>
    </row>
    <row r="32" spans="1:11" ht="15.75" customHeight="1" x14ac:dyDescent="0.55000000000000004">
      <c r="A32" s="42">
        <v>47665</v>
      </c>
      <c r="B32" s="160">
        <f t="shared" si="1"/>
        <v>21628.75</v>
      </c>
      <c r="C32" s="160"/>
      <c r="D32" s="44"/>
      <c r="E32" s="110">
        <f t="shared" si="0"/>
        <v>1573000</v>
      </c>
      <c r="F32" s="110"/>
      <c r="I32" s="168">
        <v>2034</v>
      </c>
      <c r="J32" s="165">
        <f>D39</f>
        <v>46000</v>
      </c>
      <c r="K32" s="165">
        <f>B39+B40</f>
        <v>39050</v>
      </c>
    </row>
    <row r="33" spans="1:11" ht="15.75" customHeight="1" x14ac:dyDescent="0.55000000000000004">
      <c r="A33" s="42">
        <v>47849</v>
      </c>
      <c r="B33" s="160">
        <f t="shared" si="1"/>
        <v>21628.75</v>
      </c>
      <c r="C33" s="160"/>
      <c r="D33" s="43">
        <v>42000</v>
      </c>
      <c r="E33" s="110">
        <f t="shared" si="0"/>
        <v>1531000</v>
      </c>
      <c r="F33" s="110"/>
      <c r="I33" s="168">
        <v>2035</v>
      </c>
      <c r="J33" s="165">
        <f>D41</f>
        <v>47000</v>
      </c>
      <c r="K33" s="165">
        <f>B41+B42</f>
        <v>37771.25</v>
      </c>
    </row>
    <row r="34" spans="1:11" ht="15.75" customHeight="1" x14ac:dyDescent="0.55000000000000004">
      <c r="A34" s="42">
        <v>48030</v>
      </c>
      <c r="B34" s="160">
        <f t="shared" si="1"/>
        <v>21051.25</v>
      </c>
      <c r="C34" s="160"/>
      <c r="D34" s="44"/>
      <c r="E34" s="110">
        <f t="shared" si="0"/>
        <v>1531000</v>
      </c>
      <c r="F34" s="110"/>
      <c r="I34" s="168">
        <v>2036</v>
      </c>
      <c r="J34" s="165">
        <f>D43</f>
        <v>48500</v>
      </c>
      <c r="K34" s="165">
        <f>B43+B44</f>
        <v>36458.125</v>
      </c>
    </row>
    <row r="35" spans="1:11" ht="15.75" customHeight="1" x14ac:dyDescent="0.55000000000000004">
      <c r="A35" s="42">
        <v>48214</v>
      </c>
      <c r="B35" s="160">
        <f t="shared" si="1"/>
        <v>21051.25</v>
      </c>
      <c r="C35" s="160"/>
      <c r="D35" s="43">
        <v>43500</v>
      </c>
      <c r="E35" s="110">
        <f t="shared" si="0"/>
        <v>1487500</v>
      </c>
      <c r="F35" s="110"/>
      <c r="I35" s="168">
        <v>2037</v>
      </c>
      <c r="J35" s="165">
        <f>D45</f>
        <v>49500</v>
      </c>
      <c r="K35" s="165">
        <f>B45+B46</f>
        <v>35110.625</v>
      </c>
    </row>
    <row r="36" spans="1:11" ht="15.75" customHeight="1" x14ac:dyDescent="0.55000000000000004">
      <c r="A36" s="42">
        <v>48396</v>
      </c>
      <c r="B36" s="160">
        <f t="shared" si="1"/>
        <v>20453.125</v>
      </c>
      <c r="C36" s="160"/>
      <c r="D36" s="44"/>
      <c r="E36" s="110">
        <f t="shared" si="0"/>
        <v>1487500</v>
      </c>
      <c r="F36" s="110"/>
      <c r="I36" s="168">
        <v>2038</v>
      </c>
      <c r="J36" s="165">
        <f>D47</f>
        <v>51000</v>
      </c>
      <c r="K36" s="165">
        <f>B47+B48</f>
        <v>33728.75</v>
      </c>
    </row>
    <row r="37" spans="1:11" ht="15.75" customHeight="1" x14ac:dyDescent="0.55000000000000004">
      <c r="A37" s="42">
        <v>48580</v>
      </c>
      <c r="B37" s="160">
        <f t="shared" si="1"/>
        <v>20453.125</v>
      </c>
      <c r="C37" s="160"/>
      <c r="D37" s="43">
        <v>44500</v>
      </c>
      <c r="E37" s="110">
        <f t="shared" si="0"/>
        <v>1443000</v>
      </c>
      <c r="F37" s="110"/>
      <c r="I37" s="168">
        <v>2039</v>
      </c>
      <c r="J37" s="165">
        <f>D49</f>
        <v>52500</v>
      </c>
      <c r="K37" s="165">
        <f>B49+B50</f>
        <v>32305.625</v>
      </c>
    </row>
    <row r="38" spans="1:11" ht="15.75" customHeight="1" x14ac:dyDescent="0.55000000000000004">
      <c r="A38" s="42">
        <v>48761</v>
      </c>
      <c r="B38" s="160">
        <f t="shared" si="1"/>
        <v>19841.25</v>
      </c>
      <c r="C38" s="160"/>
      <c r="D38" s="44"/>
      <c r="E38" s="110">
        <f t="shared" si="0"/>
        <v>1443000</v>
      </c>
      <c r="F38" s="110"/>
      <c r="I38" s="168">
        <v>2040</v>
      </c>
      <c r="J38" s="165">
        <f>D51</f>
        <v>54000</v>
      </c>
      <c r="K38" s="165">
        <f>B51+B52</f>
        <v>30841.25</v>
      </c>
    </row>
    <row r="39" spans="1:11" ht="15.75" customHeight="1" x14ac:dyDescent="0.55000000000000004">
      <c r="A39" s="42">
        <v>48945</v>
      </c>
      <c r="B39" s="160">
        <f t="shared" si="1"/>
        <v>19841.25</v>
      </c>
      <c r="C39" s="160"/>
      <c r="D39" s="43">
        <v>46000</v>
      </c>
      <c r="E39" s="110">
        <f t="shared" si="0"/>
        <v>1397000</v>
      </c>
      <c r="F39" s="110"/>
      <c r="I39" s="168">
        <v>2041</v>
      </c>
      <c r="J39" s="165">
        <f>D53</f>
        <v>55500</v>
      </c>
      <c r="K39" s="165">
        <f>B53+B54</f>
        <v>29335.625</v>
      </c>
    </row>
    <row r="40" spans="1:11" ht="15.75" customHeight="1" x14ac:dyDescent="0.55000000000000004">
      <c r="A40" s="42">
        <v>49126</v>
      </c>
      <c r="B40" s="160">
        <f t="shared" si="1"/>
        <v>19208.75</v>
      </c>
      <c r="C40" s="160"/>
      <c r="D40" s="44"/>
      <c r="E40" s="110">
        <f t="shared" si="0"/>
        <v>1397000</v>
      </c>
      <c r="F40" s="110"/>
      <c r="I40" s="168">
        <v>2042</v>
      </c>
      <c r="J40" s="165">
        <f>D55</f>
        <v>57000</v>
      </c>
      <c r="K40" s="165">
        <f>B55+B56</f>
        <v>27788.75</v>
      </c>
    </row>
    <row r="41" spans="1:11" ht="15.75" customHeight="1" x14ac:dyDescent="0.55000000000000004">
      <c r="A41" s="42">
        <v>49310</v>
      </c>
      <c r="B41" s="160">
        <f t="shared" si="1"/>
        <v>19208.75</v>
      </c>
      <c r="C41" s="160"/>
      <c r="D41" s="43">
        <v>47000</v>
      </c>
      <c r="E41" s="110">
        <f t="shared" si="0"/>
        <v>1350000</v>
      </c>
      <c r="F41" s="110"/>
      <c r="I41" s="168">
        <v>2043</v>
      </c>
      <c r="J41" s="165">
        <f>D57</f>
        <v>58500</v>
      </c>
      <c r="K41" s="165">
        <f>B57+B58</f>
        <v>26200.625</v>
      </c>
    </row>
    <row r="42" spans="1:11" ht="15.75" customHeight="1" x14ac:dyDescent="0.55000000000000004">
      <c r="A42" s="42">
        <v>49491</v>
      </c>
      <c r="B42" s="160">
        <f t="shared" si="1"/>
        <v>18562.5</v>
      </c>
      <c r="C42" s="160"/>
      <c r="D42" s="44"/>
      <c r="E42" s="110">
        <f t="shared" si="0"/>
        <v>1350000</v>
      </c>
      <c r="F42" s="110"/>
      <c r="I42" s="168">
        <v>2044</v>
      </c>
      <c r="J42" s="165">
        <f>D59</f>
        <v>60000</v>
      </c>
      <c r="K42" s="165">
        <f>B59+B60</f>
        <v>24571.25</v>
      </c>
    </row>
    <row r="43" spans="1:11" ht="15.75" customHeight="1" x14ac:dyDescent="0.55000000000000004">
      <c r="A43" s="42">
        <v>49675</v>
      </c>
      <c r="B43" s="160">
        <f t="shared" si="1"/>
        <v>18562.5</v>
      </c>
      <c r="C43" s="160"/>
      <c r="D43" s="43">
        <v>48500</v>
      </c>
      <c r="E43" s="110">
        <f t="shared" si="0"/>
        <v>1301500</v>
      </c>
      <c r="F43" s="110"/>
      <c r="I43" s="168">
        <v>2045</v>
      </c>
      <c r="J43" s="165">
        <f>D61</f>
        <v>62000</v>
      </c>
      <c r="K43" s="165">
        <f>B61+B62</f>
        <v>22893.75</v>
      </c>
    </row>
    <row r="44" spans="1:11" ht="15.75" customHeight="1" x14ac:dyDescent="0.55000000000000004">
      <c r="A44" s="42">
        <v>49857</v>
      </c>
      <c r="B44" s="160">
        <f t="shared" si="1"/>
        <v>17895.625</v>
      </c>
      <c r="C44" s="160"/>
      <c r="D44" s="44"/>
      <c r="E44" s="110">
        <f t="shared" si="0"/>
        <v>1301500</v>
      </c>
      <c r="F44" s="110"/>
      <c r="I44" s="168">
        <v>2046</v>
      </c>
      <c r="J44" s="165">
        <f>D63</f>
        <v>63500</v>
      </c>
      <c r="K44" s="165">
        <f>B63+B64</f>
        <v>21168.125</v>
      </c>
    </row>
    <row r="45" spans="1:11" ht="15.75" customHeight="1" x14ac:dyDescent="0.55000000000000004">
      <c r="A45" s="42">
        <v>50041</v>
      </c>
      <c r="B45" s="160">
        <f t="shared" si="1"/>
        <v>17895.625</v>
      </c>
      <c r="C45" s="160"/>
      <c r="D45" s="43">
        <v>49500</v>
      </c>
      <c r="E45" s="110">
        <f t="shared" si="0"/>
        <v>1252000</v>
      </c>
      <c r="F45" s="110"/>
      <c r="I45" s="168">
        <v>2047</v>
      </c>
      <c r="J45" s="165">
        <f>D65</f>
        <v>65000</v>
      </c>
      <c r="K45" s="165">
        <f>B65+B66</f>
        <v>19401.25</v>
      </c>
    </row>
    <row r="46" spans="1:11" x14ac:dyDescent="0.55000000000000004">
      <c r="A46" s="42">
        <v>50222</v>
      </c>
      <c r="B46" s="160">
        <f t="shared" si="1"/>
        <v>17215</v>
      </c>
      <c r="C46" s="160"/>
      <c r="D46" s="44"/>
      <c r="E46" s="110">
        <f t="shared" si="0"/>
        <v>1252000</v>
      </c>
      <c r="F46" s="110"/>
      <c r="I46" s="168">
        <v>2048</v>
      </c>
      <c r="J46" s="165">
        <f>D67</f>
        <v>67000</v>
      </c>
      <c r="K46" s="165">
        <f>B67+B68</f>
        <v>17586.25</v>
      </c>
    </row>
    <row r="47" spans="1:11" x14ac:dyDescent="0.55000000000000004">
      <c r="A47" s="42">
        <v>50406</v>
      </c>
      <c r="B47" s="160">
        <f t="shared" si="1"/>
        <v>17215</v>
      </c>
      <c r="C47" s="160"/>
      <c r="D47" s="43">
        <f>+D45+1500</f>
        <v>51000</v>
      </c>
      <c r="E47" s="110">
        <f t="shared" si="0"/>
        <v>1201000</v>
      </c>
      <c r="F47" s="110"/>
      <c r="I47" s="168">
        <v>2049</v>
      </c>
      <c r="J47" s="165">
        <f>D69</f>
        <v>69000</v>
      </c>
      <c r="K47" s="165">
        <f>B69+B70</f>
        <v>15716.25</v>
      </c>
    </row>
    <row r="48" spans="1:11" x14ac:dyDescent="0.55000000000000004">
      <c r="A48" s="42">
        <v>50587</v>
      </c>
      <c r="B48" s="160">
        <f t="shared" si="1"/>
        <v>16513.75</v>
      </c>
      <c r="C48" s="160"/>
      <c r="D48" s="44"/>
      <c r="E48" s="110">
        <f t="shared" si="0"/>
        <v>1201000</v>
      </c>
      <c r="F48" s="110"/>
      <c r="I48" s="168">
        <v>2050</v>
      </c>
      <c r="J48" s="165">
        <f>D71</f>
        <v>70500</v>
      </c>
      <c r="K48" s="165">
        <f>B71+B72</f>
        <v>13798.125</v>
      </c>
    </row>
    <row r="49" spans="1:11" x14ac:dyDescent="0.55000000000000004">
      <c r="A49" s="42">
        <v>50771</v>
      </c>
      <c r="B49" s="160">
        <f t="shared" si="1"/>
        <v>16513.75</v>
      </c>
      <c r="C49" s="160"/>
      <c r="D49" s="43">
        <f>+D47+1500</f>
        <v>52500</v>
      </c>
      <c r="E49" s="110">
        <f t="shared" si="0"/>
        <v>1148500</v>
      </c>
      <c r="F49" s="110"/>
      <c r="I49" s="168">
        <v>2051</v>
      </c>
      <c r="J49" s="165">
        <f>D73</f>
        <v>72500</v>
      </c>
      <c r="K49" s="165">
        <f>B73+B74</f>
        <v>11831.875</v>
      </c>
    </row>
    <row r="50" spans="1:11" x14ac:dyDescent="0.55000000000000004">
      <c r="A50" s="42">
        <v>50952</v>
      </c>
      <c r="B50" s="160">
        <f t="shared" si="1"/>
        <v>15791.875</v>
      </c>
      <c r="C50" s="160"/>
      <c r="D50" s="44"/>
      <c r="E50" s="110">
        <f t="shared" si="0"/>
        <v>1148500</v>
      </c>
      <c r="F50" s="110"/>
      <c r="I50" s="168">
        <v>2052</v>
      </c>
      <c r="J50" s="165">
        <f>D75</f>
        <v>74500</v>
      </c>
      <c r="K50" s="165">
        <f>B75+B76</f>
        <v>9810.625</v>
      </c>
    </row>
    <row r="51" spans="1:11" x14ac:dyDescent="0.55000000000000004">
      <c r="A51" s="42">
        <v>51136</v>
      </c>
      <c r="B51" s="160">
        <f t="shared" si="1"/>
        <v>15791.875</v>
      </c>
      <c r="C51" s="160"/>
      <c r="D51" s="43">
        <f t="shared" ref="D51" si="2">+D49+1500</f>
        <v>54000</v>
      </c>
      <c r="E51" s="110">
        <f t="shared" si="0"/>
        <v>1094500</v>
      </c>
      <c r="F51" s="110"/>
      <c r="I51" s="168">
        <v>2053</v>
      </c>
      <c r="J51" s="165">
        <f>D77</f>
        <v>76500</v>
      </c>
      <c r="K51" s="165">
        <f>B77+B78</f>
        <v>7734.375</v>
      </c>
    </row>
    <row r="52" spans="1:11" x14ac:dyDescent="0.55000000000000004">
      <c r="A52" s="42">
        <v>51318</v>
      </c>
      <c r="B52" s="160">
        <f t="shared" si="1"/>
        <v>15049.375</v>
      </c>
      <c r="C52" s="160"/>
      <c r="D52" s="44"/>
      <c r="E52" s="110">
        <f t="shared" si="0"/>
        <v>1094500</v>
      </c>
      <c r="F52" s="110"/>
      <c r="I52" s="168">
        <v>2054</v>
      </c>
      <c r="J52" s="165">
        <f>D79</f>
        <v>79000</v>
      </c>
      <c r="K52" s="165">
        <f>B79+B80</f>
        <v>5596.25</v>
      </c>
    </row>
    <row r="53" spans="1:11" x14ac:dyDescent="0.55000000000000004">
      <c r="A53" s="42">
        <v>51502</v>
      </c>
      <c r="B53" s="160">
        <f t="shared" si="1"/>
        <v>15049.375</v>
      </c>
      <c r="C53" s="160"/>
      <c r="D53" s="43">
        <f t="shared" ref="D53" si="3">+D51+1500</f>
        <v>55500</v>
      </c>
      <c r="E53" s="110">
        <f t="shared" si="0"/>
        <v>1039000</v>
      </c>
      <c r="F53" s="110"/>
      <c r="I53" s="168">
        <v>2055</v>
      </c>
      <c r="J53" s="165">
        <f>D81</f>
        <v>81000</v>
      </c>
      <c r="K53" s="165">
        <f>B81+B82</f>
        <v>3396.25</v>
      </c>
    </row>
    <row r="54" spans="1:11" x14ac:dyDescent="0.55000000000000004">
      <c r="A54" s="42">
        <v>51683</v>
      </c>
      <c r="B54" s="160">
        <f t="shared" si="1"/>
        <v>14286.25</v>
      </c>
      <c r="C54" s="160"/>
      <c r="D54" s="44"/>
      <c r="E54" s="110">
        <f t="shared" si="0"/>
        <v>1039000</v>
      </c>
      <c r="F54" s="110"/>
      <c r="I54" s="168">
        <v>2056</v>
      </c>
      <c r="J54" s="165">
        <f>D83</f>
        <v>83000</v>
      </c>
      <c r="K54" s="165">
        <f>B83</f>
        <v>1141.25</v>
      </c>
    </row>
    <row r="55" spans="1:11" x14ac:dyDescent="0.55000000000000004">
      <c r="A55" s="42">
        <v>51867</v>
      </c>
      <c r="B55" s="160">
        <f t="shared" si="1"/>
        <v>14286.25</v>
      </c>
      <c r="C55" s="160"/>
      <c r="D55" s="43">
        <f t="shared" ref="D55" si="4">+D53+1500</f>
        <v>57000</v>
      </c>
      <c r="E55" s="110">
        <f t="shared" si="0"/>
        <v>982000</v>
      </c>
      <c r="F55" s="110"/>
    </row>
    <row r="56" spans="1:11" x14ac:dyDescent="0.55000000000000004">
      <c r="A56" s="42">
        <v>52048</v>
      </c>
      <c r="B56" s="160">
        <f t="shared" si="1"/>
        <v>13502.5</v>
      </c>
      <c r="C56" s="160"/>
      <c r="D56" s="44"/>
      <c r="E56" s="110">
        <f t="shared" si="0"/>
        <v>982000</v>
      </c>
      <c r="F56" s="110"/>
    </row>
    <row r="57" spans="1:11" x14ac:dyDescent="0.55000000000000004">
      <c r="A57" s="42">
        <v>52232</v>
      </c>
      <c r="B57" s="160">
        <f t="shared" si="1"/>
        <v>13502.5</v>
      </c>
      <c r="C57" s="160"/>
      <c r="D57" s="43">
        <f>+D55+1500</f>
        <v>58500</v>
      </c>
      <c r="E57" s="110">
        <f t="shared" si="0"/>
        <v>923500</v>
      </c>
      <c r="F57" s="110"/>
    </row>
    <row r="58" spans="1:11" x14ac:dyDescent="0.55000000000000004">
      <c r="A58" s="42">
        <v>52413</v>
      </c>
      <c r="B58" s="160">
        <f t="shared" si="1"/>
        <v>12698.125</v>
      </c>
      <c r="C58" s="160"/>
      <c r="D58" s="44"/>
      <c r="E58" s="110">
        <f t="shared" si="0"/>
        <v>923500</v>
      </c>
      <c r="F58" s="110"/>
    </row>
    <row r="59" spans="1:11" x14ac:dyDescent="0.55000000000000004">
      <c r="A59" s="42">
        <v>52597</v>
      </c>
      <c r="B59" s="160">
        <f t="shared" si="1"/>
        <v>12698.125</v>
      </c>
      <c r="C59" s="160"/>
      <c r="D59" s="43">
        <f>+D57+1500</f>
        <v>60000</v>
      </c>
      <c r="E59" s="110">
        <f t="shared" si="0"/>
        <v>863500</v>
      </c>
      <c r="F59" s="110"/>
    </row>
    <row r="60" spans="1:11" x14ac:dyDescent="0.55000000000000004">
      <c r="A60" s="42">
        <v>52779</v>
      </c>
      <c r="B60" s="160">
        <f t="shared" si="1"/>
        <v>11873.125</v>
      </c>
      <c r="C60" s="160"/>
      <c r="D60" s="44"/>
      <c r="E60" s="110">
        <f t="shared" si="0"/>
        <v>863500</v>
      </c>
      <c r="F60" s="110"/>
    </row>
    <row r="61" spans="1:11" x14ac:dyDescent="0.55000000000000004">
      <c r="A61" s="42">
        <v>52963</v>
      </c>
      <c r="B61" s="160">
        <f t="shared" si="1"/>
        <v>11873.125</v>
      </c>
      <c r="C61" s="160"/>
      <c r="D61" s="43">
        <f>+D59+2000</f>
        <v>62000</v>
      </c>
      <c r="E61" s="110">
        <f t="shared" si="0"/>
        <v>801500</v>
      </c>
      <c r="F61" s="110"/>
    </row>
    <row r="62" spans="1:11" x14ac:dyDescent="0.55000000000000004">
      <c r="A62" s="42">
        <v>53144</v>
      </c>
      <c r="B62" s="160">
        <f t="shared" si="1"/>
        <v>11020.625</v>
      </c>
      <c r="C62" s="160"/>
      <c r="D62" s="44"/>
      <c r="E62" s="110">
        <f t="shared" si="0"/>
        <v>801500</v>
      </c>
      <c r="F62" s="110"/>
    </row>
    <row r="63" spans="1:11" x14ac:dyDescent="0.55000000000000004">
      <c r="A63" s="42">
        <v>53328</v>
      </c>
      <c r="B63" s="160">
        <f t="shared" si="1"/>
        <v>11020.625</v>
      </c>
      <c r="C63" s="160"/>
      <c r="D63" s="43">
        <f>+D61+1500</f>
        <v>63500</v>
      </c>
      <c r="E63" s="110">
        <f t="shared" si="0"/>
        <v>738000</v>
      </c>
      <c r="F63" s="110"/>
    </row>
    <row r="64" spans="1:11" x14ac:dyDescent="0.55000000000000004">
      <c r="A64" s="42">
        <v>53509</v>
      </c>
      <c r="B64" s="160">
        <f t="shared" si="1"/>
        <v>10147.5</v>
      </c>
      <c r="C64" s="160"/>
      <c r="D64" s="44"/>
      <c r="E64" s="110">
        <f t="shared" si="0"/>
        <v>738000</v>
      </c>
      <c r="F64" s="110"/>
    </row>
    <row r="65" spans="1:6" x14ac:dyDescent="0.55000000000000004">
      <c r="A65" s="42">
        <v>53693</v>
      </c>
      <c r="B65" s="160">
        <f t="shared" si="1"/>
        <v>10147.5</v>
      </c>
      <c r="C65" s="160"/>
      <c r="D65" s="43">
        <f>+D63+1500</f>
        <v>65000</v>
      </c>
      <c r="E65" s="110">
        <f t="shared" si="0"/>
        <v>673000</v>
      </c>
      <c r="F65" s="110"/>
    </row>
    <row r="66" spans="1:6" x14ac:dyDescent="0.55000000000000004">
      <c r="A66" s="42">
        <v>53874</v>
      </c>
      <c r="B66" s="160">
        <f t="shared" si="1"/>
        <v>9253.75</v>
      </c>
      <c r="C66" s="160"/>
      <c r="D66" s="44"/>
      <c r="E66" s="110">
        <f t="shared" si="0"/>
        <v>673000</v>
      </c>
      <c r="F66" s="110"/>
    </row>
    <row r="67" spans="1:6" x14ac:dyDescent="0.55000000000000004">
      <c r="A67" s="42">
        <v>54058</v>
      </c>
      <c r="B67" s="160">
        <f t="shared" si="1"/>
        <v>9253.75</v>
      </c>
      <c r="C67" s="160"/>
      <c r="D67" s="43">
        <f>+D65+2000</f>
        <v>67000</v>
      </c>
      <c r="E67" s="110">
        <f t="shared" si="0"/>
        <v>606000</v>
      </c>
      <c r="F67" s="110"/>
    </row>
    <row r="68" spans="1:6" x14ac:dyDescent="0.55000000000000004">
      <c r="A68" s="42">
        <v>54240</v>
      </c>
      <c r="B68" s="160">
        <f t="shared" si="1"/>
        <v>8332.5</v>
      </c>
      <c r="C68" s="160"/>
      <c r="D68" s="44"/>
      <c r="E68" s="110">
        <f t="shared" si="0"/>
        <v>606000</v>
      </c>
      <c r="F68" s="110"/>
    </row>
    <row r="69" spans="1:6" x14ac:dyDescent="0.55000000000000004">
      <c r="A69" s="42">
        <v>54424</v>
      </c>
      <c r="B69" s="160">
        <f t="shared" si="1"/>
        <v>8332.5</v>
      </c>
      <c r="C69" s="160"/>
      <c r="D69" s="43">
        <f>+D67+2000</f>
        <v>69000</v>
      </c>
      <c r="E69" s="110">
        <f t="shared" si="0"/>
        <v>537000</v>
      </c>
      <c r="F69" s="110"/>
    </row>
    <row r="70" spans="1:6" x14ac:dyDescent="0.55000000000000004">
      <c r="A70" s="42">
        <v>54605</v>
      </c>
      <c r="B70" s="160">
        <f t="shared" si="1"/>
        <v>7383.75</v>
      </c>
      <c r="C70" s="160"/>
      <c r="D70" s="44"/>
      <c r="E70" s="110">
        <f t="shared" si="0"/>
        <v>537000</v>
      </c>
      <c r="F70" s="110"/>
    </row>
    <row r="71" spans="1:6" x14ac:dyDescent="0.55000000000000004">
      <c r="A71" s="42">
        <v>54789</v>
      </c>
      <c r="B71" s="160">
        <f t="shared" si="1"/>
        <v>7383.75</v>
      </c>
      <c r="C71" s="160"/>
      <c r="D71" s="43">
        <f>+D69+1500</f>
        <v>70500</v>
      </c>
      <c r="E71" s="110">
        <f t="shared" si="0"/>
        <v>466500</v>
      </c>
      <c r="F71" s="110"/>
    </row>
    <row r="72" spans="1:6" x14ac:dyDescent="0.55000000000000004">
      <c r="A72" s="42">
        <v>54970</v>
      </c>
      <c r="B72" s="160">
        <f t="shared" si="1"/>
        <v>6414.375</v>
      </c>
      <c r="C72" s="160"/>
      <c r="D72" s="44"/>
      <c r="E72" s="110">
        <f t="shared" si="0"/>
        <v>466500</v>
      </c>
      <c r="F72" s="110"/>
    </row>
    <row r="73" spans="1:6" x14ac:dyDescent="0.55000000000000004">
      <c r="A73" s="42">
        <v>55154</v>
      </c>
      <c r="B73" s="160">
        <f t="shared" si="1"/>
        <v>6414.375</v>
      </c>
      <c r="C73" s="160"/>
      <c r="D73" s="43">
        <f>+D71+2000</f>
        <v>72500</v>
      </c>
      <c r="E73" s="110">
        <f t="shared" si="0"/>
        <v>394000</v>
      </c>
      <c r="F73" s="110"/>
    </row>
    <row r="74" spans="1:6" x14ac:dyDescent="0.55000000000000004">
      <c r="A74" s="42">
        <v>55335</v>
      </c>
      <c r="B74" s="160">
        <f t="shared" si="1"/>
        <v>5417.5</v>
      </c>
      <c r="C74" s="160"/>
      <c r="D74" s="44"/>
      <c r="E74" s="110">
        <f t="shared" ref="E74:E83" si="5">+E73-D74</f>
        <v>394000</v>
      </c>
      <c r="F74" s="110"/>
    </row>
    <row r="75" spans="1:6" x14ac:dyDescent="0.55000000000000004">
      <c r="A75" s="42">
        <v>55519</v>
      </c>
      <c r="B75" s="160">
        <f t="shared" ref="B75:B83" si="6">+$D$4/2*E74</f>
        <v>5417.5</v>
      </c>
      <c r="C75" s="160"/>
      <c r="D75" s="43">
        <f>+D73+2000</f>
        <v>74500</v>
      </c>
      <c r="E75" s="110">
        <f t="shared" si="5"/>
        <v>319500</v>
      </c>
      <c r="F75" s="110"/>
    </row>
    <row r="76" spans="1:6" x14ac:dyDescent="0.55000000000000004">
      <c r="A76" s="42">
        <v>55701</v>
      </c>
      <c r="B76" s="160">
        <f t="shared" si="6"/>
        <v>4393.125</v>
      </c>
      <c r="C76" s="160"/>
      <c r="D76" s="44"/>
      <c r="E76" s="110">
        <f t="shared" si="5"/>
        <v>319500</v>
      </c>
      <c r="F76" s="110"/>
    </row>
    <row r="77" spans="1:6" x14ac:dyDescent="0.55000000000000004">
      <c r="A77" s="42">
        <v>55885</v>
      </c>
      <c r="B77" s="160">
        <f t="shared" si="6"/>
        <v>4393.125</v>
      </c>
      <c r="C77" s="160"/>
      <c r="D77" s="43">
        <f>+D75+2000</f>
        <v>76500</v>
      </c>
      <c r="E77" s="110">
        <f t="shared" si="5"/>
        <v>243000</v>
      </c>
      <c r="F77" s="110"/>
    </row>
    <row r="78" spans="1:6" x14ac:dyDescent="0.55000000000000004">
      <c r="A78" s="42">
        <v>56066</v>
      </c>
      <c r="B78" s="160">
        <f t="shared" si="6"/>
        <v>3341.25</v>
      </c>
      <c r="C78" s="160"/>
      <c r="D78" s="44"/>
      <c r="E78" s="110">
        <f t="shared" si="5"/>
        <v>243000</v>
      </c>
      <c r="F78" s="110"/>
    </row>
    <row r="79" spans="1:6" x14ac:dyDescent="0.55000000000000004">
      <c r="A79" s="42">
        <v>56250</v>
      </c>
      <c r="B79" s="160">
        <f t="shared" si="6"/>
        <v>3341.25</v>
      </c>
      <c r="C79" s="160"/>
      <c r="D79" s="43">
        <f>+D77+2500</f>
        <v>79000</v>
      </c>
      <c r="E79" s="110">
        <f t="shared" si="5"/>
        <v>164000</v>
      </c>
      <c r="F79" s="110"/>
    </row>
    <row r="80" spans="1:6" x14ac:dyDescent="0.55000000000000004">
      <c r="A80" s="42">
        <v>56431</v>
      </c>
      <c r="B80" s="160">
        <f t="shared" si="6"/>
        <v>2255</v>
      </c>
      <c r="C80" s="160"/>
      <c r="D80" s="44"/>
      <c r="E80" s="110">
        <f t="shared" si="5"/>
        <v>164000</v>
      </c>
      <c r="F80" s="110"/>
    </row>
    <row r="81" spans="1:6" x14ac:dyDescent="0.55000000000000004">
      <c r="A81" s="42">
        <v>56615</v>
      </c>
      <c r="B81" s="160">
        <f t="shared" si="6"/>
        <v>2255</v>
      </c>
      <c r="C81" s="160"/>
      <c r="D81" s="43">
        <f>+D79+2000</f>
        <v>81000</v>
      </c>
      <c r="E81" s="110">
        <f t="shared" si="5"/>
        <v>83000</v>
      </c>
      <c r="F81" s="110"/>
    </row>
    <row r="82" spans="1:6" x14ac:dyDescent="0.55000000000000004">
      <c r="A82" s="42">
        <v>56796</v>
      </c>
      <c r="B82" s="160">
        <f t="shared" si="6"/>
        <v>1141.25</v>
      </c>
      <c r="C82" s="160"/>
      <c r="D82" s="44"/>
      <c r="E82" s="110">
        <f t="shared" si="5"/>
        <v>83000</v>
      </c>
      <c r="F82" s="110"/>
    </row>
    <row r="83" spans="1:6" x14ac:dyDescent="0.55000000000000004">
      <c r="A83" s="42">
        <v>56980</v>
      </c>
      <c r="B83" s="160">
        <f t="shared" si="6"/>
        <v>1141.25</v>
      </c>
      <c r="C83" s="160"/>
      <c r="D83" s="43">
        <f>+D81+2000</f>
        <v>83000</v>
      </c>
      <c r="E83" s="110">
        <f t="shared" si="5"/>
        <v>0</v>
      </c>
      <c r="F83" s="110"/>
    </row>
    <row r="84" spans="1:6" x14ac:dyDescent="0.55000000000000004">
      <c r="A84" s="42"/>
      <c r="D84" s="44"/>
    </row>
    <row r="85" spans="1:6" x14ac:dyDescent="0.55000000000000004">
      <c r="A85" s="42"/>
    </row>
    <row r="86" spans="1:6" x14ac:dyDescent="0.55000000000000004">
      <c r="A86" s="42"/>
    </row>
    <row r="87" spans="1:6" x14ac:dyDescent="0.55000000000000004">
      <c r="A87" s="42"/>
    </row>
    <row r="88" spans="1:6" x14ac:dyDescent="0.55000000000000004">
      <c r="A88" s="42"/>
    </row>
    <row r="89" spans="1:6" x14ac:dyDescent="0.55000000000000004">
      <c r="A89" s="42"/>
    </row>
    <row r="90" spans="1:6" x14ac:dyDescent="0.55000000000000004">
      <c r="A90" s="42"/>
    </row>
    <row r="91" spans="1:6" x14ac:dyDescent="0.55000000000000004">
      <c r="A91" s="42"/>
    </row>
    <row r="92" spans="1:6" x14ac:dyDescent="0.55000000000000004">
      <c r="A92" s="42"/>
    </row>
    <row r="93" spans="1:6" x14ac:dyDescent="0.55000000000000004">
      <c r="A93" s="42"/>
    </row>
    <row r="94" spans="1:6" x14ac:dyDescent="0.55000000000000004">
      <c r="A94" s="42"/>
    </row>
    <row r="95" spans="1:6" x14ac:dyDescent="0.55000000000000004">
      <c r="A95" s="42"/>
    </row>
    <row r="96" spans="1:6" x14ac:dyDescent="0.55000000000000004">
      <c r="A96" s="42"/>
    </row>
    <row r="97" spans="1:1" x14ac:dyDescent="0.55000000000000004">
      <c r="A97" s="42"/>
    </row>
    <row r="98" spans="1:1" x14ac:dyDescent="0.55000000000000004">
      <c r="A98" s="42"/>
    </row>
    <row r="99" spans="1:1" x14ac:dyDescent="0.55000000000000004">
      <c r="A99" s="42"/>
    </row>
    <row r="100" spans="1:1" x14ac:dyDescent="0.55000000000000004">
      <c r="A100" s="42"/>
    </row>
    <row r="101" spans="1:1" x14ac:dyDescent="0.55000000000000004">
      <c r="A101" s="42"/>
    </row>
    <row r="102" spans="1:1" x14ac:dyDescent="0.55000000000000004">
      <c r="A102" s="42"/>
    </row>
    <row r="103" spans="1:1" x14ac:dyDescent="0.55000000000000004">
      <c r="A103" s="42"/>
    </row>
    <row r="104" spans="1:1" x14ac:dyDescent="0.55000000000000004">
      <c r="A104" s="42"/>
    </row>
    <row r="105" spans="1:1" x14ac:dyDescent="0.55000000000000004">
      <c r="A105" s="42"/>
    </row>
    <row r="106" spans="1:1" x14ac:dyDescent="0.55000000000000004">
      <c r="A106" s="42"/>
    </row>
    <row r="107" spans="1:1" x14ac:dyDescent="0.55000000000000004">
      <c r="A107" s="42"/>
    </row>
    <row r="108" spans="1:1" x14ac:dyDescent="0.55000000000000004">
      <c r="A108" s="42"/>
    </row>
    <row r="109" spans="1:1" x14ac:dyDescent="0.55000000000000004">
      <c r="A109" s="42"/>
    </row>
    <row r="110" spans="1:1" x14ac:dyDescent="0.55000000000000004">
      <c r="A110" s="42"/>
    </row>
    <row r="111" spans="1:1" x14ac:dyDescent="0.55000000000000004">
      <c r="A111" s="42"/>
    </row>
    <row r="112" spans="1:1" x14ac:dyDescent="0.55000000000000004">
      <c r="A112" s="42"/>
    </row>
    <row r="113" spans="1:1" x14ac:dyDescent="0.55000000000000004">
      <c r="A113" s="42"/>
    </row>
    <row r="114" spans="1:1" x14ac:dyDescent="0.55000000000000004">
      <c r="A114" s="42"/>
    </row>
    <row r="115" spans="1:1" x14ac:dyDescent="0.55000000000000004">
      <c r="A115" s="42"/>
    </row>
    <row r="116" spans="1:1" x14ac:dyDescent="0.55000000000000004">
      <c r="A116" s="42"/>
    </row>
    <row r="117" spans="1:1" x14ac:dyDescent="0.55000000000000004">
      <c r="A117" s="42"/>
    </row>
    <row r="118" spans="1:1" x14ac:dyDescent="0.55000000000000004">
      <c r="A118" s="42"/>
    </row>
    <row r="119" spans="1:1" x14ac:dyDescent="0.55000000000000004">
      <c r="A119" s="42"/>
    </row>
  </sheetData>
  <mergeCells count="12">
    <mergeCell ref="A1:G1"/>
    <mergeCell ref="A2:G2"/>
    <mergeCell ref="A3:C3"/>
    <mergeCell ref="D3:E3"/>
    <mergeCell ref="A4:C4"/>
    <mergeCell ref="D4:E4"/>
    <mergeCell ref="G9:H9"/>
    <mergeCell ref="A5:C5"/>
    <mergeCell ref="D5:E5"/>
    <mergeCell ref="A6:G6"/>
    <mergeCell ref="A7:G7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A74F0-8976-4F95-8E85-6C9F1645DAA3}">
  <dimension ref="A1:M89"/>
  <sheetViews>
    <sheetView tabSelected="1" workbookViewId="0">
      <selection activeCell="A8" sqref="A8"/>
    </sheetView>
  </sheetViews>
  <sheetFormatPr defaultColWidth="9.15625" defaultRowHeight="14.4" x14ac:dyDescent="0.55000000000000004"/>
  <cols>
    <col min="1" max="1" width="13" style="40" customWidth="1"/>
    <col min="2" max="2" width="12.26171875" style="40" customWidth="1"/>
    <col min="3" max="3" width="9" style="40" customWidth="1"/>
    <col min="4" max="4" width="13.83984375" style="40" customWidth="1"/>
    <col min="5" max="5" width="10.83984375" style="40" customWidth="1"/>
    <col min="6" max="6" width="15.15625" style="40" customWidth="1"/>
    <col min="7" max="7" width="14.41796875" style="40" customWidth="1"/>
    <col min="8" max="16384" width="9.15625" style="40"/>
  </cols>
  <sheetData>
    <row r="1" spans="1:9" ht="15" customHeight="1" x14ac:dyDescent="0.55000000000000004">
      <c r="A1" s="211"/>
      <c r="B1" s="211"/>
      <c r="C1" s="211"/>
      <c r="D1" s="211"/>
      <c r="E1" s="211"/>
      <c r="F1" s="211"/>
      <c r="G1" s="211"/>
    </row>
    <row r="2" spans="1:9" ht="17.25" customHeight="1" x14ac:dyDescent="0.55000000000000004">
      <c r="A2" s="203" t="s">
        <v>28</v>
      </c>
      <c r="B2" s="203"/>
      <c r="C2" s="203"/>
      <c r="D2" s="203"/>
      <c r="E2" s="203"/>
      <c r="F2" s="203"/>
      <c r="G2" s="203"/>
    </row>
    <row r="3" spans="1:9" ht="17.25" customHeight="1" x14ac:dyDescent="0.55000000000000004">
      <c r="A3" s="204" t="s">
        <v>29</v>
      </c>
      <c r="B3" s="204"/>
      <c r="C3" s="204"/>
      <c r="D3" s="212">
        <v>605000</v>
      </c>
      <c r="E3" s="212"/>
      <c r="F3" s="41"/>
      <c r="G3" s="41"/>
    </row>
    <row r="4" spans="1:9" ht="16.5" customHeight="1" x14ac:dyDescent="0.55000000000000004">
      <c r="A4" s="202" t="s">
        <v>30</v>
      </c>
      <c r="B4" s="202"/>
      <c r="C4" s="202"/>
      <c r="D4" s="213">
        <v>5.2699999999999997E-2</v>
      </c>
      <c r="E4" s="213"/>
      <c r="F4" s="41"/>
      <c r="G4" s="41"/>
    </row>
    <row r="5" spans="1:9" ht="17.25" customHeight="1" x14ac:dyDescent="0.55000000000000004">
      <c r="A5" s="205" t="s">
        <v>31</v>
      </c>
      <c r="B5" s="205"/>
      <c r="C5" s="205"/>
      <c r="D5" s="208">
        <v>37069</v>
      </c>
      <c r="E5" s="208"/>
      <c r="F5" s="41"/>
      <c r="G5" s="41"/>
    </row>
    <row r="6" spans="1:9" ht="16.5" customHeight="1" x14ac:dyDescent="0.55000000000000004">
      <c r="A6" s="209"/>
      <c r="B6" s="209"/>
      <c r="C6" s="209"/>
      <c r="D6" s="209"/>
      <c r="E6" s="209"/>
      <c r="F6" s="209"/>
      <c r="G6" s="209"/>
    </row>
    <row r="7" spans="1:9" x14ac:dyDescent="0.55000000000000004">
      <c r="A7" s="209"/>
      <c r="B7" s="209"/>
      <c r="C7" s="209"/>
      <c r="D7" s="209"/>
      <c r="E7" s="209"/>
      <c r="F7" s="209"/>
      <c r="G7" s="209"/>
    </row>
    <row r="8" spans="1:9" ht="15.75" customHeight="1" x14ac:dyDescent="0.55000000000000004">
      <c r="A8" s="120"/>
      <c r="B8" s="214" t="s">
        <v>23</v>
      </c>
      <c r="C8" s="214"/>
      <c r="D8" s="177" t="s">
        <v>38</v>
      </c>
      <c r="E8" s="177" t="s">
        <v>22</v>
      </c>
      <c r="F8" s="110">
        <f>+D3</f>
        <v>605000</v>
      </c>
      <c r="G8" s="110"/>
    </row>
    <row r="9" spans="1:9" ht="15.75" customHeight="1" x14ac:dyDescent="0.55000000000000004">
      <c r="A9" s="42">
        <v>37257</v>
      </c>
      <c r="B9" s="160">
        <f>(+$D$4*F8)/2</f>
        <v>15941.749999999998</v>
      </c>
      <c r="C9" s="160"/>
      <c r="D9" s="154">
        <v>350</v>
      </c>
      <c r="E9" s="43">
        <v>11000</v>
      </c>
      <c r="F9" s="110">
        <f>+F8-E9</f>
        <v>594000</v>
      </c>
      <c r="G9" s="121"/>
      <c r="H9" s="207"/>
      <c r="I9" s="207"/>
    </row>
    <row r="10" spans="1:9" ht="15.75" customHeight="1" x14ac:dyDescent="0.55000000000000004">
      <c r="A10" s="42">
        <v>37438</v>
      </c>
      <c r="B10" s="160">
        <f t="shared" ref="B10:B45" si="0">(+$D$4*F9)/2</f>
        <v>15651.9</v>
      </c>
      <c r="C10" s="160"/>
      <c r="D10" s="154"/>
      <c r="E10" s="44"/>
      <c r="F10" s="110">
        <f t="shared" ref="F10:F54" si="1">+F9-E10</f>
        <v>594000</v>
      </c>
      <c r="G10" s="110"/>
    </row>
    <row r="11" spans="1:9" ht="15.75" customHeight="1" x14ac:dyDescent="0.55000000000000004">
      <c r="A11" s="42">
        <v>37622</v>
      </c>
      <c r="B11" s="160">
        <f t="shared" si="0"/>
        <v>15651.9</v>
      </c>
      <c r="C11" s="160"/>
      <c r="D11" s="154">
        <v>350</v>
      </c>
      <c r="E11" s="43">
        <v>14000</v>
      </c>
      <c r="F11" s="110">
        <f t="shared" si="1"/>
        <v>580000</v>
      </c>
      <c r="G11" s="110"/>
    </row>
    <row r="12" spans="1:9" ht="15.75" customHeight="1" x14ac:dyDescent="0.55000000000000004">
      <c r="A12" s="42">
        <v>37803</v>
      </c>
      <c r="B12" s="160">
        <f t="shared" si="0"/>
        <v>15282.999999999998</v>
      </c>
      <c r="C12" s="160"/>
      <c r="D12" s="154"/>
      <c r="E12" s="44"/>
      <c r="F12" s="110">
        <f t="shared" si="1"/>
        <v>580000</v>
      </c>
      <c r="G12" s="110"/>
    </row>
    <row r="13" spans="1:9" ht="15.75" customHeight="1" x14ac:dyDescent="0.55000000000000004">
      <c r="A13" s="42">
        <v>37987</v>
      </c>
      <c r="B13" s="160">
        <f t="shared" si="0"/>
        <v>15282.999999999998</v>
      </c>
      <c r="C13" s="160"/>
      <c r="D13" s="154">
        <v>350</v>
      </c>
      <c r="E13" s="43">
        <v>14000</v>
      </c>
      <c r="F13" s="110">
        <f t="shared" si="1"/>
        <v>566000</v>
      </c>
      <c r="G13" s="110"/>
    </row>
    <row r="14" spans="1:9" ht="15.75" customHeight="1" x14ac:dyDescent="0.55000000000000004">
      <c r="A14" s="42">
        <v>38169</v>
      </c>
      <c r="B14" s="160">
        <f t="shared" si="0"/>
        <v>14914.099999999999</v>
      </c>
      <c r="C14" s="160"/>
      <c r="D14" s="154"/>
      <c r="E14" s="44"/>
      <c r="F14" s="110">
        <f t="shared" si="1"/>
        <v>566000</v>
      </c>
      <c r="G14" s="122"/>
    </row>
    <row r="15" spans="1:9" ht="15.75" customHeight="1" x14ac:dyDescent="0.55000000000000004">
      <c r="A15" s="42">
        <v>38353</v>
      </c>
      <c r="B15" s="160">
        <f t="shared" si="0"/>
        <v>14914.099999999999</v>
      </c>
      <c r="C15" s="160"/>
      <c r="D15" s="154">
        <v>350</v>
      </c>
      <c r="E15" s="43">
        <v>16000</v>
      </c>
      <c r="F15" s="110">
        <f t="shared" si="1"/>
        <v>550000</v>
      </c>
      <c r="G15" s="125"/>
    </row>
    <row r="16" spans="1:9" ht="15.75" customHeight="1" x14ac:dyDescent="0.55000000000000004">
      <c r="A16" s="42">
        <v>38534</v>
      </c>
      <c r="B16" s="160">
        <f t="shared" si="0"/>
        <v>14492.5</v>
      </c>
      <c r="C16" s="160"/>
      <c r="D16" s="154"/>
      <c r="E16" s="44"/>
      <c r="F16" s="110">
        <f t="shared" si="1"/>
        <v>550000</v>
      </c>
      <c r="G16" s="110"/>
    </row>
    <row r="17" spans="1:7" ht="15.75" customHeight="1" x14ac:dyDescent="0.55000000000000004">
      <c r="A17" s="42">
        <v>38718</v>
      </c>
      <c r="B17" s="160">
        <f t="shared" si="0"/>
        <v>14492.5</v>
      </c>
      <c r="C17" s="160"/>
      <c r="D17" s="154">
        <v>350</v>
      </c>
      <c r="E17" s="43">
        <v>17000</v>
      </c>
      <c r="F17" s="110">
        <f t="shared" si="1"/>
        <v>533000</v>
      </c>
      <c r="G17" s="110"/>
    </row>
    <row r="18" spans="1:7" ht="15.75" customHeight="1" x14ac:dyDescent="0.55000000000000004">
      <c r="A18" s="42">
        <v>38899</v>
      </c>
      <c r="B18" s="160">
        <f t="shared" si="0"/>
        <v>14044.55</v>
      </c>
      <c r="C18" s="160"/>
      <c r="D18" s="154"/>
      <c r="E18" s="44"/>
      <c r="F18" s="110">
        <f t="shared" si="1"/>
        <v>533000</v>
      </c>
      <c r="G18" s="110"/>
    </row>
    <row r="19" spans="1:7" ht="15.75" customHeight="1" x14ac:dyDescent="0.55000000000000004">
      <c r="A19" s="42">
        <v>39083</v>
      </c>
      <c r="B19" s="160">
        <f t="shared" si="0"/>
        <v>14044.55</v>
      </c>
      <c r="C19" s="160"/>
      <c r="D19" s="154">
        <v>350</v>
      </c>
      <c r="E19" s="43">
        <v>18000</v>
      </c>
      <c r="F19" s="110">
        <f t="shared" si="1"/>
        <v>515000</v>
      </c>
      <c r="G19" s="110"/>
    </row>
    <row r="20" spans="1:7" ht="15.75" customHeight="1" x14ac:dyDescent="0.55000000000000004">
      <c r="A20" s="42">
        <v>39264</v>
      </c>
      <c r="B20" s="160">
        <f t="shared" si="0"/>
        <v>13570.25</v>
      </c>
      <c r="C20" s="160"/>
      <c r="D20" s="154"/>
      <c r="E20" s="44"/>
      <c r="F20" s="110">
        <f t="shared" si="1"/>
        <v>515000</v>
      </c>
      <c r="G20" s="110"/>
    </row>
    <row r="21" spans="1:7" ht="15.75" customHeight="1" x14ac:dyDescent="0.55000000000000004">
      <c r="A21" s="42">
        <v>39448</v>
      </c>
      <c r="B21" s="160">
        <f t="shared" si="0"/>
        <v>13570.25</v>
      </c>
      <c r="C21" s="160"/>
      <c r="D21" s="154">
        <v>350</v>
      </c>
      <c r="E21" s="43">
        <v>20000</v>
      </c>
      <c r="F21" s="110">
        <f t="shared" si="1"/>
        <v>495000</v>
      </c>
      <c r="G21" s="110"/>
    </row>
    <row r="22" spans="1:7" ht="15.75" customHeight="1" x14ac:dyDescent="0.55000000000000004">
      <c r="A22" s="42">
        <v>39630</v>
      </c>
      <c r="B22" s="160">
        <f t="shared" si="0"/>
        <v>13043.25</v>
      </c>
      <c r="C22" s="160"/>
      <c r="D22" s="154"/>
      <c r="E22" s="44"/>
      <c r="F22" s="110">
        <f t="shared" si="1"/>
        <v>495000</v>
      </c>
      <c r="G22" s="110"/>
    </row>
    <row r="23" spans="1:7" ht="15.75" customHeight="1" x14ac:dyDescent="0.55000000000000004">
      <c r="A23" s="42">
        <v>39814</v>
      </c>
      <c r="B23" s="160">
        <f t="shared" si="0"/>
        <v>13043.25</v>
      </c>
      <c r="C23" s="160"/>
      <c r="D23" s="154">
        <v>350</v>
      </c>
      <c r="E23" s="43">
        <v>21000</v>
      </c>
      <c r="F23" s="110">
        <f t="shared" si="1"/>
        <v>474000</v>
      </c>
      <c r="G23" s="110"/>
    </row>
    <row r="24" spans="1:7" ht="15.75" customHeight="1" x14ac:dyDescent="0.55000000000000004">
      <c r="A24" s="42">
        <v>39995</v>
      </c>
      <c r="B24" s="160">
        <f t="shared" si="0"/>
        <v>12489.9</v>
      </c>
      <c r="C24" s="160"/>
      <c r="D24" s="154"/>
      <c r="E24" s="43"/>
      <c r="F24" s="110">
        <f t="shared" si="1"/>
        <v>474000</v>
      </c>
      <c r="G24" s="110"/>
    </row>
    <row r="25" spans="1:7" ht="15.75" customHeight="1" x14ac:dyDescent="0.55000000000000004">
      <c r="A25" s="42">
        <v>40179</v>
      </c>
      <c r="B25" s="160">
        <f t="shared" si="0"/>
        <v>12489.9</v>
      </c>
      <c r="C25" s="160"/>
      <c r="D25" s="154">
        <v>350</v>
      </c>
      <c r="E25" s="43">
        <v>21000</v>
      </c>
      <c r="F25" s="110">
        <f t="shared" si="1"/>
        <v>453000</v>
      </c>
      <c r="G25" s="110"/>
    </row>
    <row r="26" spans="1:7" ht="15.75" customHeight="1" x14ac:dyDescent="0.55000000000000004">
      <c r="A26" s="42">
        <v>40360</v>
      </c>
      <c r="B26" s="160">
        <f t="shared" si="0"/>
        <v>11936.55</v>
      </c>
      <c r="C26" s="160"/>
      <c r="D26" s="154"/>
      <c r="E26" s="44"/>
      <c r="F26" s="110">
        <f t="shared" si="1"/>
        <v>453000</v>
      </c>
      <c r="G26" s="110"/>
    </row>
    <row r="27" spans="1:7" ht="15.75" customHeight="1" x14ac:dyDescent="0.55000000000000004">
      <c r="A27" s="42">
        <v>40544</v>
      </c>
      <c r="B27" s="160">
        <f t="shared" si="0"/>
        <v>11936.55</v>
      </c>
      <c r="C27" s="160"/>
      <c r="D27" s="154">
        <v>350</v>
      </c>
      <c r="E27" s="43">
        <v>22000</v>
      </c>
      <c r="F27" s="110">
        <f t="shared" si="1"/>
        <v>431000</v>
      </c>
      <c r="G27" s="110"/>
    </row>
    <row r="28" spans="1:7" ht="15.75" customHeight="1" x14ac:dyDescent="0.55000000000000004">
      <c r="A28" s="42">
        <v>40725</v>
      </c>
      <c r="B28" s="160">
        <f t="shared" si="0"/>
        <v>11356.849999999999</v>
      </c>
      <c r="C28" s="160"/>
      <c r="D28" s="154"/>
      <c r="E28" s="44"/>
      <c r="F28" s="110">
        <f t="shared" si="1"/>
        <v>431000</v>
      </c>
      <c r="G28" s="110"/>
    </row>
    <row r="29" spans="1:7" ht="15.75" customHeight="1" x14ac:dyDescent="0.55000000000000004">
      <c r="A29" s="42">
        <v>40909</v>
      </c>
      <c r="B29" s="160">
        <f t="shared" si="0"/>
        <v>11356.849999999999</v>
      </c>
      <c r="C29" s="160"/>
      <c r="D29" s="154">
        <v>350</v>
      </c>
      <c r="E29" s="43">
        <v>24000</v>
      </c>
      <c r="F29" s="110">
        <f t="shared" si="1"/>
        <v>407000</v>
      </c>
      <c r="G29" s="110"/>
    </row>
    <row r="30" spans="1:7" ht="15.75" customHeight="1" x14ac:dyDescent="0.55000000000000004">
      <c r="A30" s="42">
        <v>41091</v>
      </c>
      <c r="B30" s="160">
        <f t="shared" si="0"/>
        <v>10724.449999999999</v>
      </c>
      <c r="C30" s="160"/>
      <c r="D30" s="154"/>
      <c r="E30" s="44"/>
      <c r="F30" s="110">
        <f t="shared" si="1"/>
        <v>407000</v>
      </c>
      <c r="G30" s="110"/>
    </row>
    <row r="31" spans="1:7" ht="15.75" customHeight="1" x14ac:dyDescent="0.55000000000000004">
      <c r="A31" s="42">
        <v>41275</v>
      </c>
      <c r="B31" s="160">
        <f t="shared" si="0"/>
        <v>10724.449999999999</v>
      </c>
      <c r="C31" s="160"/>
      <c r="D31" s="154">
        <v>350</v>
      </c>
      <c r="E31" s="43">
        <v>26000</v>
      </c>
      <c r="F31" s="110">
        <f t="shared" si="1"/>
        <v>381000</v>
      </c>
      <c r="G31" s="110"/>
    </row>
    <row r="32" spans="1:7" ht="15.75" customHeight="1" x14ac:dyDescent="0.55000000000000004">
      <c r="A32" s="42">
        <v>41456</v>
      </c>
      <c r="B32" s="160">
        <f t="shared" si="0"/>
        <v>10039.349999999999</v>
      </c>
      <c r="C32" s="160"/>
      <c r="D32" s="154"/>
      <c r="E32" s="44"/>
      <c r="F32" s="110">
        <f t="shared" si="1"/>
        <v>381000</v>
      </c>
      <c r="G32" s="110"/>
    </row>
    <row r="33" spans="1:8" ht="15.75" customHeight="1" x14ac:dyDescent="0.55000000000000004">
      <c r="A33" s="42">
        <v>41640</v>
      </c>
      <c r="B33" s="160">
        <f t="shared" si="0"/>
        <v>10039.349999999999</v>
      </c>
      <c r="C33" s="160"/>
      <c r="D33" s="154">
        <v>350</v>
      </c>
      <c r="E33" s="43">
        <v>28000</v>
      </c>
      <c r="F33" s="110">
        <f t="shared" si="1"/>
        <v>353000</v>
      </c>
      <c r="G33" s="110"/>
    </row>
    <row r="34" spans="1:8" ht="15.75" customHeight="1" x14ac:dyDescent="0.55000000000000004">
      <c r="A34" s="42">
        <v>41821</v>
      </c>
      <c r="B34" s="160">
        <f t="shared" si="0"/>
        <v>9301.5499999999993</v>
      </c>
      <c r="C34" s="160"/>
      <c r="D34" s="154"/>
      <c r="E34" s="44"/>
      <c r="F34" s="110">
        <f t="shared" si="1"/>
        <v>353000</v>
      </c>
      <c r="G34" s="110"/>
    </row>
    <row r="35" spans="1:8" ht="15.75" customHeight="1" x14ac:dyDescent="0.55000000000000004">
      <c r="A35" s="42">
        <v>42005</v>
      </c>
      <c r="B35" s="160">
        <f t="shared" si="0"/>
        <v>9301.5499999999993</v>
      </c>
      <c r="C35" s="160"/>
      <c r="D35" s="154">
        <v>350</v>
      </c>
      <c r="E35" s="43">
        <v>30000</v>
      </c>
      <c r="F35" s="110">
        <f t="shared" si="1"/>
        <v>323000</v>
      </c>
      <c r="G35" s="110"/>
    </row>
    <row r="36" spans="1:8" ht="15.75" customHeight="1" x14ac:dyDescent="0.55000000000000004">
      <c r="A36" s="42">
        <v>42186</v>
      </c>
      <c r="B36" s="160">
        <f t="shared" si="0"/>
        <v>8511.0499999999993</v>
      </c>
      <c r="C36" s="160"/>
      <c r="D36" s="154"/>
      <c r="E36" s="44"/>
      <c r="F36" s="110">
        <f t="shared" si="1"/>
        <v>323000</v>
      </c>
      <c r="G36" s="110"/>
    </row>
    <row r="37" spans="1:8" ht="15.75" customHeight="1" x14ac:dyDescent="0.55000000000000004">
      <c r="A37" s="42">
        <v>42370</v>
      </c>
      <c r="B37" s="160">
        <f t="shared" si="0"/>
        <v>8511.0499999999993</v>
      </c>
      <c r="C37" s="160"/>
      <c r="D37" s="154">
        <v>350</v>
      </c>
      <c r="E37" s="43">
        <v>32000</v>
      </c>
      <c r="F37" s="110">
        <f t="shared" si="1"/>
        <v>291000</v>
      </c>
      <c r="G37" s="110"/>
    </row>
    <row r="38" spans="1:8" ht="15.75" customHeight="1" x14ac:dyDescent="0.55000000000000004">
      <c r="A38" s="42">
        <v>42552</v>
      </c>
      <c r="B38" s="160">
        <f t="shared" si="0"/>
        <v>7667.8499999999995</v>
      </c>
      <c r="C38" s="160"/>
      <c r="D38" s="154"/>
      <c r="E38" s="44"/>
      <c r="F38" s="110">
        <f t="shared" si="1"/>
        <v>291000</v>
      </c>
      <c r="G38" s="110"/>
    </row>
    <row r="39" spans="1:8" ht="15.75" customHeight="1" x14ac:dyDescent="0.55000000000000004">
      <c r="A39" s="42">
        <v>42736</v>
      </c>
      <c r="B39" s="160">
        <f t="shared" si="0"/>
        <v>7667.8499999999995</v>
      </c>
      <c r="C39" s="160"/>
      <c r="D39" s="154">
        <v>350</v>
      </c>
      <c r="E39" s="43">
        <v>33000</v>
      </c>
      <c r="F39" s="110">
        <f t="shared" si="1"/>
        <v>258000</v>
      </c>
      <c r="G39" s="110"/>
    </row>
    <row r="40" spans="1:8" ht="15.75" customHeight="1" x14ac:dyDescent="0.55000000000000004">
      <c r="A40" s="42">
        <v>42917</v>
      </c>
      <c r="B40" s="160">
        <f t="shared" si="0"/>
        <v>6798.2999999999993</v>
      </c>
      <c r="C40" s="160"/>
      <c r="D40" s="154"/>
      <c r="E40" s="44"/>
      <c r="F40" s="110">
        <f t="shared" si="1"/>
        <v>258000</v>
      </c>
      <c r="G40" s="110"/>
    </row>
    <row r="41" spans="1:8" ht="15.75" customHeight="1" x14ac:dyDescent="0.55000000000000004">
      <c r="A41" s="42">
        <v>43101</v>
      </c>
      <c r="B41" s="160">
        <f t="shared" si="0"/>
        <v>6798.2999999999993</v>
      </c>
      <c r="C41" s="160"/>
      <c r="D41" s="154">
        <v>350</v>
      </c>
      <c r="E41" s="43">
        <v>35000</v>
      </c>
      <c r="F41" s="110">
        <f t="shared" si="1"/>
        <v>223000</v>
      </c>
      <c r="G41" s="110"/>
    </row>
    <row r="42" spans="1:8" ht="15.75" customHeight="1" x14ac:dyDescent="0.55000000000000004">
      <c r="A42" s="42">
        <v>43282</v>
      </c>
      <c r="B42" s="160">
        <f t="shared" si="0"/>
        <v>5876.0499999999993</v>
      </c>
      <c r="C42" s="160"/>
      <c r="D42" s="154"/>
      <c r="E42" s="44"/>
      <c r="F42" s="110">
        <f t="shared" si="1"/>
        <v>223000</v>
      </c>
      <c r="G42" s="110"/>
    </row>
    <row r="43" spans="1:8" ht="15.75" customHeight="1" x14ac:dyDescent="0.55000000000000004">
      <c r="A43" s="42">
        <v>43466</v>
      </c>
      <c r="B43" s="160">
        <f t="shared" si="0"/>
        <v>5876.0499999999993</v>
      </c>
      <c r="C43" s="160"/>
      <c r="D43" s="154">
        <v>350</v>
      </c>
      <c r="E43" s="43">
        <v>38000</v>
      </c>
      <c r="F43" s="110">
        <f t="shared" si="1"/>
        <v>185000</v>
      </c>
      <c r="G43" s="110"/>
    </row>
    <row r="44" spans="1:8" ht="15.75" customHeight="1" x14ac:dyDescent="0.55000000000000004">
      <c r="A44" s="126">
        <v>43647</v>
      </c>
      <c r="B44" s="164">
        <f t="shared" si="0"/>
        <v>4874.75</v>
      </c>
      <c r="C44" s="164"/>
      <c r="D44" s="127"/>
      <c r="E44" s="128"/>
      <c r="F44" s="129">
        <f t="shared" si="1"/>
        <v>185000</v>
      </c>
      <c r="G44" s="123"/>
    </row>
    <row r="45" spans="1:8" ht="15.75" customHeight="1" x14ac:dyDescent="0.55000000000000004">
      <c r="A45" s="42">
        <v>43831</v>
      </c>
      <c r="B45" s="160">
        <f t="shared" si="0"/>
        <v>4874.75</v>
      </c>
      <c r="C45" s="160"/>
      <c r="D45" s="154">
        <v>350</v>
      </c>
      <c r="E45" s="43">
        <v>41000</v>
      </c>
      <c r="F45" s="110">
        <f>+F44-E45</f>
        <v>144000</v>
      </c>
      <c r="G45" s="124"/>
    </row>
    <row r="46" spans="1:8" x14ac:dyDescent="0.55000000000000004">
      <c r="A46" s="42">
        <v>44013</v>
      </c>
      <c r="B46" s="160">
        <f>(0.0515*F45)/2</f>
        <v>3708</v>
      </c>
      <c r="C46" s="160"/>
      <c r="D46" s="154"/>
      <c r="E46" s="44"/>
      <c r="F46" s="110">
        <f t="shared" si="1"/>
        <v>144000</v>
      </c>
      <c r="G46" s="110"/>
    </row>
    <row r="47" spans="1:8" x14ac:dyDescent="0.55000000000000004">
      <c r="A47" s="45">
        <v>44197</v>
      </c>
      <c r="B47" s="163">
        <f t="shared" ref="B47:B54" si="2">(0.0515*F46)/2</f>
        <v>3708</v>
      </c>
      <c r="C47" s="163"/>
      <c r="D47" s="153">
        <v>350</v>
      </c>
      <c r="E47" s="46">
        <v>44000</v>
      </c>
      <c r="F47" s="111">
        <f t="shared" si="1"/>
        <v>100000</v>
      </c>
      <c r="G47" s="150"/>
      <c r="H47" s="149"/>
    </row>
    <row r="48" spans="1:8" x14ac:dyDescent="0.55000000000000004">
      <c r="A48" s="45">
        <v>44378</v>
      </c>
      <c r="B48" s="163">
        <f t="shared" si="2"/>
        <v>2575</v>
      </c>
      <c r="C48" s="163"/>
      <c r="D48" s="153"/>
      <c r="E48" s="47"/>
      <c r="F48" s="111">
        <f t="shared" si="1"/>
        <v>100000</v>
      </c>
      <c r="G48" s="123"/>
    </row>
    <row r="49" spans="1:13" x14ac:dyDescent="0.55000000000000004">
      <c r="A49" s="42">
        <v>44562</v>
      </c>
      <c r="B49" s="160">
        <f t="shared" si="2"/>
        <v>2575</v>
      </c>
      <c r="C49" s="160"/>
      <c r="D49" s="154">
        <v>350</v>
      </c>
      <c r="E49" s="43">
        <v>47000</v>
      </c>
      <c r="F49" s="110">
        <f t="shared" si="1"/>
        <v>53000</v>
      </c>
      <c r="G49" s="150">
        <f>+B49</f>
        <v>2575</v>
      </c>
      <c r="H49" s="149" t="s">
        <v>27</v>
      </c>
    </row>
    <row r="50" spans="1:13" x14ac:dyDescent="0.55000000000000004">
      <c r="A50" s="42">
        <v>44743</v>
      </c>
      <c r="B50" s="160">
        <f t="shared" si="2"/>
        <v>1364.75</v>
      </c>
      <c r="C50" s="160"/>
      <c r="D50" s="154"/>
      <c r="E50" s="44"/>
      <c r="F50" s="110">
        <f t="shared" si="1"/>
        <v>53000</v>
      </c>
      <c r="G50" s="110"/>
      <c r="L50" s="167" t="s">
        <v>22</v>
      </c>
      <c r="M50" s="167" t="s">
        <v>23</v>
      </c>
    </row>
    <row r="51" spans="1:13" x14ac:dyDescent="0.55000000000000004">
      <c r="A51" s="178">
        <v>44927</v>
      </c>
      <c r="B51" s="179">
        <f t="shared" si="2"/>
        <v>1364.75</v>
      </c>
      <c r="C51" s="179"/>
      <c r="D51" s="180">
        <v>350</v>
      </c>
      <c r="E51" s="181">
        <v>49000</v>
      </c>
      <c r="F51" s="182">
        <f t="shared" si="1"/>
        <v>4000</v>
      </c>
      <c r="G51" s="110"/>
      <c r="K51" s="168">
        <v>2022</v>
      </c>
      <c r="L51" s="165">
        <f>E49</f>
        <v>47000</v>
      </c>
      <c r="M51" s="165">
        <f>B49+B50</f>
        <v>3939.75</v>
      </c>
    </row>
    <row r="52" spans="1:13" x14ac:dyDescent="0.55000000000000004">
      <c r="A52" s="178">
        <v>45108</v>
      </c>
      <c r="B52" s="179">
        <f t="shared" si="2"/>
        <v>103</v>
      </c>
      <c r="C52" s="179"/>
      <c r="D52" s="180"/>
      <c r="E52" s="183"/>
      <c r="F52" s="182">
        <f t="shared" si="1"/>
        <v>4000</v>
      </c>
      <c r="G52" s="110"/>
      <c r="K52" s="168">
        <v>2023</v>
      </c>
      <c r="L52" s="165">
        <f>E51</f>
        <v>49000</v>
      </c>
      <c r="M52" s="165">
        <f>B51+B52</f>
        <v>1467.75</v>
      </c>
    </row>
    <row r="53" spans="1:13" x14ac:dyDescent="0.55000000000000004">
      <c r="A53" s="42">
        <v>45292</v>
      </c>
      <c r="B53" s="160">
        <f t="shared" si="2"/>
        <v>103</v>
      </c>
      <c r="C53" s="160"/>
      <c r="D53" s="154">
        <v>350</v>
      </c>
      <c r="E53" s="43">
        <v>4000</v>
      </c>
      <c r="F53" s="110">
        <f t="shared" si="1"/>
        <v>0</v>
      </c>
      <c r="G53" s="110"/>
      <c r="K53" s="168">
        <v>2024</v>
      </c>
      <c r="L53" s="165">
        <f>E53</f>
        <v>4000</v>
      </c>
      <c r="M53" s="165">
        <f>B53+B54</f>
        <v>103</v>
      </c>
    </row>
    <row r="54" spans="1:13" x14ac:dyDescent="0.55000000000000004">
      <c r="A54" s="42">
        <v>45474</v>
      </c>
      <c r="B54" s="160">
        <f t="shared" si="2"/>
        <v>0</v>
      </c>
      <c r="C54" s="160"/>
      <c r="D54" s="154"/>
      <c r="E54" s="44"/>
      <c r="F54" s="110">
        <f t="shared" si="1"/>
        <v>0</v>
      </c>
      <c r="G54" s="110"/>
    </row>
    <row r="55" spans="1:13" x14ac:dyDescent="0.55000000000000004">
      <c r="A55" s="42"/>
    </row>
    <row r="56" spans="1:13" x14ac:dyDescent="0.55000000000000004">
      <c r="A56" s="42"/>
    </row>
    <row r="57" spans="1:13" x14ac:dyDescent="0.55000000000000004">
      <c r="A57" s="42"/>
    </row>
    <row r="58" spans="1:13" x14ac:dyDescent="0.55000000000000004">
      <c r="A58" s="42"/>
    </row>
    <row r="59" spans="1:13" x14ac:dyDescent="0.55000000000000004">
      <c r="A59" s="42"/>
    </row>
    <row r="60" spans="1:13" x14ac:dyDescent="0.55000000000000004">
      <c r="A60" s="42"/>
    </row>
    <row r="61" spans="1:13" x14ac:dyDescent="0.55000000000000004">
      <c r="A61" s="42"/>
    </row>
    <row r="62" spans="1:13" x14ac:dyDescent="0.55000000000000004">
      <c r="A62" s="42"/>
    </row>
    <row r="63" spans="1:13" x14ac:dyDescent="0.55000000000000004">
      <c r="A63" s="42"/>
    </row>
    <row r="64" spans="1:13" x14ac:dyDescent="0.55000000000000004">
      <c r="A64" s="42"/>
    </row>
    <row r="65" spans="1:1" x14ac:dyDescent="0.55000000000000004">
      <c r="A65" s="42"/>
    </row>
    <row r="66" spans="1:1" x14ac:dyDescent="0.55000000000000004">
      <c r="A66" s="42"/>
    </row>
    <row r="67" spans="1:1" x14ac:dyDescent="0.55000000000000004">
      <c r="A67" s="42"/>
    </row>
    <row r="68" spans="1:1" x14ac:dyDescent="0.55000000000000004">
      <c r="A68" s="42"/>
    </row>
    <row r="69" spans="1:1" x14ac:dyDescent="0.55000000000000004">
      <c r="A69" s="42"/>
    </row>
    <row r="70" spans="1:1" x14ac:dyDescent="0.55000000000000004">
      <c r="A70" s="42"/>
    </row>
    <row r="71" spans="1:1" x14ac:dyDescent="0.55000000000000004">
      <c r="A71" s="42"/>
    </row>
    <row r="72" spans="1:1" x14ac:dyDescent="0.55000000000000004">
      <c r="A72" s="42"/>
    </row>
    <row r="73" spans="1:1" x14ac:dyDescent="0.55000000000000004">
      <c r="A73" s="42"/>
    </row>
    <row r="74" spans="1:1" x14ac:dyDescent="0.55000000000000004">
      <c r="A74" s="42"/>
    </row>
    <row r="75" spans="1:1" x14ac:dyDescent="0.55000000000000004">
      <c r="A75" s="42"/>
    </row>
    <row r="76" spans="1:1" x14ac:dyDescent="0.55000000000000004">
      <c r="A76" s="42"/>
    </row>
    <row r="77" spans="1:1" x14ac:dyDescent="0.55000000000000004">
      <c r="A77" s="42"/>
    </row>
    <row r="78" spans="1:1" x14ac:dyDescent="0.55000000000000004">
      <c r="A78" s="42"/>
    </row>
    <row r="79" spans="1:1" x14ac:dyDescent="0.55000000000000004">
      <c r="A79" s="42"/>
    </row>
    <row r="80" spans="1:1" x14ac:dyDescent="0.55000000000000004">
      <c r="A80" s="42"/>
    </row>
    <row r="81" spans="1:1" x14ac:dyDescent="0.55000000000000004">
      <c r="A81" s="42"/>
    </row>
    <row r="82" spans="1:1" x14ac:dyDescent="0.55000000000000004">
      <c r="A82" s="42"/>
    </row>
    <row r="83" spans="1:1" x14ac:dyDescent="0.55000000000000004">
      <c r="A83" s="42"/>
    </row>
    <row r="84" spans="1:1" x14ac:dyDescent="0.55000000000000004">
      <c r="A84" s="42"/>
    </row>
    <row r="85" spans="1:1" x14ac:dyDescent="0.55000000000000004">
      <c r="A85" s="42"/>
    </row>
    <row r="86" spans="1:1" x14ac:dyDescent="0.55000000000000004">
      <c r="A86" s="42"/>
    </row>
    <row r="87" spans="1:1" x14ac:dyDescent="0.55000000000000004">
      <c r="A87" s="42"/>
    </row>
    <row r="88" spans="1:1" x14ac:dyDescent="0.55000000000000004">
      <c r="A88" s="42"/>
    </row>
    <row r="89" spans="1:1" x14ac:dyDescent="0.55000000000000004">
      <c r="A89" s="42"/>
    </row>
  </sheetData>
  <mergeCells count="12">
    <mergeCell ref="H9:I9"/>
    <mergeCell ref="A1:G1"/>
    <mergeCell ref="A2:G2"/>
    <mergeCell ref="A3:C3"/>
    <mergeCell ref="D3:E3"/>
    <mergeCell ref="A4:C4"/>
    <mergeCell ref="D4:E4"/>
    <mergeCell ref="A5:C5"/>
    <mergeCell ref="D5:E5"/>
    <mergeCell ref="A6:G6"/>
    <mergeCell ref="A7:G7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6ADB-4E64-4442-9F31-AFB9774D2E31}">
  <dimension ref="A1:L119"/>
  <sheetViews>
    <sheetView workbookViewId="0">
      <selection activeCell="C27" sqref="C27"/>
    </sheetView>
  </sheetViews>
  <sheetFormatPr defaultColWidth="9.15625" defaultRowHeight="14.4" x14ac:dyDescent="0.55000000000000004"/>
  <cols>
    <col min="1" max="1" width="13" style="40" customWidth="1"/>
    <col min="2" max="2" width="12.83984375" style="40" customWidth="1"/>
    <col min="3" max="3" width="9" style="40" customWidth="1"/>
    <col min="4" max="4" width="13.83984375" style="40" customWidth="1"/>
    <col min="5" max="5" width="18.578125" style="40" customWidth="1"/>
    <col min="6" max="6" width="4" style="40" customWidth="1"/>
    <col min="7" max="7" width="12.15625" style="40" customWidth="1"/>
    <col min="8" max="8" width="12.578125" style="40" customWidth="1"/>
    <col min="9" max="10" width="9.15625" style="40"/>
    <col min="11" max="11" width="10.578125" style="40" bestFit="1" customWidth="1"/>
    <col min="12" max="12" width="11.15625" style="40" bestFit="1" customWidth="1"/>
    <col min="13" max="16384" width="9.15625" style="40"/>
  </cols>
  <sheetData>
    <row r="1" spans="1:12" ht="15" customHeight="1" x14ac:dyDescent="0.55000000000000004">
      <c r="A1" s="211"/>
      <c r="B1" s="211"/>
      <c r="C1" s="211"/>
      <c r="D1" s="211"/>
      <c r="E1" s="211"/>
      <c r="F1" s="211"/>
      <c r="G1" s="211"/>
    </row>
    <row r="2" spans="1:12" ht="17.25" customHeight="1" x14ac:dyDescent="0.55000000000000004">
      <c r="A2" s="203" t="s">
        <v>28</v>
      </c>
      <c r="B2" s="203"/>
      <c r="C2" s="203"/>
      <c r="D2" s="203"/>
      <c r="E2" s="203"/>
      <c r="F2" s="203"/>
      <c r="G2" s="203"/>
    </row>
    <row r="3" spans="1:12" ht="17.25" customHeight="1" x14ac:dyDescent="0.55000000000000004">
      <c r="A3" s="204" t="s">
        <v>29</v>
      </c>
      <c r="B3" s="204"/>
      <c r="C3" s="204"/>
      <c r="D3" s="212">
        <v>2506170</v>
      </c>
      <c r="E3" s="212"/>
      <c r="F3" s="41"/>
      <c r="G3" s="41"/>
    </row>
    <row r="4" spans="1:12" ht="16.5" customHeight="1" x14ac:dyDescent="0.55000000000000004">
      <c r="A4" s="202" t="s">
        <v>30</v>
      </c>
      <c r="B4" s="202"/>
      <c r="C4" s="202"/>
      <c r="D4" s="213">
        <v>1.8749999999999999E-2</v>
      </c>
      <c r="E4" s="213"/>
      <c r="F4" s="41"/>
      <c r="G4" s="41"/>
    </row>
    <row r="5" spans="1:12" ht="17.25" customHeight="1" x14ac:dyDescent="0.55000000000000004">
      <c r="A5" s="205" t="s">
        <v>31</v>
      </c>
      <c r="B5" s="205"/>
      <c r="C5" s="205"/>
      <c r="D5" s="208">
        <v>44494</v>
      </c>
      <c r="E5" s="208"/>
      <c r="F5" s="41"/>
      <c r="G5" s="41"/>
    </row>
    <row r="6" spans="1:12" ht="16.5" customHeight="1" x14ac:dyDescent="0.55000000000000004">
      <c r="A6" s="209"/>
      <c r="B6" s="209"/>
      <c r="C6" s="209"/>
      <c r="D6" s="209"/>
      <c r="E6" s="209"/>
      <c r="F6" s="209"/>
      <c r="G6" s="209"/>
    </row>
    <row r="7" spans="1:12" x14ac:dyDescent="0.55000000000000004">
      <c r="A7" s="209"/>
      <c r="B7" s="209"/>
      <c r="C7" s="209"/>
      <c r="D7" s="209"/>
      <c r="E7" s="209"/>
      <c r="F7" s="209"/>
      <c r="G7" s="209"/>
      <c r="H7" s="40" t="s">
        <v>39</v>
      </c>
    </row>
    <row r="8" spans="1:12" ht="15.75" customHeight="1" x14ac:dyDescent="0.55000000000000004">
      <c r="A8" s="120"/>
      <c r="B8" s="210" t="s">
        <v>23</v>
      </c>
      <c r="C8" s="210"/>
      <c r="D8" s="176" t="s">
        <v>22</v>
      </c>
      <c r="E8" s="110">
        <f>+D3</f>
        <v>2506170</v>
      </c>
      <c r="F8" s="110"/>
    </row>
    <row r="9" spans="1:12" ht="15.75" customHeight="1" x14ac:dyDescent="0.55000000000000004">
      <c r="A9" s="45">
        <v>44562</v>
      </c>
      <c r="B9" s="163">
        <f>51254.43-D9</f>
        <v>8754.43</v>
      </c>
      <c r="C9" s="163"/>
      <c r="D9" s="46">
        <v>42500</v>
      </c>
      <c r="E9" s="111">
        <f>+E8-D9</f>
        <v>2463670</v>
      </c>
      <c r="F9" s="110"/>
      <c r="G9" s="148">
        <v>0</v>
      </c>
      <c r="H9" s="149" t="s">
        <v>37</v>
      </c>
    </row>
    <row r="10" spans="1:12" ht="15.75" customHeight="1" x14ac:dyDescent="0.55000000000000004">
      <c r="A10" s="42">
        <v>44743</v>
      </c>
      <c r="B10" s="160">
        <f>+$D$4/2*E9</f>
        <v>23096.90625</v>
      </c>
      <c r="C10" s="160"/>
      <c r="D10" s="44"/>
      <c r="E10" s="110">
        <f t="shared" ref="E10:E73" si="0">+E9-D10</f>
        <v>2463670</v>
      </c>
      <c r="F10" s="110"/>
    </row>
    <row r="11" spans="1:12" ht="15.75" customHeight="1" x14ac:dyDescent="0.55000000000000004">
      <c r="A11" s="178">
        <v>44927</v>
      </c>
      <c r="B11" s="179">
        <f>+$D$4/2*E10</f>
        <v>23096.90625</v>
      </c>
      <c r="C11" s="179"/>
      <c r="D11" s="181">
        <v>43500</v>
      </c>
      <c r="E11" s="182">
        <f t="shared" si="0"/>
        <v>2420170</v>
      </c>
      <c r="F11" s="110"/>
      <c r="K11" s="167" t="s">
        <v>22</v>
      </c>
      <c r="L11" s="167" t="s">
        <v>23</v>
      </c>
    </row>
    <row r="12" spans="1:12" ht="15.75" customHeight="1" x14ac:dyDescent="0.55000000000000004">
      <c r="A12" s="178">
        <v>45108</v>
      </c>
      <c r="B12" s="179">
        <f t="shared" ref="B12:B74" si="1">+$D$4/2*E11</f>
        <v>22689.09375</v>
      </c>
      <c r="C12" s="179"/>
      <c r="D12" s="183"/>
      <c r="E12" s="182">
        <f t="shared" si="0"/>
        <v>2420170</v>
      </c>
      <c r="F12" s="110"/>
      <c r="J12" s="168">
        <v>2022</v>
      </c>
      <c r="K12" s="165">
        <v>0</v>
      </c>
      <c r="L12" s="165">
        <f>B10</f>
        <v>23096.90625</v>
      </c>
    </row>
    <row r="13" spans="1:12" ht="15.75" customHeight="1" x14ac:dyDescent="0.55000000000000004">
      <c r="A13" s="178">
        <v>45292</v>
      </c>
      <c r="B13" s="179">
        <f t="shared" si="1"/>
        <v>22689.09375</v>
      </c>
      <c r="C13" s="179"/>
      <c r="D13" s="181">
        <v>44000</v>
      </c>
      <c r="E13" s="182">
        <f t="shared" si="0"/>
        <v>2376170</v>
      </c>
      <c r="F13" s="110"/>
      <c r="G13" s="159"/>
      <c r="H13" s="149"/>
      <c r="J13" s="168">
        <v>2023</v>
      </c>
      <c r="K13" s="165">
        <f>D11</f>
        <v>43500</v>
      </c>
      <c r="L13" s="165">
        <f>B11+B12</f>
        <v>45786</v>
      </c>
    </row>
    <row r="14" spans="1:12" ht="15.75" customHeight="1" x14ac:dyDescent="0.55000000000000004">
      <c r="A14" s="178">
        <v>45474</v>
      </c>
      <c r="B14" s="179">
        <f t="shared" si="1"/>
        <v>22276.59375</v>
      </c>
      <c r="C14" s="179"/>
      <c r="D14" s="183"/>
      <c r="E14" s="182">
        <f t="shared" si="0"/>
        <v>2376170</v>
      </c>
      <c r="F14" s="110"/>
      <c r="J14" s="168">
        <v>2024</v>
      </c>
      <c r="K14" s="165">
        <f>D13</f>
        <v>44000</v>
      </c>
      <c r="L14" s="165">
        <f>B13+B14</f>
        <v>44965.6875</v>
      </c>
    </row>
    <row r="15" spans="1:12" ht="15.75" customHeight="1" x14ac:dyDescent="0.55000000000000004">
      <c r="A15" s="178">
        <v>45658</v>
      </c>
      <c r="B15" s="179">
        <f t="shared" si="1"/>
        <v>22276.59375</v>
      </c>
      <c r="C15" s="179"/>
      <c r="D15" s="181">
        <v>45000</v>
      </c>
      <c r="E15" s="182">
        <f t="shared" si="0"/>
        <v>2331170</v>
      </c>
      <c r="F15" s="110"/>
      <c r="J15" s="168">
        <v>2025</v>
      </c>
      <c r="K15" s="165">
        <f>D15</f>
        <v>45000</v>
      </c>
      <c r="L15" s="165">
        <f>B15+B16</f>
        <v>44131.3125</v>
      </c>
    </row>
    <row r="16" spans="1:12" ht="15.75" customHeight="1" x14ac:dyDescent="0.55000000000000004">
      <c r="A16" s="178">
        <v>45839</v>
      </c>
      <c r="B16" s="179">
        <f t="shared" si="1"/>
        <v>21854.71875</v>
      </c>
      <c r="C16" s="179"/>
      <c r="D16" s="183"/>
      <c r="E16" s="182">
        <f t="shared" si="0"/>
        <v>2331170</v>
      </c>
      <c r="F16" s="110"/>
      <c r="J16" s="168">
        <v>2026</v>
      </c>
      <c r="K16" s="165">
        <f>D17</f>
        <v>46000</v>
      </c>
      <c r="L16" s="165">
        <f>B17+B18</f>
        <v>43278.1875</v>
      </c>
    </row>
    <row r="17" spans="1:12" ht="15.75" customHeight="1" x14ac:dyDescent="0.55000000000000004">
      <c r="A17" s="178">
        <v>46023</v>
      </c>
      <c r="B17" s="179">
        <f t="shared" si="1"/>
        <v>21854.71875</v>
      </c>
      <c r="C17" s="179"/>
      <c r="D17" s="181">
        <v>46000</v>
      </c>
      <c r="E17" s="182">
        <f t="shared" si="0"/>
        <v>2285170</v>
      </c>
      <c r="F17" s="110"/>
      <c r="J17" s="168">
        <v>2027</v>
      </c>
      <c r="K17" s="165">
        <f>D19</f>
        <v>47000</v>
      </c>
      <c r="L17" s="165">
        <f>B19+B20</f>
        <v>42406.3125</v>
      </c>
    </row>
    <row r="18" spans="1:12" ht="15.75" customHeight="1" x14ac:dyDescent="0.55000000000000004">
      <c r="A18" s="178">
        <v>46204</v>
      </c>
      <c r="B18" s="179">
        <f t="shared" si="1"/>
        <v>21423.46875</v>
      </c>
      <c r="C18" s="179"/>
      <c r="D18" s="183"/>
      <c r="E18" s="182">
        <f t="shared" si="0"/>
        <v>2285170</v>
      </c>
      <c r="F18" s="110"/>
      <c r="J18" s="168">
        <v>2028</v>
      </c>
      <c r="K18" s="165">
        <f>D21</f>
        <v>47500</v>
      </c>
      <c r="L18" s="165">
        <f>B21+B22</f>
        <v>41520.375</v>
      </c>
    </row>
    <row r="19" spans="1:12" ht="15.75" customHeight="1" x14ac:dyDescent="0.55000000000000004">
      <c r="A19" s="178">
        <v>46388</v>
      </c>
      <c r="B19" s="179">
        <f t="shared" si="1"/>
        <v>21423.46875</v>
      </c>
      <c r="C19" s="179"/>
      <c r="D19" s="181">
        <v>47000</v>
      </c>
      <c r="E19" s="182">
        <f t="shared" si="0"/>
        <v>2238170</v>
      </c>
      <c r="F19" s="110"/>
      <c r="J19" s="168">
        <v>2029</v>
      </c>
      <c r="K19" s="165">
        <f>D23</f>
        <v>48500</v>
      </c>
      <c r="L19" s="165">
        <f>B23+B24</f>
        <v>40620.375</v>
      </c>
    </row>
    <row r="20" spans="1:12" ht="15.75" customHeight="1" x14ac:dyDescent="0.55000000000000004">
      <c r="A20" s="178">
        <v>46569</v>
      </c>
      <c r="B20" s="179">
        <f t="shared" si="1"/>
        <v>20982.84375</v>
      </c>
      <c r="C20" s="179"/>
      <c r="D20" s="183"/>
      <c r="E20" s="182">
        <f t="shared" si="0"/>
        <v>2238170</v>
      </c>
      <c r="F20" s="110"/>
      <c r="J20" s="168">
        <v>2030</v>
      </c>
      <c r="K20" s="165">
        <f>D25</f>
        <v>49500</v>
      </c>
      <c r="L20" s="165">
        <f>B25+B26</f>
        <v>39701.625</v>
      </c>
    </row>
    <row r="21" spans="1:12" ht="15.75" customHeight="1" x14ac:dyDescent="0.55000000000000004">
      <c r="A21" s="42">
        <v>46753</v>
      </c>
      <c r="B21" s="160">
        <f t="shared" si="1"/>
        <v>20982.84375</v>
      </c>
      <c r="C21" s="160"/>
      <c r="D21" s="43">
        <v>47500</v>
      </c>
      <c r="E21" s="110">
        <f t="shared" si="0"/>
        <v>2190670</v>
      </c>
      <c r="F21" s="110"/>
      <c r="J21" s="168">
        <v>2031</v>
      </c>
      <c r="K21" s="165">
        <f>D27</f>
        <v>50500</v>
      </c>
      <c r="L21" s="165">
        <f>B27+B28</f>
        <v>38764.125</v>
      </c>
    </row>
    <row r="22" spans="1:12" ht="15.75" customHeight="1" x14ac:dyDescent="0.55000000000000004">
      <c r="A22" s="42">
        <v>46935</v>
      </c>
      <c r="B22" s="160">
        <f t="shared" si="1"/>
        <v>20537.53125</v>
      </c>
      <c r="C22" s="160"/>
      <c r="D22" s="44"/>
      <c r="E22" s="110">
        <f t="shared" si="0"/>
        <v>2190670</v>
      </c>
      <c r="F22" s="110"/>
      <c r="J22" s="168">
        <v>2032</v>
      </c>
      <c r="K22" s="165">
        <f>D29</f>
        <v>51500</v>
      </c>
      <c r="L22" s="165">
        <f>B29+B30</f>
        <v>37807.875</v>
      </c>
    </row>
    <row r="23" spans="1:12" ht="15.75" customHeight="1" x14ac:dyDescent="0.55000000000000004">
      <c r="A23" s="42">
        <v>47119</v>
      </c>
      <c r="B23" s="160">
        <f t="shared" si="1"/>
        <v>20537.53125</v>
      </c>
      <c r="C23" s="160"/>
      <c r="D23" s="43">
        <v>48500</v>
      </c>
      <c r="E23" s="110">
        <f t="shared" si="0"/>
        <v>2142170</v>
      </c>
      <c r="F23" s="110"/>
      <c r="J23" s="168">
        <v>2033</v>
      </c>
      <c r="K23" s="165">
        <f>D31</f>
        <v>52500</v>
      </c>
      <c r="L23" s="165">
        <f>B31+B32</f>
        <v>36832.875</v>
      </c>
    </row>
    <row r="24" spans="1:12" ht="15.75" customHeight="1" x14ac:dyDescent="0.55000000000000004">
      <c r="A24" s="42">
        <v>47300</v>
      </c>
      <c r="B24" s="160">
        <f t="shared" si="1"/>
        <v>20082.84375</v>
      </c>
      <c r="C24" s="160"/>
      <c r="D24" s="44"/>
      <c r="E24" s="110">
        <f t="shared" si="0"/>
        <v>2142170</v>
      </c>
      <c r="F24" s="110"/>
      <c r="J24" s="168">
        <v>2034</v>
      </c>
      <c r="K24" s="165">
        <f>D33</f>
        <v>53500</v>
      </c>
      <c r="L24" s="165">
        <f>B33+B34</f>
        <v>35839.125</v>
      </c>
    </row>
    <row r="25" spans="1:12" ht="15.75" customHeight="1" x14ac:dyDescent="0.55000000000000004">
      <c r="A25" s="42">
        <v>47484</v>
      </c>
      <c r="B25" s="160">
        <f t="shared" si="1"/>
        <v>20082.84375</v>
      </c>
      <c r="C25" s="160"/>
      <c r="D25" s="43">
        <v>49500</v>
      </c>
      <c r="E25" s="110">
        <f t="shared" si="0"/>
        <v>2092670</v>
      </c>
      <c r="F25" s="110"/>
      <c r="J25" s="168">
        <v>2035</v>
      </c>
      <c r="K25" s="165">
        <f>D35</f>
        <v>54500</v>
      </c>
      <c r="L25" s="165">
        <f>B35+B36</f>
        <v>34826.625</v>
      </c>
    </row>
    <row r="26" spans="1:12" ht="15.75" customHeight="1" x14ac:dyDescent="0.55000000000000004">
      <c r="A26" s="42">
        <v>47665</v>
      </c>
      <c r="B26" s="160">
        <f t="shared" si="1"/>
        <v>19618.78125</v>
      </c>
      <c r="C26" s="160"/>
      <c r="D26" s="44"/>
      <c r="E26" s="110">
        <f t="shared" si="0"/>
        <v>2092670</v>
      </c>
      <c r="F26" s="110"/>
      <c r="J26" s="168">
        <v>2036</v>
      </c>
      <c r="K26" s="165">
        <f>D37</f>
        <v>55500</v>
      </c>
      <c r="L26" s="165">
        <f>B37+B38</f>
        <v>33795.375</v>
      </c>
    </row>
    <row r="27" spans="1:12" ht="15.75" customHeight="1" x14ac:dyDescent="0.55000000000000004">
      <c r="A27" s="42">
        <v>47849</v>
      </c>
      <c r="B27" s="160">
        <f t="shared" si="1"/>
        <v>19618.78125</v>
      </c>
      <c r="C27" s="160"/>
      <c r="D27" s="43">
        <v>50500</v>
      </c>
      <c r="E27" s="110">
        <f t="shared" si="0"/>
        <v>2042170</v>
      </c>
      <c r="F27" s="110"/>
      <c r="J27" s="168">
        <v>2037</v>
      </c>
      <c r="K27" s="165">
        <f>D39</f>
        <v>56500</v>
      </c>
      <c r="L27" s="165">
        <f>B39+B40</f>
        <v>32745.375</v>
      </c>
    </row>
    <row r="28" spans="1:12" ht="15.75" customHeight="1" x14ac:dyDescent="0.55000000000000004">
      <c r="A28" s="42">
        <v>48030</v>
      </c>
      <c r="B28" s="160">
        <f t="shared" si="1"/>
        <v>19145.34375</v>
      </c>
      <c r="C28" s="160"/>
      <c r="D28" s="44"/>
      <c r="E28" s="110">
        <f t="shared" si="0"/>
        <v>2042170</v>
      </c>
      <c r="F28" s="110"/>
      <c r="J28" s="168">
        <v>2038</v>
      </c>
      <c r="K28" s="165">
        <f>D41</f>
        <v>57500</v>
      </c>
      <c r="L28" s="165">
        <f>B41+B42</f>
        <v>31676.625</v>
      </c>
    </row>
    <row r="29" spans="1:12" ht="15.75" customHeight="1" x14ac:dyDescent="0.55000000000000004">
      <c r="A29" s="42">
        <v>48214</v>
      </c>
      <c r="B29" s="160">
        <f t="shared" si="1"/>
        <v>19145.34375</v>
      </c>
      <c r="C29" s="160"/>
      <c r="D29" s="43">
        <v>51500</v>
      </c>
      <c r="E29" s="110">
        <f t="shared" si="0"/>
        <v>1990670</v>
      </c>
      <c r="F29" s="110"/>
      <c r="J29" s="168">
        <v>2039</v>
      </c>
      <c r="K29" s="165">
        <f>D43</f>
        <v>58500</v>
      </c>
      <c r="L29" s="165">
        <f>B43+B44</f>
        <v>30589.125</v>
      </c>
    </row>
    <row r="30" spans="1:12" ht="15.75" customHeight="1" x14ac:dyDescent="0.55000000000000004">
      <c r="A30" s="42">
        <v>48396</v>
      </c>
      <c r="B30" s="160">
        <f t="shared" si="1"/>
        <v>18662.53125</v>
      </c>
      <c r="C30" s="160"/>
      <c r="D30" s="44"/>
      <c r="E30" s="110">
        <f t="shared" si="0"/>
        <v>1990670</v>
      </c>
      <c r="F30" s="110"/>
      <c r="J30" s="168">
        <v>2040</v>
      </c>
      <c r="K30" s="165">
        <f>D45</f>
        <v>59500</v>
      </c>
      <c r="L30" s="165">
        <f>B45+B46</f>
        <v>29482.875</v>
      </c>
    </row>
    <row r="31" spans="1:12" ht="15.75" customHeight="1" x14ac:dyDescent="0.55000000000000004">
      <c r="A31" s="42">
        <v>48580</v>
      </c>
      <c r="B31" s="160">
        <f t="shared" si="1"/>
        <v>18662.53125</v>
      </c>
      <c r="C31" s="160"/>
      <c r="D31" s="43">
        <v>52500</v>
      </c>
      <c r="E31" s="110">
        <f t="shared" si="0"/>
        <v>1938170</v>
      </c>
      <c r="F31" s="110"/>
      <c r="J31" s="168">
        <v>2041</v>
      </c>
      <c r="K31" s="165">
        <f>D47</f>
        <v>60500</v>
      </c>
      <c r="L31" s="165">
        <f>B47+B48</f>
        <v>28357.875</v>
      </c>
    </row>
    <row r="32" spans="1:12" ht="15.75" customHeight="1" x14ac:dyDescent="0.55000000000000004">
      <c r="A32" s="42">
        <v>48761</v>
      </c>
      <c r="B32" s="160">
        <f>+$D$4/2*E31</f>
        <v>18170.34375</v>
      </c>
      <c r="C32" s="160"/>
      <c r="D32" s="44"/>
      <c r="E32" s="110">
        <f t="shared" si="0"/>
        <v>1938170</v>
      </c>
      <c r="F32" s="110"/>
      <c r="J32" s="168">
        <v>2042</v>
      </c>
      <c r="K32" s="165">
        <f>D49</f>
        <v>62000</v>
      </c>
      <c r="L32" s="165">
        <f>B49+B50</f>
        <v>27209.4375</v>
      </c>
    </row>
    <row r="33" spans="1:12" ht="15.75" customHeight="1" x14ac:dyDescent="0.55000000000000004">
      <c r="A33" s="42">
        <v>48945</v>
      </c>
      <c r="B33" s="160">
        <f t="shared" si="1"/>
        <v>18170.34375</v>
      </c>
      <c r="C33" s="160"/>
      <c r="D33" s="43">
        <v>53500</v>
      </c>
      <c r="E33" s="110">
        <f t="shared" si="0"/>
        <v>1884670</v>
      </c>
      <c r="F33" s="110"/>
      <c r="J33" s="168">
        <v>2043</v>
      </c>
      <c r="K33" s="165">
        <f>D51</f>
        <v>63000</v>
      </c>
      <c r="L33" s="165">
        <f>B51+B52</f>
        <v>26037.5625</v>
      </c>
    </row>
    <row r="34" spans="1:12" ht="15.75" customHeight="1" x14ac:dyDescent="0.55000000000000004">
      <c r="A34" s="42">
        <v>49126</v>
      </c>
      <c r="B34" s="160">
        <f t="shared" si="1"/>
        <v>17668.78125</v>
      </c>
      <c r="C34" s="160"/>
      <c r="D34" s="44"/>
      <c r="E34" s="110">
        <f t="shared" si="0"/>
        <v>1884670</v>
      </c>
      <c r="F34" s="110"/>
      <c r="J34" s="168">
        <v>2044</v>
      </c>
      <c r="K34" s="165">
        <f>D53</f>
        <v>64000</v>
      </c>
      <c r="L34" s="165">
        <f>B53+B54</f>
        <v>24846.9375</v>
      </c>
    </row>
    <row r="35" spans="1:12" ht="15.75" customHeight="1" x14ac:dyDescent="0.55000000000000004">
      <c r="A35" s="42">
        <v>49310</v>
      </c>
      <c r="B35" s="160">
        <f t="shared" si="1"/>
        <v>17668.78125</v>
      </c>
      <c r="C35" s="160"/>
      <c r="D35" s="43">
        <v>54500</v>
      </c>
      <c r="E35" s="110">
        <f t="shared" si="0"/>
        <v>1830170</v>
      </c>
      <c r="F35" s="110"/>
      <c r="J35" s="168">
        <v>2045</v>
      </c>
      <c r="K35" s="165">
        <f>D55</f>
        <v>65500</v>
      </c>
      <c r="L35" s="165">
        <f>B55+B56</f>
        <v>23632.875</v>
      </c>
    </row>
    <row r="36" spans="1:12" ht="15.75" customHeight="1" x14ac:dyDescent="0.55000000000000004">
      <c r="A36" s="42">
        <v>49491</v>
      </c>
      <c r="B36" s="160">
        <f t="shared" si="1"/>
        <v>17157.84375</v>
      </c>
      <c r="C36" s="160"/>
      <c r="D36" s="44"/>
      <c r="E36" s="110">
        <f t="shared" si="0"/>
        <v>1830170</v>
      </c>
      <c r="F36" s="110"/>
      <c r="J36" s="168">
        <v>2046</v>
      </c>
      <c r="K36" s="165">
        <f>D57</f>
        <v>66500</v>
      </c>
      <c r="L36" s="165">
        <f>B57+B58</f>
        <v>22395.375</v>
      </c>
    </row>
    <row r="37" spans="1:12" ht="15.75" customHeight="1" x14ac:dyDescent="0.55000000000000004">
      <c r="A37" s="42">
        <v>49675</v>
      </c>
      <c r="B37" s="160">
        <f t="shared" si="1"/>
        <v>17157.84375</v>
      </c>
      <c r="C37" s="160"/>
      <c r="D37" s="43">
        <v>55500</v>
      </c>
      <c r="E37" s="110">
        <f t="shared" si="0"/>
        <v>1774670</v>
      </c>
      <c r="F37" s="110"/>
      <c r="J37" s="168">
        <v>2047</v>
      </c>
      <c r="K37" s="165">
        <f>D59</f>
        <v>68000</v>
      </c>
      <c r="L37" s="165">
        <f>B59+B60</f>
        <v>21134.4375</v>
      </c>
    </row>
    <row r="38" spans="1:12" ht="15.75" customHeight="1" x14ac:dyDescent="0.55000000000000004">
      <c r="A38" s="42">
        <v>49857</v>
      </c>
      <c r="B38" s="160">
        <f t="shared" si="1"/>
        <v>16637.53125</v>
      </c>
      <c r="C38" s="160"/>
      <c r="D38" s="44"/>
      <c r="E38" s="110">
        <f t="shared" si="0"/>
        <v>1774670</v>
      </c>
      <c r="F38" s="110"/>
      <c r="J38" s="168">
        <v>2048</v>
      </c>
      <c r="K38" s="165">
        <f>D61</f>
        <v>69000</v>
      </c>
      <c r="L38" s="165">
        <f>B61+B62</f>
        <v>19850.0625</v>
      </c>
    </row>
    <row r="39" spans="1:12" ht="15.75" customHeight="1" x14ac:dyDescent="0.55000000000000004">
      <c r="A39" s="42">
        <v>50041</v>
      </c>
      <c r="B39" s="160">
        <f t="shared" si="1"/>
        <v>16637.53125</v>
      </c>
      <c r="C39" s="160"/>
      <c r="D39" s="43">
        <v>56500</v>
      </c>
      <c r="E39" s="110">
        <f t="shared" si="0"/>
        <v>1718170</v>
      </c>
      <c r="F39" s="110"/>
      <c r="J39" s="168">
        <v>2049</v>
      </c>
      <c r="K39" s="165">
        <f>D63</f>
        <v>70500</v>
      </c>
      <c r="L39" s="165">
        <f>B63+B64</f>
        <v>18542.25</v>
      </c>
    </row>
    <row r="40" spans="1:12" ht="15.75" customHeight="1" x14ac:dyDescent="0.55000000000000004">
      <c r="A40" s="42">
        <v>50222</v>
      </c>
      <c r="B40" s="160">
        <f t="shared" si="1"/>
        <v>16107.84375</v>
      </c>
      <c r="C40" s="160"/>
      <c r="D40" s="44"/>
      <c r="E40" s="110">
        <f t="shared" si="0"/>
        <v>1718170</v>
      </c>
      <c r="F40" s="110"/>
      <c r="J40" s="168">
        <v>2050</v>
      </c>
      <c r="K40" s="165">
        <f>D65</f>
        <v>71500</v>
      </c>
      <c r="L40" s="165">
        <f>B65+B66</f>
        <v>17211</v>
      </c>
    </row>
    <row r="41" spans="1:12" ht="15.75" customHeight="1" x14ac:dyDescent="0.55000000000000004">
      <c r="A41" s="42">
        <v>50406</v>
      </c>
      <c r="B41" s="160">
        <f t="shared" si="1"/>
        <v>16107.84375</v>
      </c>
      <c r="C41" s="160"/>
      <c r="D41" s="43">
        <v>57500</v>
      </c>
      <c r="E41" s="110">
        <f t="shared" si="0"/>
        <v>1660670</v>
      </c>
      <c r="F41" s="110"/>
      <c r="J41" s="168">
        <v>2051</v>
      </c>
      <c r="K41" s="165">
        <f>D67</f>
        <v>73000</v>
      </c>
      <c r="L41" s="165">
        <f>B67+B68</f>
        <v>15856.3125</v>
      </c>
    </row>
    <row r="42" spans="1:12" ht="15.75" customHeight="1" x14ac:dyDescent="0.55000000000000004">
      <c r="A42" s="42">
        <v>50587</v>
      </c>
      <c r="B42" s="160">
        <f t="shared" si="1"/>
        <v>15568.78125</v>
      </c>
      <c r="C42" s="160"/>
      <c r="D42" s="44"/>
      <c r="E42" s="110">
        <f t="shared" si="0"/>
        <v>1660670</v>
      </c>
      <c r="F42" s="110"/>
      <c r="J42" s="168">
        <v>2052</v>
      </c>
      <c r="K42" s="165">
        <f>D69</f>
        <v>74500</v>
      </c>
      <c r="L42" s="165">
        <f>B69+B70</f>
        <v>14473.5</v>
      </c>
    </row>
    <row r="43" spans="1:12" ht="15.75" customHeight="1" x14ac:dyDescent="0.55000000000000004">
      <c r="A43" s="42">
        <v>50771</v>
      </c>
      <c r="B43" s="160">
        <f t="shared" si="1"/>
        <v>15568.78125</v>
      </c>
      <c r="C43" s="160"/>
      <c r="D43" s="43">
        <v>58500</v>
      </c>
      <c r="E43" s="110">
        <f t="shared" si="0"/>
        <v>1602170</v>
      </c>
      <c r="F43" s="110"/>
      <c r="J43" s="168">
        <v>2053</v>
      </c>
      <c r="K43" s="165">
        <f>D71</f>
        <v>76000</v>
      </c>
      <c r="L43" s="165">
        <f>B71+B72</f>
        <v>13062.5625</v>
      </c>
    </row>
    <row r="44" spans="1:12" ht="15.75" customHeight="1" x14ac:dyDescent="0.55000000000000004">
      <c r="A44" s="42">
        <v>50952</v>
      </c>
      <c r="B44" s="160">
        <f t="shared" si="1"/>
        <v>15020.34375</v>
      </c>
      <c r="C44" s="160"/>
      <c r="D44" s="44"/>
      <c r="E44" s="110">
        <f t="shared" si="0"/>
        <v>1602170</v>
      </c>
      <c r="F44" s="110"/>
      <c r="J44" s="168">
        <v>2054</v>
      </c>
      <c r="K44" s="165">
        <f>D73</f>
        <v>77500</v>
      </c>
      <c r="L44" s="165">
        <f>B73+B74</f>
        <v>11623.5</v>
      </c>
    </row>
    <row r="45" spans="1:12" ht="15.75" customHeight="1" x14ac:dyDescent="0.55000000000000004">
      <c r="A45" s="42">
        <v>51136</v>
      </c>
      <c r="B45" s="160">
        <f t="shared" si="1"/>
        <v>15020.34375</v>
      </c>
      <c r="C45" s="160"/>
      <c r="D45" s="43">
        <v>59500</v>
      </c>
      <c r="E45" s="110">
        <f t="shared" si="0"/>
        <v>1542670</v>
      </c>
      <c r="F45" s="110"/>
      <c r="J45" s="168">
        <v>2055</v>
      </c>
      <c r="K45" s="165">
        <f>D75</f>
        <v>78500</v>
      </c>
      <c r="L45" s="165">
        <f>B75+B76</f>
        <v>10161</v>
      </c>
    </row>
    <row r="46" spans="1:12" x14ac:dyDescent="0.55000000000000004">
      <c r="A46" s="42">
        <v>51318</v>
      </c>
      <c r="B46" s="160">
        <f t="shared" si="1"/>
        <v>14462.53125</v>
      </c>
      <c r="C46" s="160"/>
      <c r="D46" s="44"/>
      <c r="E46" s="110">
        <f t="shared" si="0"/>
        <v>1542670</v>
      </c>
      <c r="F46" s="110"/>
      <c r="J46" s="168">
        <v>2056</v>
      </c>
      <c r="K46" s="165">
        <f>D77</f>
        <v>80000</v>
      </c>
      <c r="L46" s="165">
        <f>B77+B78</f>
        <v>8675.0625</v>
      </c>
    </row>
    <row r="47" spans="1:12" x14ac:dyDescent="0.55000000000000004">
      <c r="A47" s="42">
        <v>51502</v>
      </c>
      <c r="B47" s="160">
        <f t="shared" si="1"/>
        <v>14462.53125</v>
      </c>
      <c r="C47" s="160"/>
      <c r="D47" s="43">
        <v>60500</v>
      </c>
      <c r="E47" s="110">
        <f t="shared" si="0"/>
        <v>1482170</v>
      </c>
      <c r="F47" s="110"/>
      <c r="J47" s="168">
        <v>2057</v>
      </c>
      <c r="K47" s="165">
        <f>D79</f>
        <v>81500</v>
      </c>
      <c r="L47" s="165">
        <f>B79+B80</f>
        <v>7161</v>
      </c>
    </row>
    <row r="48" spans="1:12" x14ac:dyDescent="0.55000000000000004">
      <c r="A48" s="42">
        <v>51683</v>
      </c>
      <c r="B48" s="160">
        <f t="shared" si="1"/>
        <v>13895.34375</v>
      </c>
      <c r="C48" s="160"/>
      <c r="D48" s="44"/>
      <c r="E48" s="110">
        <f t="shared" si="0"/>
        <v>1482170</v>
      </c>
      <c r="F48" s="110"/>
      <c r="J48" s="168">
        <v>2058</v>
      </c>
      <c r="K48" s="165">
        <f>D81</f>
        <v>83000</v>
      </c>
      <c r="L48" s="165">
        <f>B81+B82</f>
        <v>5618.8125</v>
      </c>
    </row>
    <row r="49" spans="1:12" x14ac:dyDescent="0.55000000000000004">
      <c r="A49" s="42">
        <v>51867</v>
      </c>
      <c r="B49" s="160">
        <f t="shared" si="1"/>
        <v>13895.34375</v>
      </c>
      <c r="C49" s="160"/>
      <c r="D49" s="43">
        <v>62000</v>
      </c>
      <c r="E49" s="110">
        <f t="shared" si="0"/>
        <v>1420170</v>
      </c>
      <c r="F49" s="110"/>
      <c r="J49" s="168">
        <v>2059</v>
      </c>
      <c r="K49" s="165">
        <f>D83</f>
        <v>85000</v>
      </c>
      <c r="L49" s="165">
        <f>B83+B84</f>
        <v>4043.8125</v>
      </c>
    </row>
    <row r="50" spans="1:12" x14ac:dyDescent="0.55000000000000004">
      <c r="A50" s="42">
        <v>52048</v>
      </c>
      <c r="B50" s="160">
        <f t="shared" si="1"/>
        <v>13314.09375</v>
      </c>
      <c r="C50" s="160"/>
      <c r="D50" s="44"/>
      <c r="E50" s="110">
        <f t="shared" si="0"/>
        <v>1420170</v>
      </c>
      <c r="F50" s="110"/>
      <c r="J50" s="168">
        <v>2060</v>
      </c>
      <c r="K50" s="165">
        <f>D85</f>
        <v>86500</v>
      </c>
      <c r="L50" s="165">
        <f>B85+B86</f>
        <v>2436</v>
      </c>
    </row>
    <row r="51" spans="1:12" x14ac:dyDescent="0.55000000000000004">
      <c r="A51" s="42">
        <v>52232</v>
      </c>
      <c r="B51" s="160">
        <f t="shared" si="1"/>
        <v>13314.09375</v>
      </c>
      <c r="C51" s="160"/>
      <c r="D51" s="43">
        <v>63000</v>
      </c>
      <c r="E51" s="110">
        <f t="shared" si="0"/>
        <v>1357170</v>
      </c>
      <c r="F51" s="110"/>
      <c r="J51" s="168">
        <v>2061</v>
      </c>
      <c r="K51" s="165">
        <f>D87</f>
        <v>86670</v>
      </c>
      <c r="L51" s="165">
        <f>B87</f>
        <v>812.53125</v>
      </c>
    </row>
    <row r="52" spans="1:12" x14ac:dyDescent="0.55000000000000004">
      <c r="A52" s="42">
        <v>52413</v>
      </c>
      <c r="B52" s="160">
        <f t="shared" si="1"/>
        <v>12723.46875</v>
      </c>
      <c r="C52" s="160"/>
      <c r="D52" s="44"/>
      <c r="E52" s="110">
        <f t="shared" si="0"/>
        <v>1357170</v>
      </c>
      <c r="F52" s="110"/>
    </row>
    <row r="53" spans="1:12" x14ac:dyDescent="0.55000000000000004">
      <c r="A53" s="42">
        <v>52597</v>
      </c>
      <c r="B53" s="160">
        <f t="shared" si="1"/>
        <v>12723.46875</v>
      </c>
      <c r="C53" s="160"/>
      <c r="D53" s="43">
        <v>64000</v>
      </c>
      <c r="E53" s="110">
        <f t="shared" si="0"/>
        <v>1293170</v>
      </c>
      <c r="F53" s="110"/>
    </row>
    <row r="54" spans="1:12" x14ac:dyDescent="0.55000000000000004">
      <c r="A54" s="42">
        <v>52779</v>
      </c>
      <c r="B54" s="160">
        <f t="shared" si="1"/>
        <v>12123.46875</v>
      </c>
      <c r="C54" s="160"/>
      <c r="D54" s="44"/>
      <c r="E54" s="110">
        <f t="shared" si="0"/>
        <v>1293170</v>
      </c>
      <c r="F54" s="110"/>
    </row>
    <row r="55" spans="1:12" x14ac:dyDescent="0.55000000000000004">
      <c r="A55" s="42">
        <v>52963</v>
      </c>
      <c r="B55" s="160">
        <f t="shared" si="1"/>
        <v>12123.46875</v>
      </c>
      <c r="C55" s="160"/>
      <c r="D55" s="43">
        <v>65500</v>
      </c>
      <c r="E55" s="110">
        <f t="shared" si="0"/>
        <v>1227670</v>
      </c>
      <c r="F55" s="110"/>
    </row>
    <row r="56" spans="1:12" x14ac:dyDescent="0.55000000000000004">
      <c r="A56" s="42">
        <v>53144</v>
      </c>
      <c r="B56" s="160">
        <f t="shared" si="1"/>
        <v>11509.40625</v>
      </c>
      <c r="C56" s="160"/>
      <c r="D56" s="44"/>
      <c r="E56" s="110">
        <f t="shared" si="0"/>
        <v>1227670</v>
      </c>
      <c r="F56" s="110"/>
    </row>
    <row r="57" spans="1:12" x14ac:dyDescent="0.55000000000000004">
      <c r="A57" s="42">
        <v>53328</v>
      </c>
      <c r="B57" s="160">
        <f t="shared" si="1"/>
        <v>11509.40625</v>
      </c>
      <c r="C57" s="160"/>
      <c r="D57" s="43">
        <v>66500</v>
      </c>
      <c r="E57" s="110">
        <f t="shared" si="0"/>
        <v>1161170</v>
      </c>
      <c r="F57" s="110"/>
    </row>
    <row r="58" spans="1:12" x14ac:dyDescent="0.55000000000000004">
      <c r="A58" s="42">
        <v>53509</v>
      </c>
      <c r="B58" s="160">
        <f t="shared" si="1"/>
        <v>10885.96875</v>
      </c>
      <c r="C58" s="160"/>
      <c r="D58" s="44"/>
      <c r="E58" s="110">
        <f t="shared" si="0"/>
        <v>1161170</v>
      </c>
      <c r="F58" s="110"/>
    </row>
    <row r="59" spans="1:12" x14ac:dyDescent="0.55000000000000004">
      <c r="A59" s="42">
        <v>53693</v>
      </c>
      <c r="B59" s="160">
        <f t="shared" si="1"/>
        <v>10885.96875</v>
      </c>
      <c r="C59" s="160"/>
      <c r="D59" s="43">
        <v>68000</v>
      </c>
      <c r="E59" s="110">
        <f t="shared" si="0"/>
        <v>1093170</v>
      </c>
      <c r="F59" s="110"/>
    </row>
    <row r="60" spans="1:12" x14ac:dyDescent="0.55000000000000004">
      <c r="A60" s="42">
        <v>53874</v>
      </c>
      <c r="B60" s="160">
        <f t="shared" si="1"/>
        <v>10248.46875</v>
      </c>
      <c r="C60" s="160"/>
      <c r="D60" s="44"/>
      <c r="E60" s="110">
        <f t="shared" si="0"/>
        <v>1093170</v>
      </c>
      <c r="F60" s="110"/>
    </row>
    <row r="61" spans="1:12" x14ac:dyDescent="0.55000000000000004">
      <c r="A61" s="42">
        <v>54058</v>
      </c>
      <c r="B61" s="160">
        <f t="shared" si="1"/>
        <v>10248.46875</v>
      </c>
      <c r="C61" s="160"/>
      <c r="D61" s="43">
        <v>69000</v>
      </c>
      <c r="E61" s="110">
        <f t="shared" si="0"/>
        <v>1024170</v>
      </c>
      <c r="F61" s="110"/>
    </row>
    <row r="62" spans="1:12" x14ac:dyDescent="0.55000000000000004">
      <c r="A62" s="42">
        <v>54240</v>
      </c>
      <c r="B62" s="160">
        <f t="shared" si="1"/>
        <v>9601.59375</v>
      </c>
      <c r="C62" s="160"/>
      <c r="D62" s="44"/>
      <c r="E62" s="110">
        <f t="shared" si="0"/>
        <v>1024170</v>
      </c>
      <c r="F62" s="110"/>
    </row>
    <row r="63" spans="1:12" x14ac:dyDescent="0.55000000000000004">
      <c r="A63" s="42">
        <v>54424</v>
      </c>
      <c r="B63" s="160">
        <f t="shared" si="1"/>
        <v>9601.59375</v>
      </c>
      <c r="C63" s="160"/>
      <c r="D63" s="43">
        <v>70500</v>
      </c>
      <c r="E63" s="110">
        <f t="shared" si="0"/>
        <v>953670</v>
      </c>
      <c r="F63" s="110"/>
    </row>
    <row r="64" spans="1:12" x14ac:dyDescent="0.55000000000000004">
      <c r="A64" s="42">
        <v>54605</v>
      </c>
      <c r="B64" s="160">
        <f t="shared" si="1"/>
        <v>8940.65625</v>
      </c>
      <c r="C64" s="160"/>
      <c r="D64" s="44"/>
      <c r="E64" s="110">
        <f t="shared" si="0"/>
        <v>953670</v>
      </c>
      <c r="F64" s="110"/>
    </row>
    <row r="65" spans="1:6" x14ac:dyDescent="0.55000000000000004">
      <c r="A65" s="42">
        <v>54789</v>
      </c>
      <c r="B65" s="160">
        <f t="shared" si="1"/>
        <v>8940.65625</v>
      </c>
      <c r="C65" s="160"/>
      <c r="D65" s="43">
        <v>71500</v>
      </c>
      <c r="E65" s="110">
        <f t="shared" si="0"/>
        <v>882170</v>
      </c>
      <c r="F65" s="110"/>
    </row>
    <row r="66" spans="1:6" x14ac:dyDescent="0.55000000000000004">
      <c r="A66" s="42">
        <v>54970</v>
      </c>
      <c r="B66" s="160">
        <f t="shared" si="1"/>
        <v>8270.34375</v>
      </c>
      <c r="C66" s="160"/>
      <c r="D66" s="44"/>
      <c r="E66" s="110">
        <f t="shared" si="0"/>
        <v>882170</v>
      </c>
      <c r="F66" s="110"/>
    </row>
    <row r="67" spans="1:6" x14ac:dyDescent="0.55000000000000004">
      <c r="A67" s="42">
        <v>55154</v>
      </c>
      <c r="B67" s="160">
        <f t="shared" si="1"/>
        <v>8270.34375</v>
      </c>
      <c r="C67" s="160"/>
      <c r="D67" s="43">
        <v>73000</v>
      </c>
      <c r="E67" s="110">
        <f t="shared" si="0"/>
        <v>809170</v>
      </c>
      <c r="F67" s="110"/>
    </row>
    <row r="68" spans="1:6" x14ac:dyDescent="0.55000000000000004">
      <c r="A68" s="42">
        <v>55335</v>
      </c>
      <c r="B68" s="160">
        <f t="shared" si="1"/>
        <v>7585.96875</v>
      </c>
      <c r="C68" s="160"/>
      <c r="D68" s="44"/>
      <c r="E68" s="110">
        <f t="shared" si="0"/>
        <v>809170</v>
      </c>
      <c r="F68" s="110"/>
    </row>
    <row r="69" spans="1:6" x14ac:dyDescent="0.55000000000000004">
      <c r="A69" s="42">
        <v>55519</v>
      </c>
      <c r="B69" s="160">
        <f t="shared" si="1"/>
        <v>7585.96875</v>
      </c>
      <c r="C69" s="160"/>
      <c r="D69" s="43">
        <v>74500</v>
      </c>
      <c r="E69" s="110">
        <f t="shared" si="0"/>
        <v>734670</v>
      </c>
      <c r="F69" s="110"/>
    </row>
    <row r="70" spans="1:6" x14ac:dyDescent="0.55000000000000004">
      <c r="A70" s="42">
        <v>55701</v>
      </c>
      <c r="B70" s="160">
        <f t="shared" si="1"/>
        <v>6887.53125</v>
      </c>
      <c r="C70" s="160"/>
      <c r="D70" s="44"/>
      <c r="E70" s="110">
        <f t="shared" si="0"/>
        <v>734670</v>
      </c>
      <c r="F70" s="110"/>
    </row>
    <row r="71" spans="1:6" x14ac:dyDescent="0.55000000000000004">
      <c r="A71" s="42">
        <v>55885</v>
      </c>
      <c r="B71" s="160">
        <f t="shared" si="1"/>
        <v>6887.53125</v>
      </c>
      <c r="C71" s="160"/>
      <c r="D71" s="43">
        <v>76000</v>
      </c>
      <c r="E71" s="110">
        <f t="shared" si="0"/>
        <v>658670</v>
      </c>
      <c r="F71" s="110"/>
    </row>
    <row r="72" spans="1:6" x14ac:dyDescent="0.55000000000000004">
      <c r="A72" s="42">
        <v>56066</v>
      </c>
      <c r="B72" s="160">
        <f t="shared" si="1"/>
        <v>6175.03125</v>
      </c>
      <c r="C72" s="160"/>
      <c r="D72" s="44"/>
      <c r="E72" s="110">
        <f t="shared" si="0"/>
        <v>658670</v>
      </c>
      <c r="F72" s="110"/>
    </row>
    <row r="73" spans="1:6" x14ac:dyDescent="0.55000000000000004">
      <c r="A73" s="42">
        <v>56250</v>
      </c>
      <c r="B73" s="160">
        <f t="shared" si="1"/>
        <v>6175.03125</v>
      </c>
      <c r="C73" s="160"/>
      <c r="D73" s="43">
        <v>77500</v>
      </c>
      <c r="E73" s="110">
        <f t="shared" si="0"/>
        <v>581170</v>
      </c>
      <c r="F73" s="110"/>
    </row>
    <row r="74" spans="1:6" x14ac:dyDescent="0.55000000000000004">
      <c r="A74" s="42">
        <v>56431</v>
      </c>
      <c r="B74" s="160">
        <f t="shared" si="1"/>
        <v>5448.46875</v>
      </c>
      <c r="C74" s="160"/>
      <c r="D74" s="44"/>
      <c r="E74" s="110">
        <f t="shared" ref="E74:E83" si="2">+E73-D74</f>
        <v>581170</v>
      </c>
      <c r="F74" s="110"/>
    </row>
    <row r="75" spans="1:6" x14ac:dyDescent="0.55000000000000004">
      <c r="A75" s="42">
        <v>56615</v>
      </c>
      <c r="B75" s="160">
        <f t="shared" ref="B75:B83" si="3">+$D$4/2*E74</f>
        <v>5448.46875</v>
      </c>
      <c r="C75" s="160"/>
      <c r="D75" s="43">
        <v>78500</v>
      </c>
      <c r="E75" s="110">
        <f t="shared" si="2"/>
        <v>502670</v>
      </c>
      <c r="F75" s="110"/>
    </row>
    <row r="76" spans="1:6" x14ac:dyDescent="0.55000000000000004">
      <c r="A76" s="42">
        <v>56796</v>
      </c>
      <c r="B76" s="160">
        <f t="shared" si="3"/>
        <v>4712.53125</v>
      </c>
      <c r="C76" s="160"/>
      <c r="D76" s="44"/>
      <c r="E76" s="110">
        <f t="shared" si="2"/>
        <v>502670</v>
      </c>
      <c r="F76" s="110"/>
    </row>
    <row r="77" spans="1:6" x14ac:dyDescent="0.55000000000000004">
      <c r="A77" s="42">
        <v>56980</v>
      </c>
      <c r="B77" s="160">
        <f t="shared" si="3"/>
        <v>4712.53125</v>
      </c>
      <c r="C77" s="160"/>
      <c r="D77" s="43">
        <v>80000</v>
      </c>
      <c r="E77" s="110">
        <f t="shared" si="2"/>
        <v>422670</v>
      </c>
      <c r="F77" s="110"/>
    </row>
    <row r="78" spans="1:6" x14ac:dyDescent="0.55000000000000004">
      <c r="A78" s="42">
        <v>57162</v>
      </c>
      <c r="B78" s="160">
        <f t="shared" si="3"/>
        <v>3962.53125</v>
      </c>
      <c r="C78" s="160"/>
      <c r="D78" s="44"/>
      <c r="E78" s="110">
        <f t="shared" si="2"/>
        <v>422670</v>
      </c>
      <c r="F78" s="110"/>
    </row>
    <row r="79" spans="1:6" x14ac:dyDescent="0.55000000000000004">
      <c r="A79" s="42">
        <v>57346</v>
      </c>
      <c r="B79" s="160">
        <f t="shared" si="3"/>
        <v>3962.53125</v>
      </c>
      <c r="C79" s="160"/>
      <c r="D79" s="43">
        <v>81500</v>
      </c>
      <c r="E79" s="110">
        <f t="shared" si="2"/>
        <v>341170</v>
      </c>
      <c r="F79" s="110"/>
    </row>
    <row r="80" spans="1:6" x14ac:dyDescent="0.55000000000000004">
      <c r="A80" s="42">
        <v>57527</v>
      </c>
      <c r="B80" s="160">
        <f t="shared" si="3"/>
        <v>3198.46875</v>
      </c>
      <c r="C80" s="160"/>
      <c r="D80" s="44"/>
      <c r="E80" s="110">
        <f t="shared" si="2"/>
        <v>341170</v>
      </c>
      <c r="F80" s="110"/>
    </row>
    <row r="81" spans="1:6" x14ac:dyDescent="0.55000000000000004">
      <c r="A81" s="42">
        <v>57711</v>
      </c>
      <c r="B81" s="160">
        <f t="shared" si="3"/>
        <v>3198.46875</v>
      </c>
      <c r="C81" s="160"/>
      <c r="D81" s="43">
        <v>83000</v>
      </c>
      <c r="E81" s="110">
        <f t="shared" si="2"/>
        <v>258170</v>
      </c>
      <c r="F81" s="110"/>
    </row>
    <row r="82" spans="1:6" x14ac:dyDescent="0.55000000000000004">
      <c r="A82" s="42">
        <v>57892</v>
      </c>
      <c r="B82" s="160">
        <f t="shared" si="3"/>
        <v>2420.34375</v>
      </c>
      <c r="C82" s="160"/>
      <c r="D82" s="44"/>
      <c r="E82" s="110">
        <f t="shared" si="2"/>
        <v>258170</v>
      </c>
      <c r="F82" s="110"/>
    </row>
    <row r="83" spans="1:6" x14ac:dyDescent="0.55000000000000004">
      <c r="A83" s="42">
        <v>58076</v>
      </c>
      <c r="B83" s="160">
        <f t="shared" si="3"/>
        <v>2420.34375</v>
      </c>
      <c r="C83" s="160"/>
      <c r="D83" s="43">
        <v>85000</v>
      </c>
      <c r="E83" s="110">
        <f t="shared" si="2"/>
        <v>173170</v>
      </c>
      <c r="F83" s="110"/>
    </row>
    <row r="84" spans="1:6" x14ac:dyDescent="0.55000000000000004">
      <c r="A84" s="42">
        <v>58257</v>
      </c>
      <c r="B84" s="160">
        <f t="shared" ref="B84:B87" si="4">+$D$4/2*E83</f>
        <v>1623.46875</v>
      </c>
      <c r="C84" s="160"/>
      <c r="D84" s="44"/>
      <c r="E84" s="110">
        <f t="shared" ref="E84:E87" si="5">+E83-D84</f>
        <v>173170</v>
      </c>
    </row>
    <row r="85" spans="1:6" x14ac:dyDescent="0.55000000000000004">
      <c r="A85" s="42">
        <v>58441</v>
      </c>
      <c r="B85" s="160">
        <f t="shared" si="4"/>
        <v>1623.46875</v>
      </c>
      <c r="C85" s="160"/>
      <c r="D85" s="43">
        <v>86500</v>
      </c>
      <c r="E85" s="110">
        <f t="shared" si="5"/>
        <v>86670</v>
      </c>
    </row>
    <row r="86" spans="1:6" x14ac:dyDescent="0.55000000000000004">
      <c r="A86" s="42">
        <v>58623</v>
      </c>
      <c r="B86" s="160">
        <f t="shared" si="4"/>
        <v>812.53125</v>
      </c>
      <c r="C86" s="160"/>
      <c r="D86" s="44"/>
      <c r="E86" s="110">
        <f t="shared" si="5"/>
        <v>86670</v>
      </c>
    </row>
    <row r="87" spans="1:6" x14ac:dyDescent="0.55000000000000004">
      <c r="A87" s="42">
        <v>58807</v>
      </c>
      <c r="B87" s="160">
        <f t="shared" si="4"/>
        <v>812.53125</v>
      </c>
      <c r="C87" s="160"/>
      <c r="D87" s="43">
        <v>86670</v>
      </c>
      <c r="E87" s="110">
        <f t="shared" si="5"/>
        <v>0</v>
      </c>
    </row>
    <row r="88" spans="1:6" x14ac:dyDescent="0.55000000000000004">
      <c r="A88" s="42"/>
      <c r="B88" s="166"/>
    </row>
    <row r="89" spans="1:6" x14ac:dyDescent="0.55000000000000004">
      <c r="A89" s="42"/>
    </row>
    <row r="90" spans="1:6" x14ac:dyDescent="0.55000000000000004">
      <c r="A90" s="42"/>
    </row>
    <row r="91" spans="1:6" x14ac:dyDescent="0.55000000000000004">
      <c r="A91" s="42"/>
    </row>
    <row r="92" spans="1:6" x14ac:dyDescent="0.55000000000000004">
      <c r="A92" s="42"/>
    </row>
    <row r="93" spans="1:6" x14ac:dyDescent="0.55000000000000004">
      <c r="A93" s="42"/>
    </row>
    <row r="94" spans="1:6" x14ac:dyDescent="0.55000000000000004">
      <c r="A94" s="42"/>
    </row>
    <row r="95" spans="1:6" x14ac:dyDescent="0.55000000000000004">
      <c r="A95" s="42"/>
    </row>
    <row r="96" spans="1:6" x14ac:dyDescent="0.55000000000000004">
      <c r="A96" s="42"/>
    </row>
    <row r="97" spans="1:1" x14ac:dyDescent="0.55000000000000004">
      <c r="A97" s="42"/>
    </row>
    <row r="98" spans="1:1" x14ac:dyDescent="0.55000000000000004">
      <c r="A98" s="42"/>
    </row>
    <row r="99" spans="1:1" x14ac:dyDescent="0.55000000000000004">
      <c r="A99" s="42"/>
    </row>
    <row r="100" spans="1:1" x14ac:dyDescent="0.55000000000000004">
      <c r="A100" s="42"/>
    </row>
    <row r="101" spans="1:1" x14ac:dyDescent="0.55000000000000004">
      <c r="A101" s="42"/>
    </row>
    <row r="102" spans="1:1" x14ac:dyDescent="0.55000000000000004">
      <c r="A102" s="42"/>
    </row>
    <row r="103" spans="1:1" x14ac:dyDescent="0.55000000000000004">
      <c r="A103" s="42"/>
    </row>
    <row r="104" spans="1:1" x14ac:dyDescent="0.55000000000000004">
      <c r="A104" s="42"/>
    </row>
    <row r="105" spans="1:1" x14ac:dyDescent="0.55000000000000004">
      <c r="A105" s="42"/>
    </row>
    <row r="106" spans="1:1" x14ac:dyDescent="0.55000000000000004">
      <c r="A106" s="42"/>
    </row>
    <row r="107" spans="1:1" x14ac:dyDescent="0.55000000000000004">
      <c r="A107" s="42"/>
    </row>
    <row r="108" spans="1:1" x14ac:dyDescent="0.55000000000000004">
      <c r="A108" s="42"/>
    </row>
    <row r="109" spans="1:1" x14ac:dyDescent="0.55000000000000004">
      <c r="A109" s="42"/>
    </row>
    <row r="110" spans="1:1" x14ac:dyDescent="0.55000000000000004">
      <c r="A110" s="42"/>
    </row>
    <row r="111" spans="1:1" x14ac:dyDescent="0.55000000000000004">
      <c r="A111" s="42"/>
    </row>
    <row r="112" spans="1:1" x14ac:dyDescent="0.55000000000000004">
      <c r="A112" s="42"/>
    </row>
    <row r="113" spans="1:1" x14ac:dyDescent="0.55000000000000004">
      <c r="A113" s="42"/>
    </row>
    <row r="114" spans="1:1" x14ac:dyDescent="0.55000000000000004">
      <c r="A114" s="42"/>
    </row>
    <row r="115" spans="1:1" x14ac:dyDescent="0.55000000000000004">
      <c r="A115" s="42"/>
    </row>
    <row r="116" spans="1:1" x14ac:dyDescent="0.55000000000000004">
      <c r="A116" s="42"/>
    </row>
    <row r="117" spans="1:1" x14ac:dyDescent="0.55000000000000004">
      <c r="A117" s="42"/>
    </row>
    <row r="118" spans="1:1" x14ac:dyDescent="0.55000000000000004">
      <c r="A118" s="42"/>
    </row>
    <row r="119" spans="1:1" x14ac:dyDescent="0.55000000000000004">
      <c r="A119" s="42"/>
    </row>
  </sheetData>
  <mergeCells count="11">
    <mergeCell ref="A5:C5"/>
    <mergeCell ref="D5:E5"/>
    <mergeCell ref="A6:G6"/>
    <mergeCell ref="A7:G7"/>
    <mergeCell ref="B8:C8"/>
    <mergeCell ref="A1:G1"/>
    <mergeCell ref="A2:G2"/>
    <mergeCell ref="A3:C3"/>
    <mergeCell ref="D3:E3"/>
    <mergeCell ref="A4:C4"/>
    <mergeCell ref="D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9016-FD55-4EE3-9772-F6031A812277}">
  <dimension ref="A1:J97"/>
  <sheetViews>
    <sheetView workbookViewId="0">
      <selection activeCell="C12" sqref="C12"/>
    </sheetView>
  </sheetViews>
  <sheetFormatPr defaultColWidth="9.15625" defaultRowHeight="14.4" x14ac:dyDescent="0.55000000000000004"/>
  <cols>
    <col min="1" max="1" width="13" style="40" customWidth="1"/>
    <col min="2" max="2" width="11.15625" style="40" customWidth="1"/>
    <col min="3" max="3" width="9" style="40" customWidth="1"/>
    <col min="4" max="4" width="13.83984375" style="40" customWidth="1"/>
    <col min="5" max="5" width="18.578125" style="40" customWidth="1"/>
    <col min="6" max="6" width="4" style="40" customWidth="1"/>
    <col min="7" max="7" width="12.15625" style="40" customWidth="1"/>
    <col min="8" max="8" width="12.578125" style="40" customWidth="1"/>
    <col min="9" max="10" width="10.578125" style="40" bestFit="1" customWidth="1"/>
    <col min="11" max="16384" width="9.15625" style="40"/>
  </cols>
  <sheetData>
    <row r="1" spans="1:10" ht="15" customHeight="1" x14ac:dyDescent="0.55000000000000004">
      <c r="A1" s="211"/>
      <c r="B1" s="211"/>
      <c r="C1" s="211"/>
      <c r="D1" s="211"/>
      <c r="E1" s="211"/>
      <c r="F1" s="211"/>
      <c r="G1" s="211"/>
    </row>
    <row r="2" spans="1:10" ht="17.25" customHeight="1" x14ac:dyDescent="0.55000000000000004">
      <c r="A2" s="203" t="s">
        <v>28</v>
      </c>
      <c r="B2" s="203"/>
      <c r="C2" s="203"/>
      <c r="D2" s="203"/>
      <c r="E2" s="203"/>
      <c r="F2" s="203"/>
      <c r="G2" s="203"/>
    </row>
    <row r="3" spans="1:10" ht="17.25" customHeight="1" x14ac:dyDescent="0.55000000000000004">
      <c r="A3" s="204" t="s">
        <v>29</v>
      </c>
      <c r="B3" s="204"/>
      <c r="C3" s="204"/>
      <c r="D3" s="212">
        <v>2070000</v>
      </c>
      <c r="E3" s="212"/>
      <c r="F3" s="41"/>
      <c r="G3" s="41"/>
    </row>
    <row r="4" spans="1:10" ht="16.5" customHeight="1" x14ac:dyDescent="0.55000000000000004">
      <c r="A4" s="202" t="s">
        <v>30</v>
      </c>
      <c r="B4" s="202"/>
      <c r="C4" s="202"/>
      <c r="D4" s="213">
        <v>0.03</v>
      </c>
      <c r="E4" s="213"/>
      <c r="F4" s="41"/>
      <c r="G4" s="41"/>
    </row>
    <row r="5" spans="1:10" ht="17.25" customHeight="1" x14ac:dyDescent="0.55000000000000004">
      <c r="A5" s="205" t="s">
        <v>31</v>
      </c>
      <c r="B5" s="205"/>
      <c r="C5" s="205"/>
      <c r="D5" s="208">
        <v>44287</v>
      </c>
      <c r="E5" s="208"/>
      <c r="F5" s="41"/>
      <c r="G5" s="41"/>
    </row>
    <row r="6" spans="1:10" ht="16.5" customHeight="1" x14ac:dyDescent="0.55000000000000004">
      <c r="A6" s="209"/>
      <c r="B6" s="209"/>
      <c r="C6" s="209"/>
      <c r="D6" s="209"/>
      <c r="E6" s="209"/>
      <c r="F6" s="209"/>
      <c r="G6" s="209"/>
    </row>
    <row r="7" spans="1:10" x14ac:dyDescent="0.55000000000000004">
      <c r="A7" s="209"/>
      <c r="B7" s="209"/>
      <c r="C7" s="209"/>
      <c r="D7" s="209"/>
      <c r="E7" s="209"/>
      <c r="F7" s="209"/>
      <c r="G7" s="209"/>
    </row>
    <row r="8" spans="1:10" ht="15.75" customHeight="1" x14ac:dyDescent="0.55000000000000004">
      <c r="A8" s="120"/>
      <c r="B8" s="210" t="s">
        <v>23</v>
      </c>
      <c r="C8" s="210"/>
      <c r="D8" s="176" t="s">
        <v>22</v>
      </c>
      <c r="E8" s="111">
        <f>+D3</f>
        <v>2070000</v>
      </c>
      <c r="F8" s="110"/>
    </row>
    <row r="9" spans="1:10" ht="15.75" customHeight="1" x14ac:dyDescent="0.55000000000000004">
      <c r="A9" s="42">
        <v>44593</v>
      </c>
      <c r="B9" s="160">
        <v>48300</v>
      </c>
      <c r="C9" s="160"/>
      <c r="D9" s="43">
        <v>35000</v>
      </c>
      <c r="E9" s="110">
        <f>+E8-D9</f>
        <v>2035000</v>
      </c>
      <c r="F9" s="110"/>
      <c r="G9" s="162">
        <f>B9*(7/8)</f>
        <v>42262.5</v>
      </c>
      <c r="H9" s="40" t="s">
        <v>40</v>
      </c>
      <c r="I9" s="161"/>
      <c r="J9" s="161"/>
    </row>
    <row r="10" spans="1:10" ht="15.75" customHeight="1" x14ac:dyDescent="0.55000000000000004">
      <c r="A10" s="42">
        <v>44774</v>
      </c>
      <c r="B10" s="160">
        <v>30525</v>
      </c>
      <c r="C10" s="160"/>
      <c r="D10" s="44"/>
      <c r="E10" s="110">
        <f t="shared" ref="E10:E65" si="0">+E9-D10</f>
        <v>2035000</v>
      </c>
      <c r="F10" s="110"/>
    </row>
    <row r="11" spans="1:10" ht="15.75" customHeight="1" x14ac:dyDescent="0.55000000000000004">
      <c r="A11" s="178">
        <v>44958</v>
      </c>
      <c r="B11" s="179">
        <f>+$D$4/2*E10</f>
        <v>30525</v>
      </c>
      <c r="C11" s="179"/>
      <c r="D11" s="181">
        <v>60000</v>
      </c>
      <c r="E11" s="182">
        <f t="shared" si="0"/>
        <v>1975000</v>
      </c>
      <c r="F11" s="110"/>
      <c r="I11" s="40" t="s">
        <v>22</v>
      </c>
      <c r="J11" s="40" t="s">
        <v>23</v>
      </c>
    </row>
    <row r="12" spans="1:10" ht="15.75" customHeight="1" x14ac:dyDescent="0.55000000000000004">
      <c r="A12" s="178">
        <v>45139</v>
      </c>
      <c r="B12" s="179">
        <f>+$D$4/2*E11</f>
        <v>29625</v>
      </c>
      <c r="C12" s="179"/>
      <c r="D12" s="183"/>
      <c r="E12" s="182">
        <f t="shared" si="0"/>
        <v>1975000</v>
      </c>
      <c r="F12" s="110"/>
      <c r="H12" s="40">
        <v>2022</v>
      </c>
      <c r="I12" s="165">
        <f>D9</f>
        <v>35000</v>
      </c>
      <c r="J12" s="165">
        <f>B9+B10</f>
        <v>78825</v>
      </c>
    </row>
    <row r="13" spans="1:10" ht="15.75" customHeight="1" x14ac:dyDescent="0.55000000000000004">
      <c r="A13" s="178">
        <v>45323</v>
      </c>
      <c r="B13" s="179">
        <f t="shared" ref="B13:B65" si="1">+$D$4/2*E12</f>
        <v>29625</v>
      </c>
      <c r="C13" s="179"/>
      <c r="D13" s="181">
        <v>65000</v>
      </c>
      <c r="E13" s="182">
        <f t="shared" si="0"/>
        <v>1910000</v>
      </c>
      <c r="F13" s="110"/>
      <c r="G13" s="159"/>
      <c r="H13" s="40">
        <v>2023</v>
      </c>
      <c r="I13" s="165">
        <f>D11</f>
        <v>60000</v>
      </c>
      <c r="J13" s="165">
        <f>B11+B12</f>
        <v>60150</v>
      </c>
    </row>
    <row r="14" spans="1:10" ht="15.75" customHeight="1" x14ac:dyDescent="0.55000000000000004">
      <c r="A14" s="178">
        <v>45505</v>
      </c>
      <c r="B14" s="179">
        <f t="shared" si="1"/>
        <v>28650</v>
      </c>
      <c r="C14" s="179"/>
      <c r="D14" s="183"/>
      <c r="E14" s="182">
        <f t="shared" si="0"/>
        <v>1910000</v>
      </c>
      <c r="F14" s="110"/>
      <c r="H14" s="40">
        <v>2024</v>
      </c>
      <c r="I14" s="165">
        <f>D13</f>
        <v>65000</v>
      </c>
      <c r="J14" s="165">
        <f>B13+B14</f>
        <v>58275</v>
      </c>
    </row>
    <row r="15" spans="1:10" ht="15.75" customHeight="1" x14ac:dyDescent="0.55000000000000004">
      <c r="A15" s="178">
        <v>45689</v>
      </c>
      <c r="B15" s="179">
        <f t="shared" si="1"/>
        <v>28650</v>
      </c>
      <c r="C15" s="179"/>
      <c r="D15" s="181">
        <v>65000</v>
      </c>
      <c r="E15" s="182">
        <f t="shared" si="0"/>
        <v>1845000</v>
      </c>
      <c r="F15" s="110"/>
      <c r="H15" s="40">
        <v>2025</v>
      </c>
      <c r="I15" s="165">
        <f>D15</f>
        <v>65000</v>
      </c>
      <c r="J15" s="165">
        <f>B15+B16</f>
        <v>56325</v>
      </c>
    </row>
    <row r="16" spans="1:10" ht="15.75" customHeight="1" x14ac:dyDescent="0.55000000000000004">
      <c r="A16" s="178">
        <v>45870</v>
      </c>
      <c r="B16" s="179">
        <f t="shared" si="1"/>
        <v>27675</v>
      </c>
      <c r="C16" s="179"/>
      <c r="D16" s="183"/>
      <c r="E16" s="182">
        <f t="shared" si="0"/>
        <v>1845000</v>
      </c>
      <c r="F16" s="110"/>
      <c r="H16" s="40">
        <v>2026</v>
      </c>
      <c r="I16" s="165">
        <f>D17</f>
        <v>70000</v>
      </c>
      <c r="J16" s="165">
        <f>B17+B18</f>
        <v>54300</v>
      </c>
    </row>
    <row r="17" spans="1:10" ht="15.75" customHeight="1" x14ac:dyDescent="0.55000000000000004">
      <c r="A17" s="178">
        <v>46054</v>
      </c>
      <c r="B17" s="179">
        <f t="shared" si="1"/>
        <v>27675</v>
      </c>
      <c r="C17" s="179"/>
      <c r="D17" s="181">
        <v>70000</v>
      </c>
      <c r="E17" s="182">
        <f t="shared" si="0"/>
        <v>1775000</v>
      </c>
      <c r="F17" s="110"/>
      <c r="H17" s="40">
        <v>2027</v>
      </c>
      <c r="I17" s="165">
        <f>D19</f>
        <v>70000</v>
      </c>
      <c r="J17" s="165">
        <f>B19+B20</f>
        <v>52200</v>
      </c>
    </row>
    <row r="18" spans="1:10" ht="15.75" customHeight="1" x14ac:dyDescent="0.55000000000000004">
      <c r="A18" s="178">
        <v>46235</v>
      </c>
      <c r="B18" s="179">
        <f t="shared" si="1"/>
        <v>26625</v>
      </c>
      <c r="C18" s="179"/>
      <c r="D18" s="183"/>
      <c r="E18" s="182">
        <f t="shared" si="0"/>
        <v>1775000</v>
      </c>
      <c r="F18" s="110"/>
      <c r="H18" s="40">
        <v>2028</v>
      </c>
      <c r="I18" s="165">
        <f>D21</f>
        <v>70000</v>
      </c>
      <c r="J18" s="165">
        <f>B21+B22</f>
        <v>50100</v>
      </c>
    </row>
    <row r="19" spans="1:10" ht="15.75" customHeight="1" x14ac:dyDescent="0.55000000000000004">
      <c r="A19" s="178">
        <v>46419</v>
      </c>
      <c r="B19" s="179">
        <f t="shared" si="1"/>
        <v>26625</v>
      </c>
      <c r="C19" s="179"/>
      <c r="D19" s="181">
        <v>70000</v>
      </c>
      <c r="E19" s="182">
        <f t="shared" si="0"/>
        <v>1705000</v>
      </c>
      <c r="F19" s="110"/>
      <c r="H19" s="40">
        <v>2029</v>
      </c>
      <c r="I19" s="165">
        <f>D23</f>
        <v>75000</v>
      </c>
      <c r="J19" s="165">
        <f>B23+B24</f>
        <v>47925</v>
      </c>
    </row>
    <row r="20" spans="1:10" ht="15.75" customHeight="1" x14ac:dyDescent="0.55000000000000004">
      <c r="A20" s="178">
        <v>46600</v>
      </c>
      <c r="B20" s="179">
        <f t="shared" si="1"/>
        <v>25575</v>
      </c>
      <c r="C20" s="179"/>
      <c r="D20" s="183"/>
      <c r="E20" s="182">
        <f t="shared" si="0"/>
        <v>1705000</v>
      </c>
      <c r="F20" s="110"/>
      <c r="H20" s="40">
        <v>2030</v>
      </c>
      <c r="I20" s="165">
        <f>D25</f>
        <v>80000</v>
      </c>
      <c r="J20" s="165">
        <f>B25+B26</f>
        <v>45600</v>
      </c>
    </row>
    <row r="21" spans="1:10" ht="15.75" customHeight="1" x14ac:dyDescent="0.55000000000000004">
      <c r="A21" s="42">
        <v>46784</v>
      </c>
      <c r="B21" s="160">
        <f t="shared" si="1"/>
        <v>25575</v>
      </c>
      <c r="C21" s="160"/>
      <c r="D21" s="43">
        <v>70000</v>
      </c>
      <c r="E21" s="110">
        <f t="shared" si="0"/>
        <v>1635000</v>
      </c>
      <c r="F21" s="110"/>
      <c r="H21" s="40">
        <v>2031</v>
      </c>
      <c r="I21" s="165">
        <f>D27</f>
        <v>80000</v>
      </c>
      <c r="J21" s="165">
        <f>B27+B28</f>
        <v>43200</v>
      </c>
    </row>
    <row r="22" spans="1:10" ht="15.75" customHeight="1" x14ac:dyDescent="0.55000000000000004">
      <c r="A22" s="42">
        <v>46966</v>
      </c>
      <c r="B22" s="160">
        <f t="shared" si="1"/>
        <v>24525</v>
      </c>
      <c r="C22" s="160"/>
      <c r="D22" s="44"/>
      <c r="E22" s="110">
        <f t="shared" si="0"/>
        <v>1635000</v>
      </c>
      <c r="F22" s="110"/>
      <c r="H22" s="40">
        <v>2032</v>
      </c>
      <c r="I22" s="165">
        <f>D29</f>
        <v>85000</v>
      </c>
      <c r="J22" s="165">
        <f>B29+B30</f>
        <v>40725</v>
      </c>
    </row>
    <row r="23" spans="1:10" ht="15.75" customHeight="1" x14ac:dyDescent="0.55000000000000004">
      <c r="A23" s="42">
        <v>47150</v>
      </c>
      <c r="B23" s="160">
        <f t="shared" si="1"/>
        <v>24525</v>
      </c>
      <c r="C23" s="160"/>
      <c r="D23" s="43">
        <v>75000</v>
      </c>
      <c r="E23" s="110">
        <f t="shared" si="0"/>
        <v>1560000</v>
      </c>
      <c r="F23" s="110"/>
      <c r="H23" s="40">
        <v>2033</v>
      </c>
      <c r="I23" s="165">
        <f>D31</f>
        <v>55000</v>
      </c>
      <c r="J23" s="165">
        <f>B31+B32</f>
        <v>38625</v>
      </c>
    </row>
    <row r="24" spans="1:10" ht="15.75" customHeight="1" x14ac:dyDescent="0.55000000000000004">
      <c r="A24" s="42">
        <v>47331</v>
      </c>
      <c r="B24" s="160">
        <f t="shared" si="1"/>
        <v>23400</v>
      </c>
      <c r="C24" s="160"/>
      <c r="D24" s="44"/>
      <c r="E24" s="110">
        <f t="shared" si="0"/>
        <v>1560000</v>
      </c>
      <c r="F24" s="110"/>
      <c r="H24" s="40">
        <v>2034</v>
      </c>
      <c r="I24" s="165">
        <f>D33</f>
        <v>60000</v>
      </c>
      <c r="J24" s="165">
        <f>B33+B34</f>
        <v>36900</v>
      </c>
    </row>
    <row r="25" spans="1:10" ht="15.75" customHeight="1" x14ac:dyDescent="0.55000000000000004">
      <c r="A25" s="42">
        <v>47515</v>
      </c>
      <c r="B25" s="160">
        <f t="shared" si="1"/>
        <v>23400</v>
      </c>
      <c r="C25" s="160"/>
      <c r="D25" s="43">
        <v>80000</v>
      </c>
      <c r="E25" s="110">
        <f t="shared" si="0"/>
        <v>1480000</v>
      </c>
      <c r="F25" s="110"/>
      <c r="H25" s="40">
        <v>2035</v>
      </c>
      <c r="I25" s="165">
        <f>D35</f>
        <v>60000</v>
      </c>
      <c r="J25" s="165">
        <f>B35+B36</f>
        <v>35100</v>
      </c>
    </row>
    <row r="26" spans="1:10" ht="15.75" customHeight="1" x14ac:dyDescent="0.55000000000000004">
      <c r="A26" s="42">
        <v>47696</v>
      </c>
      <c r="B26" s="160">
        <f t="shared" si="1"/>
        <v>22200</v>
      </c>
      <c r="C26" s="160"/>
      <c r="D26" s="44"/>
      <c r="E26" s="110">
        <f t="shared" si="0"/>
        <v>1480000</v>
      </c>
      <c r="F26" s="110"/>
      <c r="H26" s="40">
        <v>2036</v>
      </c>
      <c r="I26" s="165">
        <f>D37</f>
        <v>65000</v>
      </c>
      <c r="J26" s="165">
        <f>B37+B38</f>
        <v>33225</v>
      </c>
    </row>
    <row r="27" spans="1:10" ht="15.75" customHeight="1" x14ac:dyDescent="0.55000000000000004">
      <c r="A27" s="42">
        <v>47880</v>
      </c>
      <c r="B27" s="160">
        <f t="shared" si="1"/>
        <v>22200</v>
      </c>
      <c r="C27" s="160"/>
      <c r="D27" s="43">
        <v>80000</v>
      </c>
      <c r="E27" s="110">
        <f t="shared" si="0"/>
        <v>1400000</v>
      </c>
      <c r="F27" s="110"/>
      <c r="H27" s="40">
        <v>2037</v>
      </c>
      <c r="I27" s="165">
        <f>D39</f>
        <v>65000</v>
      </c>
      <c r="J27" s="165">
        <f>B39+B40</f>
        <v>31275</v>
      </c>
    </row>
    <row r="28" spans="1:10" ht="15.75" customHeight="1" x14ac:dyDescent="0.55000000000000004">
      <c r="A28" s="42">
        <v>48061</v>
      </c>
      <c r="B28" s="160">
        <f t="shared" si="1"/>
        <v>21000</v>
      </c>
      <c r="C28" s="160"/>
      <c r="D28" s="44"/>
      <c r="E28" s="110">
        <f t="shared" si="0"/>
        <v>1400000</v>
      </c>
      <c r="F28" s="110"/>
      <c r="H28" s="40">
        <v>2038</v>
      </c>
      <c r="I28" s="165">
        <f>D41</f>
        <v>65000</v>
      </c>
      <c r="J28" s="165">
        <f>B41+B42</f>
        <v>29325</v>
      </c>
    </row>
    <row r="29" spans="1:10" ht="15.75" customHeight="1" x14ac:dyDescent="0.55000000000000004">
      <c r="A29" s="42">
        <v>48245</v>
      </c>
      <c r="B29" s="160">
        <f t="shared" si="1"/>
        <v>21000</v>
      </c>
      <c r="C29" s="160"/>
      <c r="D29" s="43">
        <v>85000</v>
      </c>
      <c r="E29" s="110">
        <f t="shared" si="0"/>
        <v>1315000</v>
      </c>
      <c r="F29" s="110"/>
      <c r="H29" s="40">
        <v>2039</v>
      </c>
      <c r="I29" s="165">
        <f>D43</f>
        <v>70000</v>
      </c>
      <c r="J29" s="165">
        <f>B43+B44</f>
        <v>27300</v>
      </c>
    </row>
    <row r="30" spans="1:10" ht="15.75" customHeight="1" x14ac:dyDescent="0.55000000000000004">
      <c r="A30" s="42">
        <v>48427</v>
      </c>
      <c r="B30" s="160">
        <f t="shared" si="1"/>
        <v>19725</v>
      </c>
      <c r="C30" s="160"/>
      <c r="D30" s="44"/>
      <c r="E30" s="110">
        <f t="shared" si="0"/>
        <v>1315000</v>
      </c>
      <c r="F30" s="110"/>
      <c r="H30" s="40">
        <v>2040</v>
      </c>
      <c r="I30" s="165">
        <f>D45</f>
        <v>70000</v>
      </c>
      <c r="J30" s="165">
        <f>B45+B46</f>
        <v>25200</v>
      </c>
    </row>
    <row r="31" spans="1:10" ht="15.75" customHeight="1" x14ac:dyDescent="0.55000000000000004">
      <c r="A31" s="42">
        <v>48611</v>
      </c>
      <c r="B31" s="160">
        <f t="shared" si="1"/>
        <v>19725</v>
      </c>
      <c r="C31" s="160"/>
      <c r="D31" s="43">
        <v>55000</v>
      </c>
      <c r="E31" s="110">
        <f t="shared" si="0"/>
        <v>1260000</v>
      </c>
      <c r="F31" s="110"/>
      <c r="H31" s="40">
        <v>2041</v>
      </c>
      <c r="I31" s="165">
        <f>D47</f>
        <v>75000</v>
      </c>
      <c r="J31" s="165">
        <f>B47+B48</f>
        <v>23025</v>
      </c>
    </row>
    <row r="32" spans="1:10" ht="15.75" customHeight="1" x14ac:dyDescent="0.55000000000000004">
      <c r="A32" s="42">
        <v>48792</v>
      </c>
      <c r="B32" s="160">
        <f>+$D$4/2*E31</f>
        <v>18900</v>
      </c>
      <c r="C32" s="160"/>
      <c r="D32" s="44"/>
      <c r="E32" s="110">
        <f t="shared" si="0"/>
        <v>1260000</v>
      </c>
      <c r="F32" s="110"/>
      <c r="H32" s="40">
        <v>2042</v>
      </c>
      <c r="I32" s="165">
        <f>D49</f>
        <v>75000</v>
      </c>
      <c r="J32" s="165">
        <f>B49+B50</f>
        <v>20775</v>
      </c>
    </row>
    <row r="33" spans="1:10" ht="15.75" customHeight="1" x14ac:dyDescent="0.55000000000000004">
      <c r="A33" s="42">
        <v>48976</v>
      </c>
      <c r="B33" s="160">
        <f t="shared" si="1"/>
        <v>18900</v>
      </c>
      <c r="C33" s="160"/>
      <c r="D33" s="43">
        <v>60000</v>
      </c>
      <c r="E33" s="110">
        <f t="shared" si="0"/>
        <v>1200000</v>
      </c>
      <c r="F33" s="110"/>
      <c r="H33" s="40">
        <v>2043</v>
      </c>
      <c r="I33" s="165">
        <f>D51</f>
        <v>80000</v>
      </c>
      <c r="J33" s="165">
        <f>B51+B52</f>
        <v>18450</v>
      </c>
    </row>
    <row r="34" spans="1:10" ht="15.75" customHeight="1" x14ac:dyDescent="0.55000000000000004">
      <c r="A34" s="42">
        <v>49157</v>
      </c>
      <c r="B34" s="160">
        <f t="shared" si="1"/>
        <v>18000</v>
      </c>
      <c r="C34" s="160"/>
      <c r="D34" s="44"/>
      <c r="E34" s="110">
        <f t="shared" si="0"/>
        <v>1200000</v>
      </c>
      <c r="F34" s="110"/>
      <c r="H34" s="40">
        <v>2044</v>
      </c>
      <c r="I34" s="165">
        <f>D53</f>
        <v>85000</v>
      </c>
      <c r="J34" s="165">
        <f>B53+B54</f>
        <v>15975</v>
      </c>
    </row>
    <row r="35" spans="1:10" ht="15.75" customHeight="1" x14ac:dyDescent="0.55000000000000004">
      <c r="A35" s="42">
        <v>49341</v>
      </c>
      <c r="B35" s="160">
        <f t="shared" si="1"/>
        <v>18000</v>
      </c>
      <c r="C35" s="160"/>
      <c r="D35" s="43">
        <v>60000</v>
      </c>
      <c r="E35" s="110">
        <f t="shared" si="0"/>
        <v>1140000</v>
      </c>
      <c r="F35" s="110"/>
      <c r="H35" s="40">
        <v>2045</v>
      </c>
      <c r="I35" s="165">
        <f>D55</f>
        <v>90000</v>
      </c>
      <c r="J35" s="165">
        <f>B55+B56</f>
        <v>13350</v>
      </c>
    </row>
    <row r="36" spans="1:10" ht="15.75" customHeight="1" x14ac:dyDescent="0.55000000000000004">
      <c r="A36" s="42">
        <v>49522</v>
      </c>
      <c r="B36" s="160">
        <f t="shared" si="1"/>
        <v>17100</v>
      </c>
      <c r="C36" s="160"/>
      <c r="D36" s="44"/>
      <c r="E36" s="110">
        <f t="shared" si="0"/>
        <v>1140000</v>
      </c>
      <c r="F36" s="110"/>
      <c r="H36" s="40">
        <v>2046</v>
      </c>
      <c r="I36" s="165">
        <f>D57</f>
        <v>90000</v>
      </c>
      <c r="J36" s="165">
        <f>B57+B58</f>
        <v>10650</v>
      </c>
    </row>
    <row r="37" spans="1:10" ht="15.75" customHeight="1" x14ac:dyDescent="0.55000000000000004">
      <c r="A37" s="42">
        <v>49706</v>
      </c>
      <c r="B37" s="160">
        <f t="shared" si="1"/>
        <v>17100</v>
      </c>
      <c r="C37" s="160"/>
      <c r="D37" s="43">
        <v>65000</v>
      </c>
      <c r="E37" s="110">
        <f t="shared" si="0"/>
        <v>1075000</v>
      </c>
      <c r="F37" s="110"/>
      <c r="H37" s="40">
        <v>2047</v>
      </c>
      <c r="I37" s="165">
        <f>D59</f>
        <v>90000</v>
      </c>
      <c r="J37" s="165">
        <f>B59+B60</f>
        <v>7950</v>
      </c>
    </row>
    <row r="38" spans="1:10" ht="15.75" customHeight="1" x14ac:dyDescent="0.55000000000000004">
      <c r="A38" s="42">
        <v>49888</v>
      </c>
      <c r="B38" s="160">
        <f t="shared" si="1"/>
        <v>16125</v>
      </c>
      <c r="C38" s="160"/>
      <c r="D38" s="44"/>
      <c r="E38" s="110">
        <f t="shared" si="0"/>
        <v>1075000</v>
      </c>
      <c r="F38" s="110"/>
      <c r="H38" s="40">
        <v>2048</v>
      </c>
      <c r="I38" s="165">
        <f>D61</f>
        <v>90000</v>
      </c>
      <c r="J38" s="165">
        <f>B61+B62</f>
        <v>5250</v>
      </c>
    </row>
    <row r="39" spans="1:10" ht="15.75" customHeight="1" x14ac:dyDescent="0.55000000000000004">
      <c r="A39" s="42">
        <v>50072</v>
      </c>
      <c r="B39" s="160">
        <f t="shared" si="1"/>
        <v>16125</v>
      </c>
      <c r="C39" s="160"/>
      <c r="D39" s="43">
        <v>65000</v>
      </c>
      <c r="E39" s="110">
        <f t="shared" si="0"/>
        <v>1010000</v>
      </c>
      <c r="F39" s="110"/>
      <c r="H39" s="40">
        <v>2049</v>
      </c>
      <c r="I39" s="165">
        <f>D63</f>
        <v>90000</v>
      </c>
      <c r="J39" s="165">
        <f>B63+B64</f>
        <v>2550</v>
      </c>
    </row>
    <row r="40" spans="1:10" ht="15.75" customHeight="1" x14ac:dyDescent="0.55000000000000004">
      <c r="A40" s="42">
        <v>50253</v>
      </c>
      <c r="B40" s="160">
        <f t="shared" si="1"/>
        <v>15150</v>
      </c>
      <c r="C40" s="160"/>
      <c r="D40" s="44"/>
      <c r="E40" s="110">
        <f t="shared" si="0"/>
        <v>1010000</v>
      </c>
      <c r="F40" s="110"/>
      <c r="H40" s="40">
        <v>2050</v>
      </c>
      <c r="I40" s="165">
        <f>D65</f>
        <v>40000</v>
      </c>
      <c r="J40" s="165">
        <f>B65</f>
        <v>600</v>
      </c>
    </row>
    <row r="41" spans="1:10" ht="15.75" customHeight="1" x14ac:dyDescent="0.55000000000000004">
      <c r="A41" s="42">
        <v>50437</v>
      </c>
      <c r="B41" s="160">
        <f t="shared" si="1"/>
        <v>15150</v>
      </c>
      <c r="C41" s="160"/>
      <c r="D41" s="43">
        <v>65000</v>
      </c>
      <c r="E41" s="110">
        <f t="shared" si="0"/>
        <v>945000</v>
      </c>
      <c r="F41" s="110"/>
      <c r="J41" s="169"/>
    </row>
    <row r="42" spans="1:10" ht="15.75" customHeight="1" x14ac:dyDescent="0.55000000000000004">
      <c r="A42" s="42">
        <v>50618</v>
      </c>
      <c r="B42" s="160">
        <f t="shared" si="1"/>
        <v>14175</v>
      </c>
      <c r="C42" s="160"/>
      <c r="D42" s="44"/>
      <c r="E42" s="110">
        <f t="shared" si="0"/>
        <v>945000</v>
      </c>
      <c r="F42" s="110"/>
    </row>
    <row r="43" spans="1:10" ht="15.75" customHeight="1" x14ac:dyDescent="0.55000000000000004">
      <c r="A43" s="42">
        <v>50802</v>
      </c>
      <c r="B43" s="160">
        <f t="shared" si="1"/>
        <v>14175</v>
      </c>
      <c r="C43" s="160"/>
      <c r="D43" s="43">
        <v>70000</v>
      </c>
      <c r="E43" s="110">
        <f t="shared" si="0"/>
        <v>875000</v>
      </c>
      <c r="F43" s="110"/>
    </row>
    <row r="44" spans="1:10" ht="15.75" customHeight="1" x14ac:dyDescent="0.55000000000000004">
      <c r="A44" s="42">
        <v>50983</v>
      </c>
      <c r="B44" s="160">
        <f t="shared" si="1"/>
        <v>13125</v>
      </c>
      <c r="C44" s="160"/>
      <c r="D44" s="44"/>
      <c r="E44" s="110">
        <f t="shared" si="0"/>
        <v>875000</v>
      </c>
      <c r="F44" s="110"/>
    </row>
    <row r="45" spans="1:10" ht="15.75" customHeight="1" x14ac:dyDescent="0.55000000000000004">
      <c r="A45" s="42">
        <v>51167</v>
      </c>
      <c r="B45" s="160">
        <f t="shared" si="1"/>
        <v>13125</v>
      </c>
      <c r="C45" s="160"/>
      <c r="D45" s="43">
        <v>70000</v>
      </c>
      <c r="E45" s="110">
        <f t="shared" si="0"/>
        <v>805000</v>
      </c>
      <c r="F45" s="110"/>
    </row>
    <row r="46" spans="1:10" x14ac:dyDescent="0.55000000000000004">
      <c r="A46" s="42">
        <v>51349</v>
      </c>
      <c r="B46" s="160">
        <f t="shared" si="1"/>
        <v>12075</v>
      </c>
      <c r="C46" s="160"/>
      <c r="D46" s="44"/>
      <c r="E46" s="110">
        <f t="shared" si="0"/>
        <v>805000</v>
      </c>
      <c r="F46" s="110"/>
    </row>
    <row r="47" spans="1:10" x14ac:dyDescent="0.55000000000000004">
      <c r="A47" s="42">
        <v>51533</v>
      </c>
      <c r="B47" s="160">
        <f t="shared" si="1"/>
        <v>12075</v>
      </c>
      <c r="C47" s="160"/>
      <c r="D47" s="43">
        <v>75000</v>
      </c>
      <c r="E47" s="110">
        <f t="shared" si="0"/>
        <v>730000</v>
      </c>
      <c r="F47" s="110"/>
    </row>
    <row r="48" spans="1:10" x14ac:dyDescent="0.55000000000000004">
      <c r="A48" s="42">
        <v>51714</v>
      </c>
      <c r="B48" s="160">
        <f t="shared" si="1"/>
        <v>10950</v>
      </c>
      <c r="C48" s="160"/>
      <c r="D48" s="44"/>
      <c r="E48" s="110">
        <f t="shared" si="0"/>
        <v>730000</v>
      </c>
      <c r="F48" s="110"/>
    </row>
    <row r="49" spans="1:6" x14ac:dyDescent="0.55000000000000004">
      <c r="A49" s="42">
        <v>51898</v>
      </c>
      <c r="B49" s="160">
        <f t="shared" si="1"/>
        <v>10950</v>
      </c>
      <c r="C49" s="160"/>
      <c r="D49" s="43">
        <v>75000</v>
      </c>
      <c r="E49" s="110">
        <f t="shared" si="0"/>
        <v>655000</v>
      </c>
      <c r="F49" s="110"/>
    </row>
    <row r="50" spans="1:6" x14ac:dyDescent="0.55000000000000004">
      <c r="A50" s="42">
        <v>52079</v>
      </c>
      <c r="B50" s="160">
        <f t="shared" si="1"/>
        <v>9825</v>
      </c>
      <c r="C50" s="160"/>
      <c r="D50" s="44"/>
      <c r="E50" s="110">
        <f t="shared" si="0"/>
        <v>655000</v>
      </c>
      <c r="F50" s="110"/>
    </row>
    <row r="51" spans="1:6" x14ac:dyDescent="0.55000000000000004">
      <c r="A51" s="42">
        <v>52263</v>
      </c>
      <c r="B51" s="160">
        <f t="shared" si="1"/>
        <v>9825</v>
      </c>
      <c r="C51" s="160"/>
      <c r="D51" s="43">
        <v>80000</v>
      </c>
      <c r="E51" s="110">
        <f t="shared" si="0"/>
        <v>575000</v>
      </c>
      <c r="F51" s="110"/>
    </row>
    <row r="52" spans="1:6" x14ac:dyDescent="0.55000000000000004">
      <c r="A52" s="42">
        <v>52444</v>
      </c>
      <c r="B52" s="160">
        <f t="shared" si="1"/>
        <v>8625</v>
      </c>
      <c r="C52" s="160"/>
      <c r="D52" s="44"/>
      <c r="E52" s="110">
        <f t="shared" si="0"/>
        <v>575000</v>
      </c>
      <c r="F52" s="110"/>
    </row>
    <row r="53" spans="1:6" x14ac:dyDescent="0.55000000000000004">
      <c r="A53" s="42">
        <v>52628</v>
      </c>
      <c r="B53" s="160">
        <f t="shared" si="1"/>
        <v>8625</v>
      </c>
      <c r="C53" s="160"/>
      <c r="D53" s="43">
        <v>85000</v>
      </c>
      <c r="E53" s="110">
        <f t="shared" si="0"/>
        <v>490000</v>
      </c>
      <c r="F53" s="110"/>
    </row>
    <row r="54" spans="1:6" x14ac:dyDescent="0.55000000000000004">
      <c r="A54" s="42">
        <v>52810</v>
      </c>
      <c r="B54" s="160">
        <f t="shared" si="1"/>
        <v>7350</v>
      </c>
      <c r="C54" s="160"/>
      <c r="D54" s="44"/>
      <c r="E54" s="110">
        <f t="shared" si="0"/>
        <v>490000</v>
      </c>
      <c r="F54" s="110"/>
    </row>
    <row r="55" spans="1:6" x14ac:dyDescent="0.55000000000000004">
      <c r="A55" s="42">
        <v>52994</v>
      </c>
      <c r="B55" s="160">
        <f t="shared" si="1"/>
        <v>7350</v>
      </c>
      <c r="C55" s="160"/>
      <c r="D55" s="43">
        <v>90000</v>
      </c>
      <c r="E55" s="110">
        <f t="shared" si="0"/>
        <v>400000</v>
      </c>
      <c r="F55" s="110"/>
    </row>
    <row r="56" spans="1:6" x14ac:dyDescent="0.55000000000000004">
      <c r="A56" s="42">
        <v>53175</v>
      </c>
      <c r="B56" s="160">
        <f t="shared" si="1"/>
        <v>6000</v>
      </c>
      <c r="C56" s="160"/>
      <c r="D56" s="44"/>
      <c r="E56" s="110">
        <f t="shared" si="0"/>
        <v>400000</v>
      </c>
      <c r="F56" s="110"/>
    </row>
    <row r="57" spans="1:6" x14ac:dyDescent="0.55000000000000004">
      <c r="A57" s="42">
        <v>53359</v>
      </c>
      <c r="B57" s="160">
        <f t="shared" si="1"/>
        <v>6000</v>
      </c>
      <c r="C57" s="160"/>
      <c r="D57" s="43">
        <v>90000</v>
      </c>
      <c r="E57" s="110">
        <f t="shared" si="0"/>
        <v>310000</v>
      </c>
      <c r="F57" s="110"/>
    </row>
    <row r="58" spans="1:6" x14ac:dyDescent="0.55000000000000004">
      <c r="A58" s="42">
        <v>53540</v>
      </c>
      <c r="B58" s="160">
        <f t="shared" si="1"/>
        <v>4650</v>
      </c>
      <c r="C58" s="160"/>
      <c r="D58" s="44"/>
      <c r="E58" s="110">
        <f t="shared" si="0"/>
        <v>310000</v>
      </c>
      <c r="F58" s="110"/>
    </row>
    <row r="59" spans="1:6" x14ac:dyDescent="0.55000000000000004">
      <c r="A59" s="42">
        <v>53724</v>
      </c>
      <c r="B59" s="160">
        <f t="shared" si="1"/>
        <v>4650</v>
      </c>
      <c r="C59" s="160"/>
      <c r="D59" s="43">
        <v>90000</v>
      </c>
      <c r="E59" s="110">
        <f t="shared" si="0"/>
        <v>220000</v>
      </c>
      <c r="F59" s="110"/>
    </row>
    <row r="60" spans="1:6" x14ac:dyDescent="0.55000000000000004">
      <c r="A60" s="42">
        <v>53905</v>
      </c>
      <c r="B60" s="160">
        <f t="shared" si="1"/>
        <v>3300</v>
      </c>
      <c r="C60" s="160"/>
      <c r="D60" s="44"/>
      <c r="E60" s="110">
        <f t="shared" si="0"/>
        <v>220000</v>
      </c>
      <c r="F60" s="110"/>
    </row>
    <row r="61" spans="1:6" x14ac:dyDescent="0.55000000000000004">
      <c r="A61" s="42">
        <v>54089</v>
      </c>
      <c r="B61" s="160">
        <f t="shared" si="1"/>
        <v>3300</v>
      </c>
      <c r="C61" s="160"/>
      <c r="D61" s="43">
        <v>90000</v>
      </c>
      <c r="E61" s="110">
        <f t="shared" si="0"/>
        <v>130000</v>
      </c>
      <c r="F61" s="110"/>
    </row>
    <row r="62" spans="1:6" x14ac:dyDescent="0.55000000000000004">
      <c r="A62" s="42">
        <v>54271</v>
      </c>
      <c r="B62" s="160">
        <f t="shared" si="1"/>
        <v>1950</v>
      </c>
      <c r="C62" s="160"/>
      <c r="D62" s="44"/>
      <c r="E62" s="110">
        <f t="shared" si="0"/>
        <v>130000</v>
      </c>
      <c r="F62" s="110"/>
    </row>
    <row r="63" spans="1:6" x14ac:dyDescent="0.55000000000000004">
      <c r="A63" s="42">
        <v>54455</v>
      </c>
      <c r="B63" s="160">
        <f t="shared" si="1"/>
        <v>1950</v>
      </c>
      <c r="C63" s="160"/>
      <c r="D63" s="43">
        <v>90000</v>
      </c>
      <c r="E63" s="110">
        <f t="shared" si="0"/>
        <v>40000</v>
      </c>
      <c r="F63" s="110"/>
    </row>
    <row r="64" spans="1:6" x14ac:dyDescent="0.55000000000000004">
      <c r="A64" s="42">
        <v>54636</v>
      </c>
      <c r="B64" s="160">
        <f t="shared" si="1"/>
        <v>600</v>
      </c>
      <c r="C64" s="160"/>
      <c r="D64" s="44"/>
      <c r="E64" s="110">
        <f t="shared" si="0"/>
        <v>40000</v>
      </c>
      <c r="F64" s="110"/>
    </row>
    <row r="65" spans="1:6" x14ac:dyDescent="0.55000000000000004">
      <c r="A65" s="42">
        <v>54820</v>
      </c>
      <c r="B65" s="160">
        <f t="shared" si="1"/>
        <v>600</v>
      </c>
      <c r="C65" s="160"/>
      <c r="D65" s="43">
        <v>40000</v>
      </c>
      <c r="E65" s="110">
        <f t="shared" si="0"/>
        <v>0</v>
      </c>
      <c r="F65" s="110"/>
    </row>
    <row r="66" spans="1:6" x14ac:dyDescent="0.55000000000000004">
      <c r="A66" s="42"/>
      <c r="B66" s="166"/>
    </row>
    <row r="67" spans="1:6" x14ac:dyDescent="0.55000000000000004">
      <c r="A67" s="42"/>
    </row>
    <row r="68" spans="1:6" x14ac:dyDescent="0.55000000000000004">
      <c r="A68" s="42"/>
    </row>
    <row r="69" spans="1:6" x14ac:dyDescent="0.55000000000000004">
      <c r="A69" s="42"/>
    </row>
    <row r="70" spans="1:6" x14ac:dyDescent="0.55000000000000004">
      <c r="A70" s="42"/>
    </row>
    <row r="71" spans="1:6" x14ac:dyDescent="0.55000000000000004">
      <c r="A71" s="42"/>
    </row>
    <row r="72" spans="1:6" x14ac:dyDescent="0.55000000000000004">
      <c r="A72" s="42"/>
    </row>
    <row r="73" spans="1:6" x14ac:dyDescent="0.55000000000000004">
      <c r="A73" s="42"/>
    </row>
    <row r="74" spans="1:6" x14ac:dyDescent="0.55000000000000004">
      <c r="A74" s="42"/>
    </row>
    <row r="75" spans="1:6" x14ac:dyDescent="0.55000000000000004">
      <c r="A75" s="42"/>
    </row>
    <row r="76" spans="1:6" x14ac:dyDescent="0.55000000000000004">
      <c r="A76" s="42"/>
    </row>
    <row r="77" spans="1:6" x14ac:dyDescent="0.55000000000000004">
      <c r="A77" s="42"/>
    </row>
    <row r="78" spans="1:6" x14ac:dyDescent="0.55000000000000004">
      <c r="A78" s="42"/>
    </row>
    <row r="79" spans="1:6" x14ac:dyDescent="0.55000000000000004">
      <c r="A79" s="42"/>
    </row>
    <row r="80" spans="1:6" x14ac:dyDescent="0.55000000000000004">
      <c r="A80" s="42"/>
    </row>
    <row r="81" spans="1:1" x14ac:dyDescent="0.55000000000000004">
      <c r="A81" s="42"/>
    </row>
    <row r="82" spans="1:1" x14ac:dyDescent="0.55000000000000004">
      <c r="A82" s="42"/>
    </row>
    <row r="83" spans="1:1" x14ac:dyDescent="0.55000000000000004">
      <c r="A83" s="42"/>
    </row>
    <row r="84" spans="1:1" x14ac:dyDescent="0.55000000000000004">
      <c r="A84" s="42"/>
    </row>
    <row r="85" spans="1:1" x14ac:dyDescent="0.55000000000000004">
      <c r="A85" s="42"/>
    </row>
    <row r="86" spans="1:1" x14ac:dyDescent="0.55000000000000004">
      <c r="A86" s="42"/>
    </row>
    <row r="87" spans="1:1" x14ac:dyDescent="0.55000000000000004">
      <c r="A87" s="42"/>
    </row>
    <row r="88" spans="1:1" x14ac:dyDescent="0.55000000000000004">
      <c r="A88" s="42"/>
    </row>
    <row r="89" spans="1:1" x14ac:dyDescent="0.55000000000000004">
      <c r="A89" s="42"/>
    </row>
    <row r="90" spans="1:1" x14ac:dyDescent="0.55000000000000004">
      <c r="A90" s="42"/>
    </row>
    <row r="91" spans="1:1" x14ac:dyDescent="0.55000000000000004">
      <c r="A91" s="42"/>
    </row>
    <row r="92" spans="1:1" x14ac:dyDescent="0.55000000000000004">
      <c r="A92" s="42"/>
    </row>
    <row r="93" spans="1:1" x14ac:dyDescent="0.55000000000000004">
      <c r="A93" s="42"/>
    </row>
    <row r="94" spans="1:1" x14ac:dyDescent="0.55000000000000004">
      <c r="A94" s="42"/>
    </row>
    <row r="95" spans="1:1" x14ac:dyDescent="0.55000000000000004">
      <c r="A95" s="42"/>
    </row>
    <row r="96" spans="1:1" x14ac:dyDescent="0.55000000000000004">
      <c r="A96" s="42"/>
    </row>
    <row r="97" spans="1:1" x14ac:dyDescent="0.55000000000000004">
      <c r="A97" s="42"/>
    </row>
  </sheetData>
  <mergeCells count="11">
    <mergeCell ref="A5:C5"/>
    <mergeCell ref="D5:E5"/>
    <mergeCell ref="A6:G6"/>
    <mergeCell ref="A7:G7"/>
    <mergeCell ref="B8:C8"/>
    <mergeCell ref="A1:G1"/>
    <mergeCell ref="A2:G2"/>
    <mergeCell ref="A3:C3"/>
    <mergeCell ref="D3:E3"/>
    <mergeCell ref="A4:C4"/>
    <mergeCell ref="D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20AE-EF02-4386-9EA5-5ECE56D74C5B}">
  <dimension ref="E5:G38"/>
  <sheetViews>
    <sheetView workbookViewId="0">
      <selection activeCell="B3" sqref="B3"/>
    </sheetView>
  </sheetViews>
  <sheetFormatPr defaultRowHeight="14.4" x14ac:dyDescent="0.55000000000000004"/>
  <cols>
    <col min="6" max="6" width="11.578125" bestFit="1" customWidth="1"/>
    <col min="7" max="7" width="9.578125" bestFit="1" customWidth="1"/>
  </cols>
  <sheetData>
    <row r="5" spans="5:7" x14ac:dyDescent="0.55000000000000004">
      <c r="F5" s="170"/>
      <c r="G5" s="170"/>
    </row>
    <row r="6" spans="5:7" x14ac:dyDescent="0.55000000000000004">
      <c r="E6" t="s">
        <v>41</v>
      </c>
      <c r="F6" s="170">
        <v>5408.4418604651164</v>
      </c>
    </row>
    <row r="7" spans="5:7" x14ac:dyDescent="0.55000000000000004">
      <c r="E7" t="s">
        <v>42</v>
      </c>
      <c r="F7" s="170">
        <v>5408.4418604651164</v>
      </c>
    </row>
    <row r="8" spans="5:7" x14ac:dyDescent="0.55000000000000004">
      <c r="E8" t="s">
        <v>43</v>
      </c>
      <c r="F8" s="170">
        <v>5408.4418604651164</v>
      </c>
    </row>
    <row r="9" spans="5:7" x14ac:dyDescent="0.55000000000000004">
      <c r="E9" t="s">
        <v>44</v>
      </c>
      <c r="F9" s="170">
        <v>5408.4418604651164</v>
      </c>
    </row>
    <row r="10" spans="5:7" x14ac:dyDescent="0.55000000000000004">
      <c r="E10" t="s">
        <v>45</v>
      </c>
      <c r="F10" s="170">
        <v>5408.4418604651164</v>
      </c>
    </row>
    <row r="11" spans="5:7" x14ac:dyDescent="0.55000000000000004">
      <c r="E11" t="s">
        <v>46</v>
      </c>
      <c r="F11" s="170">
        <v>5408.4418604651164</v>
      </c>
    </row>
    <row r="12" spans="5:7" x14ac:dyDescent="0.55000000000000004">
      <c r="E12" t="s">
        <v>47</v>
      </c>
      <c r="F12" s="170">
        <v>5408.4418604651164</v>
      </c>
    </row>
    <row r="13" spans="5:7" x14ac:dyDescent="0.55000000000000004">
      <c r="E13" t="s">
        <v>48</v>
      </c>
      <c r="F13" s="170">
        <v>5408.4418604651164</v>
      </c>
    </row>
    <row r="14" spans="5:7" x14ac:dyDescent="0.55000000000000004">
      <c r="E14" t="s">
        <v>49</v>
      </c>
      <c r="F14" s="170">
        <v>5408.4418604651164</v>
      </c>
    </row>
    <row r="15" spans="5:7" x14ac:dyDescent="0.55000000000000004">
      <c r="E15" t="s">
        <v>50</v>
      </c>
      <c r="F15" s="170">
        <v>5408.4418604651164</v>
      </c>
    </row>
    <row r="16" spans="5:7" x14ac:dyDescent="0.55000000000000004">
      <c r="E16" t="s">
        <v>51</v>
      </c>
      <c r="F16" s="170">
        <v>5408.4418604651164</v>
      </c>
    </row>
    <row r="17" spans="5:6" x14ac:dyDescent="0.55000000000000004">
      <c r="E17" t="s">
        <v>52</v>
      </c>
      <c r="F17" s="170">
        <v>5408.4418604651164</v>
      </c>
    </row>
    <row r="18" spans="5:6" x14ac:dyDescent="0.55000000000000004">
      <c r="E18" t="s">
        <v>53</v>
      </c>
      <c r="F18" s="170">
        <v>5408.4418604651164</v>
      </c>
    </row>
    <row r="19" spans="5:6" x14ac:dyDescent="0.55000000000000004">
      <c r="E19" t="s">
        <v>54</v>
      </c>
      <c r="F19" s="170">
        <v>5408.4418604651164</v>
      </c>
    </row>
    <row r="20" spans="5:6" x14ac:dyDescent="0.55000000000000004">
      <c r="E20" t="s">
        <v>55</v>
      </c>
      <c r="F20" s="170">
        <v>5408.4418604651164</v>
      </c>
    </row>
    <row r="21" spans="5:6" x14ac:dyDescent="0.55000000000000004">
      <c r="E21" t="s">
        <v>56</v>
      </c>
      <c r="F21" s="170">
        <v>5408.4418604651164</v>
      </c>
    </row>
    <row r="22" spans="5:6" x14ac:dyDescent="0.55000000000000004">
      <c r="E22" t="s">
        <v>57</v>
      </c>
      <c r="F22" s="170">
        <v>5408.4418604651164</v>
      </c>
    </row>
    <row r="23" spans="5:6" x14ac:dyDescent="0.55000000000000004">
      <c r="E23" t="s">
        <v>58</v>
      </c>
      <c r="F23" s="170">
        <v>5408.4418604651164</v>
      </c>
    </row>
    <row r="24" spans="5:6" x14ac:dyDescent="0.55000000000000004">
      <c r="E24" t="s">
        <v>59</v>
      </c>
      <c r="F24" s="170">
        <v>5408.4418604651164</v>
      </c>
    </row>
    <row r="25" spans="5:6" x14ac:dyDescent="0.55000000000000004">
      <c r="E25" t="s">
        <v>60</v>
      </c>
      <c r="F25" s="170">
        <v>5408.4418604651164</v>
      </c>
    </row>
    <row r="26" spans="5:6" x14ac:dyDescent="0.55000000000000004">
      <c r="E26" t="s">
        <v>61</v>
      </c>
      <c r="F26" s="170">
        <v>5408.4418604651164</v>
      </c>
    </row>
    <row r="27" spans="5:6" x14ac:dyDescent="0.55000000000000004">
      <c r="E27" t="s">
        <v>62</v>
      </c>
      <c r="F27" s="170">
        <v>5408.4418604651164</v>
      </c>
    </row>
    <row r="28" spans="5:6" x14ac:dyDescent="0.55000000000000004">
      <c r="E28" t="s">
        <v>63</v>
      </c>
      <c r="F28" s="170">
        <v>5408.4418604651164</v>
      </c>
    </row>
    <row r="29" spans="5:6" x14ac:dyDescent="0.55000000000000004">
      <c r="E29" t="s">
        <v>64</v>
      </c>
      <c r="F29" s="170">
        <v>5408.4418604651164</v>
      </c>
    </row>
    <row r="30" spans="5:6" x14ac:dyDescent="0.55000000000000004">
      <c r="E30" t="s">
        <v>65</v>
      </c>
      <c r="F30" s="170">
        <v>5408.4418604651164</v>
      </c>
    </row>
    <row r="31" spans="5:6" x14ac:dyDescent="0.55000000000000004">
      <c r="E31" t="s">
        <v>66</v>
      </c>
      <c r="F31" s="170">
        <v>5408.4418604651164</v>
      </c>
    </row>
    <row r="32" spans="5:6" x14ac:dyDescent="0.55000000000000004">
      <c r="E32" t="s">
        <v>67</v>
      </c>
      <c r="F32" s="170">
        <v>5408.4418604651164</v>
      </c>
    </row>
    <row r="33" spans="5:7" ht="16.2" x14ac:dyDescent="0.85">
      <c r="E33" t="s">
        <v>68</v>
      </c>
      <c r="F33" s="171">
        <v>5408.4418604651164</v>
      </c>
    </row>
    <row r="34" spans="5:7" x14ac:dyDescent="0.55000000000000004">
      <c r="F34" s="170"/>
      <c r="G34" s="170"/>
    </row>
    <row r="35" spans="5:7" x14ac:dyDescent="0.55000000000000004">
      <c r="F35" s="170"/>
      <c r="G35" s="170"/>
    </row>
    <row r="36" spans="5:7" x14ac:dyDescent="0.55000000000000004">
      <c r="F36" s="170"/>
      <c r="G36" s="170"/>
    </row>
    <row r="37" spans="5:7" x14ac:dyDescent="0.55000000000000004">
      <c r="F37" s="170"/>
      <c r="G37" s="170"/>
    </row>
    <row r="38" spans="5:7" x14ac:dyDescent="0.55000000000000004">
      <c r="F38" s="170"/>
      <c r="G38" s="170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688CD-8CE2-48BF-AA47-77260FE18175}">
  <dimension ref="B3:Q55"/>
  <sheetViews>
    <sheetView topLeftCell="A6" workbookViewId="0">
      <selection activeCell="D9" sqref="D9"/>
    </sheetView>
  </sheetViews>
  <sheetFormatPr defaultRowHeight="14.4" x14ac:dyDescent="0.55000000000000004"/>
  <cols>
    <col min="2" max="2" width="9.15625"/>
    <col min="3" max="3" width="13.68359375" customWidth="1"/>
    <col min="4" max="4" width="13.41796875" customWidth="1"/>
    <col min="5" max="5" width="10.41796875" customWidth="1"/>
    <col min="6" max="6" width="12.15625" customWidth="1"/>
    <col min="7" max="7" width="14.83984375" customWidth="1"/>
    <col min="10" max="10" width="15.26171875" customWidth="1"/>
    <col min="11" max="11" width="13.578125" customWidth="1"/>
    <col min="12" max="12" width="15" customWidth="1"/>
    <col min="13" max="13" width="13.26171875" customWidth="1"/>
    <col min="14" max="14" width="16.83984375" customWidth="1"/>
  </cols>
  <sheetData>
    <row r="3" spans="2:17" x14ac:dyDescent="0.55000000000000004">
      <c r="B3" s="215" t="s">
        <v>69</v>
      </c>
      <c r="C3" s="215"/>
      <c r="D3" s="215"/>
      <c r="E3" s="215"/>
      <c r="F3" s="215"/>
      <c r="G3" s="215"/>
      <c r="I3" s="215" t="s">
        <v>70</v>
      </c>
      <c r="J3" s="215"/>
      <c r="K3" s="215"/>
      <c r="L3" s="215"/>
      <c r="M3" s="215"/>
      <c r="N3" s="215"/>
      <c r="P3" s="216" t="s">
        <v>27</v>
      </c>
      <c r="Q3" s="217"/>
    </row>
    <row r="4" spans="2:17" x14ac:dyDescent="0.55000000000000004">
      <c r="B4" s="112"/>
      <c r="C4" s="112" t="s">
        <v>71</v>
      </c>
      <c r="D4" s="112" t="s">
        <v>22</v>
      </c>
      <c r="E4" s="112" t="s">
        <v>23</v>
      </c>
      <c r="F4" s="112" t="s">
        <v>72</v>
      </c>
      <c r="G4" s="112" t="s">
        <v>73</v>
      </c>
      <c r="I4" s="112"/>
      <c r="J4" s="112" t="s">
        <v>71</v>
      </c>
      <c r="K4" s="112" t="s">
        <v>22</v>
      </c>
      <c r="L4" s="112" t="s">
        <v>23</v>
      </c>
      <c r="M4" s="112" t="s">
        <v>72</v>
      </c>
      <c r="N4" s="112" t="s">
        <v>73</v>
      </c>
      <c r="P4" s="151"/>
      <c r="Q4" s="152"/>
    </row>
    <row r="5" spans="2:17" x14ac:dyDescent="0.55000000000000004">
      <c r="B5" s="112"/>
      <c r="C5" s="94"/>
      <c r="D5" s="94"/>
      <c r="E5" s="94"/>
      <c r="F5" s="94"/>
      <c r="G5" s="94"/>
      <c r="I5" s="112"/>
      <c r="J5" s="94"/>
      <c r="K5" s="94"/>
      <c r="L5" s="94"/>
      <c r="M5" s="94"/>
      <c r="N5" s="94"/>
      <c r="P5" s="218">
        <f>'KIA F08-02'!L42+'KIA F03-05'!L52+'KIA C98-05'!K217+'RD 91-06'!G16+KRWA!G49+'RD 91-07'!G9+'KLC 2021B'!G9</f>
        <v>46045.820050597256</v>
      </c>
      <c r="Q5" s="219"/>
    </row>
    <row r="6" spans="2:17" x14ac:dyDescent="0.55000000000000004">
      <c r="B6" s="113"/>
      <c r="C6" s="94"/>
      <c r="D6" s="94"/>
      <c r="E6" s="94"/>
      <c r="F6" s="94"/>
      <c r="G6" s="94"/>
      <c r="I6" s="113"/>
      <c r="J6" s="94"/>
      <c r="K6" s="94"/>
      <c r="L6" s="94"/>
      <c r="M6" s="94"/>
      <c r="N6" s="94"/>
      <c r="P6" s="145"/>
      <c r="Q6" s="145"/>
    </row>
    <row r="7" spans="2:17" x14ac:dyDescent="0.55000000000000004">
      <c r="B7" s="113"/>
      <c r="C7" s="94"/>
      <c r="D7" s="94"/>
      <c r="E7" s="94"/>
      <c r="F7" s="94"/>
      <c r="G7" s="94"/>
      <c r="I7" s="113"/>
      <c r="J7" s="94"/>
      <c r="K7" s="94"/>
      <c r="L7" s="94"/>
      <c r="M7" s="94"/>
      <c r="N7" s="94"/>
    </row>
    <row r="8" spans="2:17" x14ac:dyDescent="0.55000000000000004">
      <c r="B8" s="113"/>
      <c r="C8" s="94"/>
      <c r="D8" s="94"/>
      <c r="E8" s="94"/>
      <c r="F8" s="94"/>
      <c r="G8" s="94">
        <f>6658106</f>
        <v>6658106</v>
      </c>
      <c r="I8" s="113"/>
      <c r="J8" s="94"/>
      <c r="K8" s="94"/>
      <c r="L8" s="94"/>
      <c r="M8" s="94"/>
      <c r="N8" s="94">
        <v>436303</v>
      </c>
    </row>
    <row r="9" spans="2:17" x14ac:dyDescent="0.55000000000000004">
      <c r="B9" s="113">
        <v>2022</v>
      </c>
      <c r="C9" s="94">
        <f t="shared" ref="C9:C32" si="0">+G8</f>
        <v>6658106</v>
      </c>
      <c r="D9" s="94">
        <f>'RD 91-06'!J20+KRWA!L51+'RD 91-07'!K12+'KLC 2021B'!I12+Premium!F6</f>
        <v>87408.441860465115</v>
      </c>
      <c r="E9" s="94">
        <f>'RD 91-06'!K20+KRWA!M51+'RD 91-07'!L12+'KLC 2021B'!J12</f>
        <v>131615.40625</v>
      </c>
      <c r="F9" s="94">
        <f>+D9+E9</f>
        <v>219023.8481104651</v>
      </c>
      <c r="G9" s="94">
        <f>+C9-D9</f>
        <v>6570697.5581395347</v>
      </c>
      <c r="I9" s="113">
        <v>2022</v>
      </c>
      <c r="J9" s="94">
        <f t="shared" ref="J9:J17" si="1">+N8</f>
        <v>436303</v>
      </c>
      <c r="K9" s="94">
        <f>+SUM('KIA C98-05'!G217:G222)+'KIA F08-02'!K43+'KIA F03-05'!K53</f>
        <v>69341.060235334618</v>
      </c>
      <c r="L9" s="94">
        <f>+'KIA F08-02'!H42+'KIA F08-02'!H43+'KIA F03-05'!H52+'KIA F03-05'!H53+SUM('KIA C98-05'!C217:E222)+'KIA F08-02'!E42+'KIA F08-02'!E43+'KIA F03-05'!E52+'KIA F03-05'!E53</f>
        <v>13739.701411720822</v>
      </c>
      <c r="M9" s="94">
        <f t="shared" ref="M9:M16" si="2">+K9+L9</f>
        <v>83080.761647055435</v>
      </c>
      <c r="N9" s="94">
        <f t="shared" ref="N9:N16" si="3">+J9-K9</f>
        <v>366961.93976466538</v>
      </c>
    </row>
    <row r="10" spans="2:17" x14ac:dyDescent="0.55000000000000004">
      <c r="B10" s="113">
        <v>2023</v>
      </c>
      <c r="C10" s="94">
        <f t="shared" si="0"/>
        <v>6570697.5581395347</v>
      </c>
      <c r="D10" s="94">
        <f>'RD 91-06'!J21+KRWA!L52+'RD 91-07'!K13+'KLC 2021B'!I13+Premium!F7</f>
        <v>191908.44186046513</v>
      </c>
      <c r="E10" s="94">
        <f>'RD 91-06'!K21+KRWA!M52+'RD 91-07'!L13+'KLC 2021B'!J13</f>
        <v>158443.75</v>
      </c>
      <c r="F10" s="94">
        <f t="shared" ref="F10:F32" si="4">+D10+E10</f>
        <v>350352.1918604651</v>
      </c>
      <c r="G10" s="94">
        <f t="shared" ref="G10:G44" si="5">+C10-D10</f>
        <v>6378789.1162790693</v>
      </c>
      <c r="I10" s="113">
        <v>2023</v>
      </c>
      <c r="J10" s="94">
        <f t="shared" si="1"/>
        <v>366961.93976466538</v>
      </c>
      <c r="K10" s="94">
        <f>+'KIA F08-02'!K45+'KIA F03-05'!K55</f>
        <v>66285.727571947617</v>
      </c>
      <c r="L10" s="94">
        <f>+'KIA F08-02'!H44+'KIA F08-02'!H45+'KIA F03-05'!H54+'KIA F03-05'!H55+'KIA F08-02'!E44+'KIA F08-02'!E45+'KIA F03-05'!E54+'KIA F03-05'!E55</f>
        <v>11391.675130390086</v>
      </c>
      <c r="M10" s="94">
        <f t="shared" si="2"/>
        <v>77677.402702337698</v>
      </c>
      <c r="N10" s="94">
        <f t="shared" si="3"/>
        <v>300676.21219271776</v>
      </c>
    </row>
    <row r="11" spans="2:17" x14ac:dyDescent="0.55000000000000004">
      <c r="B11" s="113">
        <v>2024</v>
      </c>
      <c r="C11" s="94">
        <f t="shared" si="0"/>
        <v>6378789.1162790693</v>
      </c>
      <c r="D11" s="94">
        <f>'RD 91-06'!J22+KRWA!L53+'RD 91-07'!K14+'KLC 2021B'!I14+Premium!F8</f>
        <v>153408.44186046513</v>
      </c>
      <c r="E11" s="94">
        <f>'RD 91-06'!K22+KRWA!M53+'RD 91-07'!L14+'KLC 2021B'!J14</f>
        <v>153434.9375</v>
      </c>
      <c r="F11" s="94">
        <f t="shared" si="4"/>
        <v>306843.3793604651</v>
      </c>
      <c r="G11" s="94">
        <f t="shared" si="5"/>
        <v>6225380.674418604</v>
      </c>
      <c r="I11" s="113">
        <v>2024</v>
      </c>
      <c r="J11" s="94">
        <f t="shared" si="1"/>
        <v>300676.21219271776</v>
      </c>
      <c r="K11" s="94">
        <f>+'KIA F08-02'!K47+'KIA F03-05'!K57</f>
        <v>68289.213687809737</v>
      </c>
      <c r="L11" s="94">
        <f>+'KIA F08-02'!H46+'KIA F08-02'!H47+'KIA F03-05'!H56+'KIA F03-05'!H57+'KIA F08-02'!E46+'KIA F08-02'!E47+'KIA F03-05'!E56+'KIA F03-05'!E57</f>
        <v>9221.2318382061239</v>
      </c>
      <c r="M11" s="94">
        <f t="shared" si="2"/>
        <v>77510.445526015857</v>
      </c>
      <c r="N11" s="94">
        <f t="shared" si="3"/>
        <v>232386.99850490803</v>
      </c>
    </row>
    <row r="12" spans="2:17" x14ac:dyDescent="0.55000000000000004">
      <c r="B12" s="113">
        <v>2025</v>
      </c>
      <c r="C12" s="94">
        <f t="shared" si="0"/>
        <v>6225380.674418604</v>
      </c>
      <c r="D12" s="94">
        <f>'RD 91-06'!J23+KRWA!L54+'RD 91-07'!K15+'KLC 2021B'!I15+Premium!F9</f>
        <v>151408.44186046513</v>
      </c>
      <c r="E12" s="94">
        <f>'RD 91-06'!K23+KRWA!M54+'RD 91-07'!L15+'KLC 2021B'!J15</f>
        <v>149571.3125</v>
      </c>
      <c r="F12" s="94">
        <f t="shared" si="4"/>
        <v>300979.7543604651</v>
      </c>
      <c r="G12" s="94">
        <f t="shared" si="5"/>
        <v>6073972.2325581387</v>
      </c>
      <c r="I12" s="113">
        <v>2025</v>
      </c>
      <c r="J12" s="94">
        <f t="shared" si="1"/>
        <v>232386.99850490803</v>
      </c>
      <c r="K12" s="94">
        <f>+'KIA F08-02'!K49</f>
        <v>43751.30260453235</v>
      </c>
      <c r="L12" s="94">
        <f>+'KIA F08-02'!H48+'KIA F08-02'!H49+'KIA F08-02'!E48+'KIA F08-02'!E49</f>
        <v>7199.7221784232879</v>
      </c>
      <c r="M12" s="94">
        <f t="shared" si="2"/>
        <v>50951.024782955639</v>
      </c>
      <c r="N12" s="94">
        <f t="shared" si="3"/>
        <v>188635.69590037566</v>
      </c>
    </row>
    <row r="13" spans="2:17" x14ac:dyDescent="0.55000000000000004">
      <c r="B13" s="113">
        <v>2026</v>
      </c>
      <c r="C13" s="94">
        <f t="shared" si="0"/>
        <v>6073972.2325581387</v>
      </c>
      <c r="D13" s="94">
        <f>'RD 91-06'!J24+KRWA!L55+'RD 91-07'!K16+'KLC 2021B'!I16+Premium!F10</f>
        <v>158408.44186046513</v>
      </c>
      <c r="E13" s="94">
        <f>'RD 91-06'!K24+KRWA!M55+'RD 91-07'!L16+'KLC 2021B'!J16</f>
        <v>145689.4375</v>
      </c>
      <c r="F13" s="94">
        <f t="shared" si="4"/>
        <v>304097.8793604651</v>
      </c>
      <c r="G13" s="94">
        <f t="shared" si="5"/>
        <v>5915563.7906976733</v>
      </c>
      <c r="I13" s="113">
        <v>2026</v>
      </c>
      <c r="J13" s="94">
        <f t="shared" si="1"/>
        <v>188635.69590037566</v>
      </c>
      <c r="K13" s="94">
        <f>+'KIA F08-02'!K51</f>
        <v>45073.685725754331</v>
      </c>
      <c r="L13" s="94">
        <f>+'KIA F08-02'!H50+'KIA F08-02'!H51+'KIA F08-02'!E50+'KIA F08-02'!E51</f>
        <v>5767.1404637661308</v>
      </c>
      <c r="M13" s="94">
        <f t="shared" si="2"/>
        <v>50840.826189520463</v>
      </c>
      <c r="N13" s="94">
        <f t="shared" si="3"/>
        <v>143562.01017462133</v>
      </c>
    </row>
    <row r="14" spans="2:17" x14ac:dyDescent="0.55000000000000004">
      <c r="B14" s="113">
        <v>2027</v>
      </c>
      <c r="C14" s="94">
        <f t="shared" si="0"/>
        <v>5915563.7906976733</v>
      </c>
      <c r="D14" s="94">
        <f>'RD 91-06'!J25+KRWA!L56+'RD 91-07'!K17+'KLC 2021B'!I17+Premium!F11</f>
        <v>160408.44186046513</v>
      </c>
      <c r="E14" s="94">
        <f>'RD 91-06'!K25+KRWA!M56+'RD 91-07'!L17+'KLC 2021B'!J17</f>
        <v>141686.3125</v>
      </c>
      <c r="F14" s="94">
        <f t="shared" si="4"/>
        <v>302094.7543604651</v>
      </c>
      <c r="G14" s="94">
        <f t="shared" si="5"/>
        <v>5755155.348837208</v>
      </c>
      <c r="I14" s="113">
        <v>2027</v>
      </c>
      <c r="J14" s="94">
        <f t="shared" si="1"/>
        <v>143562.01017462133</v>
      </c>
      <c r="K14" s="94">
        <f>+'KIA F08-02'!K53</f>
        <v>46436.037876815266</v>
      </c>
      <c r="L14" s="94">
        <f>+'KIA F08-02'!H52+'KIA F08-02'!H53+'KIA F08-02'!E52+'KIA F08-02'!E53</f>
        <v>4291.2589667834627</v>
      </c>
      <c r="M14" s="94">
        <f t="shared" si="2"/>
        <v>50727.296843598728</v>
      </c>
      <c r="N14" s="94">
        <f t="shared" si="3"/>
        <v>97125.97229780606</v>
      </c>
    </row>
    <row r="15" spans="2:17" x14ac:dyDescent="0.55000000000000004">
      <c r="B15" s="113">
        <v>2028</v>
      </c>
      <c r="C15" s="94">
        <f t="shared" si="0"/>
        <v>5755155.348837208</v>
      </c>
      <c r="D15" s="94">
        <f>'RD 91-06'!J26+KRWA!L57+'RD 91-07'!K18+'KLC 2021B'!I18+Premium!F12</f>
        <v>161908.44186046513</v>
      </c>
      <c r="E15" s="94">
        <f>'RD 91-06'!K26+KRWA!M57+'RD 91-07'!L18+'KLC 2021B'!J18</f>
        <v>137641.625</v>
      </c>
      <c r="F15" s="94">
        <f t="shared" si="4"/>
        <v>299550.0668604651</v>
      </c>
      <c r="G15" s="94">
        <f t="shared" si="5"/>
        <v>5593246.9069767427</v>
      </c>
      <c r="I15" s="113">
        <v>2028</v>
      </c>
      <c r="J15" s="94">
        <f t="shared" si="1"/>
        <v>97125.97229780606</v>
      </c>
      <c r="K15" s="94">
        <f>+'KIA F08-02'!K55</f>
        <v>47839.567121642001</v>
      </c>
      <c r="L15" s="94">
        <f>+'KIA F08-02'!H54+'KIA F08-02'!H55+'KIA F08-02'!E54+'KIA F08-02'!E55</f>
        <v>2770.768951554493</v>
      </c>
      <c r="M15" s="94">
        <f t="shared" si="2"/>
        <v>50610.336073196493</v>
      </c>
      <c r="N15" s="94">
        <f t="shared" si="3"/>
        <v>49286.405176164059</v>
      </c>
    </row>
    <row r="16" spans="2:17" x14ac:dyDescent="0.55000000000000004">
      <c r="B16" s="113">
        <v>2029</v>
      </c>
      <c r="C16" s="94">
        <f t="shared" si="0"/>
        <v>5593246.9069767427</v>
      </c>
      <c r="D16" s="94">
        <f>'RD 91-06'!J27+KRWA!L58+'RD 91-07'!K19+'KLC 2021B'!I19+Premium!F13</f>
        <v>168908.44186046513</v>
      </c>
      <c r="E16" s="94">
        <f>'RD 91-06'!K27+KRWA!M58+'RD 91-07'!L19+'KLC 2021B'!J19</f>
        <v>133480.375</v>
      </c>
      <c r="F16" s="94">
        <f t="shared" si="4"/>
        <v>302388.8168604651</v>
      </c>
      <c r="G16" s="94">
        <f t="shared" si="5"/>
        <v>5424338.4651162773</v>
      </c>
      <c r="I16" s="113">
        <v>2029</v>
      </c>
      <c r="J16" s="94">
        <f t="shared" si="1"/>
        <v>49286.405176164059</v>
      </c>
      <c r="K16" s="94">
        <f>+'KIA F08-02'!K57</f>
        <v>49285.518037893635</v>
      </c>
      <c r="L16" s="94">
        <f>+'KIA F08-02'!H56+'KIA F08-02'!H57+'KIA F08-02'!E56+'KIA F08-02'!E57</f>
        <v>1204.3221256152276</v>
      </c>
      <c r="M16" s="94">
        <f t="shared" si="2"/>
        <v>50489.840163508859</v>
      </c>
      <c r="N16" s="94">
        <f t="shared" si="3"/>
        <v>0.8871382704237476</v>
      </c>
    </row>
    <row r="17" spans="2:14" x14ac:dyDescent="0.55000000000000004">
      <c r="B17" s="113">
        <v>2030</v>
      </c>
      <c r="C17" s="94">
        <f t="shared" si="0"/>
        <v>5424338.4651162773</v>
      </c>
      <c r="D17" s="94">
        <f>'RD 91-06'!J28+KRWA!L59+'RD 91-07'!K20+'KLC 2021B'!I20+Premium!F14</f>
        <v>175908.44186046513</v>
      </c>
      <c r="E17" s="94">
        <f>'RD 91-06'!K28+KRWA!M59+'RD 91-07'!L20+'KLC 2021B'!J20</f>
        <v>129122.875</v>
      </c>
      <c r="F17" s="94">
        <f t="shared" si="4"/>
        <v>305031.3168604651</v>
      </c>
      <c r="G17" s="94">
        <f t="shared" si="5"/>
        <v>5248430.023255812</v>
      </c>
      <c r="I17" s="113">
        <v>2030</v>
      </c>
      <c r="J17" s="94">
        <f t="shared" si="1"/>
        <v>0.8871382704237476</v>
      </c>
      <c r="K17" s="94"/>
      <c r="L17" s="94"/>
      <c r="M17" s="94"/>
      <c r="N17" s="94"/>
    </row>
    <row r="18" spans="2:14" x14ac:dyDescent="0.55000000000000004">
      <c r="B18" s="113">
        <v>2031</v>
      </c>
      <c r="C18" s="94">
        <f t="shared" si="0"/>
        <v>5248430.023255812</v>
      </c>
      <c r="D18" s="94">
        <f>'RD 91-06'!J29+KRWA!L60+'RD 91-07'!K21+'KLC 2021B'!I21+Premium!F15</f>
        <v>177908.44186046513</v>
      </c>
      <c r="E18" s="94">
        <f>'RD 91-06'!K29+KRWA!M60+'RD 91-07'!L21+'KLC 2021B'!J21</f>
        <v>124644.125</v>
      </c>
      <c r="F18" s="94">
        <f t="shared" si="4"/>
        <v>302552.5668604651</v>
      </c>
      <c r="G18" s="94">
        <f t="shared" si="5"/>
        <v>5070521.5813953467</v>
      </c>
      <c r="I18" s="95"/>
      <c r="J18" s="94"/>
      <c r="K18" s="94"/>
      <c r="L18" s="94"/>
      <c r="M18" s="94"/>
      <c r="N18" s="94"/>
    </row>
    <row r="19" spans="2:14" ht="14.7" thickBot="1" x14ac:dyDescent="0.6">
      <c r="B19" s="113">
        <v>2032</v>
      </c>
      <c r="C19" s="94">
        <f t="shared" si="0"/>
        <v>5070521.5813953467</v>
      </c>
      <c r="D19" s="94">
        <f>'RD 91-06'!J30+KRWA!L61+'RD 91-07'!K22+'KLC 2021B'!I22+Premium!F16</f>
        <v>185408.44186046513</v>
      </c>
      <c r="E19" s="94">
        <f>'RD 91-06'!K30+KRWA!M61+'RD 91-07'!L22+'KLC 2021B'!J22</f>
        <v>120037.25</v>
      </c>
      <c r="F19" s="94">
        <f t="shared" si="4"/>
        <v>305445.6918604651</v>
      </c>
      <c r="G19" s="94">
        <f t="shared" si="5"/>
        <v>4885113.1395348813</v>
      </c>
      <c r="I19" s="95"/>
      <c r="J19" s="94"/>
      <c r="K19" s="96">
        <f>SUM(K5:K18)</f>
        <v>436302.11286172952</v>
      </c>
      <c r="L19" s="96">
        <f>SUM(L5:L18)</f>
        <v>55585.821066459634</v>
      </c>
      <c r="M19" s="96">
        <f>SUM(M5:M18)</f>
        <v>491887.93392818916</v>
      </c>
      <c r="N19" s="97"/>
    </row>
    <row r="20" spans="2:14" ht="14.7" thickTop="1" x14ac:dyDescent="0.55000000000000004">
      <c r="B20" s="113">
        <v>2033</v>
      </c>
      <c r="C20" s="94">
        <f t="shared" si="0"/>
        <v>4885113.1395348813</v>
      </c>
      <c r="D20" s="94">
        <f>'RD 91-06'!J31+KRWA!L62+'RD 91-07'!K23+'KLC 2021B'!I23+Premium!F17</f>
        <v>157408.44186046513</v>
      </c>
      <c r="E20" s="94">
        <f>'RD 91-06'!K31+KRWA!M62+'RD 91-07'!L23+'KLC 2021B'!J23</f>
        <v>115752.25</v>
      </c>
      <c r="F20" s="94">
        <f t="shared" si="4"/>
        <v>273160.6918604651</v>
      </c>
      <c r="G20" s="94">
        <f t="shared" si="5"/>
        <v>4727704.697674416</v>
      </c>
      <c r="I20" s="95"/>
      <c r="J20" s="94"/>
      <c r="K20" s="98"/>
      <c r="L20" s="98"/>
      <c r="M20" s="98"/>
      <c r="N20" s="99"/>
    </row>
    <row r="21" spans="2:14" x14ac:dyDescent="0.55000000000000004">
      <c r="B21" s="113">
        <v>2034</v>
      </c>
      <c r="C21" s="94">
        <f t="shared" si="0"/>
        <v>4727704.697674416</v>
      </c>
      <c r="D21" s="94">
        <f>'RD 91-06'!J32+KRWA!L63+'RD 91-07'!K24+'KLC 2021B'!I24+Premium!F18</f>
        <v>164908.44186046513</v>
      </c>
      <c r="E21" s="94">
        <f>'RD 91-06'!K32+KRWA!M63+'RD 91-07'!L24+'KLC 2021B'!J24</f>
        <v>111789.125</v>
      </c>
      <c r="F21" s="94">
        <f t="shared" si="4"/>
        <v>276697.5668604651</v>
      </c>
      <c r="G21" s="94">
        <f t="shared" si="5"/>
        <v>4562796.2558139507</v>
      </c>
    </row>
    <row r="22" spans="2:14" x14ac:dyDescent="0.55000000000000004">
      <c r="B22" s="113">
        <v>2035</v>
      </c>
      <c r="C22" s="94">
        <f t="shared" si="0"/>
        <v>4562796.2558139507</v>
      </c>
      <c r="D22" s="94">
        <f>'RD 91-06'!J33+KRWA!L64+'RD 91-07'!K25+'KLC 2021B'!I25+Premium!F19</f>
        <v>166908.44186046513</v>
      </c>
      <c r="E22" s="94">
        <f>'RD 91-06'!K33+KRWA!M64+'RD 91-07'!L25+'KLC 2021B'!J25</f>
        <v>107697.875</v>
      </c>
      <c r="F22" s="94">
        <f t="shared" si="4"/>
        <v>274606.3168604651</v>
      </c>
      <c r="G22" s="94">
        <f t="shared" si="5"/>
        <v>4395887.8139534853</v>
      </c>
      <c r="I22" s="215"/>
      <c r="J22" s="215"/>
      <c r="K22" s="215"/>
      <c r="L22" s="215"/>
      <c r="M22" s="215"/>
      <c r="N22" s="215"/>
    </row>
    <row r="23" spans="2:14" x14ac:dyDescent="0.55000000000000004">
      <c r="B23" s="113">
        <v>2036</v>
      </c>
      <c r="C23" s="94">
        <f t="shared" si="0"/>
        <v>4395887.8139534853</v>
      </c>
      <c r="D23" s="94">
        <f>'RD 91-06'!J34+KRWA!L65+'RD 91-07'!K26+'KLC 2021B'!I26+Premium!F20</f>
        <v>174408.44186046513</v>
      </c>
      <c r="E23" s="94">
        <f>'RD 91-06'!K34+KRWA!M65+'RD 91-07'!L26+'KLC 2021B'!J26</f>
        <v>103478.5</v>
      </c>
      <c r="F23" s="94">
        <f t="shared" si="4"/>
        <v>277886.9418604651</v>
      </c>
      <c r="G23" s="94">
        <f t="shared" si="5"/>
        <v>4221479.37209302</v>
      </c>
      <c r="I23" s="114"/>
      <c r="J23" s="114" t="s">
        <v>74</v>
      </c>
      <c r="K23" s="114" t="s">
        <v>75</v>
      </c>
      <c r="L23" s="114" t="s">
        <v>23</v>
      </c>
      <c r="M23" s="114" t="s">
        <v>72</v>
      </c>
      <c r="N23" s="114"/>
    </row>
    <row r="24" spans="2:14" x14ac:dyDescent="0.55000000000000004">
      <c r="B24" s="113">
        <v>2037</v>
      </c>
      <c r="C24" s="94">
        <f t="shared" si="0"/>
        <v>4221479.37209302</v>
      </c>
      <c r="D24" s="94">
        <f>'RD 91-06'!J35+KRWA!L66+'RD 91-07'!K27+'KLC 2021B'!I27+Premium!F21</f>
        <v>176408.44186046513</v>
      </c>
      <c r="E24" s="94">
        <f>'RD 91-06'!K35+KRWA!M66+'RD 91-07'!L27+'KLC 2021B'!J27</f>
        <v>99131</v>
      </c>
      <c r="F24" s="94">
        <f t="shared" si="4"/>
        <v>275539.4418604651</v>
      </c>
      <c r="G24" s="94">
        <f t="shared" si="5"/>
        <v>4045070.9302325547</v>
      </c>
      <c r="I24" s="99"/>
      <c r="J24" s="99"/>
      <c r="K24" s="115"/>
      <c r="L24" s="115"/>
      <c r="M24" s="115"/>
      <c r="N24" s="115"/>
    </row>
    <row r="25" spans="2:14" x14ac:dyDescent="0.55000000000000004">
      <c r="B25" s="113">
        <v>2038</v>
      </c>
      <c r="C25" s="94">
        <f t="shared" si="0"/>
        <v>4045070.9302325547</v>
      </c>
      <c r="D25" s="94">
        <f>'RD 91-06'!J36+KRWA!L67+'RD 91-07'!K28+'KLC 2021B'!I28+Premium!F22</f>
        <v>178908.44186046513</v>
      </c>
      <c r="E25" s="94">
        <f>'RD 91-06'!K36+KRWA!M67+'RD 91-07'!L28+'KLC 2021B'!J28</f>
        <v>94730.375</v>
      </c>
      <c r="F25" s="94">
        <f t="shared" si="4"/>
        <v>273638.8168604651</v>
      </c>
      <c r="G25" s="94">
        <f t="shared" si="5"/>
        <v>3866162.4883720893</v>
      </c>
      <c r="I25" s="99"/>
      <c r="J25" s="99"/>
      <c r="K25" s="115"/>
      <c r="L25" s="115"/>
      <c r="M25" s="115"/>
      <c r="N25" s="115"/>
    </row>
    <row r="26" spans="2:14" x14ac:dyDescent="0.55000000000000004">
      <c r="B26" s="113">
        <v>2039</v>
      </c>
      <c r="C26" s="94">
        <f t="shared" si="0"/>
        <v>3866162.4883720893</v>
      </c>
      <c r="D26" s="94">
        <f>'RD 91-06'!J37+KRWA!L68+'RD 91-07'!K29+'KLC 2021B'!I29+Premium!F23</f>
        <v>186408.44186046513</v>
      </c>
      <c r="E26" s="94">
        <f>'RD 91-06'!K37+KRWA!M68+'RD 91-07'!L29+'KLC 2021B'!J29</f>
        <v>90194.75</v>
      </c>
      <c r="F26" s="94">
        <f t="shared" si="4"/>
        <v>276603.1918604651</v>
      </c>
      <c r="G26" s="94">
        <f t="shared" si="5"/>
        <v>3679754.046511624</v>
      </c>
      <c r="I26" s="116"/>
      <c r="J26" s="116">
        <v>2022</v>
      </c>
      <c r="K26" s="94">
        <f t="shared" ref="K26:L30" si="6">+K9</f>
        <v>69341.060235334618</v>
      </c>
      <c r="L26" s="94">
        <f t="shared" si="6"/>
        <v>13739.701411720822</v>
      </c>
      <c r="M26" s="94">
        <f t="shared" ref="M26:M31" si="7">+K26+L26</f>
        <v>83080.761647055435</v>
      </c>
      <c r="N26" s="94"/>
    </row>
    <row r="27" spans="2:14" x14ac:dyDescent="0.55000000000000004">
      <c r="B27" s="113">
        <v>2040</v>
      </c>
      <c r="C27" s="94">
        <f t="shared" si="0"/>
        <v>3679754.046511624</v>
      </c>
      <c r="D27" s="94">
        <f>'RD 91-06'!J38+KRWA!L69+'RD 91-07'!K30+'KLC 2021B'!I30+Premium!F24</f>
        <v>188908.44186046513</v>
      </c>
      <c r="E27" s="94">
        <f>'RD 91-06'!K38+KRWA!M69+'RD 91-07'!L30+'KLC 2021B'!J30</f>
        <v>85524.125</v>
      </c>
      <c r="F27" s="94">
        <f t="shared" si="4"/>
        <v>274432.5668604651</v>
      </c>
      <c r="G27" s="94">
        <f t="shared" si="5"/>
        <v>3490845.6046511587</v>
      </c>
      <c r="I27" s="116"/>
      <c r="J27" s="116">
        <v>2023</v>
      </c>
      <c r="K27" s="94">
        <f>+K10</f>
        <v>66285.727571947617</v>
      </c>
      <c r="L27" s="94">
        <f t="shared" si="6"/>
        <v>11391.675130390086</v>
      </c>
      <c r="M27" s="94">
        <f t="shared" si="7"/>
        <v>77677.402702337698</v>
      </c>
      <c r="N27" s="94"/>
    </row>
    <row r="28" spans="2:14" x14ac:dyDescent="0.55000000000000004">
      <c r="B28" s="113">
        <v>2041</v>
      </c>
      <c r="C28" s="94">
        <f t="shared" si="0"/>
        <v>3490845.6046511587</v>
      </c>
      <c r="D28" s="94">
        <f>'RD 91-06'!J39+KRWA!L70+'RD 91-07'!K31+'KLC 2021B'!I31+Premium!F25</f>
        <v>196408.44186046513</v>
      </c>
      <c r="E28" s="94">
        <f>'RD 91-06'!K39+KRWA!M70+'RD 91-07'!L31+'KLC 2021B'!J31</f>
        <v>80718.5</v>
      </c>
      <c r="F28" s="94">
        <f t="shared" si="4"/>
        <v>277126.9418604651</v>
      </c>
      <c r="G28" s="94">
        <f t="shared" si="5"/>
        <v>3294437.1627906933</v>
      </c>
      <c r="I28" s="116"/>
      <c r="J28" s="116">
        <v>2024</v>
      </c>
      <c r="K28" s="94">
        <f t="shared" si="6"/>
        <v>68289.213687809737</v>
      </c>
      <c r="L28" s="94">
        <f t="shared" si="6"/>
        <v>9221.2318382061239</v>
      </c>
      <c r="M28" s="94">
        <f t="shared" si="7"/>
        <v>77510.445526015857</v>
      </c>
      <c r="N28" s="94"/>
    </row>
    <row r="29" spans="2:14" x14ac:dyDescent="0.55000000000000004">
      <c r="B29" s="113">
        <v>2042</v>
      </c>
      <c r="C29" s="94">
        <f t="shared" si="0"/>
        <v>3294437.1627906933</v>
      </c>
      <c r="D29" s="94">
        <f>'RD 91-06'!J40+KRWA!L71+'RD 91-07'!K32+'KLC 2021B'!I32+Premium!F26</f>
        <v>199408.44186046513</v>
      </c>
      <c r="E29" s="94">
        <f>'RD 91-06'!K40+KRWA!M71+'RD 91-07'!L32+'KLC 2021B'!J32</f>
        <v>75773.1875</v>
      </c>
      <c r="F29" s="94">
        <f t="shared" si="4"/>
        <v>275181.6293604651</v>
      </c>
      <c r="G29" s="94">
        <f t="shared" si="5"/>
        <v>3095028.720930228</v>
      </c>
      <c r="I29" s="116"/>
      <c r="J29" s="116">
        <v>2025</v>
      </c>
      <c r="K29" s="94">
        <f t="shared" si="6"/>
        <v>43751.30260453235</v>
      </c>
      <c r="L29" s="94">
        <f t="shared" si="6"/>
        <v>7199.7221784232879</v>
      </c>
      <c r="M29" s="94">
        <f t="shared" si="7"/>
        <v>50951.024782955639</v>
      </c>
      <c r="N29" s="94"/>
    </row>
    <row r="30" spans="2:14" x14ac:dyDescent="0.55000000000000004">
      <c r="B30" s="113">
        <v>2043</v>
      </c>
      <c r="C30" s="94">
        <f t="shared" si="0"/>
        <v>3095028.720930228</v>
      </c>
      <c r="D30" s="94">
        <f>'RD 91-06'!J41+KRWA!L72+'RD 91-07'!K33+'KLC 2021B'!I33+Premium!F27</f>
        <v>206908.44186046513</v>
      </c>
      <c r="E30" s="94">
        <f>'RD 91-06'!K41+KRWA!M72+'RD 91-07'!L33+'KLC 2021B'!J33</f>
        <v>70688.1875</v>
      </c>
      <c r="F30" s="94">
        <f t="shared" si="4"/>
        <v>277596.6293604651</v>
      </c>
      <c r="G30" s="94">
        <f t="shared" si="5"/>
        <v>2888120.2790697627</v>
      </c>
      <c r="I30" s="116"/>
      <c r="J30" s="116">
        <v>2026</v>
      </c>
      <c r="K30" s="94">
        <f t="shared" si="6"/>
        <v>45073.685725754331</v>
      </c>
      <c r="L30" s="94">
        <f t="shared" si="6"/>
        <v>5767.1404637661308</v>
      </c>
      <c r="M30" s="94">
        <f t="shared" si="7"/>
        <v>50840.826189520463</v>
      </c>
      <c r="N30" s="94"/>
    </row>
    <row r="31" spans="2:14" x14ac:dyDescent="0.55000000000000004">
      <c r="B31" s="113">
        <v>2044</v>
      </c>
      <c r="C31" s="94">
        <f t="shared" si="0"/>
        <v>2888120.2790697627</v>
      </c>
      <c r="D31" s="94">
        <f>'RD 91-06'!J42+KRWA!L73+'RD 91-07'!K34+'KLC 2021B'!I34+Premium!F28</f>
        <v>214408.44186046513</v>
      </c>
      <c r="E31" s="94">
        <f>'RD 91-06'!K42+KRWA!M73+'RD 91-07'!L34+'KLC 2021B'!J34</f>
        <v>65393.1875</v>
      </c>
      <c r="F31" s="94">
        <f t="shared" si="4"/>
        <v>279801.6293604651</v>
      </c>
      <c r="G31" s="94">
        <f t="shared" si="5"/>
        <v>2673711.8372092973</v>
      </c>
      <c r="I31" s="116"/>
      <c r="J31" s="116" t="s">
        <v>76</v>
      </c>
      <c r="K31" s="94">
        <f>+SUM(K14:K16)</f>
        <v>143561.12303635091</v>
      </c>
      <c r="L31" s="94">
        <f t="shared" ref="L31" si="8">+SUM(L14:L16)</f>
        <v>8266.3500439531836</v>
      </c>
      <c r="M31" s="94">
        <f t="shared" si="7"/>
        <v>151827.4730803041</v>
      </c>
      <c r="N31" s="94"/>
    </row>
    <row r="32" spans="2:14" x14ac:dyDescent="0.55000000000000004">
      <c r="B32" s="113">
        <v>2045</v>
      </c>
      <c r="C32" s="94">
        <f t="shared" si="0"/>
        <v>2673711.8372092973</v>
      </c>
      <c r="D32" s="94">
        <f>'RD 91-06'!J43+KRWA!L74+'RD 91-07'!K35+'KLC 2021B'!I35+Premium!F29</f>
        <v>222908.44186046513</v>
      </c>
      <c r="E32" s="94">
        <f>'RD 91-06'!K43+KRWA!M74+'RD 91-07'!L35+'KLC 2021B'!J35</f>
        <v>59876.625</v>
      </c>
      <c r="F32" s="94">
        <f t="shared" si="4"/>
        <v>282785.0668604651</v>
      </c>
      <c r="G32" s="94">
        <f t="shared" si="5"/>
        <v>2450803.395348832</v>
      </c>
      <c r="I32" s="116"/>
      <c r="J32" s="117"/>
      <c r="K32" s="94"/>
      <c r="L32" s="94"/>
      <c r="M32" s="94"/>
      <c r="N32" s="156"/>
    </row>
    <row r="33" spans="2:16" ht="14.7" thickBot="1" x14ac:dyDescent="0.6">
      <c r="B33" s="113">
        <v>2046</v>
      </c>
      <c r="C33" s="94">
        <f t="shared" ref="C33:C44" si="9">+G32</f>
        <v>2450803.395348832</v>
      </c>
      <c r="D33" s="94">
        <f>'RD 91-06'!J44+KRWA!L75+'RD 91-07'!K36+'KLC 2021B'!I36+Premium!F30</f>
        <v>225408.44186046513</v>
      </c>
      <c r="E33" s="94">
        <f>'RD 91-06'!K44+KRWA!M75+'RD 91-07'!L36+'KLC 2021B'!J36</f>
        <v>54213.5</v>
      </c>
      <c r="F33" s="94">
        <f t="shared" ref="F33:F44" si="10">+D33+E33</f>
        <v>279621.9418604651</v>
      </c>
      <c r="G33" s="94">
        <f t="shared" si="5"/>
        <v>2225394.9534883667</v>
      </c>
      <c r="I33" s="116"/>
      <c r="J33" s="118"/>
      <c r="K33" s="119">
        <f>SUM(K26:K31)</f>
        <v>436302.11286172958</v>
      </c>
      <c r="L33" s="119">
        <f>SUM(L26:L32)</f>
        <v>55585.821066459641</v>
      </c>
      <c r="M33" s="119">
        <f>SUM(M26:M32)</f>
        <v>491887.93392818922</v>
      </c>
      <c r="N33" s="157"/>
    </row>
    <row r="34" spans="2:16" ht="14.7" thickTop="1" x14ac:dyDescent="0.55000000000000004">
      <c r="B34" s="113">
        <v>2047</v>
      </c>
      <c r="C34" s="94">
        <f t="shared" si="9"/>
        <v>2225394.9534883667</v>
      </c>
      <c r="D34" s="94">
        <f>'RD 91-06'!J45+KRWA!L76+'RD 91-07'!K37+'KLC 2021B'!I37+Premium!F31</f>
        <v>228408.44186046513</v>
      </c>
      <c r="E34" s="94">
        <f>'RD 91-06'!K45+KRWA!M76+'RD 91-07'!L37+'KLC 2021B'!J37</f>
        <v>48485.6875</v>
      </c>
      <c r="F34" s="94">
        <f t="shared" si="10"/>
        <v>276894.1293604651</v>
      </c>
      <c r="G34" s="94">
        <f t="shared" si="5"/>
        <v>1996986.5116279016</v>
      </c>
      <c r="I34" s="117"/>
      <c r="J34" s="118"/>
      <c r="K34" s="98"/>
      <c r="L34" s="98"/>
      <c r="M34" s="98"/>
    </row>
    <row r="35" spans="2:16" x14ac:dyDescent="0.55000000000000004">
      <c r="B35" s="113">
        <v>2048</v>
      </c>
      <c r="C35" s="94">
        <f t="shared" si="9"/>
        <v>1996986.5116279016</v>
      </c>
      <c r="D35" s="94">
        <f>'RD 91-06'!J46+KRWA!L77+'RD 91-07'!K38+'KLC 2021B'!I38+Premium!F32</f>
        <v>231408.44186046513</v>
      </c>
      <c r="E35" s="94">
        <f>'RD 91-06'!K46+KRWA!M77+'RD 91-07'!L38+'KLC 2021B'!J38</f>
        <v>42686.3125</v>
      </c>
      <c r="F35" s="94">
        <f t="shared" si="10"/>
        <v>274094.7543604651</v>
      </c>
      <c r="G35" s="94">
        <f t="shared" si="5"/>
        <v>1765578.0697674365</v>
      </c>
      <c r="I35" s="117"/>
    </row>
    <row r="36" spans="2:16" x14ac:dyDescent="0.55000000000000004">
      <c r="B36" s="113">
        <v>2049</v>
      </c>
      <c r="C36" s="94">
        <f t="shared" si="9"/>
        <v>1765578.0697674365</v>
      </c>
      <c r="D36" s="94">
        <f>'RD 91-06'!J47+KRWA!L78+'RD 91-07'!K39+'KLC 2021B'!I39+Premium!F33</f>
        <v>234908.44186046513</v>
      </c>
      <c r="E36" s="94">
        <f>'RD 91-06'!K47+KRWA!M78+'RD 91-07'!L39+'KLC 2021B'!J39</f>
        <v>36808.5</v>
      </c>
      <c r="F36" s="94">
        <f t="shared" si="10"/>
        <v>271716.9418604651</v>
      </c>
      <c r="G36" s="94">
        <f t="shared" si="5"/>
        <v>1530669.6279069714</v>
      </c>
      <c r="I36" s="158"/>
      <c r="N36" s="158"/>
    </row>
    <row r="37" spans="2:16" x14ac:dyDescent="0.55000000000000004">
      <c r="B37" s="113">
        <v>2050</v>
      </c>
      <c r="C37" s="94">
        <f t="shared" si="9"/>
        <v>1530669.6279069714</v>
      </c>
      <c r="D37" s="94">
        <f>'RD 91-06'!J48+KRWA!L79+'RD 91-07'!K40+'KLC 2021B'!I40+Premium!F34</f>
        <v>182000</v>
      </c>
      <c r="E37" s="94">
        <f>'RD 91-06'!K48+KRWA!M79+'RD 91-07'!L40+'KLC 2021B'!J40</f>
        <v>31609.125</v>
      </c>
      <c r="F37" s="94">
        <f t="shared" si="10"/>
        <v>213609.125</v>
      </c>
      <c r="G37" s="94">
        <f t="shared" si="5"/>
        <v>1348669.6279069714</v>
      </c>
      <c r="I37" s="158"/>
      <c r="J37" s="215" t="s">
        <v>77</v>
      </c>
      <c r="K37" s="215"/>
      <c r="L37" s="215"/>
      <c r="M37" s="215"/>
      <c r="N37" s="114"/>
    </row>
    <row r="38" spans="2:16" x14ac:dyDescent="0.55000000000000004">
      <c r="B38" s="113">
        <v>2051</v>
      </c>
      <c r="C38" s="94">
        <f t="shared" si="9"/>
        <v>1348669.6279069714</v>
      </c>
      <c r="D38" s="94">
        <f>'RD 91-06'!J49+KRWA!L80+'RD 91-07'!K41+'KLC 2021B'!I41+Premium!F35</f>
        <v>145500</v>
      </c>
      <c r="E38" s="94">
        <f>'RD 91-06'!K49+KRWA!M80+'RD 91-07'!L41+'KLC 2021B'!J41</f>
        <v>27688.1875</v>
      </c>
      <c r="F38" s="94">
        <f t="shared" si="10"/>
        <v>173188.1875</v>
      </c>
      <c r="G38" s="94">
        <f t="shared" si="5"/>
        <v>1203169.6279069714</v>
      </c>
      <c r="I38" s="114"/>
      <c r="J38" s="114" t="s">
        <v>74</v>
      </c>
      <c r="K38" s="114" t="s">
        <v>75</v>
      </c>
      <c r="L38" s="114" t="s">
        <v>23</v>
      </c>
      <c r="M38" s="114" t="s">
        <v>72</v>
      </c>
      <c r="N38" s="115"/>
    </row>
    <row r="39" spans="2:16" x14ac:dyDescent="0.55000000000000004">
      <c r="B39" s="113">
        <v>2052</v>
      </c>
      <c r="C39" s="94">
        <f t="shared" si="9"/>
        <v>1203169.6279069714</v>
      </c>
      <c r="D39" s="94">
        <f>'RD 91-06'!J50+KRWA!L81+'RD 91-07'!K42+'KLC 2021B'!I42+Premium!F36</f>
        <v>149000</v>
      </c>
      <c r="E39" s="94">
        <f>'RD 91-06'!K50+KRWA!M81+'RD 91-07'!L42+'KLC 2021B'!J42</f>
        <v>24284.125</v>
      </c>
      <c r="F39" s="94">
        <f t="shared" si="10"/>
        <v>173284.125</v>
      </c>
      <c r="G39" s="94">
        <f t="shared" si="5"/>
        <v>1054169.6279069714</v>
      </c>
      <c r="I39" s="99"/>
      <c r="J39" s="99"/>
      <c r="K39" s="115"/>
      <c r="L39" s="115"/>
      <c r="M39" s="115"/>
      <c r="N39" s="115"/>
    </row>
    <row r="40" spans="2:16" x14ac:dyDescent="0.55000000000000004">
      <c r="B40" s="113">
        <v>2053</v>
      </c>
      <c r="C40" s="94">
        <f t="shared" si="9"/>
        <v>1054169.6279069714</v>
      </c>
      <c r="D40" s="94">
        <f>'RD 91-06'!J51+KRWA!L82+'RD 91-07'!K43+'KLC 2021B'!I43+Premium!F37</f>
        <v>152500</v>
      </c>
      <c r="E40" s="94">
        <f>'RD 91-06'!K51+KRWA!M82+'RD 91-07'!L43+'KLC 2021B'!J43</f>
        <v>20796.9375</v>
      </c>
      <c r="F40" s="94">
        <f t="shared" si="10"/>
        <v>173296.9375</v>
      </c>
      <c r="G40" s="94">
        <f t="shared" si="5"/>
        <v>901669.62790697138</v>
      </c>
      <c r="I40" s="116"/>
      <c r="J40" s="99"/>
      <c r="K40" s="115"/>
      <c r="L40" s="115"/>
      <c r="M40" s="115"/>
      <c r="N40" s="97"/>
    </row>
    <row r="41" spans="2:16" x14ac:dyDescent="0.55000000000000004">
      <c r="B41" s="113">
        <v>2054</v>
      </c>
      <c r="C41" s="94">
        <f t="shared" si="9"/>
        <v>901669.62790697138</v>
      </c>
      <c r="D41" s="94">
        <f>'RD 91-06'!J52+KRWA!L83+'RD 91-07'!K44+'KLC 2021B'!I44+Premium!F38</f>
        <v>156500</v>
      </c>
      <c r="E41" s="94">
        <f>'RD 91-06'!K52+KRWA!M83+'RD 91-07'!L44+'KLC 2021B'!J44</f>
        <v>17219.75</v>
      </c>
      <c r="F41" s="94">
        <f t="shared" si="10"/>
        <v>173719.75</v>
      </c>
      <c r="G41" s="94">
        <f t="shared" si="5"/>
        <v>745169.62790697138</v>
      </c>
      <c r="I41" s="116"/>
      <c r="J41" s="116">
        <v>2022</v>
      </c>
      <c r="K41" s="94">
        <f>+D9</f>
        <v>87408.441860465115</v>
      </c>
      <c r="L41" s="94">
        <f t="shared" ref="K41:L45" si="11">+E9</f>
        <v>131615.40625</v>
      </c>
      <c r="M41" s="94">
        <f t="shared" ref="M41:M52" si="12">+K41+L41</f>
        <v>219023.8481104651</v>
      </c>
      <c r="N41" s="97"/>
    </row>
    <row r="42" spans="2:16" x14ac:dyDescent="0.55000000000000004">
      <c r="B42" s="113">
        <v>2055</v>
      </c>
      <c r="C42" s="94">
        <f t="shared" si="9"/>
        <v>745169.62790697138</v>
      </c>
      <c r="D42" s="94">
        <f>'RD 91-06'!J53+KRWA!L84+'RD 91-07'!K45+'KLC 2021B'!I45+Premium!F39</f>
        <v>159500</v>
      </c>
      <c r="E42" s="94">
        <f>'RD 91-06'!K53+KRWA!M84+'RD 91-07'!L45+'KLC 2021B'!J45</f>
        <v>13557.25</v>
      </c>
      <c r="F42" s="94">
        <f t="shared" si="10"/>
        <v>173057.25</v>
      </c>
      <c r="G42" s="94">
        <f t="shared" si="5"/>
        <v>585669.62790697138</v>
      </c>
      <c r="I42" s="116"/>
      <c r="J42" s="116">
        <v>2023</v>
      </c>
      <c r="K42" s="94">
        <f t="shared" si="11"/>
        <v>191908.44186046513</v>
      </c>
      <c r="L42" s="94">
        <f t="shared" si="11"/>
        <v>158443.75</v>
      </c>
      <c r="M42" s="94">
        <f t="shared" si="12"/>
        <v>350352.1918604651</v>
      </c>
      <c r="N42" s="97"/>
      <c r="O42" s="194">
        <f>K42+K27</f>
        <v>258194.16943241275</v>
      </c>
      <c r="P42" s="194">
        <f>L42+L27</f>
        <v>169835.4251303901</v>
      </c>
    </row>
    <row r="43" spans="2:16" x14ac:dyDescent="0.55000000000000004">
      <c r="B43" s="113">
        <v>2056</v>
      </c>
      <c r="C43" s="94">
        <f t="shared" si="9"/>
        <v>585669.62790697138</v>
      </c>
      <c r="D43" s="94">
        <f>'RD 91-06'!J54+KRWA!L85+'RD 91-07'!K46+'KLC 2021B'!I46+Premium!F40</f>
        <v>163000</v>
      </c>
      <c r="E43" s="94">
        <f>'RD 91-06'!K54+KRWA!M85+'RD 91-07'!L46+'KLC 2021B'!J46</f>
        <v>9816.3125</v>
      </c>
      <c r="F43" s="94">
        <f t="shared" si="10"/>
        <v>172816.3125</v>
      </c>
      <c r="G43" s="94">
        <f t="shared" si="5"/>
        <v>422669.62790697138</v>
      </c>
      <c r="I43" s="116"/>
      <c r="J43" s="116">
        <v>2024</v>
      </c>
      <c r="K43" s="94">
        <f t="shared" si="11"/>
        <v>153408.44186046513</v>
      </c>
      <c r="L43" s="94">
        <f t="shared" si="11"/>
        <v>153434.9375</v>
      </c>
      <c r="M43" s="94">
        <f t="shared" si="12"/>
        <v>306843.3793604651</v>
      </c>
      <c r="N43" s="97"/>
      <c r="O43" s="194">
        <f t="shared" ref="O43:P43" si="13">K43+K28</f>
        <v>221697.65554827487</v>
      </c>
      <c r="P43" s="194">
        <f t="shared" si="13"/>
        <v>162656.16933820612</v>
      </c>
    </row>
    <row r="44" spans="2:16" x14ac:dyDescent="0.55000000000000004">
      <c r="B44" s="113">
        <v>2057</v>
      </c>
      <c r="C44" s="94">
        <f t="shared" si="9"/>
        <v>422669.62790697138</v>
      </c>
      <c r="D44" s="94">
        <f>'RD 91-06'!J55+KRWA!L86+'RD 91-07'!K47+'KLC 2021B'!I47+Premium!F41</f>
        <v>81500</v>
      </c>
      <c r="E44" s="94">
        <f>'RD 91-06'!K55+KRWA!M86+'RD 91-07'!L47+'KLC 2021B'!J47</f>
        <v>7161</v>
      </c>
      <c r="F44" s="94">
        <f t="shared" si="10"/>
        <v>88661</v>
      </c>
      <c r="G44" s="94">
        <f t="shared" si="5"/>
        <v>341169.62790697138</v>
      </c>
      <c r="I44" s="116"/>
      <c r="J44" s="116">
        <v>2025</v>
      </c>
      <c r="K44" s="94">
        <f t="shared" si="11"/>
        <v>151408.44186046513</v>
      </c>
      <c r="L44" s="94">
        <f t="shared" si="11"/>
        <v>149571.3125</v>
      </c>
      <c r="M44" s="94">
        <f t="shared" si="12"/>
        <v>300979.7543604651</v>
      </c>
      <c r="N44" s="97"/>
      <c r="O44" s="194">
        <f t="shared" ref="O44:P44" si="14">K44+K29</f>
        <v>195159.74446499749</v>
      </c>
      <c r="P44" s="194">
        <f t="shared" si="14"/>
        <v>156771.03467842328</v>
      </c>
    </row>
    <row r="45" spans="2:16" x14ac:dyDescent="0.55000000000000004">
      <c r="B45" s="113">
        <v>2058</v>
      </c>
      <c r="C45" s="94">
        <f t="shared" ref="C45:C48" si="15">+G44</f>
        <v>341169.62790697138</v>
      </c>
      <c r="D45" s="94">
        <f>'RD 91-06'!J56+KRWA!L87+'RD 91-07'!K48+'KLC 2021B'!I48+Premium!F42</f>
        <v>83000</v>
      </c>
      <c r="E45" s="94">
        <f>'RD 91-06'!K56+KRWA!M87+'RD 91-07'!L48+'KLC 2021B'!J48</f>
        <v>5618.8125</v>
      </c>
      <c r="F45" s="94">
        <f t="shared" ref="F45:F48" si="16">+D45+E45</f>
        <v>88618.8125</v>
      </c>
      <c r="G45" s="94">
        <f t="shared" ref="G45:G48" si="17">+C45-D45</f>
        <v>258169.62790697138</v>
      </c>
      <c r="I45" s="116"/>
      <c r="J45" s="116">
        <v>2026</v>
      </c>
      <c r="K45" s="94">
        <f t="shared" si="11"/>
        <v>158408.44186046513</v>
      </c>
      <c r="L45" s="94">
        <f t="shared" si="11"/>
        <v>145689.4375</v>
      </c>
      <c r="M45" s="94">
        <f t="shared" si="12"/>
        <v>304097.8793604651</v>
      </c>
      <c r="N45" s="97"/>
      <c r="O45" s="194">
        <f t="shared" ref="O45:P45" si="18">K45+K30</f>
        <v>203482.12758621946</v>
      </c>
      <c r="P45" s="194">
        <f t="shared" si="18"/>
        <v>151456.57796376612</v>
      </c>
    </row>
    <row r="46" spans="2:16" x14ac:dyDescent="0.55000000000000004">
      <c r="B46" s="113">
        <v>2059</v>
      </c>
      <c r="C46" s="94">
        <f t="shared" si="15"/>
        <v>258169.62790697138</v>
      </c>
      <c r="D46" s="94">
        <f>'RD 91-06'!J57+KRWA!L88+'RD 91-07'!K49+'KLC 2021B'!I49+Premium!F43</f>
        <v>85000</v>
      </c>
      <c r="E46" s="94">
        <f>'RD 91-06'!K57+KRWA!M88+'RD 91-07'!L49+'KLC 2021B'!J49</f>
        <v>4043.8125</v>
      </c>
      <c r="F46" s="94">
        <f t="shared" si="16"/>
        <v>89043.8125</v>
      </c>
      <c r="G46" s="94">
        <f t="shared" si="17"/>
        <v>173169.62790697138</v>
      </c>
      <c r="I46" s="116"/>
      <c r="J46" s="116" t="s">
        <v>78</v>
      </c>
      <c r="K46" s="94">
        <f>SUM(D14:D18)</f>
        <v>845042.20930232562</v>
      </c>
      <c r="L46" s="94">
        <f>SUM(E14:E18)</f>
        <v>666575.3125</v>
      </c>
      <c r="M46" s="94">
        <f t="shared" si="12"/>
        <v>1511617.5218023257</v>
      </c>
      <c r="N46" s="97"/>
      <c r="O46" s="194">
        <f t="shared" ref="O46:P46" si="19">K46+K31</f>
        <v>988603.33233867656</v>
      </c>
      <c r="P46" s="194">
        <f t="shared" si="19"/>
        <v>674841.66254395316</v>
      </c>
    </row>
    <row r="47" spans="2:16" x14ac:dyDescent="0.55000000000000004">
      <c r="B47" s="113">
        <v>2060</v>
      </c>
      <c r="C47" s="94">
        <f t="shared" si="15"/>
        <v>173169.62790697138</v>
      </c>
      <c r="D47" s="94">
        <f>'RD 91-06'!J58+KRWA!L89+'RD 91-07'!K50+'KLC 2021B'!I50+Premium!F44</f>
        <v>86500</v>
      </c>
      <c r="E47" s="94">
        <f>'RD 91-06'!K58+KRWA!M89+'RD 91-07'!L50+'KLC 2021B'!J50</f>
        <v>2436</v>
      </c>
      <c r="F47" s="94">
        <f t="shared" si="16"/>
        <v>88936</v>
      </c>
      <c r="G47" s="94">
        <f t="shared" si="17"/>
        <v>86669.627906971378</v>
      </c>
      <c r="I47" s="116"/>
      <c r="J47" s="116" t="s">
        <v>79</v>
      </c>
      <c r="K47" s="94">
        <f>+SUM(D19:D23)</f>
        <v>849042.20930232562</v>
      </c>
      <c r="L47" s="94">
        <f>+SUM(E19:E23)</f>
        <v>558755</v>
      </c>
      <c r="M47" s="94">
        <f>+K47+L47</f>
        <v>1407797.2093023257</v>
      </c>
      <c r="N47" s="97"/>
    </row>
    <row r="48" spans="2:16" x14ac:dyDescent="0.55000000000000004">
      <c r="B48" s="113">
        <v>2061</v>
      </c>
      <c r="C48" s="94">
        <f t="shared" si="15"/>
        <v>86669.627906971378</v>
      </c>
      <c r="D48" s="94">
        <f>'RD 91-06'!J59+KRWA!L90+'RD 91-07'!K51+'KLC 2021B'!I51+Premium!F45</f>
        <v>86670</v>
      </c>
      <c r="E48" s="94">
        <f>'RD 91-06'!K59+KRWA!M90+'RD 91-07'!L51+'KLC 2021B'!J51</f>
        <v>812.53125</v>
      </c>
      <c r="F48" s="94">
        <f t="shared" si="16"/>
        <v>87482.53125</v>
      </c>
      <c r="G48" s="94">
        <f t="shared" si="17"/>
        <v>-0.37209302862174809</v>
      </c>
      <c r="I48" s="117"/>
      <c r="J48" s="116" t="s">
        <v>80</v>
      </c>
      <c r="K48" s="94">
        <f>+SUM(D24:D28)</f>
        <v>927042.20930232562</v>
      </c>
      <c r="L48" s="94">
        <f>+SUM(E24:E28)</f>
        <v>450298.75</v>
      </c>
      <c r="M48" s="94">
        <f t="shared" si="12"/>
        <v>1377340.9593023257</v>
      </c>
      <c r="N48" s="97"/>
    </row>
    <row r="49" spans="2:14" x14ac:dyDescent="0.55000000000000004">
      <c r="C49" s="94"/>
      <c r="D49" s="94"/>
      <c r="E49" s="94"/>
      <c r="F49" s="94"/>
      <c r="G49" s="94"/>
      <c r="J49" s="116" t="s">
        <v>81</v>
      </c>
      <c r="K49" s="94">
        <f>+SUM(D29:D33)</f>
        <v>1069042.2093023257</v>
      </c>
      <c r="L49" s="94">
        <f>+SUM(E29:E33)</f>
        <v>325944.6875</v>
      </c>
      <c r="M49" s="94">
        <f t="shared" si="12"/>
        <v>1394986.8968023257</v>
      </c>
      <c r="N49" s="97"/>
    </row>
    <row r="50" spans="2:14" ht="14.7" thickBot="1" x14ac:dyDescent="0.6">
      <c r="B50" s="113"/>
      <c r="C50" s="94"/>
      <c r="D50" s="96">
        <f>SUM(D5:D48)</f>
        <v>6658106.3720930265</v>
      </c>
      <c r="E50" s="96">
        <f t="shared" ref="E50:F50" si="20">SUM(E5:E48)</f>
        <v>3033352.9375</v>
      </c>
      <c r="F50" s="96">
        <f t="shared" si="20"/>
        <v>9691459.3095930275</v>
      </c>
      <c r="G50" s="94"/>
      <c r="J50" s="116" t="s">
        <v>82</v>
      </c>
      <c r="K50" s="94">
        <f>+SUM(D34:D38)</f>
        <v>1022225.3255813954</v>
      </c>
      <c r="L50" s="94">
        <f>+SUM(E34:E38)</f>
        <v>187277.8125</v>
      </c>
      <c r="M50" s="94">
        <f t="shared" si="12"/>
        <v>1209503.1380813955</v>
      </c>
      <c r="N50" s="97"/>
    </row>
    <row r="51" spans="2:14" ht="14.7" thickTop="1" x14ac:dyDescent="0.55000000000000004">
      <c r="C51" s="94"/>
      <c r="D51" s="94"/>
      <c r="E51" s="94"/>
      <c r="F51" s="94"/>
      <c r="G51" s="94"/>
      <c r="J51" s="116" t="s">
        <v>83</v>
      </c>
      <c r="K51" s="94">
        <f>+SUM(D39:D43)</f>
        <v>780500</v>
      </c>
      <c r="L51" s="94">
        <f>+SUM(E39:E43)</f>
        <v>85674.375</v>
      </c>
      <c r="M51" s="94">
        <f t="shared" si="12"/>
        <v>866174.375</v>
      </c>
      <c r="N51" s="97"/>
    </row>
    <row r="52" spans="2:14" x14ac:dyDescent="0.55000000000000004">
      <c r="B52" s="113"/>
      <c r="C52" s="94"/>
      <c r="D52" s="94"/>
      <c r="E52" s="94"/>
      <c r="F52" s="94"/>
      <c r="G52" s="94"/>
      <c r="J52" s="116" t="s">
        <v>84</v>
      </c>
      <c r="K52" s="94">
        <f>SUM(D44:D48)</f>
        <v>422670</v>
      </c>
      <c r="L52" s="94">
        <f>SUM(E44:E48)</f>
        <v>20072.15625</v>
      </c>
      <c r="M52" s="94">
        <f t="shared" si="12"/>
        <v>442742.15625</v>
      </c>
      <c r="N52" s="156"/>
    </row>
    <row r="53" spans="2:14" x14ac:dyDescent="0.55000000000000004">
      <c r="C53" s="94"/>
      <c r="D53" s="94"/>
      <c r="E53" s="94"/>
      <c r="F53" s="94"/>
      <c r="G53" s="94"/>
      <c r="J53" s="118"/>
      <c r="N53" s="98"/>
    </row>
    <row r="54" spans="2:14" ht="14.7" thickBot="1" x14ac:dyDescent="0.6">
      <c r="J54" s="118"/>
      <c r="K54" s="119">
        <f>SUM(K40:K52)</f>
        <v>6658106.3720930228</v>
      </c>
      <c r="L54" s="119">
        <f t="shared" ref="L54:M54" si="21">SUM(L40:L52)</f>
        <v>3033352.9375</v>
      </c>
      <c r="M54" s="119">
        <f t="shared" si="21"/>
        <v>9691459.3095930237</v>
      </c>
    </row>
    <row r="55" spans="2:14" ht="14.7" thickTop="1" x14ac:dyDescent="0.55000000000000004">
      <c r="K55" s="98"/>
      <c r="L55" s="98"/>
      <c r="M55" s="98"/>
    </row>
  </sheetData>
  <mergeCells count="6">
    <mergeCell ref="J37:M37"/>
    <mergeCell ref="B3:G3"/>
    <mergeCell ref="I3:N3"/>
    <mergeCell ref="I22:N22"/>
    <mergeCell ref="P3:Q3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39</vt:i4>
      </vt:variant>
    </vt:vector>
  </HeadingPairs>
  <TitlesOfParts>
    <vt:vector size="48" baseType="lpstr">
      <vt:lpstr>KIA F08-02</vt:lpstr>
      <vt:lpstr>KIA F03-05</vt:lpstr>
      <vt:lpstr>KIA C98-05</vt:lpstr>
      <vt:lpstr>RD 91-06</vt:lpstr>
      <vt:lpstr>KRWA</vt:lpstr>
      <vt:lpstr>RD 91-07</vt:lpstr>
      <vt:lpstr>KLC 2021B</vt:lpstr>
      <vt:lpstr>Premium</vt:lpstr>
      <vt:lpstr>LTD</vt:lpstr>
      <vt:lpstr>'KIA C98-05'!Beg_Bal</vt:lpstr>
      <vt:lpstr>'KIA F03-05'!Beg_Bal</vt:lpstr>
      <vt:lpstr>'KIA F08-02'!Beg_Bal</vt:lpstr>
      <vt:lpstr>'KIA C98-05'!Extra_Pay</vt:lpstr>
      <vt:lpstr>'KIA F03-05'!Extra_Pay</vt:lpstr>
      <vt:lpstr>'KIA F08-02'!Extra_Pay</vt:lpstr>
      <vt:lpstr>'KIA C98-05'!Int</vt:lpstr>
      <vt:lpstr>'KIA F03-05'!Int</vt:lpstr>
      <vt:lpstr>'KIA F08-02'!Int</vt:lpstr>
      <vt:lpstr>'KIA C98-05'!Interest_Rate</vt:lpstr>
      <vt:lpstr>'KIA F03-05'!Interest_Rate</vt:lpstr>
      <vt:lpstr>'KIA F08-02'!Interest_Rate</vt:lpstr>
      <vt:lpstr>'KIA C98-05'!Loan_Amount</vt:lpstr>
      <vt:lpstr>'KIA F03-05'!Loan_Amount</vt:lpstr>
      <vt:lpstr>'KIA F08-02'!Loan_Amount</vt:lpstr>
      <vt:lpstr>'KIA C98-05'!Loan_Start</vt:lpstr>
      <vt:lpstr>'KIA F03-05'!Loan_Start</vt:lpstr>
      <vt:lpstr>'KIA F08-02'!Loan_Start</vt:lpstr>
      <vt:lpstr>'KIA C98-05'!Num_Pmt_Per_Year</vt:lpstr>
      <vt:lpstr>'KIA F03-05'!Num_Pmt_Per_Year</vt:lpstr>
      <vt:lpstr>'KIA F08-02'!Num_Pmt_Per_Year</vt:lpstr>
      <vt:lpstr>'KIA C98-05'!Pay_Num</vt:lpstr>
      <vt:lpstr>'KIA F03-05'!Pay_Num</vt:lpstr>
      <vt:lpstr>'KIA F08-02'!Pay_Num</vt:lpstr>
      <vt:lpstr>'KIA C98-05'!Princ</vt:lpstr>
      <vt:lpstr>'KIA F03-05'!Princ</vt:lpstr>
      <vt:lpstr>'KIA F08-02'!Princ</vt:lpstr>
      <vt:lpstr>'KIA C98-05'!Sched_Pay</vt:lpstr>
      <vt:lpstr>'KIA F03-05'!Sched_Pay</vt:lpstr>
      <vt:lpstr>'KIA F08-02'!Sched_Pay</vt:lpstr>
      <vt:lpstr>'KIA C98-05'!Scheduled_Extra_Payments</vt:lpstr>
      <vt:lpstr>'KIA F03-05'!Scheduled_Extra_Payments</vt:lpstr>
      <vt:lpstr>'KIA F08-02'!Scheduled_Extra_Payments</vt:lpstr>
      <vt:lpstr>'KIA C98-05'!Scheduled_Monthly_Payment</vt:lpstr>
      <vt:lpstr>'KIA F03-05'!Scheduled_Monthly_Payment</vt:lpstr>
      <vt:lpstr>'KIA F08-02'!Scheduled_Monthly_Payment</vt:lpstr>
      <vt:lpstr>'KIA C98-05'!Total_Pay</vt:lpstr>
      <vt:lpstr>'KIA F03-05'!Total_Pay</vt:lpstr>
      <vt:lpstr>'KIA F08-02'!Total_Pay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Wilcoxson</dc:creator>
  <cp:keywords/>
  <dc:description/>
  <cp:lastModifiedBy>AlanV</cp:lastModifiedBy>
  <cp:revision/>
  <dcterms:created xsi:type="dcterms:W3CDTF">2021-01-28T18:01:06Z</dcterms:created>
  <dcterms:modified xsi:type="dcterms:W3CDTF">2023-01-31T18:25:41Z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</Properties>
</file>