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i\Google Drive\Meade Co 2022\RFI #1 files\"/>
    </mc:Choice>
  </mc:AlternateContent>
  <xr:revisionPtr revIDLastSave="0" documentId="13_ncr:1_{632B4AE4-1295-4B6D-A15F-81A04304CBF3}" xr6:coauthVersionLast="47" xr6:coauthVersionMax="47" xr10:uidLastSave="{00000000-0000-0000-0000-000000000000}"/>
  <bookViews>
    <workbookView xWindow="11412" yWindow="42" windowWidth="11532" windowHeight="12360" xr2:uid="{7C6AC928-6885-4D9A-AC1E-1DFF0DAF8C1A}"/>
  </bookViews>
  <sheets>
    <sheet name="ExBA" sheetId="43" r:id="rId1"/>
    <sheet name="PrBA" sheetId="35" r:id="rId2"/>
  </sheets>
  <definedNames>
    <definedName name="_xlnm.Print_Area" localSheetId="0">ExBA!$A$1:$I$36</definedName>
    <definedName name="_xlnm.Print_Area" localSheetId="1">PrBA!$A$1:$I$36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35" l="1"/>
  <c r="F9" i="35" s="1"/>
  <c r="B29" i="35"/>
  <c r="B27" i="35"/>
  <c r="B26" i="35"/>
  <c r="B25" i="35"/>
  <c r="D21" i="35"/>
  <c r="F6" i="35" s="1"/>
  <c r="C21" i="35"/>
  <c r="E6" i="35" s="1"/>
  <c r="E10" i="35" s="1"/>
  <c r="G19" i="35"/>
  <c r="F19" i="35"/>
  <c r="E19" i="35"/>
  <c r="H19" i="35" s="1"/>
  <c r="H21" i="35" s="1"/>
  <c r="D28" i="35" s="1"/>
  <c r="F18" i="35"/>
  <c r="E18" i="35"/>
  <c r="G18" i="35" s="1"/>
  <c r="G21" i="35" s="1"/>
  <c r="D27" i="35" s="1"/>
  <c r="E17" i="35"/>
  <c r="F17" i="35" s="1"/>
  <c r="F21" i="35" s="1"/>
  <c r="D26" i="35" s="1"/>
  <c r="E16" i="35"/>
  <c r="E21" i="35" s="1"/>
  <c r="D25" i="35" s="1"/>
  <c r="I15" i="35"/>
  <c r="H15" i="35"/>
  <c r="H20" i="35" s="1"/>
  <c r="G15" i="35"/>
  <c r="G20" i="35" s="1"/>
  <c r="F15" i="35"/>
  <c r="F20" i="35" s="1"/>
  <c r="I20" i="35" s="1"/>
  <c r="I21" i="35" s="1"/>
  <c r="D29" i="35" s="1"/>
  <c r="E15" i="35"/>
  <c r="E20" i="35" s="1"/>
  <c r="K20" i="43"/>
  <c r="K19" i="43"/>
  <c r="K18" i="43"/>
  <c r="K17" i="43"/>
  <c r="K16" i="43"/>
  <c r="F10" i="35" l="1"/>
  <c r="D30" i="35"/>
  <c r="C25" i="35"/>
  <c r="C30" i="35" l="1"/>
  <c r="D35" i="43" l="1"/>
  <c r="B36" i="43"/>
  <c r="F9" i="43" s="1"/>
  <c r="F10" i="43" s="1"/>
  <c r="B29" i="43"/>
  <c r="B27" i="43"/>
  <c r="B26" i="43"/>
  <c r="B25" i="43"/>
  <c r="D21" i="43"/>
  <c r="C21" i="43"/>
  <c r="C25" i="43" s="1"/>
  <c r="E20" i="43"/>
  <c r="F19" i="43"/>
  <c r="E19" i="43"/>
  <c r="E17" i="43"/>
  <c r="F17" i="43" s="1"/>
  <c r="E16" i="43"/>
  <c r="I15" i="43"/>
  <c r="H15" i="43"/>
  <c r="H20" i="43" s="1"/>
  <c r="G15" i="43"/>
  <c r="G20" i="43" s="1"/>
  <c r="F15" i="43"/>
  <c r="F18" i="43" s="1"/>
  <c r="E15" i="43"/>
  <c r="E18" i="43" s="1"/>
  <c r="G18" i="43" s="1"/>
  <c r="F6" i="43"/>
  <c r="E6" i="43"/>
  <c r="E10" i="43" s="1"/>
  <c r="D34" i="43" l="1"/>
  <c r="D36" i="43" s="1"/>
  <c r="G9" i="43" s="1"/>
  <c r="N7" i="43" s="1"/>
  <c r="C30" i="43"/>
  <c r="F25" i="43"/>
  <c r="G19" i="43"/>
  <c r="H19" i="43" s="1"/>
  <c r="H21" i="43" s="1"/>
  <c r="D28" i="43" s="1"/>
  <c r="F28" i="43" s="1"/>
  <c r="E21" i="43"/>
  <c r="D25" i="43" s="1"/>
  <c r="F20" i="43"/>
  <c r="I20" i="43" s="1"/>
  <c r="I21" i="43" s="1"/>
  <c r="D29" i="43" s="1"/>
  <c r="F29" i="43" s="1"/>
  <c r="G21" i="43" l="1"/>
  <c r="D27" i="43" s="1"/>
  <c r="F27" i="43" s="1"/>
  <c r="F21" i="43"/>
  <c r="D26" i="43" s="1"/>
  <c r="F26" i="43" s="1"/>
  <c r="N9" i="43"/>
  <c r="O9" i="43" s="1"/>
  <c r="G7" i="43" s="1"/>
  <c r="G7" i="35" s="1"/>
  <c r="F30" i="43" l="1"/>
  <c r="G6" i="43" s="1"/>
  <c r="G8" i="43" s="1"/>
  <c r="D30" i="43"/>
  <c r="G10" i="43" l="1"/>
  <c r="F28" i="35" l="1"/>
  <c r="F25" i="35"/>
  <c r="D34" i="35"/>
  <c r="F29" i="35"/>
  <c r="F27" i="35"/>
  <c r="D35" i="35"/>
  <c r="F26" i="35"/>
  <c r="F30" i="35" l="1"/>
  <c r="G6" i="35" s="1"/>
  <c r="G8" i="35" s="1"/>
  <c r="D36" i="35"/>
  <c r="G9" i="35" s="1"/>
  <c r="G10" i="35" l="1"/>
</calcChain>
</file>

<file path=xl/sharedStrings.xml><?xml version="1.0" encoding="utf-8"?>
<sst xmlns="http://schemas.openxmlformats.org/spreadsheetml/2006/main" count="92" uniqueCount="35">
  <si>
    <t>Sales for Resale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</si>
  <si>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</si>
  <si>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</si>
  <si>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</si>
  <si>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</si>
  <si>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</si>
  <si>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</si>
  <si>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</si>
  <si>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</si>
  <si>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</si>
  <si>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NEXT</t>
  </si>
  <si>
    <t>Revenue</t>
  </si>
  <si>
    <t>Gallons Sold</t>
  </si>
  <si>
    <t>ALL RETAIL METERS</t>
  </si>
  <si>
    <t>SALES FOR RESALE</t>
  </si>
  <si>
    <t>Meade County Water District</t>
  </si>
  <si>
    <t>Doe Valley</t>
  </si>
  <si>
    <t>Otter Creek</t>
  </si>
  <si>
    <t xml:space="preserve">  SUMMARY  </t>
  </si>
  <si>
    <t>No. of Bills</t>
  </si>
  <si>
    <t>Retail Sales</t>
  </si>
  <si>
    <t>K GALS</t>
  </si>
  <si>
    <t>CURRENT BILLING ANALYSIS - 2021 USAGE &amp; EXISTING RATES</t>
  </si>
  <si>
    <t>Mis-read Adjmt</t>
  </si>
  <si>
    <t>Leak Adjmt</t>
  </si>
  <si>
    <t>Subtotal - Pro forma Retail Sales</t>
  </si>
  <si>
    <t>Pro Forma Totals</t>
  </si>
  <si>
    <t>General Adjmt</t>
  </si>
  <si>
    <t xml:space="preserve">     less Billing Adjustments</t>
  </si>
  <si>
    <t>rate increase</t>
  </si>
  <si>
    <t xml:space="preserve"> - from SAO</t>
  </si>
  <si>
    <t>Sales w/ PWA</t>
  </si>
  <si>
    <t>Sales w/o PWA</t>
  </si>
  <si>
    <t>Total Applicable Billing Adjmts.</t>
  </si>
  <si>
    <t>PROPOSED BILLING ANALYSIS - 2021 USAGE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</si>
</sst>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5" fontId="3" fillId="0" borderId="0" xfId="0" applyNumberFormat="1" applyFont="1"/>
    <xf numFmtId="165" fontId="3" fillId="0" borderId="0" xfId="1" applyNumberFormat="1" applyFont="1"/>
    <xf numFmtId="0" fontId="6" fillId="0" borderId="0" xfId="0" applyFont="1"/>
    <xf numFmtId="43" fontId="3" fillId="0" borderId="0" xfId="3" applyFont="1"/>
    <xf numFmtId="165" fontId="3" fillId="0" borderId="0" xfId="3" applyNumberFormat="1" applyFont="1"/>
    <xf numFmtId="44" fontId="3" fillId="0" borderId="0" xfId="4" applyFont="1"/>
    <xf numFmtId="164" fontId="3" fillId="0" borderId="0" xfId="4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7" fontId="3" fillId="0" borderId="0" xfId="0" applyNumberFormat="1" applyFont="1"/>
    <xf numFmtId="37" fontId="3" fillId="0" borderId="1" xfId="0" applyNumberFormat="1" applyFont="1" applyBorder="1"/>
    <xf numFmtId="165" fontId="3" fillId="0" borderId="1" xfId="3" applyNumberFormat="1" applyFont="1" applyBorder="1"/>
    <xf numFmtId="0" fontId="5" fillId="0" borderId="0" xfId="0" applyFont="1" applyAlignment="1">
      <alignment horizontal="left"/>
    </xf>
    <xf numFmtId="0" fontId="3" fillId="0" borderId="1" xfId="0" applyFont="1" applyBorder="1"/>
    <xf numFmtId="43" fontId="3" fillId="0" borderId="1" xfId="3" applyFont="1" applyBorder="1"/>
    <xf numFmtId="165" fontId="3" fillId="0" borderId="0" xfId="3" applyNumberFormat="1" applyFont="1" applyBorder="1"/>
    <xf numFmtId="165" fontId="7" fillId="0" borderId="0" xfId="1" applyNumberFormat="1" applyFont="1"/>
    <xf numFmtId="165" fontId="7" fillId="0" borderId="0" xfId="3" applyNumberFormat="1" applyFont="1"/>
    <xf numFmtId="164" fontId="3" fillId="0" borderId="0" xfId="4" applyNumberFormat="1" applyFont="1" applyBorder="1"/>
    <xf numFmtId="165" fontId="3" fillId="0" borderId="0" xfId="1" applyNumberFormat="1" applyFont="1" applyAlignment="1">
      <alignment horizontal="left"/>
    </xf>
    <xf numFmtId="164" fontId="3" fillId="0" borderId="0" xfId="0" applyNumberFormat="1" applyFont="1"/>
    <xf numFmtId="165" fontId="3" fillId="0" borderId="0" xfId="3" applyNumberFormat="1" applyFont="1" applyFill="1"/>
    <xf numFmtId="165" fontId="7" fillId="0" borderId="0" xfId="3" applyNumberFormat="1" applyFont="1" applyFill="1"/>
    <xf numFmtId="165" fontId="3" fillId="0" borderId="0" xfId="3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8" fillId="0" borderId="0" xfId="0" applyFont="1"/>
    <xf numFmtId="165" fontId="3" fillId="0" borderId="0" xfId="3" applyNumberFormat="1" applyFont="1" applyFill="1" applyBorder="1"/>
    <xf numFmtId="165" fontId="3" fillId="0" borderId="1" xfId="3" applyNumberFormat="1" applyFont="1" applyFill="1" applyBorder="1"/>
    <xf numFmtId="165" fontId="7" fillId="0" borderId="0" xfId="1" applyNumberFormat="1" applyFont="1" applyAlignment="1">
      <alignment horizontal="right"/>
    </xf>
    <xf numFmtId="10" fontId="9" fillId="0" borderId="0" xfId="0" applyNumberFormat="1" applyFont="1"/>
    <xf numFmtId="3" fontId="9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</cellXfs>
  <cellStyles count="6">
    <cellStyle name="Comma" xfId="1" builtinId="3"/>
    <cellStyle name="Comma 2" xfId="3" xr:uid="{00000000-0005-0000-0000-000001000000}"/>
    <cellStyle name="Currency 2" xfId="4" xr:uid="{00000000-0005-0000-0000-000003000000}"/>
    <cellStyle name="Normal" xfId="0" builtinId="0"/>
    <cellStyle name="Normal 2" xfId="2" xr:uid="{00000000-0005-0000-0000-000005000000}"/>
    <cellStyle name="Percent 2" xfId="5" xr:uid="{00000000-0005-0000-0000-000007000000}"/>
  </cellStyles>
  <dxfs count="0"/>
  <tableStyles count="0" defaultTableStyle="TableStyleMedium9" defaultPivotStyle="PivotStyleLight16"/>
  <colors>
    <mruColors>
      <color rgb="FFFFFFCC"/>
      <color rgb="FFFF99CC"/>
      <color rgb="FFA0FE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8576-89B2-42B4-B281-F64135F0E3A1}">
  <sheetPr>
    <pageSetUpPr fitToPage="1"/>
  </sheetPr>
  <dimension ref="A1:P36"/>
  <sheetViews>
    <sheetView tabSelected="1" workbookViewId="0">
      <selection activeCell="A3" sqref="A3"/>
    </sheetView>
  </sheetViews>
  <sheetFormatPr defaultRowHeight="15" x14ac:dyDescent="0.5"/>
  <cols>
    <col min="1" max="1" width="9.31640625" customWidth="1"/>
    <col min="2" max="2" width="7.6796875" customWidth="1"/>
    <col min="3" max="3" width="9.6796875" customWidth="1"/>
    <col min="4" max="4" width="13.08984375" customWidth="1"/>
    <col min="5" max="5" width="10.953125" customWidth="1"/>
    <col min="6" max="6" width="10.76953125" customWidth="1"/>
    <col min="7" max="7" width="9.6796875" customWidth="1"/>
    <col min="8" max="8" width="8.76953125" customWidth="1"/>
    <col min="9" max="9" width="8.54296875" customWidth="1"/>
    <col min="11" max="11" width="10.2265625" customWidth="1"/>
    <col min="12" max="12" width="10.86328125" bestFit="1" customWidth="1"/>
    <col min="13" max="13" width="13.08984375" customWidth="1"/>
    <col min="14" max="14" width="9.5" customWidth="1"/>
  </cols>
  <sheetData>
    <row r="1" spans="1:16" ht="18.3" x14ac:dyDescent="0.7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2" spans="1:16" ht="18.3" x14ac:dyDescent="0.55000000000000004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1"/>
      <c r="K2" s="1"/>
      <c r="L2" s="1"/>
      <c r="M2" s="23" t="s">
        <v>27</v>
      </c>
      <c r="N2" s="3">
        <v>5338</v>
      </c>
      <c r="O2" s="1"/>
      <c r="P2" s="1"/>
    </row>
    <row r="3" spans="1:16" ht="15.3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3" t="s">
        <v>23</v>
      </c>
      <c r="N3" s="3">
        <v>75956</v>
      </c>
      <c r="O3" s="1"/>
      <c r="P3" s="1"/>
    </row>
    <row r="4" spans="1:16" ht="17.100000000000001" x14ac:dyDescent="0.85">
      <c r="A4" s="1"/>
      <c r="B4" s="1"/>
      <c r="C4" s="28" t="s">
        <v>18</v>
      </c>
      <c r="D4" s="1"/>
      <c r="E4" s="1"/>
      <c r="F4" s="1"/>
      <c r="G4" s="1"/>
      <c r="H4" s="1"/>
      <c r="I4" s="1"/>
      <c r="J4" s="1"/>
      <c r="K4" s="1"/>
      <c r="L4" s="1"/>
      <c r="M4" s="23" t="s">
        <v>24</v>
      </c>
      <c r="N4" s="20">
        <v>14390</v>
      </c>
      <c r="O4" s="1"/>
      <c r="P4" s="1"/>
    </row>
    <row r="5" spans="1:16" ht="15.3" x14ac:dyDescent="0.55000000000000004">
      <c r="A5" s="1"/>
      <c r="B5" s="1"/>
      <c r="C5" s="29"/>
      <c r="D5" s="17"/>
      <c r="E5" s="10" t="s">
        <v>19</v>
      </c>
      <c r="F5" s="10" t="s">
        <v>12</v>
      </c>
      <c r="G5" s="10" t="s">
        <v>11</v>
      </c>
      <c r="H5" s="9"/>
      <c r="I5" s="1"/>
      <c r="J5" s="1"/>
      <c r="K5" s="1"/>
      <c r="L5" s="24"/>
      <c r="M5" s="12" t="s">
        <v>33</v>
      </c>
      <c r="N5" s="3">
        <v>95684</v>
      </c>
      <c r="O5" s="1"/>
      <c r="P5" s="1"/>
    </row>
    <row r="6" spans="1:16" ht="15.3" x14ac:dyDescent="0.55000000000000004">
      <c r="A6" s="1"/>
      <c r="B6" s="1"/>
      <c r="C6" s="1" t="s">
        <v>20</v>
      </c>
      <c r="D6" s="1"/>
      <c r="E6" s="2">
        <f>C21</f>
        <v>63623</v>
      </c>
      <c r="F6" s="2">
        <f>D21</f>
        <v>235797003</v>
      </c>
      <c r="G6" s="24">
        <f>F30</f>
        <v>2895851.0095199994</v>
      </c>
      <c r="H6" s="22"/>
      <c r="I6" s="6"/>
      <c r="J6" s="1"/>
      <c r="K6" s="1"/>
      <c r="L6" s="1"/>
      <c r="M6" s="1"/>
      <c r="N6" s="1"/>
      <c r="O6" s="1"/>
      <c r="P6" s="1"/>
    </row>
    <row r="7" spans="1:16" ht="17.100000000000001" x14ac:dyDescent="0.85">
      <c r="A7" s="1"/>
      <c r="B7" s="1"/>
      <c r="C7" s="1" t="s">
        <v>28</v>
      </c>
      <c r="D7" s="1"/>
      <c r="E7" s="1"/>
      <c r="F7" s="27"/>
      <c r="G7" s="21">
        <f>-N5*(1+O9)</f>
        <v>-109086.38030664512</v>
      </c>
      <c r="H7" s="22"/>
      <c r="I7" s="6"/>
      <c r="J7" s="1"/>
      <c r="K7" s="1"/>
      <c r="M7" s="23" t="s">
        <v>31</v>
      </c>
      <c r="N7" s="24">
        <f>G6+G9</f>
        <v>3338177.3095199997</v>
      </c>
      <c r="O7" s="1"/>
      <c r="P7" s="1"/>
    </row>
    <row r="8" spans="1:16" ht="17.100000000000001" x14ac:dyDescent="0.85">
      <c r="A8" s="1"/>
      <c r="B8" s="1"/>
      <c r="C8" s="1" t="s">
        <v>25</v>
      </c>
      <c r="D8" s="1"/>
      <c r="E8" s="1"/>
      <c r="F8" s="27"/>
      <c r="G8" s="6">
        <f>G6+G7</f>
        <v>2786764.6292133541</v>
      </c>
      <c r="H8" s="22"/>
      <c r="I8" s="6"/>
      <c r="J8" s="1"/>
      <c r="K8" s="1"/>
      <c r="M8" s="23" t="s">
        <v>32</v>
      </c>
      <c r="N8" s="20">
        <v>2928048</v>
      </c>
      <c r="O8" s="1"/>
      <c r="P8" s="1"/>
    </row>
    <row r="9" spans="1:16" ht="17.100000000000001" x14ac:dyDescent="0.85">
      <c r="A9" s="1"/>
      <c r="B9" s="1"/>
      <c r="C9" s="1" t="s">
        <v>0</v>
      </c>
      <c r="D9" s="1"/>
      <c r="E9" s="20">
        <v>24</v>
      </c>
      <c r="F9" s="35">
        <f>B36*1000</f>
        <v>74374000</v>
      </c>
      <c r="G9" s="35">
        <f>D36</f>
        <v>442326.30000000005</v>
      </c>
      <c r="H9" s="21"/>
      <c r="I9" s="6"/>
      <c r="J9" s="1"/>
      <c r="K9" s="1"/>
      <c r="N9" s="24">
        <f>N7-N8</f>
        <v>410129.30951999966</v>
      </c>
      <c r="O9" s="1">
        <f>N9/N8</f>
        <v>0.14006918927558554</v>
      </c>
      <c r="P9" s="1"/>
    </row>
    <row r="10" spans="1:16" ht="17.100000000000001" x14ac:dyDescent="0.85">
      <c r="A10" s="1"/>
      <c r="B10" s="1"/>
      <c r="C10" s="30" t="s">
        <v>26</v>
      </c>
      <c r="D10" s="1"/>
      <c r="E10" s="2">
        <f>E6+E9</f>
        <v>63647</v>
      </c>
      <c r="F10" s="2">
        <f t="shared" ref="F10" si="0">F6+F9</f>
        <v>310171003</v>
      </c>
      <c r="G10" s="31">
        <f>G8+G9</f>
        <v>3229090.9292133544</v>
      </c>
      <c r="H10" s="21"/>
      <c r="I10" s="6"/>
      <c r="J10" s="1"/>
      <c r="K10" s="1"/>
      <c r="L10" s="1"/>
      <c r="M10" s="1"/>
      <c r="N10" s="1"/>
      <c r="O10" s="1"/>
      <c r="P10" s="1"/>
    </row>
    <row r="11" spans="1:16" ht="17.100000000000001" x14ac:dyDescent="0.85">
      <c r="A11" s="1"/>
      <c r="B11" s="1"/>
      <c r="C11" s="1"/>
      <c r="D11" s="1"/>
      <c r="E11" s="1"/>
      <c r="F11" s="1"/>
      <c r="G11" s="1"/>
      <c r="H11" s="21"/>
      <c r="I11" s="6"/>
      <c r="J11" s="1"/>
      <c r="K11" s="1"/>
      <c r="L11" s="1"/>
      <c r="M11" s="1"/>
      <c r="N11" s="1"/>
      <c r="O11" s="1"/>
      <c r="P11" s="1"/>
    </row>
    <row r="12" spans="1:16" ht="17.100000000000001" x14ac:dyDescent="0.85">
      <c r="A12" s="1"/>
      <c r="B12" s="1"/>
      <c r="C12" s="1"/>
      <c r="D12" s="1"/>
      <c r="E12" s="1"/>
      <c r="F12" s="12"/>
      <c r="G12" s="26"/>
      <c r="H12" s="1"/>
      <c r="I12" s="24"/>
      <c r="J12" s="1"/>
      <c r="K12" s="1"/>
      <c r="L12" s="1"/>
      <c r="M12" s="1"/>
      <c r="N12" s="1"/>
      <c r="O12" s="1"/>
      <c r="P12" s="1"/>
    </row>
    <row r="13" spans="1:16" ht="15.6" x14ac:dyDescent="0.6">
      <c r="A13" s="32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3" x14ac:dyDescent="0.55000000000000004">
      <c r="A14" s="1"/>
      <c r="B14" s="1"/>
      <c r="C14" s="1"/>
      <c r="D14" s="1"/>
      <c r="E14" s="9" t="s">
        <v>1</v>
      </c>
      <c r="F14" s="9" t="s">
        <v>10</v>
      </c>
      <c r="G14" s="9" t="s">
        <v>10</v>
      </c>
      <c r="H14" s="9" t="s">
        <v>10</v>
      </c>
      <c r="I14" s="9" t="s">
        <v>2</v>
      </c>
      <c r="J14" s="1"/>
      <c r="K14" s="1"/>
      <c r="L14" s="1"/>
      <c r="M14" s="1"/>
      <c r="N14" s="1"/>
      <c r="O14" s="1"/>
      <c r="P14" s="1"/>
    </row>
    <row r="15" spans="1:16" ht="15.3" x14ac:dyDescent="0.55000000000000004">
      <c r="A15" s="1"/>
      <c r="B15" s="10" t="s">
        <v>3</v>
      </c>
      <c r="C15" s="11" t="s">
        <v>4</v>
      </c>
      <c r="D15" s="11" t="s">
        <v>5</v>
      </c>
      <c r="E15" s="11">
        <f>B16</f>
        <v>2000</v>
      </c>
      <c r="F15" s="11">
        <f>B17</f>
        <v>5000</v>
      </c>
      <c r="G15" s="11">
        <f>B18</f>
        <v>10000</v>
      </c>
      <c r="H15" s="11">
        <f>B19</f>
        <v>20000</v>
      </c>
      <c r="I15" s="11">
        <f>B20</f>
        <v>37000</v>
      </c>
      <c r="J15" s="1"/>
      <c r="K15" s="1"/>
      <c r="L15" s="1"/>
      <c r="M15" s="1"/>
      <c r="N15" s="1"/>
      <c r="O15" s="1"/>
      <c r="P15" s="1"/>
    </row>
    <row r="16" spans="1:16" ht="15.3" x14ac:dyDescent="0.55000000000000004">
      <c r="A16" s="12" t="s">
        <v>1</v>
      </c>
      <c r="B16" s="13">
        <v>2000</v>
      </c>
      <c r="C16" s="25">
        <v>20545</v>
      </c>
      <c r="D16" s="25">
        <v>21024631</v>
      </c>
      <c r="E16" s="25">
        <f>D16</f>
        <v>21024631</v>
      </c>
      <c r="F16" s="25">
        <v>0</v>
      </c>
      <c r="G16" s="25"/>
      <c r="H16" s="25"/>
      <c r="I16" s="25">
        <v>0</v>
      </c>
      <c r="J16" s="1"/>
      <c r="K16" s="2">
        <f>SUM(E16:I16)</f>
        <v>21024631</v>
      </c>
      <c r="L16" s="1"/>
      <c r="M16" s="1"/>
      <c r="N16" s="1"/>
      <c r="O16" s="1"/>
      <c r="P16" s="1"/>
    </row>
    <row r="17" spans="1:16" ht="15.3" x14ac:dyDescent="0.55000000000000004">
      <c r="A17" s="12" t="s">
        <v>10</v>
      </c>
      <c r="B17" s="13">
        <v>5000</v>
      </c>
      <c r="C17" s="25">
        <v>37388</v>
      </c>
      <c r="D17" s="25">
        <v>141028400</v>
      </c>
      <c r="E17" s="25">
        <f>C17*E$15</f>
        <v>74776000</v>
      </c>
      <c r="F17" s="25">
        <f>D17-E17</f>
        <v>66252400</v>
      </c>
      <c r="G17" s="25"/>
      <c r="H17" s="25"/>
      <c r="I17" s="25">
        <v>0</v>
      </c>
      <c r="J17" s="1"/>
      <c r="K17" s="2">
        <f t="shared" ref="K17:K20" si="1">SUM(E17:I17)</f>
        <v>141028400</v>
      </c>
      <c r="L17" s="1"/>
      <c r="M17" s="1"/>
      <c r="N17" s="1"/>
      <c r="O17" s="1"/>
      <c r="P17" s="1"/>
    </row>
    <row r="18" spans="1:16" ht="15.3" x14ac:dyDescent="0.55000000000000004">
      <c r="A18" s="12" t="s">
        <v>10</v>
      </c>
      <c r="B18" s="13">
        <v>10000</v>
      </c>
      <c r="C18" s="25">
        <v>5012</v>
      </c>
      <c r="D18" s="25">
        <v>48306220</v>
      </c>
      <c r="E18" s="25">
        <f>C18*E$15</f>
        <v>10024000</v>
      </c>
      <c r="F18" s="25">
        <f>$C18*F$15</f>
        <v>25060000</v>
      </c>
      <c r="G18" s="25">
        <f>D18-(E18+F18)</f>
        <v>13222220</v>
      </c>
      <c r="H18" s="25"/>
      <c r="I18" s="25"/>
      <c r="J18" s="1"/>
      <c r="K18" s="2">
        <f t="shared" si="1"/>
        <v>48306220</v>
      </c>
      <c r="L18" s="1"/>
      <c r="M18" s="1"/>
      <c r="N18" s="1"/>
      <c r="O18" s="1"/>
      <c r="P18" s="1"/>
    </row>
    <row r="19" spans="1:16" ht="15.3" x14ac:dyDescent="0.55000000000000004">
      <c r="A19" s="12" t="s">
        <v>10</v>
      </c>
      <c r="B19" s="13">
        <v>20000</v>
      </c>
      <c r="C19" s="25">
        <v>548</v>
      </c>
      <c r="D19" s="25">
        <v>12562882</v>
      </c>
      <c r="E19" s="25">
        <f>C19*E$15</f>
        <v>1096000</v>
      </c>
      <c r="F19" s="25">
        <f>$C19*F$15</f>
        <v>2740000</v>
      </c>
      <c r="G19" s="33">
        <f>$C19*G$15</f>
        <v>5480000</v>
      </c>
      <c r="H19" s="25">
        <f>D19-E19-F19-G19</f>
        <v>3246882</v>
      </c>
      <c r="I19" s="25"/>
      <c r="J19" s="1"/>
      <c r="K19" s="2">
        <f t="shared" si="1"/>
        <v>12562882</v>
      </c>
      <c r="L19" s="1"/>
      <c r="M19" s="1"/>
      <c r="N19" s="1"/>
      <c r="O19" s="1"/>
      <c r="P19" s="1"/>
    </row>
    <row r="20" spans="1:16" ht="15.3" x14ac:dyDescent="0.55000000000000004">
      <c r="A20" s="12" t="s">
        <v>2</v>
      </c>
      <c r="B20" s="14">
        <v>37000</v>
      </c>
      <c r="C20" s="34">
        <v>130</v>
      </c>
      <c r="D20" s="34">
        <v>12874870</v>
      </c>
      <c r="E20" s="34">
        <f>C20*E$15</f>
        <v>260000</v>
      </c>
      <c r="F20" s="34">
        <f>$C20*F$15</f>
        <v>650000</v>
      </c>
      <c r="G20" s="34">
        <f>$C20*G$15</f>
        <v>1300000</v>
      </c>
      <c r="H20" s="34">
        <f>C20*H15</f>
        <v>2600000</v>
      </c>
      <c r="I20" s="34">
        <f>D20-(F20+E20+G20+H20)</f>
        <v>8064870</v>
      </c>
      <c r="J20" s="1"/>
      <c r="K20" s="2">
        <f t="shared" si="1"/>
        <v>12874870</v>
      </c>
      <c r="L20" s="1"/>
      <c r="M20" s="1"/>
      <c r="N20" s="1"/>
      <c r="O20" s="1"/>
      <c r="P20" s="1"/>
    </row>
    <row r="21" spans="1:16" ht="15.3" x14ac:dyDescent="0.55000000000000004">
      <c r="A21" s="12"/>
      <c r="B21" s="13"/>
      <c r="C21" s="19">
        <f t="shared" ref="C21:I21" si="2">SUM(C16:C20)</f>
        <v>63623</v>
      </c>
      <c r="D21" s="19">
        <f t="shared" si="2"/>
        <v>235797003</v>
      </c>
      <c r="E21" s="19">
        <f t="shared" si="2"/>
        <v>107180631</v>
      </c>
      <c r="F21" s="19">
        <f t="shared" si="2"/>
        <v>94702400</v>
      </c>
      <c r="G21" s="19">
        <f t="shared" si="2"/>
        <v>20002220</v>
      </c>
      <c r="H21" s="19">
        <f t="shared" si="2"/>
        <v>5846882</v>
      </c>
      <c r="I21" s="19">
        <f t="shared" si="2"/>
        <v>8064870</v>
      </c>
      <c r="J21" s="1"/>
      <c r="K21" s="1"/>
      <c r="L21" s="1"/>
      <c r="M21" s="1"/>
      <c r="N21" s="1"/>
      <c r="O21" s="1"/>
      <c r="P21" s="1"/>
    </row>
    <row r="22" spans="1:16" ht="15.3" x14ac:dyDescent="0.55000000000000004">
      <c r="A22" s="12"/>
      <c r="B22" s="13"/>
      <c r="C22" s="1"/>
      <c r="D22" s="13"/>
      <c r="E22" s="13"/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</row>
    <row r="23" spans="1:16" ht="15.3" x14ac:dyDescent="0.55000000000000004">
      <c r="A23" s="16" t="s">
        <v>7</v>
      </c>
      <c r="B23" s="16"/>
      <c r="C23" s="1"/>
      <c r="D23" s="13"/>
      <c r="E23" s="13"/>
      <c r="F23" s="13"/>
      <c r="G23" s="13"/>
      <c r="H23" s="13"/>
      <c r="I23" s="13"/>
      <c r="J23" s="1"/>
      <c r="K23" s="1"/>
      <c r="L23" s="1"/>
      <c r="M23" s="1"/>
      <c r="N23" s="1"/>
      <c r="O23" s="1"/>
      <c r="P23" s="1"/>
    </row>
    <row r="24" spans="1:16" ht="15.3" x14ac:dyDescent="0.55000000000000004">
      <c r="A24" s="12"/>
      <c r="B24" s="10"/>
      <c r="C24" s="11" t="s">
        <v>4</v>
      </c>
      <c r="D24" s="10" t="s">
        <v>5</v>
      </c>
      <c r="E24" s="11" t="s">
        <v>8</v>
      </c>
      <c r="F24" s="11" t="s">
        <v>9</v>
      </c>
      <c r="G24" s="13"/>
      <c r="H24" s="13"/>
      <c r="I24" s="13"/>
      <c r="J24" s="1"/>
      <c r="K24" s="1"/>
      <c r="L24" s="1"/>
      <c r="M24" s="1"/>
      <c r="N24" s="1"/>
      <c r="O24" s="1"/>
      <c r="P24" s="1"/>
    </row>
    <row r="25" spans="1:16" ht="15.3" x14ac:dyDescent="0.55000000000000004">
      <c r="A25" s="12" t="s">
        <v>1</v>
      </c>
      <c r="B25" s="13">
        <f>B16</f>
        <v>2000</v>
      </c>
      <c r="C25" s="6">
        <f>C21</f>
        <v>63623</v>
      </c>
      <c r="D25" s="25">
        <f>E21</f>
        <v>107180631</v>
      </c>
      <c r="E25" s="7">
        <v>23.23</v>
      </c>
      <c r="F25" s="8">
        <f>E25*C25</f>
        <v>1477962.29</v>
      </c>
      <c r="G25" s="13"/>
      <c r="H25" s="1"/>
      <c r="I25" s="1"/>
      <c r="J25" s="1"/>
      <c r="K25" s="1"/>
      <c r="L25" s="1"/>
      <c r="M25" s="1"/>
      <c r="N25" s="1"/>
      <c r="O25" s="1"/>
      <c r="P25" s="1"/>
    </row>
    <row r="26" spans="1:16" ht="15.3" x14ac:dyDescent="0.55000000000000004">
      <c r="A26" s="12" t="s">
        <v>10</v>
      </c>
      <c r="B26" s="13">
        <f>B17</f>
        <v>5000</v>
      </c>
      <c r="C26" s="1"/>
      <c r="D26" s="25">
        <f>F21</f>
        <v>94702400</v>
      </c>
      <c r="E26" s="5">
        <v>11.29</v>
      </c>
      <c r="F26" s="6">
        <f>E26*(D26/1000)</f>
        <v>1069190.0959999999</v>
      </c>
      <c r="G26" s="13"/>
      <c r="H26" s="1"/>
      <c r="I26" s="1"/>
    </row>
    <row r="27" spans="1:16" ht="15.3" x14ac:dyDescent="0.55000000000000004">
      <c r="A27" s="12" t="s">
        <v>10</v>
      </c>
      <c r="B27" s="13">
        <f>B18</f>
        <v>10000</v>
      </c>
      <c r="C27" s="1"/>
      <c r="D27" s="25">
        <f>G21</f>
        <v>20002220</v>
      </c>
      <c r="E27" s="5">
        <v>10.92</v>
      </c>
      <c r="F27" s="6">
        <f>E27*(D27/1000)</f>
        <v>218424.24240000002</v>
      </c>
      <c r="G27" s="13"/>
      <c r="H27" s="1"/>
      <c r="I27" s="1"/>
    </row>
    <row r="28" spans="1:16" ht="15.3" x14ac:dyDescent="0.55000000000000004">
      <c r="A28" s="12" t="s">
        <v>10</v>
      </c>
      <c r="B28" s="13">
        <v>2500</v>
      </c>
      <c r="C28" s="1"/>
      <c r="D28" s="25">
        <f>H21</f>
        <v>5846882</v>
      </c>
      <c r="E28" s="5">
        <v>10.06</v>
      </c>
      <c r="F28" s="6">
        <f>E28*(D28/1000)</f>
        <v>58819.632919999996</v>
      </c>
      <c r="G28" s="13"/>
      <c r="H28" s="1"/>
      <c r="I28" s="1"/>
    </row>
    <row r="29" spans="1:16" ht="15.3" x14ac:dyDescent="0.55000000000000004">
      <c r="A29" s="12" t="s">
        <v>2</v>
      </c>
      <c r="B29" s="14">
        <f>B20</f>
        <v>37000</v>
      </c>
      <c r="C29" s="17"/>
      <c r="D29" s="34">
        <f>I21</f>
        <v>8064870</v>
      </c>
      <c r="E29" s="18">
        <v>8.86</v>
      </c>
      <c r="F29" s="15">
        <f>E29*(D29/1000)</f>
        <v>71454.748199999987</v>
      </c>
      <c r="G29" s="13"/>
      <c r="H29" s="1"/>
      <c r="I29" s="1"/>
    </row>
    <row r="30" spans="1:16" ht="15.3" x14ac:dyDescent="0.55000000000000004">
      <c r="A30" s="12"/>
      <c r="B30" s="13" t="s">
        <v>6</v>
      </c>
      <c r="C30" s="6">
        <f>SUM(C25:C29)</f>
        <v>63623</v>
      </c>
      <c r="D30" s="19">
        <f>SUM(D25:D29)</f>
        <v>235797003</v>
      </c>
      <c r="E30" s="1"/>
      <c r="F30" s="8">
        <f>SUM(F25:F29)</f>
        <v>2895851.0095199994</v>
      </c>
      <c r="G30" s="13"/>
      <c r="H30" s="13"/>
      <c r="I30" s="13"/>
    </row>
    <row r="31" spans="1:16" ht="15.3" x14ac:dyDescent="0.55000000000000004">
      <c r="A31" s="12"/>
      <c r="B31" s="13"/>
      <c r="C31" s="6"/>
      <c r="D31" s="19"/>
      <c r="E31" s="1"/>
      <c r="F31" s="8"/>
      <c r="G31" s="13"/>
      <c r="H31" s="13"/>
      <c r="I31" s="13"/>
    </row>
    <row r="32" spans="1:16" ht="15.3" x14ac:dyDescent="0.55000000000000004">
      <c r="A32" s="4" t="s">
        <v>14</v>
      </c>
      <c r="B32" s="1"/>
      <c r="C32" s="1"/>
      <c r="D32" s="1"/>
      <c r="E32" s="1"/>
      <c r="F32" s="1"/>
      <c r="G32" s="1"/>
      <c r="H32" s="1"/>
      <c r="I32" s="1"/>
    </row>
    <row r="33" spans="1:9" ht="15.3" x14ac:dyDescent="0.55000000000000004">
      <c r="A33" s="1"/>
      <c r="B33" s="11" t="s">
        <v>21</v>
      </c>
      <c r="C33" s="11" t="s">
        <v>8</v>
      </c>
      <c r="D33" s="10" t="s">
        <v>6</v>
      </c>
      <c r="E33" s="1"/>
      <c r="F33" s="1"/>
      <c r="G33" s="1"/>
      <c r="H33" s="1"/>
      <c r="I33" s="1"/>
    </row>
    <row r="34" spans="1:9" ht="15.3" x14ac:dyDescent="0.55000000000000004">
      <c r="A34" s="12" t="s">
        <v>16</v>
      </c>
      <c r="B34" s="6">
        <v>70483</v>
      </c>
      <c r="C34" s="5">
        <v>5.94</v>
      </c>
      <c r="D34" s="8">
        <f>B34*C34</f>
        <v>418669.02</v>
      </c>
      <c r="E34" s="1"/>
      <c r="F34" s="1"/>
      <c r="G34" s="1"/>
      <c r="H34" s="1"/>
      <c r="I34" s="1"/>
    </row>
    <row r="35" spans="1:9" ht="17.100000000000001" x14ac:dyDescent="0.85">
      <c r="A35" s="12" t="s">
        <v>17</v>
      </c>
      <c r="B35" s="21">
        <v>3891</v>
      </c>
      <c r="C35" s="5">
        <v>6.08</v>
      </c>
      <c r="D35" s="21">
        <f>B35*C35</f>
        <v>23657.279999999999</v>
      </c>
      <c r="E35" s="1"/>
      <c r="F35" s="1"/>
      <c r="G35" s="1"/>
      <c r="H35" s="1"/>
      <c r="I35" s="1"/>
    </row>
    <row r="36" spans="1:9" ht="15.3" x14ac:dyDescent="0.55000000000000004">
      <c r="A36" s="1"/>
      <c r="B36" s="2">
        <f>SUM(B34:B35)</f>
        <v>74374</v>
      </c>
      <c r="C36" s="1"/>
      <c r="D36" s="8">
        <f>SUM(D34:D35)</f>
        <v>442326.30000000005</v>
      </c>
      <c r="E36" s="1"/>
      <c r="F36" s="1"/>
      <c r="G36" s="1"/>
      <c r="H36" s="1"/>
      <c r="I36" s="1"/>
    </row>
  </sheetData>
  <mergeCells count="2">
    <mergeCell ref="A1:I1"/>
    <mergeCell ref="A2:I2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8"/>
  <sheetViews>
    <sheetView workbookViewId="0">
      <selection activeCell="A3" sqref="A3"/>
    </sheetView>
  </sheetViews>
  <sheetFormatPr defaultRowHeight="15" x14ac:dyDescent="0.5"/>
  <cols>
    <col min="1" max="1" width="9.31640625" customWidth="1"/>
    <col min="2" max="2" width="7.6796875" customWidth="1"/>
    <col min="3" max="3" width="9.6796875" customWidth="1"/>
    <col min="4" max="4" width="13.08984375" customWidth="1"/>
    <col min="5" max="5" width="11" customWidth="1"/>
    <col min="6" max="6" width="10.76953125" customWidth="1"/>
    <col min="7" max="7" width="9.6796875" customWidth="1"/>
    <col min="8" max="8" width="8.76953125" customWidth="1"/>
    <col min="9" max="9" width="8.54296875" customWidth="1"/>
    <col min="11" max="11" width="11.36328125" customWidth="1"/>
  </cols>
  <sheetData>
    <row r="1" spans="1:12" ht="18.75" customHeight="1" x14ac:dyDescent="0.7">
      <c r="A1" s="38" t="s">
        <v>34</v>
      </c>
      <c r="B1" s="38"/>
      <c r="C1" s="38"/>
      <c r="D1" s="38"/>
      <c r="E1" s="38"/>
      <c r="F1" s="38"/>
      <c r="G1" s="38"/>
      <c r="H1" s="38"/>
      <c r="I1" s="38"/>
    </row>
    <row r="2" spans="1:12" ht="18.75" customHeight="1" x14ac:dyDescent="0.5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12" ht="15" customHeight="1" x14ac:dyDescent="0.55000000000000004">
      <c r="A3" s="1"/>
      <c r="B3" s="1"/>
      <c r="C3" s="1"/>
      <c r="D3" s="1"/>
      <c r="E3" s="1"/>
      <c r="F3" s="1"/>
      <c r="G3" s="1"/>
      <c r="H3" s="1"/>
      <c r="I3" s="1"/>
    </row>
    <row r="4" spans="1:12" ht="15" customHeight="1" x14ac:dyDescent="0.55000000000000004">
      <c r="A4" s="1"/>
      <c r="B4" s="1"/>
      <c r="C4" s="28" t="s">
        <v>18</v>
      </c>
      <c r="D4" s="1"/>
      <c r="E4" s="1"/>
      <c r="F4" s="1"/>
      <c r="G4" s="1"/>
      <c r="H4" s="1"/>
      <c r="I4" s="1"/>
    </row>
    <row r="5" spans="1:12" ht="15" customHeight="1" x14ac:dyDescent="0.55000000000000004">
      <c r="A5" s="1"/>
      <c r="B5" s="1"/>
      <c r="C5" s="29"/>
      <c r="D5" s="17"/>
      <c r="E5" s="10" t="s">
        <v>19</v>
      </c>
      <c r="F5" s="10" t="s">
        <v>12</v>
      </c>
      <c r="G5" s="10" t="s">
        <v>11</v>
      </c>
      <c r="H5" s="9"/>
      <c r="I5" s="1"/>
    </row>
    <row r="6" spans="1:12" ht="15" customHeight="1" x14ac:dyDescent="0.55000000000000004">
      <c r="A6" s="1"/>
      <c r="B6" s="1"/>
      <c r="C6" s="1" t="s">
        <v>20</v>
      </c>
      <c r="D6" s="1"/>
      <c r="E6" s="2">
        <f>C21</f>
        <v>63623</v>
      </c>
      <c r="F6" s="2">
        <f>D21</f>
        <v>235797003</v>
      </c>
      <c r="G6" s="24">
        <f>F30</f>
        <v>2972247.5127400002</v>
      </c>
      <c r="H6" s="22"/>
      <c r="I6" s="6"/>
    </row>
    <row r="7" spans="1:12" ht="15" customHeight="1" x14ac:dyDescent="0.85">
      <c r="A7" s="1"/>
      <c r="B7" s="1"/>
      <c r="C7" s="1" t="s">
        <v>28</v>
      </c>
      <c r="D7" s="1"/>
      <c r="E7" s="1"/>
      <c r="F7" s="27"/>
      <c r="G7" s="21">
        <f>ExBA!G7*(1+K7)</f>
        <v>-111955.35210870989</v>
      </c>
      <c r="H7" s="22"/>
      <c r="I7" s="6"/>
      <c r="K7" s="36">
        <v>2.63E-2</v>
      </c>
      <c r="L7" s="37" t="s">
        <v>29</v>
      </c>
    </row>
    <row r="8" spans="1:12" ht="15" customHeight="1" x14ac:dyDescent="0.55000000000000004">
      <c r="A8" s="1"/>
      <c r="B8" s="1"/>
      <c r="C8" s="1" t="s">
        <v>25</v>
      </c>
      <c r="D8" s="1"/>
      <c r="E8" s="1"/>
      <c r="F8" s="27"/>
      <c r="G8" s="6">
        <f>G6+G7</f>
        <v>2860292.1606312902</v>
      </c>
      <c r="H8" s="22"/>
      <c r="I8" s="6"/>
    </row>
    <row r="9" spans="1:12" ht="15" customHeight="1" x14ac:dyDescent="0.85">
      <c r="A9" s="1"/>
      <c r="B9" s="1"/>
      <c r="C9" s="1" t="s">
        <v>0</v>
      </c>
      <c r="D9" s="1"/>
      <c r="E9" s="20">
        <v>24</v>
      </c>
      <c r="F9" s="35">
        <f>B36*1000</f>
        <v>74374000</v>
      </c>
      <c r="G9" s="35">
        <f>D36</f>
        <v>454226.14</v>
      </c>
      <c r="H9" s="21"/>
      <c r="I9" s="6"/>
    </row>
    <row r="10" spans="1:12" ht="15" customHeight="1" x14ac:dyDescent="0.85">
      <c r="A10" s="1"/>
      <c r="B10" s="1"/>
      <c r="C10" s="30" t="s">
        <v>26</v>
      </c>
      <c r="D10" s="1"/>
      <c r="E10" s="2">
        <f>E6+E9</f>
        <v>63647</v>
      </c>
      <c r="F10" s="2">
        <f t="shared" ref="F10" si="0">F6+F9</f>
        <v>310171003</v>
      </c>
      <c r="G10" s="31">
        <f>G8+G9</f>
        <v>3314518.3006312903</v>
      </c>
      <c r="H10" s="21"/>
      <c r="I10" s="6"/>
      <c r="K10" s="31">
        <v>3314070.6792224701</v>
      </c>
      <c r="L10" s="1" t="s">
        <v>30</v>
      </c>
    </row>
    <row r="11" spans="1:12" ht="15" customHeight="1" x14ac:dyDescent="0.85">
      <c r="A11" s="1"/>
      <c r="B11" s="1"/>
      <c r="C11" s="1"/>
      <c r="D11" s="1"/>
      <c r="E11" s="1"/>
      <c r="F11" s="1"/>
      <c r="G11" s="1"/>
      <c r="H11" s="21"/>
      <c r="I11" s="6"/>
    </row>
    <row r="12" spans="1:12" ht="17.100000000000001" x14ac:dyDescent="0.85">
      <c r="A12" s="1"/>
      <c r="B12" s="1"/>
      <c r="C12" s="1"/>
      <c r="D12" s="1"/>
      <c r="E12" s="1"/>
      <c r="F12" s="12"/>
      <c r="G12" s="26"/>
      <c r="H12" s="1"/>
      <c r="I12" s="24"/>
    </row>
    <row r="13" spans="1:12" ht="15.6" x14ac:dyDescent="0.6">
      <c r="A13" s="32" t="s">
        <v>13</v>
      </c>
      <c r="B13" s="1"/>
      <c r="C13" s="1"/>
      <c r="D13" s="1"/>
      <c r="E13" s="1"/>
      <c r="F13" s="1"/>
      <c r="G13" s="1"/>
      <c r="H13" s="1"/>
      <c r="I13" s="1"/>
    </row>
    <row r="14" spans="1:12" ht="15.3" x14ac:dyDescent="0.55000000000000004">
      <c r="A14" s="1"/>
      <c r="B14" s="1"/>
      <c r="C14" s="1"/>
      <c r="D14" s="1"/>
      <c r="E14" s="9" t="s">
        <v>1</v>
      </c>
      <c r="F14" s="9" t="s">
        <v>10</v>
      </c>
      <c r="G14" s="9" t="s">
        <v>10</v>
      </c>
      <c r="H14" s="9" t="s">
        <v>10</v>
      </c>
      <c r="I14" s="9" t="s">
        <v>2</v>
      </c>
    </row>
    <row r="15" spans="1:12" ht="15.3" x14ac:dyDescent="0.55000000000000004">
      <c r="A15" s="1"/>
      <c r="B15" s="10" t="s">
        <v>3</v>
      </c>
      <c r="C15" s="11" t="s">
        <v>4</v>
      </c>
      <c r="D15" s="11" t="s">
        <v>5</v>
      </c>
      <c r="E15" s="11">
        <f>B16</f>
        <v>2000</v>
      </c>
      <c r="F15" s="11">
        <f>B17</f>
        <v>5000</v>
      </c>
      <c r="G15" s="11">
        <f>B18</f>
        <v>10000</v>
      </c>
      <c r="H15" s="11">
        <f>B19</f>
        <v>20000</v>
      </c>
      <c r="I15" s="11">
        <f>B20</f>
        <v>37000</v>
      </c>
    </row>
    <row r="16" spans="1:12" ht="15.3" x14ac:dyDescent="0.55000000000000004">
      <c r="A16" s="12" t="s">
        <v>1</v>
      </c>
      <c r="B16" s="13">
        <v>2000</v>
      </c>
      <c r="C16" s="25">
        <v>20545</v>
      </c>
      <c r="D16" s="25">
        <v>21024631</v>
      </c>
      <c r="E16" s="25">
        <f>D16</f>
        <v>21024631</v>
      </c>
      <c r="F16" s="25">
        <v>0</v>
      </c>
      <c r="G16" s="25"/>
      <c r="H16" s="25"/>
      <c r="I16" s="25">
        <v>0</v>
      </c>
    </row>
    <row r="17" spans="1:11" ht="15.3" x14ac:dyDescent="0.55000000000000004">
      <c r="A17" s="12" t="s">
        <v>10</v>
      </c>
      <c r="B17" s="13">
        <v>5000</v>
      </c>
      <c r="C17" s="25">
        <v>37388</v>
      </c>
      <c r="D17" s="25">
        <v>141028400</v>
      </c>
      <c r="E17" s="25">
        <f>C17*E$15</f>
        <v>74776000</v>
      </c>
      <c r="F17" s="25">
        <f>D17-E17</f>
        <v>66252400</v>
      </c>
      <c r="G17" s="25"/>
      <c r="H17" s="25"/>
      <c r="I17" s="25">
        <v>0</v>
      </c>
    </row>
    <row r="18" spans="1:11" ht="15.3" x14ac:dyDescent="0.55000000000000004">
      <c r="A18" s="12" t="s">
        <v>10</v>
      </c>
      <c r="B18" s="13">
        <v>10000</v>
      </c>
      <c r="C18" s="25">
        <v>5012</v>
      </c>
      <c r="D18" s="25">
        <v>48306220</v>
      </c>
      <c r="E18" s="25">
        <f>C18*E$15</f>
        <v>10024000</v>
      </c>
      <c r="F18" s="25">
        <f>$C18*F$15</f>
        <v>25060000</v>
      </c>
      <c r="G18" s="25">
        <f>D18-(E18+F18)</f>
        <v>13222220</v>
      </c>
      <c r="H18" s="25"/>
      <c r="I18" s="25"/>
    </row>
    <row r="19" spans="1:11" ht="15.3" x14ac:dyDescent="0.55000000000000004">
      <c r="A19" s="12" t="s">
        <v>10</v>
      </c>
      <c r="B19" s="13">
        <v>20000</v>
      </c>
      <c r="C19" s="25">
        <v>548</v>
      </c>
      <c r="D19" s="25">
        <v>12562882</v>
      </c>
      <c r="E19" s="25">
        <f>C19*E$15</f>
        <v>1096000</v>
      </c>
      <c r="F19" s="25">
        <f>$C19*F$15</f>
        <v>2740000</v>
      </c>
      <c r="G19" s="33">
        <f>$C19*G$15</f>
        <v>5480000</v>
      </c>
      <c r="H19" s="25">
        <f>D19-E19-F19-G19</f>
        <v>3246882</v>
      </c>
      <c r="I19" s="25"/>
    </row>
    <row r="20" spans="1:11" ht="15.3" x14ac:dyDescent="0.55000000000000004">
      <c r="A20" s="12" t="s">
        <v>2</v>
      </c>
      <c r="B20" s="14">
        <v>37000</v>
      </c>
      <c r="C20" s="34">
        <v>130</v>
      </c>
      <c r="D20" s="34">
        <v>12874870</v>
      </c>
      <c r="E20" s="34">
        <f>C20*E$15</f>
        <v>260000</v>
      </c>
      <c r="F20" s="34">
        <f>$C20*F$15</f>
        <v>650000</v>
      </c>
      <c r="G20" s="34">
        <f>$C20*G$15</f>
        <v>1300000</v>
      </c>
      <c r="H20" s="34">
        <f>C20*H15</f>
        <v>2600000</v>
      </c>
      <c r="I20" s="34">
        <f>D20-(F20+E20+G20+H20)</f>
        <v>8064870</v>
      </c>
    </row>
    <row r="21" spans="1:11" ht="15.3" x14ac:dyDescent="0.55000000000000004">
      <c r="A21" s="12"/>
      <c r="B21" s="13"/>
      <c r="C21" s="19">
        <f t="shared" ref="C21:I21" si="1">SUM(C16:C20)</f>
        <v>63623</v>
      </c>
      <c r="D21" s="19">
        <f t="shared" si="1"/>
        <v>235797003</v>
      </c>
      <c r="E21" s="19">
        <f t="shared" si="1"/>
        <v>107180631</v>
      </c>
      <c r="F21" s="19">
        <f t="shared" si="1"/>
        <v>94702400</v>
      </c>
      <c r="G21" s="19">
        <f t="shared" si="1"/>
        <v>20002220</v>
      </c>
      <c r="H21" s="19">
        <f t="shared" si="1"/>
        <v>5846882</v>
      </c>
      <c r="I21" s="19">
        <f t="shared" si="1"/>
        <v>8064870</v>
      </c>
      <c r="K21" s="33"/>
    </row>
    <row r="22" spans="1:11" ht="15.3" x14ac:dyDescent="0.55000000000000004">
      <c r="A22" s="12"/>
      <c r="B22" s="13"/>
      <c r="C22" s="1"/>
      <c r="D22" s="13"/>
      <c r="E22" s="13"/>
      <c r="F22" s="13"/>
      <c r="G22" s="13"/>
      <c r="H22" s="13"/>
      <c r="I22" s="13"/>
    </row>
    <row r="23" spans="1:11" ht="15.3" x14ac:dyDescent="0.55000000000000004">
      <c r="A23" s="16" t="s">
        <v>7</v>
      </c>
      <c r="B23" s="16"/>
      <c r="C23" s="1"/>
      <c r="D23" s="13"/>
      <c r="E23" s="13"/>
      <c r="F23" s="13"/>
      <c r="G23" s="13"/>
      <c r="H23" s="13"/>
      <c r="I23" s="13"/>
    </row>
    <row r="24" spans="1:11" ht="15.3" x14ac:dyDescent="0.55000000000000004">
      <c r="A24" s="12"/>
      <c r="B24" s="10"/>
      <c r="C24" s="11" t="s">
        <v>4</v>
      </c>
      <c r="D24" s="10" t="s">
        <v>5</v>
      </c>
      <c r="E24" s="11" t="s">
        <v>8</v>
      </c>
      <c r="F24" s="11" t="s">
        <v>9</v>
      </c>
      <c r="G24" s="13"/>
      <c r="H24" s="13"/>
      <c r="I24" s="13"/>
    </row>
    <row r="25" spans="1:11" ht="15.3" x14ac:dyDescent="0.55000000000000004">
      <c r="A25" s="12" t="s">
        <v>1</v>
      </c>
      <c r="B25" s="13">
        <f>B16</f>
        <v>2000</v>
      </c>
      <c r="C25" s="6">
        <f>C21</f>
        <v>63623</v>
      </c>
      <c r="D25" s="25">
        <f>E21</f>
        <v>107180631</v>
      </c>
      <c r="E25" s="7">
        <v>23.84</v>
      </c>
      <c r="F25" s="8">
        <f>E25*C25</f>
        <v>1516772.32</v>
      </c>
      <c r="G25" s="13"/>
      <c r="H25" s="1"/>
      <c r="I25" s="1"/>
    </row>
    <row r="26" spans="1:11" ht="15.3" x14ac:dyDescent="0.55000000000000004">
      <c r="A26" s="12" t="s">
        <v>10</v>
      </c>
      <c r="B26" s="13">
        <f>B17</f>
        <v>5000</v>
      </c>
      <c r="C26" s="1"/>
      <c r="D26" s="25">
        <f>F21</f>
        <v>94702400</v>
      </c>
      <c r="E26" s="5">
        <v>11.59</v>
      </c>
      <c r="F26" s="6">
        <f>E26*(D26/1000)</f>
        <v>1097600.8159999999</v>
      </c>
      <c r="G26" s="13"/>
      <c r="H26" s="1"/>
      <c r="I26" s="1"/>
    </row>
    <row r="27" spans="1:11" ht="15.3" x14ac:dyDescent="0.55000000000000004">
      <c r="A27" s="12" t="s">
        <v>10</v>
      </c>
      <c r="B27" s="13">
        <f>B18</f>
        <v>10000</v>
      </c>
      <c r="C27" s="1"/>
      <c r="D27" s="25">
        <f>G21</f>
        <v>20002220</v>
      </c>
      <c r="E27" s="5">
        <v>11.21</v>
      </c>
      <c r="F27" s="6">
        <f>E27*(D27/1000)</f>
        <v>224224.88620000004</v>
      </c>
      <c r="G27" s="13"/>
      <c r="H27" s="1"/>
      <c r="I27" s="1"/>
    </row>
    <row r="28" spans="1:11" ht="15.3" x14ac:dyDescent="0.55000000000000004">
      <c r="A28" s="12" t="s">
        <v>10</v>
      </c>
      <c r="B28" s="13">
        <v>20000</v>
      </c>
      <c r="C28" s="1"/>
      <c r="D28" s="25">
        <f>H21</f>
        <v>5846882</v>
      </c>
      <c r="E28" s="5">
        <v>10.32</v>
      </c>
      <c r="F28" s="6">
        <f>E28*(D28/1000)</f>
        <v>60339.822239999994</v>
      </c>
      <c r="G28" s="13"/>
      <c r="H28" s="1"/>
      <c r="I28" s="1"/>
    </row>
    <row r="29" spans="1:11" ht="15.3" x14ac:dyDescent="0.55000000000000004">
      <c r="A29" s="12" t="s">
        <v>2</v>
      </c>
      <c r="B29" s="14">
        <f>B20</f>
        <v>37000</v>
      </c>
      <c r="C29" s="17"/>
      <c r="D29" s="34">
        <f>I21</f>
        <v>8064870</v>
      </c>
      <c r="E29" s="18">
        <v>9.09</v>
      </c>
      <c r="F29" s="15">
        <f>E29*(D29/1000)</f>
        <v>73309.668300000005</v>
      </c>
      <c r="G29" s="13"/>
      <c r="H29" s="1"/>
      <c r="I29" s="1"/>
    </row>
    <row r="30" spans="1:11" ht="15.3" x14ac:dyDescent="0.55000000000000004">
      <c r="A30" s="12"/>
      <c r="B30" s="13" t="s">
        <v>6</v>
      </c>
      <c r="C30" s="6">
        <f>SUM(C25:C29)</f>
        <v>63623</v>
      </c>
      <c r="D30" s="19">
        <f>SUM(D25:D29)</f>
        <v>235797003</v>
      </c>
      <c r="E30" s="1"/>
      <c r="F30" s="8">
        <f>SUM(F25:F29)</f>
        <v>2972247.5127400002</v>
      </c>
      <c r="G30" s="13"/>
      <c r="H30" s="13"/>
      <c r="I30" s="13"/>
    </row>
    <row r="31" spans="1:11" ht="15.3" x14ac:dyDescent="0.55000000000000004">
      <c r="A31" s="12"/>
      <c r="B31" s="13"/>
      <c r="C31" s="6"/>
      <c r="D31" s="19"/>
      <c r="E31" s="1"/>
      <c r="F31" s="8"/>
      <c r="G31" s="13"/>
      <c r="H31" s="13"/>
      <c r="I31" s="13"/>
    </row>
    <row r="32" spans="1:11" ht="15.3" x14ac:dyDescent="0.55000000000000004">
      <c r="A32" s="4" t="s">
        <v>14</v>
      </c>
      <c r="B32" s="1"/>
      <c r="C32" s="1"/>
      <c r="D32" s="1"/>
      <c r="E32" s="1"/>
      <c r="F32" s="1"/>
      <c r="G32" s="1"/>
      <c r="H32" s="1"/>
      <c r="I32" s="1"/>
    </row>
    <row r="33" spans="1:9" ht="15.3" x14ac:dyDescent="0.55000000000000004">
      <c r="A33" s="1"/>
      <c r="B33" s="11" t="s">
        <v>21</v>
      </c>
      <c r="C33" s="11" t="s">
        <v>8</v>
      </c>
      <c r="D33" s="10" t="s">
        <v>6</v>
      </c>
      <c r="E33" s="1"/>
      <c r="F33" s="1"/>
      <c r="G33" s="1"/>
      <c r="H33" s="1"/>
      <c r="I33" s="1"/>
    </row>
    <row r="34" spans="1:9" ht="15.3" x14ac:dyDescent="0.55000000000000004">
      <c r="A34" s="12" t="s">
        <v>16</v>
      </c>
      <c r="B34" s="6">
        <v>70483</v>
      </c>
      <c r="C34" s="5">
        <v>6.1</v>
      </c>
      <c r="D34" s="8">
        <f>B34*C34</f>
        <v>429946.3</v>
      </c>
      <c r="E34" s="1"/>
      <c r="F34" s="1"/>
      <c r="G34" s="1"/>
      <c r="H34" s="1"/>
      <c r="I34" s="1"/>
    </row>
    <row r="35" spans="1:9" ht="17.100000000000001" x14ac:dyDescent="0.85">
      <c r="A35" s="12" t="s">
        <v>17</v>
      </c>
      <c r="B35" s="21">
        <v>3891</v>
      </c>
      <c r="C35" s="5">
        <v>6.24</v>
      </c>
      <c r="D35" s="21">
        <f>B35*C35</f>
        <v>24279.84</v>
      </c>
      <c r="E35" s="1"/>
      <c r="F35" s="1"/>
      <c r="G35" s="1"/>
      <c r="H35" s="1"/>
      <c r="I35" s="1"/>
    </row>
    <row r="36" spans="1:9" ht="15.3" x14ac:dyDescent="0.55000000000000004">
      <c r="A36" s="1"/>
      <c r="B36" s="2">
        <f>SUM(B34:B35)</f>
        <v>74374</v>
      </c>
      <c r="C36" s="1"/>
      <c r="D36" s="8">
        <f>SUM(D34:D35)</f>
        <v>454226.14</v>
      </c>
      <c r="E36" s="1"/>
      <c r="F36" s="1"/>
      <c r="G36" s="1"/>
      <c r="H36" s="1"/>
      <c r="I36" s="1"/>
    </row>
    <row r="38" spans="1:9" ht="15.3" x14ac:dyDescent="0.55000000000000004">
      <c r="B38" s="2"/>
    </row>
  </sheetData>
  <mergeCells count="2">
    <mergeCell ref="A1:I1"/>
    <mergeCell ref="A2:I2"/>
  </mergeCells>
  <pageMargins left="0.7" right="0.7" top="1" bottom="0.75" header="0.3" footer="0.3"/>
  <pageSetup scale="85" fitToHeight="2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ExBA</vt:lpstr>
      <vt:lpstr>PrBA</vt:lpstr>
      <vt:lpstr>ExBA!Print_Area</vt:lpstr>
      <vt:lpstr>PrBA!Print_Area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AlanV</cp:lastModifiedBy>
  <cp:lastPrinted>2023-01-31T18:16:51Z</cp:lastPrinted>
  <dcterms:created xsi:type="dcterms:W3CDTF">2016-05-18T14:12:06Z</dcterms:created>
  <dcterms:modified xsi:type="dcterms:W3CDTF">2023-03-18T22:04:41Z</dcterms:modified>
</cp:coreProperties>
</file>