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Meade Co 2022\RFI #1 files\"/>
    </mc:Choice>
  </mc:AlternateContent>
  <xr:revisionPtr revIDLastSave="0" documentId="13_ncr:1_{168EF752-FEDD-43A5-AC2C-2F7BA0C1DDA1}" xr6:coauthVersionLast="47" xr6:coauthVersionMax="47" xr10:uidLastSave="{00000000-0000-0000-0000-000000000000}"/>
  <bookViews>
    <workbookView xWindow="42" yWindow="120" windowWidth="11544" windowHeight="11730" xr2:uid="{04370D15-0514-4A15-99E5-41EEDCFE8B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H32" i="1"/>
  <c r="T29" i="1"/>
  <c r="K28" i="1"/>
  <c r="G28" i="1"/>
  <c r="H28" i="1" s="1"/>
  <c r="H27" i="1"/>
  <c r="G27" i="1"/>
  <c r="G26" i="1"/>
  <c r="H26" i="1" s="1"/>
  <c r="G25" i="1"/>
  <c r="H25" i="1" s="1"/>
  <c r="G24" i="1"/>
  <c r="H24" i="1" s="1"/>
  <c r="T22" i="1"/>
  <c r="T24" i="1" s="1"/>
  <c r="T31" i="1" s="1"/>
  <c r="T33" i="1" s="1"/>
  <c r="O17" i="1"/>
  <c r="N17" i="1"/>
  <c r="P17" i="1" s="1"/>
  <c r="P16" i="1"/>
  <c r="O16" i="1"/>
  <c r="N16" i="1"/>
  <c r="O15" i="1"/>
  <c r="N15" i="1"/>
  <c r="P15" i="1" s="1"/>
  <c r="E15" i="1"/>
  <c r="F15" i="1" s="1"/>
  <c r="F17" i="1" s="1"/>
  <c r="P14" i="1"/>
  <c r="O14" i="1"/>
  <c r="N14" i="1"/>
  <c r="O13" i="1"/>
  <c r="N13" i="1"/>
  <c r="P13" i="1" s="1"/>
  <c r="O12" i="1"/>
  <c r="N12" i="1"/>
  <c r="P12" i="1" s="1"/>
  <c r="O11" i="1"/>
  <c r="N11" i="1"/>
  <c r="P11" i="1" s="1"/>
  <c r="E11" i="1"/>
  <c r="D16" i="1" s="1"/>
  <c r="O10" i="1"/>
  <c r="N10" i="1"/>
  <c r="P10" i="1" s="1"/>
  <c r="P9" i="1"/>
  <c r="O9" i="1"/>
  <c r="N9" i="1"/>
  <c r="O8" i="1"/>
  <c r="N8" i="1"/>
  <c r="P8" i="1" s="1"/>
  <c r="O7" i="1"/>
  <c r="N7" i="1"/>
  <c r="P7" i="1" s="1"/>
  <c r="P18" i="1" s="1"/>
  <c r="P21" i="1" l="1"/>
  <c r="P23" i="1" s="1"/>
  <c r="P27" i="1"/>
  <c r="P29" i="1" s="1"/>
  <c r="P31" i="1"/>
  <c r="P33" i="1" s="1"/>
  <c r="P35" i="1" s="1"/>
  <c r="H29" i="1"/>
  <c r="H31" i="1" s="1"/>
  <c r="H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J8" authorId="0" shapeId="0" xr:uid="{DE998337-BFE2-4F10-89BB-409966487FC1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New position - no OT expected
</t>
        </r>
      </text>
    </comment>
    <comment ref="J13" authorId="0" shapeId="0" xr:uid="{C1528D20-8027-4D63-B604-8E31F5502416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Colten replaced Grady Hardcastle - use Grady's hours
</t>
        </r>
      </text>
    </comment>
    <comment ref="P28" authorId="0" shapeId="0" xr:uid="{3FA31CC9-B8EF-4B67-8180-35B4ED29AAAB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From Final TB</t>
        </r>
      </text>
    </comment>
    <comment ref="P32" authorId="0" shapeId="0" xr:uid="{7B5C1A56-9768-4F4A-850E-CCB4ACA7D6E8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7/1/22 rate per KRS web site
</t>
        </r>
      </text>
    </comment>
  </commentList>
</comments>
</file>

<file path=xl/sharedStrings.xml><?xml version="1.0" encoding="utf-8"?>
<sst xmlns="http://schemas.openxmlformats.org/spreadsheetml/2006/main" count="95" uniqueCount="87">
  <si>
    <t>Meade County Water District</t>
  </si>
  <si>
    <t>Water Loss Adjustment:</t>
  </si>
  <si>
    <t>Salaries &amp; Wages and Associated Adjustments</t>
  </si>
  <si>
    <t>Capitalized Expense Adjustments:</t>
  </si>
  <si>
    <t>Produced &amp; Purchased</t>
  </si>
  <si>
    <t>Total</t>
  </si>
  <si>
    <t>Sold</t>
  </si>
  <si>
    <t>Pro Forma</t>
  </si>
  <si>
    <t xml:space="preserve">Pro Forma </t>
  </si>
  <si>
    <t>Uses:</t>
  </si>
  <si>
    <t>Employee</t>
  </si>
  <si>
    <t>Reg. Hrs</t>
  </si>
  <si>
    <t>O. T. Hours</t>
  </si>
  <si>
    <t>Wage Rate</t>
  </si>
  <si>
    <t>Reg. Wages</t>
  </si>
  <si>
    <t>O. T. Wages</t>
  </si>
  <si>
    <t>Wages</t>
  </si>
  <si>
    <t xml:space="preserve">  WTP</t>
  </si>
  <si>
    <t>Lisa</t>
  </si>
  <si>
    <t xml:space="preserve">  Flushing</t>
  </si>
  <si>
    <t>Mason</t>
  </si>
  <si>
    <t xml:space="preserve">  Fire</t>
  </si>
  <si>
    <t>Leigh Ann</t>
  </si>
  <si>
    <t xml:space="preserve">  Other</t>
  </si>
  <si>
    <t>Eric</t>
  </si>
  <si>
    <t>Jason</t>
  </si>
  <si>
    <t>Line Brks.</t>
  </si>
  <si>
    <t>Corey</t>
  </si>
  <si>
    <t>Line Leaks</t>
  </si>
  <si>
    <t>Colten</t>
  </si>
  <si>
    <t>Other</t>
  </si>
  <si>
    <t>Jeremy</t>
  </si>
  <si>
    <t xml:space="preserve">  water loss percentage</t>
  </si>
  <si>
    <t>Jessica</t>
  </si>
  <si>
    <t>check</t>
  </si>
  <si>
    <t xml:space="preserve">  allowable in rates</t>
  </si>
  <si>
    <t>Chad</t>
  </si>
  <si>
    <t xml:space="preserve">  adjustment percentage</t>
  </si>
  <si>
    <t>Brett</t>
  </si>
  <si>
    <t>Health Insurance Adjustment</t>
  </si>
  <si>
    <t>Adjustments</t>
  </si>
  <si>
    <t>PWA Adjustment</t>
  </si>
  <si>
    <t>Pro Forma Salaries &amp; Wages Expense</t>
  </si>
  <si>
    <t xml:space="preserve"> </t>
  </si>
  <si>
    <t>2022</t>
  </si>
  <si>
    <t>No. in</t>
  </si>
  <si>
    <t>BLS avg.</t>
  </si>
  <si>
    <t>Premium</t>
  </si>
  <si>
    <t>Less: Test Year Salaries &amp; Wages Exp</t>
  </si>
  <si>
    <t>Gallons purch - 2021</t>
  </si>
  <si>
    <t>Plan</t>
  </si>
  <si>
    <t>Empl. rate</t>
  </si>
  <si>
    <t>Adj'mt.</t>
  </si>
  <si>
    <t>Dist. Contrib</t>
  </si>
  <si>
    <t>Pension &amp; Benefits:</t>
  </si>
  <si>
    <t>Pro Forma Salaries &amp; Wages Adj'mt</t>
  </si>
  <si>
    <t xml:space="preserve">  x New HCWD rate</t>
  </si>
  <si>
    <t>Health (Emp +)</t>
  </si>
  <si>
    <t xml:space="preserve">  CERS</t>
  </si>
  <si>
    <t>New Usage Charges</t>
  </si>
  <si>
    <t>Health (Emp)</t>
  </si>
  <si>
    <t xml:space="preserve">  Dental Ins</t>
  </si>
  <si>
    <t>Salaries and Wages + Comm Fees</t>
  </si>
  <si>
    <t>Health (Emp/ch)</t>
  </si>
  <si>
    <t xml:space="preserve">  Empl Pers</t>
  </si>
  <si>
    <t>Times: 7.65 Percent FICA Rate</t>
  </si>
  <si>
    <t>New Meter Charges</t>
  </si>
  <si>
    <t>Health (Ky Ret)</t>
  </si>
  <si>
    <t xml:space="preserve">  Health Ins</t>
  </si>
  <si>
    <t>Pro Forma Payroll Taxes</t>
  </si>
  <si>
    <t xml:space="preserve">  x No. of meters</t>
  </si>
  <si>
    <t>Dental</t>
  </si>
  <si>
    <t>Less: Test Year Payroll Taxes</t>
  </si>
  <si>
    <t xml:space="preserve">  x No. of months</t>
  </si>
  <si>
    <t>Allowable monthly prem.</t>
  </si>
  <si>
    <t>Payroll Tax Adjustment</t>
  </si>
  <si>
    <t>Allowable annual prem.</t>
  </si>
  <si>
    <t>Wages applicable to CERS payments</t>
  </si>
  <si>
    <t>New Purch Water Exp.</t>
  </si>
  <si>
    <t>Less prem. pd. in test yr.</t>
  </si>
  <si>
    <t>Times: Percent Pension Contribution</t>
  </si>
  <si>
    <t xml:space="preserve">   less Ex. Expense</t>
  </si>
  <si>
    <t>Health Ins. Adjustment</t>
  </si>
  <si>
    <t>Total Pro Forma Pension Contribution</t>
  </si>
  <si>
    <t>Less: Test Year Pension Contribution</t>
  </si>
  <si>
    <t>Pension &amp; Benefits Adj - Retirement</t>
  </si>
  <si>
    <t>Verified that meter expenses are adjusted off ops and capitalized.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</si>
</sst>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%"/>
    <numFmt numFmtId="167" formatCode="_([$$-409]* #,##0_);_([$$-409]* \(#,##0\);_([$$-409]* &quot;-&quot;??_);_(@_)"/>
    <numFmt numFmtId="168" formatCode="_(&quot;$&quot;* #,##0_);_(&quot;$&quot;* \(#,##0\);_(&quot;$&quot;* &quot;-&quot;??_);_(@_)"/>
  </numFmts>
  <fonts count="15" x14ac:knownFonts="1">
    <font>
      <sz val="11"/>
      <color theme="1"/>
      <name val="Calibri"/>
      <family val="2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color rgb="FF59B589"/>
      <name val="Calibri"/>
      <family val="2"/>
      <scheme val="minor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/>
    <xf numFmtId="3" fontId="1" fillId="0" borderId="0" xfId="0" applyNumberFormat="1" applyFont="1"/>
    <xf numFmtId="44" fontId="1" fillId="0" borderId="0" xfId="1" applyFont="1"/>
    <xf numFmtId="0" fontId="1" fillId="0" borderId="0" xfId="0" applyFont="1" applyAlignment="1">
      <alignment horizontal="center"/>
    </xf>
    <xf numFmtId="0" fontId="7" fillId="0" borderId="0" xfId="0" applyFont="1"/>
    <xf numFmtId="43" fontId="8" fillId="0" borderId="0" xfId="2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2" applyNumberFormat="1" applyFont="1"/>
    <xf numFmtId="0" fontId="1" fillId="0" borderId="0" xfId="0" applyFont="1" applyAlignment="1">
      <alignment horizontal="right"/>
    </xf>
    <xf numFmtId="164" fontId="9" fillId="0" borderId="0" xfId="2" applyNumberFormat="1" applyFont="1"/>
    <xf numFmtId="165" fontId="1" fillId="0" borderId="0" xfId="2" applyNumberFormat="1" applyFont="1" applyAlignment="1">
      <alignment horizontal="center"/>
    </xf>
    <xf numFmtId="43" fontId="1" fillId="0" borderId="0" xfId="2" applyFont="1" applyAlignment="1">
      <alignment horizontal="right"/>
    </xf>
    <xf numFmtId="43" fontId="1" fillId="0" borderId="0" xfId="2" applyFont="1"/>
    <xf numFmtId="164" fontId="8" fillId="0" borderId="0" xfId="2" applyNumberFormat="1" applyFont="1"/>
    <xf numFmtId="3" fontId="1" fillId="0" borderId="1" xfId="0" applyNumberFormat="1" applyFont="1" applyBorder="1"/>
    <xf numFmtId="43" fontId="3" fillId="0" borderId="0" xfId="2" applyFont="1"/>
    <xf numFmtId="164" fontId="3" fillId="0" borderId="0" xfId="2" applyNumberFormat="1" applyFont="1"/>
    <xf numFmtId="164" fontId="10" fillId="0" borderId="0" xfId="2" applyNumberFormat="1" applyFont="1"/>
    <xf numFmtId="164" fontId="11" fillId="0" borderId="0" xfId="2" applyNumberFormat="1" applyFont="1"/>
    <xf numFmtId="0" fontId="3" fillId="0" borderId="0" xfId="0" applyFont="1"/>
    <xf numFmtId="164" fontId="3" fillId="0" borderId="0" xfId="0" applyNumberFormat="1" applyFont="1"/>
    <xf numFmtId="166" fontId="1" fillId="0" borderId="0" xfId="3" applyNumberFormat="1" applyFont="1"/>
    <xf numFmtId="3" fontId="1" fillId="0" borderId="0" xfId="0" applyNumberFormat="1" applyFont="1" applyAlignment="1">
      <alignment horizontal="right"/>
    </xf>
    <xf numFmtId="166" fontId="12" fillId="0" borderId="0" xfId="3" applyNumberFormat="1" applyFont="1"/>
    <xf numFmtId="164" fontId="1" fillId="0" borderId="0" xfId="2" applyNumberFormat="1" applyFont="1" applyAlignment="1">
      <alignment vertical="center"/>
    </xf>
    <xf numFmtId="166" fontId="3" fillId="0" borderId="0" xfId="3" applyNumberFormat="1" applyFont="1"/>
    <xf numFmtId="3" fontId="3" fillId="0" borderId="0" xfId="0" applyNumberFormat="1" applyFont="1"/>
    <xf numFmtId="0" fontId="4" fillId="0" borderId="0" xfId="0" applyFont="1" applyAlignment="1">
      <alignment horizontal="center"/>
    </xf>
    <xf numFmtId="167" fontId="1" fillId="0" borderId="0" xfId="0" applyNumberFormat="1" applyFont="1"/>
    <xf numFmtId="43" fontId="1" fillId="0" borderId="0" xfId="2" quotePrefix="1" applyFont="1" applyAlignment="1">
      <alignment horizontal="center"/>
    </xf>
    <xf numFmtId="43" fontId="1" fillId="0" borderId="0" xfId="2" applyFont="1" applyAlignment="1">
      <alignment horizontal="center"/>
    </xf>
    <xf numFmtId="43" fontId="8" fillId="0" borderId="0" xfId="2" applyFont="1" applyBorder="1" applyAlignment="1">
      <alignment horizontal="center"/>
    </xf>
    <xf numFmtId="0" fontId="4" fillId="0" borderId="0" xfId="0" applyFont="1"/>
    <xf numFmtId="168" fontId="3" fillId="0" borderId="2" xfId="1" applyNumberFormat="1" applyFont="1" applyBorder="1"/>
    <xf numFmtId="43" fontId="8" fillId="0" borderId="0" xfId="2" applyFont="1"/>
    <xf numFmtId="43" fontId="1" fillId="0" borderId="0" xfId="0" applyNumberFormat="1" applyFont="1"/>
    <xf numFmtId="9" fontId="1" fillId="0" borderId="0" xfId="3" applyFont="1"/>
    <xf numFmtId="168" fontId="1" fillId="0" borderId="0" xfId="1" applyNumberFormat="1" applyFont="1"/>
    <xf numFmtId="10" fontId="1" fillId="0" borderId="1" xfId="0" applyNumberFormat="1" applyFont="1" applyBorder="1"/>
    <xf numFmtId="168" fontId="1" fillId="0" borderId="1" xfId="1" applyNumberFormat="1" applyFont="1" applyBorder="1"/>
    <xf numFmtId="168" fontId="1" fillId="0" borderId="0" xfId="0" applyNumberFormat="1" applyFont="1"/>
    <xf numFmtId="43" fontId="3" fillId="0" borderId="0" xfId="2" applyFont="1" applyAlignment="1">
      <alignment horizontal="right"/>
    </xf>
    <xf numFmtId="168" fontId="3" fillId="0" borderId="0" xfId="0" applyNumberFormat="1" applyFont="1"/>
    <xf numFmtId="164" fontId="1" fillId="0" borderId="1" xfId="2" applyNumberFormat="1" applyFont="1" applyBorder="1"/>
  </cellXfs>
  <cellStyles count="4">
    <cellStyle name="Comma 2" xfId="2" xr:uid="{7F12FFC2-0C1A-42B3-8381-37325DD20FBB}"/>
    <cellStyle name="Currency 2" xfId="1" xr:uid="{AA9BA164-031B-4DF5-9B68-64D2597B9B51}"/>
    <cellStyle name="Normal" xfId="0" builtinId="0"/>
    <cellStyle name="Percent 2" xfId="3" xr:uid="{65AD87F4-25D1-423C-952B-5938DE60F4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1B3C-F55D-4735-9524-A5A03B1BD76A}">
  <dimension ref="B1:W39"/>
  <sheetViews>
    <sheetView tabSelected="1" workbookViewId="0"/>
  </sheetViews>
  <sheetFormatPr defaultRowHeight="14.4" x14ac:dyDescent="0.55000000000000004"/>
  <cols>
    <col min="1" max="1" width="2.41796875" customWidth="1"/>
    <col min="2" max="2" width="2.68359375" customWidth="1"/>
    <col min="3" max="3" width="14.15625" customWidth="1"/>
    <col min="5" max="5" width="8.62890625" customWidth="1"/>
    <col min="7" max="7" width="11.05078125" bestFit="1" customWidth="1"/>
    <col min="8" max="8" width="11.68359375" customWidth="1"/>
    <col min="11" max="15" width="10.1015625" customWidth="1"/>
    <col min="16" max="16" width="11.578125" customWidth="1"/>
    <col min="20" max="20" width="10.9453125" customWidth="1"/>
  </cols>
  <sheetData>
    <row r="1" spans="2:23" ht="18.3" x14ac:dyDescent="0.55000000000000004">
      <c r="B1" s="1"/>
      <c r="C1" s="2" t="s">
        <v>0</v>
      </c>
      <c r="D1" s="1"/>
      <c r="E1" s="1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3" x14ac:dyDescent="0.55000000000000004">
      <c r="B2" s="1"/>
      <c r="C2" s="1"/>
      <c r="D2" s="1"/>
      <c r="E2" s="4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x14ac:dyDescent="0.55000000000000004">
      <c r="C3" s="5" t="s">
        <v>1</v>
      </c>
      <c r="D3" s="6"/>
      <c r="E3" s="6"/>
      <c r="F3" s="6"/>
      <c r="G3" s="6"/>
      <c r="H3" s="1"/>
      <c r="I3" s="1"/>
      <c r="J3" s="5" t="s">
        <v>2</v>
      </c>
      <c r="K3" s="1"/>
      <c r="L3" s="1"/>
      <c r="M3" s="1"/>
      <c r="N3" s="1"/>
      <c r="O3" s="1"/>
      <c r="P3" s="1"/>
      <c r="Q3" s="1"/>
      <c r="R3" s="5" t="s">
        <v>3</v>
      </c>
      <c r="S3" s="1"/>
      <c r="T3" s="1"/>
      <c r="U3" s="1"/>
      <c r="V3" s="1"/>
      <c r="W3" s="1"/>
    </row>
    <row r="4" spans="2:23" x14ac:dyDescent="0.55000000000000004">
      <c r="C4" s="6" t="s">
        <v>4</v>
      </c>
      <c r="D4" s="6"/>
      <c r="E4" s="6">
        <v>379296</v>
      </c>
      <c r="F4" s="6"/>
      <c r="G4" s="7"/>
      <c r="H4" s="1"/>
      <c r="I4" s="1"/>
      <c r="J4" s="1"/>
      <c r="K4" s="1"/>
      <c r="L4" s="1"/>
      <c r="M4" s="1"/>
      <c r="N4" s="1"/>
      <c r="O4" s="1"/>
      <c r="P4" s="8" t="s">
        <v>5</v>
      </c>
      <c r="Q4" s="1"/>
      <c r="R4" s="1"/>
      <c r="S4" s="1"/>
      <c r="T4" s="1"/>
      <c r="U4" s="1"/>
      <c r="V4" s="1"/>
      <c r="W4" s="1"/>
    </row>
    <row r="5" spans="2:23" ht="16.2" x14ac:dyDescent="0.85">
      <c r="C5" s="6" t="s">
        <v>6</v>
      </c>
      <c r="D5" s="6"/>
      <c r="E5" s="6">
        <v>310878</v>
      </c>
      <c r="F5" s="6"/>
      <c r="G5" s="6"/>
      <c r="H5" s="1"/>
      <c r="I5" s="1"/>
      <c r="J5" s="1"/>
      <c r="K5" s="8" t="s">
        <v>7</v>
      </c>
      <c r="L5" s="8" t="s">
        <v>7</v>
      </c>
      <c r="M5" s="8" t="s">
        <v>8</v>
      </c>
      <c r="N5" s="8" t="s">
        <v>7</v>
      </c>
      <c r="O5" s="8" t="s">
        <v>7</v>
      </c>
      <c r="P5" s="8" t="s">
        <v>7</v>
      </c>
      <c r="Q5" s="1"/>
      <c r="R5" s="9" t="s">
        <v>86</v>
      </c>
      <c r="S5" s="1"/>
      <c r="T5" s="10"/>
      <c r="U5" s="10"/>
      <c r="V5" s="10"/>
      <c r="W5" s="1"/>
    </row>
    <row r="6" spans="2:23" x14ac:dyDescent="0.55000000000000004">
      <c r="C6" s="6" t="s">
        <v>9</v>
      </c>
      <c r="D6" s="6"/>
      <c r="E6" s="6"/>
      <c r="F6" s="6"/>
      <c r="G6" s="6"/>
      <c r="H6" s="1"/>
      <c r="I6" s="1"/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14</v>
      </c>
      <c r="O6" s="11" t="s">
        <v>15</v>
      </c>
      <c r="P6" s="11" t="s">
        <v>16</v>
      </c>
      <c r="Q6" s="1"/>
      <c r="R6" s="1"/>
      <c r="S6" s="1"/>
      <c r="T6" s="12"/>
      <c r="U6" s="12"/>
      <c r="V6" s="12"/>
      <c r="W6" s="1"/>
    </row>
    <row r="7" spans="2:23" ht="16.2" x14ac:dyDescent="0.85">
      <c r="C7" s="1" t="s">
        <v>17</v>
      </c>
      <c r="D7" s="1">
        <v>0</v>
      </c>
      <c r="E7" s="6"/>
      <c r="F7" s="6"/>
      <c r="G7" s="6"/>
      <c r="H7" s="1"/>
      <c r="I7" s="13"/>
      <c r="J7" s="14" t="s">
        <v>18</v>
      </c>
      <c r="K7" s="15">
        <v>2080</v>
      </c>
      <c r="L7" s="16">
        <v>33</v>
      </c>
      <c r="M7" s="17">
        <v>21.91</v>
      </c>
      <c r="N7" s="12">
        <f>M7*K7</f>
        <v>45572.800000000003</v>
      </c>
      <c r="O7" s="12">
        <f>L7*M7*1.5</f>
        <v>1084.5450000000001</v>
      </c>
      <c r="P7" s="12">
        <f>N7+O7</f>
        <v>46657.345000000001</v>
      </c>
      <c r="Q7" s="1"/>
      <c r="R7" s="1"/>
      <c r="S7" s="1"/>
      <c r="T7" s="12"/>
      <c r="U7" s="12"/>
      <c r="V7" s="18"/>
      <c r="W7" s="1"/>
    </row>
    <row r="8" spans="2:23" x14ac:dyDescent="0.55000000000000004">
      <c r="C8" s="6" t="s">
        <v>19</v>
      </c>
      <c r="D8" s="6">
        <v>7879</v>
      </c>
      <c r="E8" s="6"/>
      <c r="F8" s="6"/>
      <c r="G8" s="6"/>
      <c r="H8" s="1"/>
      <c r="I8" s="1"/>
      <c r="J8" s="14" t="s">
        <v>20</v>
      </c>
      <c r="K8" s="15">
        <v>2080</v>
      </c>
      <c r="L8" s="17">
        <v>0</v>
      </c>
      <c r="M8" s="17">
        <v>18.760000000000002</v>
      </c>
      <c r="N8" s="12">
        <f>K8*M8</f>
        <v>39020.800000000003</v>
      </c>
      <c r="O8" s="12">
        <f>L8*M8*1.5</f>
        <v>0</v>
      </c>
      <c r="P8" s="12">
        <f>N8+O8</f>
        <v>39020.800000000003</v>
      </c>
      <c r="Q8" s="1"/>
      <c r="R8" s="1"/>
      <c r="S8" s="17"/>
      <c r="T8" s="12"/>
      <c r="U8" s="12"/>
      <c r="V8" s="12"/>
      <c r="W8" s="1"/>
    </row>
    <row r="9" spans="2:23" x14ac:dyDescent="0.55000000000000004">
      <c r="C9" s="6" t="s">
        <v>21</v>
      </c>
      <c r="D9" s="6">
        <v>134</v>
      </c>
      <c r="E9" s="6"/>
      <c r="F9" s="6"/>
      <c r="G9" s="6"/>
      <c r="H9" s="1"/>
      <c r="I9" s="13"/>
      <c r="J9" s="14" t="s">
        <v>22</v>
      </c>
      <c r="K9" s="15">
        <v>2080</v>
      </c>
      <c r="L9" s="17">
        <v>35</v>
      </c>
      <c r="M9" s="17">
        <v>19.43</v>
      </c>
      <c r="N9" s="12">
        <f>K9*M9</f>
        <v>40414.400000000001</v>
      </c>
      <c r="O9" s="12">
        <f>L9*M9*1.5</f>
        <v>1020.0749999999999</v>
      </c>
      <c r="P9" s="12">
        <f>N9+O9</f>
        <v>41434.474999999999</v>
      </c>
      <c r="Q9" s="1"/>
      <c r="R9" s="1"/>
      <c r="S9" s="1"/>
      <c r="T9" s="1"/>
      <c r="U9" s="1"/>
      <c r="V9" s="1"/>
      <c r="W9" s="1"/>
    </row>
    <row r="10" spans="2:23" x14ac:dyDescent="0.55000000000000004">
      <c r="C10" s="6" t="s">
        <v>23</v>
      </c>
      <c r="D10" s="19">
        <v>0</v>
      </c>
      <c r="E10" s="6"/>
      <c r="F10" s="6"/>
      <c r="G10" s="6"/>
      <c r="H10" s="1"/>
      <c r="I10" s="13"/>
      <c r="J10" s="14" t="s">
        <v>24</v>
      </c>
      <c r="K10" s="15">
        <v>2080</v>
      </c>
      <c r="L10" s="17">
        <v>112.75</v>
      </c>
      <c r="M10" s="17">
        <v>24.37</v>
      </c>
      <c r="N10" s="12">
        <f t="shared" ref="N10:N17" si="0">K10*M10</f>
        <v>50689.599999999999</v>
      </c>
      <c r="O10" s="12">
        <f t="shared" ref="O10:O17" si="1">L10*M10*1.5</f>
        <v>4121.5762500000001</v>
      </c>
      <c r="P10" s="12">
        <f t="shared" ref="P10:P17" si="2">N10+O10</f>
        <v>54811.176249999997</v>
      </c>
      <c r="Q10" s="1"/>
      <c r="R10" s="1"/>
      <c r="S10" s="1"/>
      <c r="T10" s="20"/>
      <c r="U10" s="21"/>
      <c r="V10" s="21"/>
      <c r="W10" s="1"/>
    </row>
    <row r="11" spans="2:23" x14ac:dyDescent="0.55000000000000004">
      <c r="C11" s="6"/>
      <c r="D11" s="6"/>
      <c r="E11" s="6">
        <f>SUM(D7:D10)</f>
        <v>8013</v>
      </c>
      <c r="F11" s="6"/>
      <c r="G11" s="6"/>
      <c r="H11" s="1"/>
      <c r="I11" s="13"/>
      <c r="J11" s="14" t="s">
        <v>25</v>
      </c>
      <c r="K11" s="15">
        <v>2080</v>
      </c>
      <c r="L11" s="17">
        <v>17</v>
      </c>
      <c r="M11" s="17">
        <v>21.91</v>
      </c>
      <c r="N11" s="12">
        <f t="shared" si="0"/>
        <v>45572.800000000003</v>
      </c>
      <c r="O11" s="12">
        <f t="shared" si="1"/>
        <v>558.70500000000004</v>
      </c>
      <c r="P11" s="12">
        <f t="shared" si="2"/>
        <v>46131.505000000005</v>
      </c>
      <c r="Q11" s="1"/>
      <c r="R11" s="1"/>
      <c r="S11" s="17"/>
      <c r="T11" s="12"/>
      <c r="U11" s="12"/>
      <c r="V11" s="12"/>
      <c r="W11" s="1"/>
    </row>
    <row r="12" spans="2:23" x14ac:dyDescent="0.55000000000000004">
      <c r="C12" s="6" t="s">
        <v>26</v>
      </c>
      <c r="D12" s="6">
        <v>0</v>
      </c>
      <c r="E12" s="6"/>
      <c r="F12" s="6"/>
      <c r="G12" s="6"/>
      <c r="H12" s="1"/>
      <c r="I12" s="13"/>
      <c r="J12" s="14" t="s">
        <v>27</v>
      </c>
      <c r="K12" s="15">
        <v>2080</v>
      </c>
      <c r="L12" s="17">
        <v>56.5</v>
      </c>
      <c r="M12" s="17">
        <v>22.35</v>
      </c>
      <c r="N12" s="12">
        <f t="shared" si="0"/>
        <v>46488</v>
      </c>
      <c r="O12" s="12">
        <f t="shared" si="1"/>
        <v>1894.1625000000001</v>
      </c>
      <c r="P12" s="12">
        <f t="shared" si="2"/>
        <v>48382.162499999999</v>
      </c>
      <c r="Q12" s="1"/>
      <c r="R12" s="1"/>
      <c r="S12" s="1"/>
      <c r="T12" s="21"/>
      <c r="U12" s="21"/>
      <c r="V12" s="22"/>
      <c r="W12" s="1"/>
    </row>
    <row r="13" spans="2:23" ht="16.2" x14ac:dyDescent="0.85">
      <c r="C13" s="6" t="s">
        <v>28</v>
      </c>
      <c r="D13" s="6">
        <v>0</v>
      </c>
      <c r="E13" s="6"/>
      <c r="F13" s="6"/>
      <c r="G13" s="6"/>
      <c r="H13" s="1"/>
      <c r="I13" s="13"/>
      <c r="J13" s="14" t="s">
        <v>29</v>
      </c>
      <c r="K13" s="15">
        <v>2080</v>
      </c>
      <c r="L13" s="17">
        <v>36</v>
      </c>
      <c r="M13" s="17">
        <v>21.31</v>
      </c>
      <c r="N13" s="12">
        <f t="shared" si="0"/>
        <v>44324.799999999996</v>
      </c>
      <c r="O13" s="12">
        <f t="shared" si="1"/>
        <v>1150.74</v>
      </c>
      <c r="P13" s="12">
        <f t="shared" si="2"/>
        <v>45475.539999999994</v>
      </c>
      <c r="Q13" s="1"/>
      <c r="R13" s="1"/>
      <c r="S13" s="1"/>
      <c r="T13" s="21"/>
      <c r="U13" s="21"/>
      <c r="V13" s="23"/>
      <c r="W13" s="1"/>
    </row>
    <row r="14" spans="2:23" x14ac:dyDescent="0.55000000000000004">
      <c r="C14" s="6" t="s">
        <v>30</v>
      </c>
      <c r="D14" s="19">
        <v>60405</v>
      </c>
      <c r="E14" s="6"/>
      <c r="F14" s="6"/>
      <c r="G14" s="6"/>
      <c r="H14" s="1"/>
      <c r="I14" s="1"/>
      <c r="J14" s="14" t="s">
        <v>31</v>
      </c>
      <c r="K14" s="15">
        <v>2080</v>
      </c>
      <c r="L14" s="17">
        <v>68.75</v>
      </c>
      <c r="M14" s="17">
        <v>24.37</v>
      </c>
      <c r="N14" s="12">
        <f t="shared" si="0"/>
        <v>50689.599999999999</v>
      </c>
      <c r="O14" s="12">
        <f t="shared" si="1"/>
        <v>2513.15625</v>
      </c>
      <c r="P14" s="12">
        <f t="shared" si="2"/>
        <v>53202.756249999999</v>
      </c>
      <c r="Q14" s="1"/>
      <c r="R14" s="17"/>
      <c r="S14" s="1"/>
      <c r="T14" s="20"/>
      <c r="U14" s="24"/>
      <c r="V14" s="25"/>
      <c r="W14" s="1"/>
    </row>
    <row r="15" spans="2:23" x14ac:dyDescent="0.55000000000000004">
      <c r="B15" s="1"/>
      <c r="C15" s="6"/>
      <c r="D15" s="6"/>
      <c r="E15" s="6">
        <f>D12+D13+D14</f>
        <v>60405</v>
      </c>
      <c r="F15" s="26">
        <f>E15/E4</f>
        <v>0.1592555682105796</v>
      </c>
      <c r="G15" s="6" t="s">
        <v>32</v>
      </c>
      <c r="H15" s="1"/>
      <c r="I15" s="1"/>
      <c r="J15" s="14" t="s">
        <v>33</v>
      </c>
      <c r="K15" s="15">
        <v>2080</v>
      </c>
      <c r="L15" s="17">
        <v>29.25</v>
      </c>
      <c r="M15" s="17">
        <v>20.079999999999998</v>
      </c>
      <c r="N15" s="12">
        <f t="shared" si="0"/>
        <v>41766.399999999994</v>
      </c>
      <c r="O15" s="12">
        <f t="shared" si="1"/>
        <v>881.00999999999988</v>
      </c>
      <c r="P15" s="12">
        <f t="shared" si="2"/>
        <v>42647.409999999996</v>
      </c>
      <c r="Q15" s="1"/>
      <c r="R15" s="1"/>
      <c r="S15" s="1"/>
      <c r="T15" s="1"/>
      <c r="U15" s="1"/>
      <c r="V15" s="1"/>
      <c r="W15" s="1"/>
    </row>
    <row r="16" spans="2:23" x14ac:dyDescent="0.55000000000000004">
      <c r="B16" s="1"/>
      <c r="C16" s="27" t="s">
        <v>34</v>
      </c>
      <c r="D16" s="6">
        <f>SUM(E5:E15)</f>
        <v>379296</v>
      </c>
      <c r="E16" s="1"/>
      <c r="F16" s="28">
        <v>0.15</v>
      </c>
      <c r="G16" s="6" t="s">
        <v>35</v>
      </c>
      <c r="H16" s="1"/>
      <c r="I16" s="13"/>
      <c r="J16" s="14" t="s">
        <v>36</v>
      </c>
      <c r="K16" s="15">
        <v>2080</v>
      </c>
      <c r="L16" s="17">
        <v>0</v>
      </c>
      <c r="M16" s="17">
        <v>29.15</v>
      </c>
      <c r="N16" s="12">
        <f>M16*52</f>
        <v>1515.8</v>
      </c>
      <c r="O16" s="12">
        <f t="shared" si="1"/>
        <v>0</v>
      </c>
      <c r="P16" s="12">
        <f t="shared" si="2"/>
        <v>1515.8</v>
      </c>
      <c r="Q16" s="1"/>
      <c r="S16" s="1"/>
      <c r="T16" s="20"/>
      <c r="U16" s="21"/>
      <c r="V16" s="21"/>
      <c r="W16" s="1"/>
    </row>
    <row r="17" spans="2:23" ht="16.2" x14ac:dyDescent="0.85">
      <c r="B17" s="1"/>
      <c r="C17" s="29"/>
      <c r="D17" s="6"/>
      <c r="E17" s="6"/>
      <c r="F17" s="30">
        <f>F15-F16</f>
        <v>9.2555682105796011E-3</v>
      </c>
      <c r="G17" s="31" t="s">
        <v>37</v>
      </c>
      <c r="H17" s="1"/>
      <c r="I17" s="13"/>
      <c r="J17" s="14" t="s">
        <v>38</v>
      </c>
      <c r="K17" s="15">
        <v>2080</v>
      </c>
      <c r="L17" s="17">
        <v>0</v>
      </c>
      <c r="M17" s="17">
        <v>47.01</v>
      </c>
      <c r="N17" s="12">
        <f t="shared" si="0"/>
        <v>97780.800000000003</v>
      </c>
      <c r="O17" s="12">
        <f t="shared" si="1"/>
        <v>0</v>
      </c>
      <c r="P17" s="18">
        <f t="shared" si="2"/>
        <v>97780.800000000003</v>
      </c>
      <c r="Q17" s="1"/>
      <c r="R17" s="1"/>
      <c r="S17" s="1"/>
      <c r="T17" s="1"/>
      <c r="U17" s="1"/>
      <c r="V17" s="1"/>
      <c r="W17" s="1"/>
    </row>
    <row r="18" spans="2:23" x14ac:dyDescent="0.55000000000000004">
      <c r="B18" s="1"/>
      <c r="C18" s="1"/>
      <c r="D18" s="1"/>
      <c r="E18" s="1"/>
      <c r="F18" s="1"/>
      <c r="G18" s="1"/>
      <c r="H18" s="1"/>
      <c r="I18" s="13"/>
      <c r="J18" s="12"/>
      <c r="K18" s="12"/>
      <c r="L18" s="12"/>
      <c r="M18" s="17"/>
      <c r="N18" s="12"/>
      <c r="O18" s="12"/>
      <c r="P18" s="12">
        <f>SUM(P7:P17)</f>
        <v>517059.7699999999</v>
      </c>
      <c r="Q18" s="1"/>
      <c r="R18" s="1"/>
      <c r="S18" s="1"/>
      <c r="T18" s="1"/>
      <c r="U18" s="1"/>
      <c r="V18" s="1"/>
      <c r="W18" s="1"/>
    </row>
    <row r="19" spans="2:23" x14ac:dyDescent="0.55000000000000004">
      <c r="B19" s="1"/>
      <c r="C19" s="1"/>
      <c r="D19" s="1"/>
      <c r="E19" s="1"/>
      <c r="F19" s="1"/>
      <c r="G19" s="1"/>
      <c r="H19" s="1"/>
      <c r="I19" s="1"/>
      <c r="J19" s="12"/>
      <c r="K19" s="12"/>
      <c r="L19" s="12"/>
      <c r="M19" s="1"/>
      <c r="N19" s="1"/>
      <c r="O19" s="1"/>
      <c r="P19" s="32"/>
      <c r="Q19" s="1"/>
      <c r="R19" s="1"/>
      <c r="S19" s="1"/>
      <c r="T19" s="1"/>
      <c r="U19" s="1"/>
      <c r="V19" s="1"/>
      <c r="W19" s="1"/>
    </row>
    <row r="20" spans="2:23" x14ac:dyDescent="0.55000000000000004">
      <c r="B20" s="1"/>
      <c r="C20" s="5" t="s">
        <v>39</v>
      </c>
      <c r="D20" s="17"/>
      <c r="E20" s="17"/>
      <c r="F20" s="12"/>
      <c r="G20" s="1"/>
      <c r="H20" s="1"/>
      <c r="I20" s="1"/>
      <c r="J20" s="12"/>
      <c r="K20" s="12"/>
      <c r="L20" s="12"/>
      <c r="M20" s="1"/>
      <c r="N20" s="1"/>
      <c r="O20" s="1"/>
      <c r="P20" s="32" t="s">
        <v>40</v>
      </c>
      <c r="Q20" s="1"/>
      <c r="R20" s="5" t="s">
        <v>41</v>
      </c>
      <c r="S20" s="1"/>
      <c r="T20" s="1"/>
      <c r="U20" s="1"/>
      <c r="V20" s="1"/>
      <c r="W20" s="1"/>
    </row>
    <row r="21" spans="2:23" x14ac:dyDescent="0.55000000000000004">
      <c r="B21" s="1"/>
      <c r="C21" s="6"/>
      <c r="D21" s="17"/>
      <c r="E21" s="17"/>
      <c r="F21" s="12"/>
      <c r="G21" s="1"/>
      <c r="H21" s="1"/>
      <c r="I21" s="12"/>
      <c r="J21" s="12"/>
      <c r="K21" s="12"/>
      <c r="L21" s="12"/>
      <c r="M21" s="1" t="s">
        <v>42</v>
      </c>
      <c r="N21" s="1"/>
      <c r="O21" s="1"/>
      <c r="P21" s="33">
        <f>P18</f>
        <v>517059.7699999999</v>
      </c>
      <c r="Q21" s="1"/>
      <c r="R21" s="1"/>
      <c r="S21" s="1"/>
      <c r="T21" s="1"/>
      <c r="U21" s="1"/>
      <c r="V21" s="1"/>
      <c r="W21" s="1"/>
    </row>
    <row r="22" spans="2:23" ht="16.2" x14ac:dyDescent="0.85">
      <c r="C22" s="1" t="s">
        <v>43</v>
      </c>
      <c r="D22" s="34" t="s">
        <v>44</v>
      </c>
      <c r="E22" s="34" t="s">
        <v>45</v>
      </c>
      <c r="F22" s="35" t="s">
        <v>46</v>
      </c>
      <c r="G22" s="35" t="s">
        <v>47</v>
      </c>
      <c r="H22" s="35" t="s">
        <v>7</v>
      </c>
      <c r="I22" s="12"/>
      <c r="J22" s="12"/>
      <c r="K22" s="12"/>
      <c r="L22" s="12"/>
      <c r="M22" s="1" t="s">
        <v>48</v>
      </c>
      <c r="N22" s="9"/>
      <c r="O22" s="9"/>
      <c r="P22" s="18">
        <v>-485275</v>
      </c>
      <c r="Q22" s="1"/>
      <c r="R22" s="1" t="s">
        <v>49</v>
      </c>
      <c r="S22" s="1"/>
      <c r="T22" s="12">
        <f>E4</f>
        <v>379296</v>
      </c>
      <c r="U22" s="1"/>
      <c r="V22" s="12"/>
      <c r="W22" s="1"/>
    </row>
    <row r="23" spans="2:23" ht="16.5" thickBot="1" x14ac:dyDescent="0.9">
      <c r="C23" s="1"/>
      <c r="D23" s="10" t="s">
        <v>47</v>
      </c>
      <c r="E23" s="10" t="s">
        <v>50</v>
      </c>
      <c r="F23" s="10" t="s">
        <v>51</v>
      </c>
      <c r="G23" s="10" t="s">
        <v>52</v>
      </c>
      <c r="H23" s="36" t="s">
        <v>53</v>
      </c>
      <c r="I23" s="12"/>
      <c r="J23" s="37" t="s">
        <v>54</v>
      </c>
      <c r="K23" s="1"/>
      <c r="L23" s="12"/>
      <c r="M23" s="24" t="s">
        <v>55</v>
      </c>
      <c r="N23" s="24"/>
      <c r="O23" s="24"/>
      <c r="P23" s="38">
        <f>P21+P22</f>
        <v>31784.769999999902</v>
      </c>
      <c r="Q23" s="1"/>
      <c r="R23" s="1" t="s">
        <v>56</v>
      </c>
      <c r="S23" s="1"/>
      <c r="T23" s="39">
        <v>3.33</v>
      </c>
      <c r="U23" s="1"/>
      <c r="V23" s="39"/>
      <c r="W23" s="40"/>
    </row>
    <row r="24" spans="2:23" ht="14.7" thickTop="1" x14ac:dyDescent="0.55000000000000004">
      <c r="C24" s="6" t="s">
        <v>57</v>
      </c>
      <c r="D24" s="17">
        <v>1048.8</v>
      </c>
      <c r="E24" s="12">
        <v>2</v>
      </c>
      <c r="F24" s="41">
        <v>0.22</v>
      </c>
      <c r="G24" s="17">
        <f>D24*F24</f>
        <v>230.73599999999999</v>
      </c>
      <c r="H24" s="17">
        <f>(D24-G24)*E24</f>
        <v>1636.1279999999999</v>
      </c>
      <c r="I24" s="12"/>
      <c r="J24" s="1" t="s">
        <v>58</v>
      </c>
      <c r="K24" s="12">
        <v>123885</v>
      </c>
      <c r="L24" s="12"/>
      <c r="M24" s="1"/>
      <c r="N24" s="1"/>
      <c r="O24" s="1"/>
      <c r="P24" s="1" t="s">
        <v>43</v>
      </c>
      <c r="Q24" s="1"/>
      <c r="R24" s="1" t="s">
        <v>59</v>
      </c>
      <c r="S24" s="1"/>
      <c r="T24" s="42">
        <f>T22*T23</f>
        <v>1263055.68</v>
      </c>
      <c r="U24" s="1"/>
      <c r="V24" s="42"/>
      <c r="W24" s="1"/>
    </row>
    <row r="25" spans="2:23" x14ac:dyDescent="0.55000000000000004">
      <c r="C25" s="6" t="s">
        <v>60</v>
      </c>
      <c r="D25" s="17">
        <v>943.9</v>
      </c>
      <c r="E25" s="12">
        <v>4</v>
      </c>
      <c r="F25" s="41">
        <v>0.22</v>
      </c>
      <c r="G25" s="17">
        <f>D25*F25</f>
        <v>207.65799999999999</v>
      </c>
      <c r="H25" s="17">
        <f>(D25-G25)*E25</f>
        <v>2944.9679999999998</v>
      </c>
      <c r="I25" s="12"/>
      <c r="J25" s="1" t="s">
        <v>61</v>
      </c>
      <c r="K25" s="12">
        <v>3954</v>
      </c>
      <c r="L25" s="12"/>
      <c r="M25" s="1" t="s">
        <v>62</v>
      </c>
      <c r="N25" s="1"/>
      <c r="O25" s="1"/>
      <c r="P25" s="42">
        <v>547059.77</v>
      </c>
      <c r="Q25" s="1"/>
      <c r="R25" s="1"/>
      <c r="S25" s="1"/>
      <c r="T25" s="1"/>
      <c r="U25" s="1"/>
      <c r="V25" s="1"/>
      <c r="W25" s="1"/>
    </row>
    <row r="26" spans="2:23" x14ac:dyDescent="0.55000000000000004">
      <c r="C26" s="6" t="s">
        <v>63</v>
      </c>
      <c r="D26" s="17">
        <v>1793.5</v>
      </c>
      <c r="E26" s="12">
        <v>1</v>
      </c>
      <c r="F26" s="41">
        <v>0.34</v>
      </c>
      <c r="G26" s="17">
        <f>D26*F26</f>
        <v>609.79000000000008</v>
      </c>
      <c r="H26" s="17">
        <f>(D26-G26)*E26</f>
        <v>1183.71</v>
      </c>
      <c r="I26" s="12"/>
      <c r="J26" s="1" t="s">
        <v>64</v>
      </c>
      <c r="K26" s="12">
        <v>-2990</v>
      </c>
      <c r="L26" s="12"/>
      <c r="M26" s="1" t="s">
        <v>65</v>
      </c>
      <c r="N26" s="1"/>
      <c r="O26" s="1"/>
      <c r="P26" s="43">
        <v>7.6499999999999999E-2</v>
      </c>
      <c r="Q26" s="1"/>
      <c r="R26" s="1" t="s">
        <v>66</v>
      </c>
      <c r="S26" s="1"/>
      <c r="T26" s="17">
        <v>418.21</v>
      </c>
      <c r="U26" s="1"/>
      <c r="V26" s="17"/>
      <c r="W26" s="1"/>
    </row>
    <row r="27" spans="2:23" ht="16.2" x14ac:dyDescent="0.85">
      <c r="C27" s="6" t="s">
        <v>67</v>
      </c>
      <c r="D27" s="17">
        <v>732</v>
      </c>
      <c r="E27" s="12">
        <v>1</v>
      </c>
      <c r="F27" s="41">
        <v>0.22</v>
      </c>
      <c r="G27" s="17">
        <f>D27*F27</f>
        <v>161.04</v>
      </c>
      <c r="H27" s="17">
        <f>(D27-G27)*E27</f>
        <v>570.96</v>
      </c>
      <c r="I27" s="12"/>
      <c r="J27" s="1" t="s">
        <v>68</v>
      </c>
      <c r="K27" s="18">
        <v>119012</v>
      </c>
      <c r="L27" s="12"/>
      <c r="M27" s="1" t="s">
        <v>69</v>
      </c>
      <c r="N27" s="1"/>
      <c r="O27" s="1"/>
      <c r="P27" s="12">
        <f>+P25*P26</f>
        <v>41850.072404999999</v>
      </c>
      <c r="Q27" s="1"/>
      <c r="R27" s="1" t="s">
        <v>70</v>
      </c>
      <c r="S27" s="1"/>
      <c r="T27" s="17">
        <v>4</v>
      </c>
      <c r="U27" s="1"/>
      <c r="V27" s="17"/>
      <c r="W27" s="1"/>
    </row>
    <row r="28" spans="2:23" ht="16.2" x14ac:dyDescent="0.85">
      <c r="C28" s="6" t="s">
        <v>71</v>
      </c>
      <c r="D28" s="17">
        <v>29.95</v>
      </c>
      <c r="E28" s="12">
        <v>10</v>
      </c>
      <c r="F28" s="41">
        <v>0.6</v>
      </c>
      <c r="G28" s="17">
        <f>D28*F28</f>
        <v>17.97</v>
      </c>
      <c r="H28" s="39">
        <f>(D28-G28)*E28</f>
        <v>119.80000000000001</v>
      </c>
      <c r="I28" s="12"/>
      <c r="J28" s="1"/>
      <c r="K28" s="12">
        <f>SUM(K24:K27)</f>
        <v>243861</v>
      </c>
      <c r="L28" s="12"/>
      <c r="M28" s="1" t="s">
        <v>72</v>
      </c>
      <c r="N28" s="9"/>
      <c r="O28" s="9"/>
      <c r="P28" s="44">
        <v>-38943</v>
      </c>
      <c r="Q28" s="1"/>
      <c r="R28" s="1" t="s">
        <v>73</v>
      </c>
      <c r="S28" s="1"/>
      <c r="T28" s="39">
        <v>12</v>
      </c>
      <c r="U28" s="1"/>
      <c r="V28" s="39"/>
      <c r="W28" s="1"/>
    </row>
    <row r="29" spans="2:23" ht="14.7" thickBot="1" x14ac:dyDescent="0.6">
      <c r="C29" s="6"/>
      <c r="D29" s="17"/>
      <c r="E29" s="17"/>
      <c r="F29" s="1"/>
      <c r="G29" s="16" t="s">
        <v>74</v>
      </c>
      <c r="H29" s="17">
        <f>SUM(H24:H28)</f>
        <v>6455.5659999999998</v>
      </c>
      <c r="I29" s="12"/>
      <c r="J29" s="12"/>
      <c r="K29" s="12"/>
      <c r="L29" s="12"/>
      <c r="M29" s="24" t="s">
        <v>75</v>
      </c>
      <c r="N29" s="24"/>
      <c r="O29" s="24"/>
      <c r="P29" s="38">
        <f>+P27+P28</f>
        <v>2907.072404999999</v>
      </c>
      <c r="Q29" s="1"/>
      <c r="R29" s="1"/>
      <c r="S29" s="1"/>
      <c r="T29" s="42">
        <f>T26*T27*T28</f>
        <v>20074.079999999998</v>
      </c>
      <c r="U29" s="1"/>
      <c r="V29" s="42"/>
      <c r="W29" s="1"/>
    </row>
    <row r="30" spans="2:23" ht="14.7" thickTop="1" x14ac:dyDescent="0.55000000000000004">
      <c r="C30" s="6"/>
      <c r="D30" s="17"/>
      <c r="E30" s="17"/>
      <c r="F30" s="1"/>
      <c r="I30" s="12"/>
      <c r="J30" s="12"/>
      <c r="K30" s="12"/>
      <c r="L30" s="1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x14ac:dyDescent="0.55000000000000004">
      <c r="C31" s="6"/>
      <c r="D31" s="17"/>
      <c r="E31" s="17"/>
      <c r="F31" s="1"/>
      <c r="G31" s="16" t="s">
        <v>76</v>
      </c>
      <c r="H31" s="17">
        <f>H29*12</f>
        <v>77466.792000000001</v>
      </c>
      <c r="I31" s="12"/>
      <c r="J31" s="12"/>
      <c r="K31" s="12"/>
      <c r="L31" s="12"/>
      <c r="M31" s="1" t="s">
        <v>77</v>
      </c>
      <c r="N31" s="1"/>
      <c r="O31" s="1"/>
      <c r="P31" s="42">
        <f>P18</f>
        <v>517059.7699999999</v>
      </c>
      <c r="Q31" s="1"/>
      <c r="R31" s="1" t="s">
        <v>78</v>
      </c>
      <c r="S31" s="1"/>
      <c r="T31" s="45">
        <f>T29+T24</f>
        <v>1283129.76</v>
      </c>
      <c r="U31" s="1"/>
      <c r="V31" s="45"/>
      <c r="W31" s="1"/>
    </row>
    <row r="32" spans="2:23" ht="16.2" x14ac:dyDescent="0.85">
      <c r="C32" s="6"/>
      <c r="D32" s="17"/>
      <c r="E32" s="17"/>
      <c r="F32" s="20"/>
      <c r="G32" s="16" t="s">
        <v>79</v>
      </c>
      <c r="H32" s="39">
        <f>-K27-K25-K26</f>
        <v>-119976</v>
      </c>
      <c r="I32" s="12"/>
      <c r="J32" s="12"/>
      <c r="K32" s="12"/>
      <c r="L32" s="12"/>
      <c r="M32" s="1" t="s">
        <v>80</v>
      </c>
      <c r="N32" s="1"/>
      <c r="O32" s="1"/>
      <c r="P32" s="43">
        <v>0.26790000000000003</v>
      </c>
      <c r="Q32" s="1"/>
      <c r="R32" s="1" t="s">
        <v>81</v>
      </c>
      <c r="T32" s="18">
        <v>-909331</v>
      </c>
      <c r="U32" s="1"/>
      <c r="V32" s="18"/>
      <c r="W32" s="1"/>
    </row>
    <row r="33" spans="3:23" x14ac:dyDescent="0.55000000000000004">
      <c r="C33" s="17"/>
      <c r="D33" s="1"/>
      <c r="E33" s="17"/>
      <c r="F33" s="17"/>
      <c r="G33" s="46" t="s">
        <v>82</v>
      </c>
      <c r="H33" s="20">
        <f>H31+H32</f>
        <v>-42509.207999999999</v>
      </c>
      <c r="I33" s="12"/>
      <c r="J33" s="12"/>
      <c r="K33" s="12"/>
      <c r="L33" s="12"/>
      <c r="M33" s="1" t="s">
        <v>83</v>
      </c>
      <c r="N33" s="1"/>
      <c r="O33" s="1"/>
      <c r="P33" s="12">
        <f>+P31*P32</f>
        <v>138520.31238299998</v>
      </c>
      <c r="Q33" s="1"/>
      <c r="R33" s="24" t="s">
        <v>41</v>
      </c>
      <c r="T33" s="47">
        <f>T31+T32</f>
        <v>373798.76</v>
      </c>
      <c r="U33" s="1"/>
      <c r="V33" s="47"/>
      <c r="W33" s="1"/>
    </row>
    <row r="34" spans="3:23" x14ac:dyDescent="0.55000000000000004">
      <c r="C34" s="6"/>
      <c r="D34" s="17"/>
      <c r="E34" s="17"/>
      <c r="F34" s="17"/>
      <c r="G34" s="17"/>
      <c r="H34" s="1"/>
      <c r="I34" s="12"/>
      <c r="J34" s="12"/>
      <c r="K34" s="12"/>
      <c r="L34" s="12"/>
      <c r="M34" s="1" t="s">
        <v>84</v>
      </c>
      <c r="N34" s="9"/>
      <c r="O34" s="9"/>
      <c r="P34" s="48">
        <f>-K24</f>
        <v>-123885</v>
      </c>
      <c r="Q34" s="12"/>
      <c r="U34" s="1"/>
      <c r="V34" s="1"/>
      <c r="W34" s="1"/>
    </row>
    <row r="35" spans="3:23" ht="14.7" thickBot="1" x14ac:dyDescent="0.6">
      <c r="C35" s="6"/>
      <c r="D35" s="17"/>
      <c r="E35" s="17"/>
      <c r="F35" s="17"/>
      <c r="G35" s="17"/>
      <c r="H35" s="1"/>
      <c r="I35" s="12"/>
      <c r="J35" s="1"/>
      <c r="K35" s="1"/>
      <c r="L35" s="12"/>
      <c r="M35" s="24" t="s">
        <v>85</v>
      </c>
      <c r="N35" s="24"/>
      <c r="O35" s="24"/>
      <c r="P35" s="38">
        <f>+P33+P34</f>
        <v>14635.312382999982</v>
      </c>
      <c r="Q35" s="12"/>
      <c r="T35" s="1"/>
      <c r="U35" s="1"/>
      <c r="V35" s="1"/>
      <c r="W35" s="1"/>
    </row>
    <row r="36" spans="3:23" ht="14.7" thickTop="1" x14ac:dyDescent="0.55000000000000004">
      <c r="C36" s="1"/>
      <c r="D36" s="1"/>
      <c r="E36" s="1"/>
      <c r="F36" s="17"/>
      <c r="G36" s="17"/>
      <c r="H36" s="1"/>
      <c r="I36" s="12"/>
      <c r="J36" s="1"/>
      <c r="K36" s="1"/>
      <c r="L36" s="1"/>
      <c r="M36" s="1"/>
      <c r="N36" s="1"/>
      <c r="O36" s="1"/>
      <c r="P36" s="1"/>
      <c r="Q36" s="12"/>
      <c r="T36" s="1"/>
      <c r="U36" s="1"/>
      <c r="V36" s="1"/>
      <c r="W36" s="1"/>
    </row>
    <row r="37" spans="3:23" x14ac:dyDescent="0.55000000000000004">
      <c r="C37" s="1"/>
      <c r="D37" s="1"/>
      <c r="E37" s="1"/>
      <c r="F37" s="17"/>
      <c r="G37" s="17"/>
      <c r="H37" s="1"/>
      <c r="I37" s="1"/>
      <c r="L37" s="1"/>
      <c r="M37" s="1"/>
      <c r="N37" s="1"/>
      <c r="O37" s="1"/>
      <c r="P37" s="1"/>
      <c r="Q37" s="1"/>
      <c r="T37" s="1"/>
      <c r="U37" s="1"/>
      <c r="V37" s="1"/>
      <c r="W37" s="1"/>
    </row>
    <row r="38" spans="3:23" x14ac:dyDescent="0.55000000000000004">
      <c r="C38" s="1"/>
      <c r="D38" s="1"/>
      <c r="E38" s="1"/>
      <c r="F38" s="1"/>
      <c r="G38" s="17"/>
      <c r="H38" s="1"/>
      <c r="I38" s="1"/>
      <c r="Q38" s="1"/>
      <c r="T38" s="1"/>
      <c r="U38" s="1"/>
      <c r="V38" s="1"/>
      <c r="W38" s="1"/>
    </row>
    <row r="39" spans="3:23" x14ac:dyDescent="0.55000000000000004">
      <c r="F39" s="1"/>
      <c r="G39" s="1"/>
      <c r="H39" s="12"/>
      <c r="Q39" s="1"/>
      <c r="R39" s="1"/>
      <c r="S39" s="1"/>
      <c r="T39" s="1"/>
      <c r="U39" s="1"/>
      <c r="V39" s="1"/>
      <c r="W39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AlanV</dc:creator>
  <cp:lastModifiedBy>AlanV</cp:lastModifiedBy>
  <dcterms:created xsi:type="dcterms:W3CDTF">2023-03-09T14:23:03Z</dcterms:created>
  <dcterms:modified xsi:type="dcterms:W3CDTF">2023-03-18T21:43:12Z</dcterms:modified>
</cp:coreProperties>
</file>