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i\Google Drive\Meade Co 2022\RFI #1 files\"/>
    </mc:Choice>
  </mc:AlternateContent>
  <xr:revisionPtr revIDLastSave="0" documentId="8_{9AA0F512-5E0F-4ED4-ABE4-2C25445FC533}" xr6:coauthVersionLast="47" xr6:coauthVersionMax="47" xr10:uidLastSave="{00000000-0000-0000-0000-000000000000}"/>
  <bookViews>
    <workbookView xWindow="-96" yWindow="-96" windowWidth="23232" windowHeight="12552" xr2:uid="{22D3450F-0B82-4EA8-94E2-D1930B5CB5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8" i="1" l="1"/>
  <c r="S6" i="1"/>
  <c r="AG54" i="1"/>
  <c r="AG55" i="1"/>
  <c r="AG51" i="1"/>
  <c r="AG50" i="1"/>
  <c r="AG47" i="1"/>
  <c r="AG45" i="1"/>
  <c r="S49" i="1"/>
  <c r="S55" i="1"/>
  <c r="S53" i="1"/>
  <c r="S51" i="1"/>
  <c r="S50" i="1"/>
  <c r="S48" i="1"/>
  <c r="S46" i="1"/>
  <c r="S47" i="1"/>
  <c r="S45" i="1"/>
  <c r="S44" i="1"/>
  <c r="S42" i="1"/>
  <c r="AE43" i="1" l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42" i="1"/>
  <c r="K54" i="1"/>
  <c r="I54" i="1"/>
  <c r="K53" i="1"/>
  <c r="I53" i="1"/>
  <c r="K51" i="1"/>
  <c r="I51" i="1"/>
  <c r="K50" i="1"/>
  <c r="I50" i="1"/>
  <c r="K55" i="1"/>
  <c r="I55" i="1"/>
  <c r="K47" i="1"/>
  <c r="I47" i="1"/>
  <c r="I46" i="1"/>
  <c r="K46" i="1"/>
  <c r="K45" i="1"/>
  <c r="I45" i="1"/>
  <c r="K49" i="1"/>
  <c r="I49" i="1"/>
  <c r="K52" i="1"/>
  <c r="I52" i="1"/>
  <c r="K48" i="1"/>
  <c r="I48" i="1"/>
  <c r="K44" i="1"/>
  <c r="I44" i="1"/>
  <c r="K43" i="1"/>
  <c r="I43" i="1"/>
  <c r="K15" i="1"/>
  <c r="K12" i="1"/>
  <c r="K8" i="1"/>
  <c r="K7" i="1"/>
  <c r="K6" i="1"/>
  <c r="K17" i="1"/>
  <c r="K16" i="1"/>
  <c r="K14" i="1"/>
  <c r="K13" i="1"/>
  <c r="K11" i="1"/>
  <c r="K10" i="1"/>
  <c r="K9" i="1"/>
  <c r="K32" i="1"/>
  <c r="K29" i="1"/>
  <c r="K25" i="1"/>
  <c r="K24" i="1"/>
  <c r="K34" i="1"/>
  <c r="K33" i="1"/>
  <c r="K31" i="1"/>
  <c r="K30" i="1"/>
  <c r="K35" i="1"/>
  <c r="K28" i="1"/>
  <c r="K27" i="1"/>
  <c r="K26" i="1"/>
  <c r="S17" i="1"/>
  <c r="S16" i="1"/>
  <c r="S13" i="1"/>
  <c r="S12" i="1"/>
  <c r="S11" i="1"/>
  <c r="S10" i="1"/>
  <c r="S9" i="1"/>
  <c r="S7" i="1"/>
  <c r="S34" i="1"/>
  <c r="S33" i="1"/>
  <c r="S31" i="1"/>
  <c r="S28" i="1"/>
  <c r="S27" i="1"/>
  <c r="S26" i="1"/>
  <c r="I24" i="1"/>
  <c r="I32" i="1"/>
  <c r="I29" i="1"/>
  <c r="I25" i="1"/>
  <c r="I34" i="1"/>
  <c r="I33" i="1"/>
  <c r="I31" i="1"/>
  <c r="I30" i="1"/>
  <c r="I35" i="1"/>
  <c r="I28" i="1"/>
  <c r="I27" i="1"/>
  <c r="I26" i="1"/>
  <c r="I15" i="1"/>
  <c r="I12" i="1"/>
  <c r="I8" i="1"/>
  <c r="I7" i="1"/>
  <c r="I6" i="1"/>
  <c r="I17" i="1"/>
  <c r="I16" i="1"/>
  <c r="I14" i="1"/>
  <c r="I13" i="1"/>
  <c r="I11" i="1"/>
  <c r="I10" i="1"/>
  <c r="I9" i="1"/>
</calcChain>
</file>

<file path=xl/sharedStrings.xml><?xml version="1.0" encoding="utf-8"?>
<sst xmlns="http://schemas.openxmlformats.org/spreadsheetml/2006/main" count="193" uniqueCount="58">
  <si>
    <t>Job Title</t>
  </si>
  <si>
    <t>Hours Worked</t>
  </si>
  <si>
    <t>Rate of Pay</t>
  </si>
  <si>
    <t>Total Wages</t>
  </si>
  <si>
    <t>Date Hired</t>
  </si>
  <si>
    <t>Accounting Specialits</t>
  </si>
  <si>
    <t>CSR</t>
  </si>
  <si>
    <t>Heavy Equipmet Op</t>
  </si>
  <si>
    <t>Operator</t>
  </si>
  <si>
    <t>General Manager</t>
  </si>
  <si>
    <t>Billing Specialist</t>
  </si>
  <si>
    <t>Logistics/Safety Coordinator</t>
  </si>
  <si>
    <t>Distribution Operator</t>
  </si>
  <si>
    <t>Lead Distribution Operator</t>
  </si>
  <si>
    <t xml:space="preserve">Distribution Supervisor </t>
  </si>
  <si>
    <t>Date</t>
  </si>
  <si>
    <t>Terminated</t>
  </si>
  <si>
    <t>Health Insurance</t>
  </si>
  <si>
    <t>Employee</t>
  </si>
  <si>
    <t>Employer</t>
  </si>
  <si>
    <t>Denta l Insurance</t>
  </si>
  <si>
    <t>Lisa</t>
  </si>
  <si>
    <t>Tara</t>
  </si>
  <si>
    <t>Leigh Ann</t>
  </si>
  <si>
    <t>Eric</t>
  </si>
  <si>
    <t>Jason</t>
  </si>
  <si>
    <t>Corey</t>
  </si>
  <si>
    <t>Tim</t>
  </si>
  <si>
    <t>Beau</t>
  </si>
  <si>
    <t>Jeremy</t>
  </si>
  <si>
    <t>Jess</t>
  </si>
  <si>
    <t>Chad</t>
  </si>
  <si>
    <t>Roger</t>
  </si>
  <si>
    <t>Matt</t>
  </si>
  <si>
    <t>Coverage</t>
  </si>
  <si>
    <t>Retirement</t>
  </si>
  <si>
    <t>Health Insurnace</t>
  </si>
  <si>
    <t>Dental Insurance</t>
  </si>
  <si>
    <t>*Optional</t>
  </si>
  <si>
    <t>**Uniforms</t>
  </si>
  <si>
    <t>** uniforms are 100% employer paid</t>
  </si>
  <si>
    <t>FICA</t>
  </si>
  <si>
    <t>BLS Adjmt.</t>
  </si>
  <si>
    <t>Pro forma (EOY 2022)</t>
  </si>
  <si>
    <t>single</t>
  </si>
  <si>
    <t>declined</t>
  </si>
  <si>
    <t>Mason</t>
  </si>
  <si>
    <t>Single</t>
  </si>
  <si>
    <t>Declined</t>
  </si>
  <si>
    <t>Jessica</t>
  </si>
  <si>
    <t>Pd to KY Ret</t>
  </si>
  <si>
    <t>Brett</t>
  </si>
  <si>
    <t>Colten</t>
  </si>
  <si>
    <t>Employee +</t>
  </si>
  <si>
    <t>07/11/20109</t>
  </si>
  <si>
    <t>Family</t>
  </si>
  <si>
    <t>*optional coverage (life, disability, cancer, accident, etc) is 100% employee paid</t>
  </si>
  <si>
    <t>Heavy Equipment 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</si>
</sst>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3" fontId="3" fillId="0" borderId="0" xfId="1" applyFont="1"/>
    <xf numFmtId="43" fontId="3" fillId="0" borderId="0" xfId="1" applyFont="1" applyAlignment="1">
      <alignment horizontal="center"/>
    </xf>
    <xf numFmtId="164" fontId="4" fillId="0" borderId="0" xfId="0" applyNumberFormat="1" applyFont="1" applyAlignment="1">
      <alignment horizontal="center"/>
    </xf>
    <xf numFmtId="43" fontId="2" fillId="0" borderId="0" xfId="1" applyFont="1" applyAlignment="1">
      <alignment horizontal="center"/>
    </xf>
    <xf numFmtId="43" fontId="2" fillId="0" borderId="0" xfId="1" applyFont="1"/>
    <xf numFmtId="0" fontId="5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3" fontId="3" fillId="0" borderId="0" xfId="1" applyFont="1" applyAlignment="1">
      <alignment horizontal="center"/>
    </xf>
    <xf numFmtId="164" fontId="0" fillId="0" borderId="0" xfId="0" applyNumberFormat="1" applyAlignment="1">
      <alignment horizontal="right"/>
    </xf>
    <xf numFmtId="9" fontId="0" fillId="0" borderId="0" xfId="2" applyFont="1" applyAlignment="1">
      <alignment horizontal="center"/>
    </xf>
    <xf numFmtId="9" fontId="0" fillId="0" borderId="0" xfId="2" applyFont="1"/>
    <xf numFmtId="9" fontId="4" fillId="0" borderId="0" xfId="2" applyFont="1" applyAlignment="1">
      <alignment horizontal="center"/>
    </xf>
    <xf numFmtId="9" fontId="0" fillId="0" borderId="0" xfId="2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0A52E-D27F-4430-96C9-546C4C06ED49}">
  <dimension ref="A1:AH59"/>
  <sheetViews>
    <sheetView tabSelected="1" workbookViewId="0">
      <selection activeCell="A3" sqref="A3"/>
    </sheetView>
  </sheetViews>
  <sheetFormatPr defaultRowHeight="14.4" x14ac:dyDescent="0.55000000000000004"/>
  <cols>
    <col min="1" max="1" width="26" customWidth="1"/>
    <col min="2" max="2" width="2.83984375" customWidth="1"/>
    <col min="3" max="3" width="13" customWidth="1"/>
    <col min="4" max="4" width="2.83984375" customWidth="1"/>
    <col min="5" max="5" width="10.15625" style="2" customWidth="1"/>
    <col min="6" max="6" width="2.83984375" customWidth="1"/>
    <col min="7" max="7" width="11.26171875" style="2" customWidth="1"/>
    <col min="8" max="8" width="2.83984375" customWidth="1"/>
    <col min="9" max="9" width="9.15625" style="2"/>
    <col min="10" max="10" width="2.83984375" style="2" customWidth="1"/>
    <col min="11" max="11" width="10.15625" style="2" bestFit="1" customWidth="1"/>
    <col min="12" max="12" width="2.83984375" customWidth="1"/>
    <col min="13" max="13" width="10.68359375" bestFit="1" customWidth="1"/>
    <col min="14" max="14" width="2.83984375" customWidth="1"/>
    <col min="15" max="15" width="13" customWidth="1"/>
    <col min="16" max="16" width="2.83984375" customWidth="1"/>
    <col min="17" max="17" width="10.15625" style="2" bestFit="1" customWidth="1"/>
    <col min="18" max="18" width="2.83984375" customWidth="1"/>
    <col min="19" max="19" width="10.15625" style="2" bestFit="1" customWidth="1"/>
    <col min="20" max="20" width="11.578125" style="15" customWidth="1"/>
    <col min="21" max="21" width="10.15625" style="17" customWidth="1"/>
    <col min="22" max="22" width="2.83984375" customWidth="1"/>
    <col min="23" max="23" width="9.15625" style="2"/>
    <col min="24" max="24" width="2.83984375" customWidth="1"/>
    <col min="25" max="25" width="9.15625" style="2"/>
    <col min="26" max="26" width="2.83984375" customWidth="1"/>
    <col min="27" max="27" width="10.15625" style="2" customWidth="1"/>
    <col min="28" max="28" width="2.83984375" customWidth="1"/>
    <col min="29" max="29" width="9.15625" style="2"/>
    <col min="30" max="30" width="3.83984375" customWidth="1"/>
    <col min="31" max="31" width="11.15625" style="2" bestFit="1" customWidth="1"/>
    <col min="32" max="32" width="2.83984375" customWidth="1"/>
    <col min="33" max="33" width="10.68359375" style="2" customWidth="1"/>
  </cols>
  <sheetData>
    <row r="1" spans="1:34" ht="15" customHeight="1" x14ac:dyDescent="0.55000000000000004">
      <c r="C1" s="11">
        <v>2020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15" customHeight="1" x14ac:dyDescent="0.55000000000000004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4" spans="1:34" x14ac:dyDescent="0.55000000000000004">
      <c r="I4" s="13" t="s">
        <v>41</v>
      </c>
      <c r="J4" s="13"/>
      <c r="K4" s="13"/>
      <c r="O4" s="3" t="s">
        <v>15</v>
      </c>
      <c r="Q4" s="12" t="s">
        <v>17</v>
      </c>
      <c r="R4" s="12"/>
      <c r="S4" s="12"/>
      <c r="T4" s="12"/>
      <c r="U4" s="12"/>
      <c r="W4" s="12" t="s">
        <v>20</v>
      </c>
      <c r="X4" s="12"/>
      <c r="Y4" s="12"/>
      <c r="AA4" s="4" t="s">
        <v>38</v>
      </c>
      <c r="AC4" s="12" t="s">
        <v>35</v>
      </c>
      <c r="AD4" s="12"/>
      <c r="AE4" s="12"/>
      <c r="AF4" s="3"/>
      <c r="AG4" s="4" t="s">
        <v>39</v>
      </c>
    </row>
    <row r="5" spans="1:34" x14ac:dyDescent="0.55000000000000004">
      <c r="A5" t="s">
        <v>0</v>
      </c>
      <c r="C5" t="s">
        <v>1</v>
      </c>
      <c r="E5" s="2" t="s">
        <v>2</v>
      </c>
      <c r="G5" s="2" t="s">
        <v>3</v>
      </c>
      <c r="I5" s="2" t="s">
        <v>18</v>
      </c>
      <c r="K5" s="2" t="s">
        <v>19</v>
      </c>
      <c r="M5" t="s">
        <v>4</v>
      </c>
      <c r="O5" s="3" t="s">
        <v>16</v>
      </c>
      <c r="Q5" s="2" t="s">
        <v>18</v>
      </c>
      <c r="S5" s="2" t="s">
        <v>19</v>
      </c>
      <c r="T5" s="4" t="s">
        <v>34</v>
      </c>
      <c r="U5" s="16" t="s">
        <v>42</v>
      </c>
      <c r="W5" s="2" t="s">
        <v>18</v>
      </c>
      <c r="Y5" s="2" t="s">
        <v>19</v>
      </c>
      <c r="AA5" s="4" t="s">
        <v>34</v>
      </c>
      <c r="AC5" s="2" t="s">
        <v>18</v>
      </c>
      <c r="AE5" s="2" t="s">
        <v>19</v>
      </c>
      <c r="AG5" s="2" t="s">
        <v>19</v>
      </c>
    </row>
    <row r="6" spans="1:34" x14ac:dyDescent="0.55000000000000004">
      <c r="A6" t="s">
        <v>5</v>
      </c>
      <c r="C6">
        <v>2141.25</v>
      </c>
      <c r="E6" s="2">
        <v>17.47</v>
      </c>
      <c r="G6" s="2">
        <v>35454.42</v>
      </c>
      <c r="I6" s="2">
        <f>495.7+2119.08</f>
        <v>2614.7799999999997</v>
      </c>
      <c r="K6" s="2">
        <f>495.7+2119.08</f>
        <v>2614.7799999999997</v>
      </c>
      <c r="M6" s="1">
        <v>43535</v>
      </c>
      <c r="Q6" s="2">
        <v>112.05</v>
      </c>
      <c r="S6" s="2">
        <f>780.1*12-Q6</f>
        <v>9249.1500000000015</v>
      </c>
      <c r="T6" s="15" t="s">
        <v>47</v>
      </c>
      <c r="U6" s="17">
        <v>0.22</v>
      </c>
      <c r="W6" s="2">
        <v>0</v>
      </c>
      <c r="Y6" s="2">
        <v>287.04000000000002</v>
      </c>
      <c r="AA6" s="2">
        <v>1164.94</v>
      </c>
      <c r="AC6" s="2">
        <v>1772.72</v>
      </c>
      <c r="AE6" s="2">
        <v>8530.34</v>
      </c>
      <c r="AG6" s="2">
        <v>0</v>
      </c>
      <c r="AH6" t="s">
        <v>21</v>
      </c>
    </row>
    <row r="7" spans="1:34" x14ac:dyDescent="0.55000000000000004">
      <c r="A7" t="s">
        <v>6</v>
      </c>
      <c r="C7">
        <v>1529.75</v>
      </c>
      <c r="E7" s="2">
        <v>14.59</v>
      </c>
      <c r="G7" s="2">
        <v>22412.16</v>
      </c>
      <c r="I7" s="2">
        <f>231.79+991.05</f>
        <v>1222.8399999999999</v>
      </c>
      <c r="K7" s="2">
        <f>231.79+991.05</f>
        <v>1222.8399999999999</v>
      </c>
      <c r="M7" s="1">
        <v>40133</v>
      </c>
      <c r="O7" s="1">
        <v>44097</v>
      </c>
      <c r="Q7" s="2">
        <v>3162.92</v>
      </c>
      <c r="S7" s="2">
        <f>2481.73*10-Q7</f>
        <v>21654.379999999997</v>
      </c>
      <c r="T7" s="15" t="s">
        <v>55</v>
      </c>
      <c r="U7" s="17">
        <v>0.33</v>
      </c>
      <c r="W7" s="2">
        <v>0</v>
      </c>
      <c r="Y7" s="2">
        <v>287.04000000000002</v>
      </c>
      <c r="AA7" s="2">
        <v>2424.63</v>
      </c>
      <c r="AC7" s="2">
        <v>1120.5899999999999</v>
      </c>
      <c r="AE7" s="2">
        <v>5392.37</v>
      </c>
      <c r="AG7" s="2">
        <v>0</v>
      </c>
      <c r="AH7" t="s">
        <v>22</v>
      </c>
    </row>
    <row r="8" spans="1:34" x14ac:dyDescent="0.55000000000000004">
      <c r="A8" t="s">
        <v>6</v>
      </c>
      <c r="C8">
        <v>470.5</v>
      </c>
      <c r="E8" s="2">
        <v>15.7</v>
      </c>
      <c r="G8" s="2">
        <v>7340.5</v>
      </c>
      <c r="I8" s="2">
        <f>422.59+98.85</f>
        <v>521.43999999999994</v>
      </c>
      <c r="K8" s="2">
        <f>98.85+422.59</f>
        <v>521.43999999999994</v>
      </c>
      <c r="M8" s="1">
        <v>44116</v>
      </c>
      <c r="Q8" s="2">
        <v>450.85</v>
      </c>
      <c r="S8" s="2">
        <f>780.1*2-Q8</f>
        <v>1109.3499999999999</v>
      </c>
      <c r="T8" s="15" t="s">
        <v>47</v>
      </c>
      <c r="U8" s="17">
        <v>0.22</v>
      </c>
      <c r="W8" s="2">
        <v>0</v>
      </c>
      <c r="Y8" s="2">
        <v>287.04000000000002</v>
      </c>
      <c r="AA8" s="2">
        <v>0</v>
      </c>
      <c r="AC8" s="2">
        <v>367.03</v>
      </c>
      <c r="AE8" s="2">
        <v>1766.13</v>
      </c>
      <c r="AG8" s="2">
        <v>0</v>
      </c>
      <c r="AH8" t="s">
        <v>23</v>
      </c>
    </row>
    <row r="9" spans="1:34" x14ac:dyDescent="0.55000000000000004">
      <c r="A9" t="s">
        <v>7</v>
      </c>
      <c r="C9">
        <v>2219.75</v>
      </c>
      <c r="E9" s="2">
        <v>19.02</v>
      </c>
      <c r="G9" s="2">
        <v>43593.88</v>
      </c>
      <c r="I9" s="2">
        <f>624.8+2671.77</f>
        <v>3296.5699999999997</v>
      </c>
      <c r="K9" s="2">
        <f>624.8+2671.77</f>
        <v>3296.5699999999997</v>
      </c>
      <c r="M9" s="1">
        <v>41253</v>
      </c>
      <c r="Q9" s="2">
        <v>65.08</v>
      </c>
      <c r="S9" s="2">
        <f>866.05*12</f>
        <v>10392.599999999999</v>
      </c>
      <c r="T9" s="15" t="s">
        <v>47</v>
      </c>
      <c r="U9" s="17">
        <v>0.22</v>
      </c>
      <c r="W9" s="2">
        <v>0</v>
      </c>
      <c r="Y9" s="2">
        <v>287.04000000000002</v>
      </c>
      <c r="AA9" s="2">
        <v>0</v>
      </c>
      <c r="AC9" s="2">
        <v>2179.6799999999998</v>
      </c>
      <c r="AE9" s="2">
        <v>10488.69</v>
      </c>
      <c r="AG9" s="2">
        <v>335</v>
      </c>
      <c r="AH9" t="s">
        <v>24</v>
      </c>
    </row>
    <row r="10" spans="1:34" x14ac:dyDescent="0.55000000000000004">
      <c r="A10" t="s">
        <v>11</v>
      </c>
      <c r="C10">
        <v>2202.5</v>
      </c>
      <c r="E10" s="2">
        <v>19.57</v>
      </c>
      <c r="G10" s="2">
        <v>42636.45</v>
      </c>
      <c r="I10" s="2">
        <f>618.44+2643.27</f>
        <v>3261.71</v>
      </c>
      <c r="K10" s="2">
        <f>618.44+2643.27</f>
        <v>3261.71</v>
      </c>
      <c r="M10" s="1">
        <v>39329</v>
      </c>
      <c r="Q10" s="2">
        <v>0</v>
      </c>
      <c r="S10" s="2">
        <f>780.1*12</f>
        <v>9361.2000000000007</v>
      </c>
      <c r="T10" s="15" t="s">
        <v>47</v>
      </c>
      <c r="U10" s="17">
        <v>0.22</v>
      </c>
      <c r="W10" s="2">
        <v>0</v>
      </c>
      <c r="Y10" s="2">
        <v>287.04000000000002</v>
      </c>
      <c r="AA10" s="2">
        <v>0</v>
      </c>
      <c r="AC10" s="2">
        <v>2054.04</v>
      </c>
      <c r="AE10" s="2">
        <v>10258.33</v>
      </c>
      <c r="AG10" s="2">
        <v>0</v>
      </c>
      <c r="AH10" t="s">
        <v>25</v>
      </c>
    </row>
    <row r="11" spans="1:34" x14ac:dyDescent="0.55000000000000004">
      <c r="A11" t="s">
        <v>12</v>
      </c>
      <c r="C11">
        <v>2198.25</v>
      </c>
      <c r="E11" s="2">
        <v>15.43</v>
      </c>
      <c r="G11" s="2">
        <v>35268.89</v>
      </c>
      <c r="I11" s="2">
        <f>506.28+2164.89</f>
        <v>2671.17</v>
      </c>
      <c r="K11" s="2">
        <f>506.28+2164.89</f>
        <v>2671.17</v>
      </c>
      <c r="M11" s="1">
        <v>43657</v>
      </c>
      <c r="Q11" s="2">
        <v>0</v>
      </c>
      <c r="S11" s="2">
        <f>780.1*12</f>
        <v>9361.2000000000007</v>
      </c>
      <c r="T11" s="15" t="s">
        <v>47</v>
      </c>
      <c r="U11" s="17">
        <v>0.22</v>
      </c>
      <c r="W11" s="2">
        <v>0</v>
      </c>
      <c r="Y11" s="2">
        <v>287.04000000000002</v>
      </c>
      <c r="AA11" s="2">
        <v>0</v>
      </c>
      <c r="AC11" s="2">
        <v>1763.43</v>
      </c>
      <c r="AE11" s="2">
        <v>8485.7000000000007</v>
      </c>
      <c r="AG11" s="2">
        <v>335</v>
      </c>
      <c r="AH11" t="s">
        <v>26</v>
      </c>
    </row>
    <row r="12" spans="1:34" x14ac:dyDescent="0.55000000000000004">
      <c r="A12" t="s">
        <v>9</v>
      </c>
      <c r="C12">
        <v>2160</v>
      </c>
      <c r="E12" s="2">
        <v>19.02</v>
      </c>
      <c r="G12" s="2">
        <v>75405.600000000006</v>
      </c>
      <c r="I12" s="2">
        <f>1081.19+4622.39</f>
        <v>5703.58</v>
      </c>
      <c r="K12" s="2">
        <f>1081.19+4622.39</f>
        <v>5703.58</v>
      </c>
      <c r="M12" s="1">
        <v>42709</v>
      </c>
      <c r="O12" s="1"/>
      <c r="Q12" s="2">
        <v>112.05</v>
      </c>
      <c r="S12" s="2">
        <f>780.1*12</f>
        <v>9361.2000000000007</v>
      </c>
      <c r="T12" s="15" t="s">
        <v>47</v>
      </c>
      <c r="U12" s="17">
        <v>0.22</v>
      </c>
      <c r="W12" s="2">
        <v>0</v>
      </c>
      <c r="Y12" s="2">
        <v>287.04000000000002</v>
      </c>
      <c r="AA12" s="2">
        <v>0</v>
      </c>
      <c r="AC12" s="2">
        <v>3699.66</v>
      </c>
      <c r="AE12" s="2">
        <v>18142.59</v>
      </c>
      <c r="AG12" s="2">
        <v>0</v>
      </c>
      <c r="AH12" t="s">
        <v>27</v>
      </c>
    </row>
    <row r="13" spans="1:34" x14ac:dyDescent="0.55000000000000004">
      <c r="A13" t="s">
        <v>7</v>
      </c>
      <c r="C13">
        <v>2171.5</v>
      </c>
      <c r="E13" s="2">
        <v>20.12</v>
      </c>
      <c r="G13" s="2">
        <v>43709.37</v>
      </c>
      <c r="I13" s="2">
        <f>579.46+2477.81</f>
        <v>3057.27</v>
      </c>
      <c r="K13" s="2">
        <f>549.79+2477.81</f>
        <v>3027.6</v>
      </c>
      <c r="M13" s="1">
        <v>35503</v>
      </c>
      <c r="O13" s="1"/>
      <c r="Q13" s="2">
        <v>1053.21</v>
      </c>
      <c r="S13" s="2">
        <f>866.05*12-Q13</f>
        <v>9339.39</v>
      </c>
      <c r="T13" s="15" t="s">
        <v>47</v>
      </c>
      <c r="U13" s="17">
        <v>0.22</v>
      </c>
      <c r="W13" s="2">
        <v>880.86</v>
      </c>
      <c r="Y13" s="2">
        <v>0</v>
      </c>
      <c r="AA13" s="2">
        <v>1812.07</v>
      </c>
      <c r="AC13" s="2">
        <v>2185.4699999999998</v>
      </c>
      <c r="AE13" s="2">
        <v>10516.48</v>
      </c>
      <c r="AG13" s="2">
        <v>335</v>
      </c>
      <c r="AH13" t="s">
        <v>28</v>
      </c>
    </row>
    <row r="14" spans="1:34" x14ac:dyDescent="0.55000000000000004">
      <c r="A14" t="s">
        <v>13</v>
      </c>
      <c r="C14">
        <v>2210</v>
      </c>
      <c r="E14" s="2">
        <v>19.02</v>
      </c>
      <c r="G14" s="2">
        <v>42022.76</v>
      </c>
      <c r="I14" s="2">
        <f>587.65+2513.05</f>
        <v>3100.7000000000003</v>
      </c>
      <c r="K14" s="2">
        <f>587.65+2513.05</f>
        <v>3100.7000000000003</v>
      </c>
      <c r="M14" s="1">
        <v>41113</v>
      </c>
      <c r="Q14" s="2">
        <v>0</v>
      </c>
      <c r="S14" s="2">
        <v>9339.39</v>
      </c>
      <c r="T14" s="15" t="s">
        <v>47</v>
      </c>
      <c r="U14" s="17">
        <v>0.22</v>
      </c>
      <c r="W14" s="2">
        <v>0</v>
      </c>
      <c r="Y14" s="2">
        <v>287.04000000000002</v>
      </c>
      <c r="AA14" s="2">
        <v>1078.28</v>
      </c>
      <c r="AC14" s="2">
        <v>2063.59</v>
      </c>
      <c r="AE14" s="2">
        <v>10110.68</v>
      </c>
      <c r="AG14" s="2">
        <v>335</v>
      </c>
      <c r="AH14" t="s">
        <v>29</v>
      </c>
    </row>
    <row r="15" spans="1:34" x14ac:dyDescent="0.55000000000000004">
      <c r="A15" t="s">
        <v>10</v>
      </c>
      <c r="C15">
        <v>1962.25</v>
      </c>
      <c r="E15" s="2">
        <v>17</v>
      </c>
      <c r="G15" s="2">
        <v>31527.7</v>
      </c>
      <c r="I15" s="2">
        <f>1735.33+405.93</f>
        <v>2141.2599999999998</v>
      </c>
      <c r="K15" s="2">
        <f>405.93+1735.33</f>
        <v>2141.2599999999998</v>
      </c>
      <c r="M15" s="1">
        <v>38516</v>
      </c>
      <c r="Q15" s="2">
        <v>0</v>
      </c>
      <c r="S15" s="2">
        <v>0</v>
      </c>
      <c r="T15" s="15" t="s">
        <v>48</v>
      </c>
      <c r="W15" s="2">
        <v>0</v>
      </c>
      <c r="Y15" s="2">
        <v>287.04000000000002</v>
      </c>
      <c r="AA15" s="2">
        <v>3536.39</v>
      </c>
      <c r="AC15" s="2">
        <v>1576.39</v>
      </c>
      <c r="AE15" s="2">
        <v>7585.57</v>
      </c>
      <c r="AG15" s="2">
        <v>0</v>
      </c>
      <c r="AH15" t="s">
        <v>30</v>
      </c>
    </row>
    <row r="16" spans="1:34" x14ac:dyDescent="0.55000000000000004">
      <c r="A16" t="s">
        <v>14</v>
      </c>
      <c r="C16">
        <v>2080</v>
      </c>
      <c r="E16" s="2">
        <v>26.72</v>
      </c>
      <c r="G16" s="2">
        <v>57048.800000000003</v>
      </c>
      <c r="I16" s="2">
        <f>766.02+3275.95</f>
        <v>4041.97</v>
      </c>
      <c r="K16" s="2">
        <f>766.02+3275.95</f>
        <v>4041.97</v>
      </c>
      <c r="M16" s="1">
        <v>37011</v>
      </c>
      <c r="Q16" s="2">
        <v>2762.8560000000002</v>
      </c>
      <c r="S16" s="2">
        <f>1639.54*12-Q16</f>
        <v>16911.624</v>
      </c>
      <c r="T16" s="15" t="s">
        <v>53</v>
      </c>
      <c r="U16" s="17">
        <v>0.33</v>
      </c>
      <c r="W16" s="2">
        <v>880.86</v>
      </c>
      <c r="Y16" s="2">
        <v>0</v>
      </c>
      <c r="AA16" s="2">
        <v>564.98</v>
      </c>
      <c r="AC16" s="2">
        <v>2799.68</v>
      </c>
      <c r="AE16" s="2">
        <v>13725.95</v>
      </c>
      <c r="AG16" s="2">
        <v>0</v>
      </c>
      <c r="AH16" t="s">
        <v>31</v>
      </c>
    </row>
    <row r="17" spans="1:34" x14ac:dyDescent="0.55000000000000004">
      <c r="A17" t="s">
        <v>8</v>
      </c>
      <c r="C17">
        <v>2240.75</v>
      </c>
      <c r="E17" s="2">
        <v>15.43</v>
      </c>
      <c r="G17" s="2">
        <v>38298.589999999997</v>
      </c>
      <c r="I17" s="2">
        <f>512.3+2190.35</f>
        <v>2702.6499999999996</v>
      </c>
      <c r="K17" s="2">
        <f>512.3+2190.35</f>
        <v>2702.6499999999996</v>
      </c>
      <c r="M17" s="1">
        <v>43657</v>
      </c>
      <c r="O17" s="1"/>
      <c r="Q17" s="2">
        <v>2587.8000000000002</v>
      </c>
      <c r="S17" s="2">
        <f>1476.26*12-Q17</f>
        <v>15127.32</v>
      </c>
      <c r="T17" s="15" t="s">
        <v>53</v>
      </c>
      <c r="U17" s="17">
        <v>0.33</v>
      </c>
      <c r="W17" s="2">
        <v>0</v>
      </c>
      <c r="Y17" s="2">
        <v>287.04000000000002</v>
      </c>
      <c r="AA17" s="2">
        <v>0</v>
      </c>
      <c r="AC17" s="2">
        <v>1914.93</v>
      </c>
      <c r="AE17" s="2">
        <v>9214.64</v>
      </c>
      <c r="AG17" s="2">
        <v>335</v>
      </c>
      <c r="AH17" t="s">
        <v>32</v>
      </c>
    </row>
    <row r="19" spans="1:34" x14ac:dyDescent="0.55000000000000004">
      <c r="C19" s="11">
        <v>2021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x14ac:dyDescent="0.55000000000000004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2" spans="1:34" x14ac:dyDescent="0.55000000000000004">
      <c r="I22" s="13" t="s">
        <v>41</v>
      </c>
      <c r="J22" s="13"/>
      <c r="K22" s="13"/>
      <c r="O22" s="3" t="s">
        <v>15</v>
      </c>
      <c r="Q22" s="13" t="s">
        <v>36</v>
      </c>
      <c r="R22" s="13"/>
      <c r="S22" s="13"/>
      <c r="T22" s="13"/>
      <c r="U22" s="13"/>
      <c r="W22" s="12" t="s">
        <v>37</v>
      </c>
      <c r="X22" s="12"/>
      <c r="Y22" s="12"/>
      <c r="AA22" s="2" t="s">
        <v>38</v>
      </c>
      <c r="AC22" s="12" t="s">
        <v>35</v>
      </c>
      <c r="AD22" s="12"/>
      <c r="AE22" s="12"/>
      <c r="AF22" s="3"/>
      <c r="AG22" s="4" t="s">
        <v>39</v>
      </c>
    </row>
    <row r="23" spans="1:34" x14ac:dyDescent="0.55000000000000004">
      <c r="A23" t="s">
        <v>0</v>
      </c>
      <c r="C23" t="s">
        <v>1</v>
      </c>
      <c r="E23" s="2" t="s">
        <v>2</v>
      </c>
      <c r="G23" s="2" t="s">
        <v>3</v>
      </c>
      <c r="I23" s="2" t="s">
        <v>18</v>
      </c>
      <c r="K23" s="2" t="s">
        <v>19</v>
      </c>
      <c r="M23" t="s">
        <v>4</v>
      </c>
      <c r="O23" s="3" t="s">
        <v>16</v>
      </c>
      <c r="Q23" s="2" t="s">
        <v>18</v>
      </c>
      <c r="S23" s="2" t="s">
        <v>19</v>
      </c>
      <c r="T23" s="4" t="s">
        <v>34</v>
      </c>
      <c r="U23" s="16" t="s">
        <v>42</v>
      </c>
      <c r="W23" s="2" t="s">
        <v>18</v>
      </c>
      <c r="Y23" s="2" t="s">
        <v>19</v>
      </c>
      <c r="AA23" s="2" t="s">
        <v>34</v>
      </c>
      <c r="AC23" s="2" t="s">
        <v>18</v>
      </c>
      <c r="AE23" s="2" t="s">
        <v>19</v>
      </c>
      <c r="AG23" s="2" t="s">
        <v>19</v>
      </c>
    </row>
    <row r="24" spans="1:34" x14ac:dyDescent="0.55000000000000004">
      <c r="A24" t="s">
        <v>5</v>
      </c>
      <c r="C24">
        <v>2113</v>
      </c>
      <c r="E24" s="2">
        <v>19</v>
      </c>
      <c r="G24" s="2">
        <v>37508.410000000003</v>
      </c>
      <c r="I24" s="2">
        <f>510.65+2183.25</f>
        <v>2693.9</v>
      </c>
      <c r="K24" s="2">
        <f>510.65+2183.25</f>
        <v>2693.9</v>
      </c>
      <c r="M24" s="1">
        <v>43535</v>
      </c>
      <c r="Q24" s="2">
        <v>1174.32</v>
      </c>
      <c r="S24" s="2">
        <v>10478.879999999999</v>
      </c>
      <c r="T24" s="15" t="s">
        <v>47</v>
      </c>
      <c r="U24" s="17">
        <v>0.22</v>
      </c>
      <c r="W24" s="2">
        <v>0</v>
      </c>
      <c r="Y24" s="2">
        <v>287.04000000000002</v>
      </c>
      <c r="AA24" s="2">
        <v>1118.1099999999999</v>
      </c>
      <c r="AC24" s="2">
        <v>1875.42</v>
      </c>
      <c r="AE24" s="2">
        <v>9579.02</v>
      </c>
      <c r="AG24" s="2">
        <v>0</v>
      </c>
      <c r="AH24" t="s">
        <v>21</v>
      </c>
    </row>
    <row r="25" spans="1:34" x14ac:dyDescent="0.55000000000000004">
      <c r="A25" t="s">
        <v>6</v>
      </c>
      <c r="C25">
        <v>2109.5</v>
      </c>
      <c r="E25" s="2">
        <v>17.13</v>
      </c>
      <c r="G25" s="2">
        <v>39679.96</v>
      </c>
      <c r="I25" s="2">
        <f>466.49+1994.55</f>
        <v>2461.04</v>
      </c>
      <c r="K25" s="2">
        <f>466.49+1994.55</f>
        <v>2461.04</v>
      </c>
      <c r="M25" s="1">
        <v>44116</v>
      </c>
      <c r="Q25" s="2">
        <v>1174.32</v>
      </c>
      <c r="S25" s="2">
        <v>10478.879999999999</v>
      </c>
      <c r="T25" s="15" t="s">
        <v>47</v>
      </c>
      <c r="U25" s="17">
        <v>0.22</v>
      </c>
      <c r="W25" s="2">
        <v>0</v>
      </c>
      <c r="Y25" s="2">
        <v>287.04000000000002</v>
      </c>
      <c r="AA25" s="2">
        <v>0</v>
      </c>
      <c r="AC25" s="2">
        <v>1684.02</v>
      </c>
      <c r="AE25" s="2">
        <v>8613.94</v>
      </c>
      <c r="AG25" s="2">
        <v>0</v>
      </c>
      <c r="AH25" t="s">
        <v>23</v>
      </c>
    </row>
    <row r="26" spans="1:34" x14ac:dyDescent="0.55000000000000004">
      <c r="A26" t="s">
        <v>7</v>
      </c>
      <c r="C26">
        <v>2195.25</v>
      </c>
      <c r="E26" s="2">
        <v>21.2</v>
      </c>
      <c r="G26" s="2">
        <v>46438.62</v>
      </c>
      <c r="I26" s="2">
        <f>666.77+2850.48</f>
        <v>3517.25</v>
      </c>
      <c r="K26" s="2">
        <f>666.77+2850.48</f>
        <v>3517.25</v>
      </c>
      <c r="M26" s="1">
        <v>41253</v>
      </c>
      <c r="Q26" s="2">
        <v>0</v>
      </c>
      <c r="S26" s="2">
        <f>873.98*12</f>
        <v>10487.76</v>
      </c>
      <c r="T26" s="15" t="s">
        <v>47</v>
      </c>
      <c r="U26" s="17">
        <v>0.22</v>
      </c>
      <c r="W26" s="2">
        <v>0</v>
      </c>
      <c r="Y26" s="2">
        <v>287.04000000000002</v>
      </c>
      <c r="AA26" s="2">
        <v>0</v>
      </c>
      <c r="AC26" s="2">
        <v>2310.17</v>
      </c>
      <c r="AE26" s="2">
        <v>11885</v>
      </c>
      <c r="AG26" s="2">
        <v>335</v>
      </c>
      <c r="AH26" t="s">
        <v>24</v>
      </c>
    </row>
    <row r="27" spans="1:34" x14ac:dyDescent="0.55000000000000004">
      <c r="A27" t="s">
        <v>11</v>
      </c>
      <c r="C27">
        <v>2177</v>
      </c>
      <c r="E27" s="2">
        <v>20.72</v>
      </c>
      <c r="G27" s="2">
        <v>43007.17</v>
      </c>
      <c r="I27" s="2">
        <f>2666.28+623.59</f>
        <v>3289.8700000000003</v>
      </c>
      <c r="K27" s="2">
        <f>623.59+2666.28</f>
        <v>3289.8700000000003</v>
      </c>
      <c r="M27" s="1">
        <v>39329</v>
      </c>
      <c r="Q27" s="2">
        <v>0</v>
      </c>
      <c r="S27" s="2">
        <f>873.98*12</f>
        <v>10487.76</v>
      </c>
      <c r="T27" s="15" t="s">
        <v>47</v>
      </c>
      <c r="U27" s="17">
        <v>0.22</v>
      </c>
      <c r="W27" s="2">
        <v>0</v>
      </c>
      <c r="Y27" s="2">
        <v>287.04000000000002</v>
      </c>
      <c r="AA27" s="2">
        <v>0</v>
      </c>
      <c r="AC27" s="2">
        <v>2072.08</v>
      </c>
      <c r="AE27" s="2">
        <v>11013.84</v>
      </c>
      <c r="AG27" s="2">
        <v>0</v>
      </c>
      <c r="AH27" t="s">
        <v>25</v>
      </c>
    </row>
    <row r="28" spans="1:34" x14ac:dyDescent="0.55000000000000004">
      <c r="A28" t="s">
        <v>12</v>
      </c>
      <c r="C28">
        <v>2136.5</v>
      </c>
      <c r="E28" s="2">
        <v>18.809999999999999</v>
      </c>
      <c r="G28" s="2">
        <v>38137.17</v>
      </c>
      <c r="I28" s="2">
        <f>547.53+2340.73</f>
        <v>2888.26</v>
      </c>
      <c r="K28" s="2">
        <f>547.53+2340.73</f>
        <v>2888.26</v>
      </c>
      <c r="M28" s="1">
        <v>43657</v>
      </c>
      <c r="Q28" s="2">
        <v>0</v>
      </c>
      <c r="S28" s="2">
        <f>873.98*12</f>
        <v>10487.76</v>
      </c>
      <c r="T28" s="15" t="s">
        <v>47</v>
      </c>
      <c r="U28" s="17">
        <v>0.22</v>
      </c>
      <c r="W28" s="2">
        <v>0</v>
      </c>
      <c r="Y28" s="2">
        <v>287.04000000000002</v>
      </c>
      <c r="AA28" s="2">
        <v>0</v>
      </c>
      <c r="AC28" s="2">
        <v>1906.87</v>
      </c>
      <c r="AE28" s="2">
        <v>9777.73</v>
      </c>
      <c r="AG28" s="2">
        <v>335</v>
      </c>
      <c r="AH28" t="s">
        <v>26</v>
      </c>
    </row>
    <row r="29" spans="1:34" x14ac:dyDescent="0.55000000000000004">
      <c r="A29" t="s">
        <v>9</v>
      </c>
      <c r="C29">
        <v>2080</v>
      </c>
      <c r="E29" s="2">
        <v>20.14</v>
      </c>
      <c r="G29" s="2">
        <v>73562.8</v>
      </c>
      <c r="I29" s="2">
        <f>1038.95+4442.3</f>
        <v>5481.25</v>
      </c>
      <c r="K29" s="2">
        <f>1038.95+4442.3</f>
        <v>5481.25</v>
      </c>
      <c r="M29" s="1">
        <v>42709</v>
      </c>
      <c r="Q29" s="2">
        <v>1174.32</v>
      </c>
      <c r="S29" s="2">
        <v>10478.879999999999</v>
      </c>
      <c r="T29" s="15" t="s">
        <v>47</v>
      </c>
      <c r="U29" s="17">
        <v>0.22</v>
      </c>
      <c r="W29" s="2">
        <v>0</v>
      </c>
      <c r="Y29" s="2">
        <v>287.04000000000002</v>
      </c>
      <c r="AA29" s="2">
        <v>0</v>
      </c>
      <c r="AC29" s="2">
        <v>3678.14</v>
      </c>
      <c r="AE29" s="2">
        <v>18801.71</v>
      </c>
      <c r="AG29" s="2">
        <v>0</v>
      </c>
      <c r="AH29" t="s">
        <v>27</v>
      </c>
    </row>
    <row r="30" spans="1:34" x14ac:dyDescent="0.55000000000000004">
      <c r="A30" t="s">
        <v>7</v>
      </c>
      <c r="C30">
        <v>2116</v>
      </c>
      <c r="E30" s="2">
        <v>21.31</v>
      </c>
      <c r="G30" s="2">
        <v>43677.66</v>
      </c>
      <c r="I30" s="2">
        <f>2473.02+578.4</f>
        <v>3051.42</v>
      </c>
      <c r="K30" s="2">
        <f>578.4+2473.02</f>
        <v>3051.42</v>
      </c>
      <c r="M30" s="1">
        <v>35503</v>
      </c>
      <c r="Q30" s="2">
        <v>1174.32</v>
      </c>
      <c r="S30" s="2">
        <v>10478.879999999999</v>
      </c>
      <c r="T30" s="15" t="s">
        <v>47</v>
      </c>
      <c r="U30" s="17">
        <v>0.22</v>
      </c>
      <c r="W30" s="2">
        <v>864.24</v>
      </c>
      <c r="Y30" s="2">
        <v>0</v>
      </c>
      <c r="AA30" s="2">
        <v>1753.08</v>
      </c>
      <c r="AC30" s="2">
        <v>2183.9</v>
      </c>
      <c r="AE30" s="2">
        <v>11182.42</v>
      </c>
      <c r="AG30" s="2">
        <v>335</v>
      </c>
      <c r="AH30" t="s">
        <v>28</v>
      </c>
    </row>
    <row r="31" spans="1:34" x14ac:dyDescent="0.55000000000000004">
      <c r="A31" t="s">
        <v>13</v>
      </c>
      <c r="C31">
        <v>2198.75</v>
      </c>
      <c r="E31" s="2">
        <v>20.14</v>
      </c>
      <c r="G31" s="2">
        <v>43430.83</v>
      </c>
      <c r="I31" s="2">
        <f>2596.95+607.37</f>
        <v>3204.3199999999997</v>
      </c>
      <c r="K31" s="2">
        <f>607.37+2596.95</f>
        <v>3204.3199999999997</v>
      </c>
      <c r="M31" s="1">
        <v>41113</v>
      </c>
      <c r="Q31" s="2">
        <v>0</v>
      </c>
      <c r="S31" s="2">
        <f>873.98*12</f>
        <v>10487.76</v>
      </c>
      <c r="T31" s="15" t="s">
        <v>47</v>
      </c>
      <c r="U31" s="17">
        <v>0.22</v>
      </c>
      <c r="W31" s="2">
        <v>0</v>
      </c>
      <c r="Y31" s="2">
        <v>287.04000000000002</v>
      </c>
      <c r="AA31" s="2">
        <v>1119.25</v>
      </c>
      <c r="AC31" s="2">
        <v>2133.52</v>
      </c>
      <c r="AE31" s="2">
        <v>10212.959999999999</v>
      </c>
      <c r="AG31" s="2">
        <v>335</v>
      </c>
      <c r="AH31" t="s">
        <v>29</v>
      </c>
    </row>
    <row r="32" spans="1:34" x14ac:dyDescent="0.55000000000000004">
      <c r="A32" t="s">
        <v>10</v>
      </c>
      <c r="C32">
        <v>1888.25</v>
      </c>
      <c r="E32" s="2">
        <v>18.510000000000002</v>
      </c>
      <c r="G32" s="2">
        <v>32651.49</v>
      </c>
      <c r="I32" s="2">
        <f>1774.2+414.93</f>
        <v>2189.13</v>
      </c>
      <c r="K32" s="2">
        <f>414.93+1774.2</f>
        <v>2189.13</v>
      </c>
      <c r="M32" s="1">
        <v>38516</v>
      </c>
      <c r="Q32" s="2">
        <v>0</v>
      </c>
      <c r="S32" s="2">
        <v>0</v>
      </c>
      <c r="T32" s="15" t="s">
        <v>48</v>
      </c>
      <c r="W32" s="2">
        <v>0</v>
      </c>
      <c r="Y32" s="2">
        <v>287.04000000000002</v>
      </c>
      <c r="AA32" s="2">
        <v>4033.54</v>
      </c>
      <c r="AC32" s="2">
        <v>1632.57</v>
      </c>
      <c r="AE32" s="2">
        <v>8395.75</v>
      </c>
      <c r="AG32" s="2">
        <v>0</v>
      </c>
      <c r="AH32" t="s">
        <v>30</v>
      </c>
    </row>
    <row r="33" spans="1:34" x14ac:dyDescent="0.55000000000000004">
      <c r="A33" t="s">
        <v>14</v>
      </c>
      <c r="C33">
        <v>2120</v>
      </c>
      <c r="E33" s="2">
        <v>28.3</v>
      </c>
      <c r="G33" s="2">
        <v>56962.400000000001</v>
      </c>
      <c r="I33" s="2">
        <f>761.59+3255.62</f>
        <v>4017.21</v>
      </c>
      <c r="K33" s="2">
        <f>761.59+3255.62</f>
        <v>4017.21</v>
      </c>
      <c r="M33" s="1">
        <v>37011</v>
      </c>
      <c r="Q33" s="2">
        <v>3020.47</v>
      </c>
      <c r="S33" s="2">
        <f>1660.64*12-Q33</f>
        <v>16907.21</v>
      </c>
      <c r="T33" s="15" t="s">
        <v>53</v>
      </c>
      <c r="U33" s="17">
        <v>0.33</v>
      </c>
      <c r="W33" s="2">
        <v>0</v>
      </c>
      <c r="Y33" s="2">
        <v>287.04000000000002</v>
      </c>
      <c r="AA33" s="2">
        <v>568.66999999999996</v>
      </c>
      <c r="AC33" s="2">
        <v>2794.68</v>
      </c>
      <c r="AE33" s="2">
        <v>14579.16</v>
      </c>
      <c r="AG33" s="2">
        <v>0</v>
      </c>
      <c r="AH33" t="s">
        <v>31</v>
      </c>
    </row>
    <row r="34" spans="1:34" x14ac:dyDescent="0.55000000000000004">
      <c r="A34" t="s">
        <v>8</v>
      </c>
      <c r="C34">
        <v>1647.75</v>
      </c>
      <c r="E34" s="2">
        <v>17.760000000000002</v>
      </c>
      <c r="G34" s="2">
        <v>30573.4</v>
      </c>
      <c r="I34" s="2">
        <f>1748.34+408.85</f>
        <v>2157.19</v>
      </c>
      <c r="K34" s="2">
        <f>408.85+1748.34</f>
        <v>2157.19</v>
      </c>
      <c r="M34" s="1">
        <v>43657</v>
      </c>
      <c r="O34" s="1">
        <v>44453</v>
      </c>
      <c r="Q34" s="2">
        <v>2075.7600000000002</v>
      </c>
      <c r="S34" s="2">
        <f>1660.64*9-Q34</f>
        <v>12870</v>
      </c>
      <c r="T34" s="15" t="s">
        <v>53</v>
      </c>
      <c r="U34" s="17">
        <v>0.33</v>
      </c>
      <c r="W34" s="2">
        <v>864.24</v>
      </c>
      <c r="Y34" s="2">
        <v>0</v>
      </c>
      <c r="AA34" s="2">
        <v>0</v>
      </c>
      <c r="AC34" s="2">
        <v>1494.39</v>
      </c>
      <c r="AE34" s="2">
        <v>7681</v>
      </c>
      <c r="AG34" s="2">
        <v>261.3</v>
      </c>
      <c r="AH34" t="s">
        <v>32</v>
      </c>
    </row>
    <row r="35" spans="1:34" x14ac:dyDescent="0.55000000000000004">
      <c r="A35" t="s">
        <v>8</v>
      </c>
      <c r="C35">
        <v>268</v>
      </c>
      <c r="E35" s="2">
        <v>15</v>
      </c>
      <c r="G35" s="2">
        <v>4020</v>
      </c>
      <c r="I35" s="2">
        <f>242.64+56.73</f>
        <v>299.37</v>
      </c>
      <c r="K35" s="2">
        <f>56.73+242.64</f>
        <v>299.37</v>
      </c>
      <c r="M35" s="1">
        <v>44515</v>
      </c>
      <c r="Q35" s="2">
        <v>0</v>
      </c>
      <c r="S35" s="2">
        <v>0</v>
      </c>
      <c r="T35" s="15" t="s">
        <v>48</v>
      </c>
      <c r="W35" s="2">
        <v>0</v>
      </c>
      <c r="Y35" s="2">
        <v>47.84</v>
      </c>
      <c r="AA35" s="2">
        <v>0</v>
      </c>
      <c r="AC35" s="2">
        <v>201</v>
      </c>
      <c r="AE35" s="2">
        <v>759.99</v>
      </c>
      <c r="AG35" s="2">
        <v>0</v>
      </c>
      <c r="AH35" t="s">
        <v>33</v>
      </c>
    </row>
    <row r="37" spans="1:34" x14ac:dyDescent="0.55000000000000004">
      <c r="C37" s="11" t="s">
        <v>43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x14ac:dyDescent="0.55000000000000004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40" spans="1:34" ht="16.2" x14ac:dyDescent="0.85">
      <c r="A40" s="5"/>
      <c r="B40" s="5"/>
      <c r="C40" s="5"/>
      <c r="D40" s="5"/>
      <c r="E40" s="5"/>
      <c r="F40" s="5"/>
      <c r="G40" s="5"/>
      <c r="H40" s="5"/>
      <c r="I40" s="14" t="s">
        <v>41</v>
      </c>
      <c r="J40" s="14"/>
      <c r="K40" s="14"/>
      <c r="L40" s="5"/>
      <c r="M40" s="5"/>
      <c r="N40" s="5"/>
      <c r="O40" s="8" t="s">
        <v>15</v>
      </c>
      <c r="P40" s="5"/>
      <c r="Q40" s="14" t="s">
        <v>36</v>
      </c>
      <c r="R40" s="14"/>
      <c r="S40" s="14"/>
      <c r="T40" s="14"/>
      <c r="U40" s="14"/>
      <c r="V40" s="5"/>
      <c r="W40" s="14" t="s">
        <v>37</v>
      </c>
      <c r="X40" s="14"/>
      <c r="Y40" s="14"/>
      <c r="Z40" s="5"/>
      <c r="AA40" s="9" t="s">
        <v>38</v>
      </c>
      <c r="AB40" s="5"/>
      <c r="AC40" s="14" t="s">
        <v>35</v>
      </c>
      <c r="AD40" s="14"/>
      <c r="AE40" s="14"/>
      <c r="AF40" s="6"/>
      <c r="AG40" s="6" t="s">
        <v>39</v>
      </c>
    </row>
    <row r="41" spans="1:34" ht="16.2" x14ac:dyDescent="0.85">
      <c r="A41" s="5" t="s">
        <v>0</v>
      </c>
      <c r="B41" s="5"/>
      <c r="C41" s="6" t="s">
        <v>1</v>
      </c>
      <c r="D41" s="6"/>
      <c r="E41" s="6" t="s">
        <v>2</v>
      </c>
      <c r="F41" s="6"/>
      <c r="G41" s="6" t="s">
        <v>3</v>
      </c>
      <c r="H41" s="6"/>
      <c r="I41" s="6" t="s">
        <v>18</v>
      </c>
      <c r="J41" s="6"/>
      <c r="K41" s="6" t="s">
        <v>19</v>
      </c>
      <c r="L41" s="6"/>
      <c r="M41" s="6" t="s">
        <v>4</v>
      </c>
      <c r="N41" s="6"/>
      <c r="O41" s="6" t="s">
        <v>16</v>
      </c>
      <c r="P41" s="6"/>
      <c r="Q41" s="6" t="s">
        <v>18</v>
      </c>
      <c r="R41" s="6"/>
      <c r="S41" s="6" t="s">
        <v>19</v>
      </c>
      <c r="T41" s="7" t="s">
        <v>34</v>
      </c>
      <c r="U41" s="18" t="s">
        <v>42</v>
      </c>
      <c r="V41" s="6"/>
      <c r="W41" s="6" t="s">
        <v>18</v>
      </c>
      <c r="X41" s="6"/>
      <c r="Y41" s="6" t="s">
        <v>19</v>
      </c>
      <c r="Z41" s="6"/>
      <c r="AA41" s="6" t="s">
        <v>34</v>
      </c>
      <c r="AB41" s="6"/>
      <c r="AC41" s="6" t="s">
        <v>18</v>
      </c>
      <c r="AD41" s="6"/>
      <c r="AE41" s="6" t="s">
        <v>19</v>
      </c>
      <c r="AF41" s="6"/>
      <c r="AG41" s="6" t="s">
        <v>19</v>
      </c>
    </row>
    <row r="42" spans="1:34" x14ac:dyDescent="0.55000000000000004">
      <c r="A42" t="s">
        <v>5</v>
      </c>
      <c r="C42">
        <v>2137</v>
      </c>
      <c r="E42" s="2">
        <v>22.79</v>
      </c>
      <c r="G42" s="2">
        <v>42357.51</v>
      </c>
      <c r="I42" s="2">
        <v>3058.95</v>
      </c>
      <c r="K42" s="2">
        <v>3058.95</v>
      </c>
      <c r="M42" s="1">
        <v>43535</v>
      </c>
      <c r="Q42" s="2">
        <v>1258.92</v>
      </c>
      <c r="S42" s="2">
        <f>1048.79*12-Q42</f>
        <v>11326.56</v>
      </c>
      <c r="T42" s="15" t="s">
        <v>44</v>
      </c>
      <c r="U42" s="17">
        <v>0.22</v>
      </c>
      <c r="W42" s="2">
        <v>0</v>
      </c>
      <c r="Y42" s="2">
        <v>287.04000000000002</v>
      </c>
      <c r="AA42" s="2">
        <v>1110.48</v>
      </c>
      <c r="AC42" s="2">
        <v>2079.9</v>
      </c>
      <c r="AE42" s="2">
        <f>G42*26.79%</f>
        <v>11347.576928999999</v>
      </c>
      <c r="AG42" s="2">
        <v>0</v>
      </c>
      <c r="AH42" t="s">
        <v>21</v>
      </c>
    </row>
    <row r="43" spans="1:34" x14ac:dyDescent="0.55000000000000004">
      <c r="A43" t="s">
        <v>6</v>
      </c>
      <c r="C43">
        <v>374</v>
      </c>
      <c r="E43" s="2">
        <v>19.510000000000002</v>
      </c>
      <c r="G43" s="2">
        <v>7016.24</v>
      </c>
      <c r="I43" s="2">
        <f>111.33+476.08</f>
        <v>587.41</v>
      </c>
      <c r="K43" s="2">
        <f>111.33+476.08</f>
        <v>587.41</v>
      </c>
      <c r="M43" s="1">
        <v>44844</v>
      </c>
      <c r="Q43" s="2">
        <v>0</v>
      </c>
      <c r="S43" s="2">
        <v>0</v>
      </c>
      <c r="T43" s="15" t="s">
        <v>45</v>
      </c>
      <c r="U43" s="19"/>
      <c r="W43" s="2">
        <v>0</v>
      </c>
      <c r="Y43" s="2">
        <v>287.04000000000002</v>
      </c>
      <c r="AA43" s="2">
        <v>0</v>
      </c>
      <c r="AC43" s="2">
        <v>158.05000000000001</v>
      </c>
      <c r="AE43" s="2">
        <f t="shared" ref="AE43:AE55" si="0">G43*26.79%</f>
        <v>1879.6506959999997</v>
      </c>
      <c r="AG43" s="2">
        <v>0</v>
      </c>
      <c r="AH43" t="s">
        <v>46</v>
      </c>
    </row>
    <row r="44" spans="1:34" x14ac:dyDescent="0.55000000000000004">
      <c r="A44" t="s">
        <v>6</v>
      </c>
      <c r="C44">
        <v>2108.77</v>
      </c>
      <c r="E44" s="2">
        <v>20.21</v>
      </c>
      <c r="G44" s="2">
        <v>37667.5</v>
      </c>
      <c r="I44" s="2">
        <f>517.47+2212.22</f>
        <v>2729.6899999999996</v>
      </c>
      <c r="K44" s="2">
        <f>517.47+2212.22</f>
        <v>2729.6899999999996</v>
      </c>
      <c r="M44" s="1">
        <v>44116</v>
      </c>
      <c r="Q44" s="2">
        <v>1258.92</v>
      </c>
      <c r="S44" s="2">
        <f>1048.79*12-Q44</f>
        <v>11326.56</v>
      </c>
      <c r="T44" s="15" t="s">
        <v>44</v>
      </c>
      <c r="U44" s="17">
        <v>0.22</v>
      </c>
      <c r="W44" s="2">
        <v>0</v>
      </c>
      <c r="Y44" s="2">
        <v>287.04000000000002</v>
      </c>
      <c r="AA44" s="2">
        <v>352.38</v>
      </c>
      <c r="AC44" s="2">
        <v>1883.38</v>
      </c>
      <c r="AE44" s="2">
        <f t="shared" si="0"/>
        <v>10091.123249999999</v>
      </c>
      <c r="AG44" s="2">
        <v>0</v>
      </c>
      <c r="AH44" t="s">
        <v>23</v>
      </c>
    </row>
    <row r="45" spans="1:34" x14ac:dyDescent="0.55000000000000004">
      <c r="A45" t="s">
        <v>7</v>
      </c>
      <c r="C45">
        <v>2208.1999999999998</v>
      </c>
      <c r="E45" s="2">
        <v>25.35</v>
      </c>
      <c r="G45" s="2">
        <v>50953.75</v>
      </c>
      <c r="I45" s="2">
        <f>731.35+3127.54</f>
        <v>3858.89</v>
      </c>
      <c r="K45" s="2">
        <f>731.35+3127.54</f>
        <v>3858.89</v>
      </c>
      <c r="M45" s="1">
        <v>41253</v>
      </c>
      <c r="Q45" s="2">
        <v>0</v>
      </c>
      <c r="S45" s="2">
        <f>943.9*12</f>
        <v>11326.8</v>
      </c>
      <c r="T45" s="15" t="s">
        <v>44</v>
      </c>
      <c r="U45" s="17">
        <v>0.22</v>
      </c>
      <c r="W45" s="2">
        <v>0</v>
      </c>
      <c r="Y45" s="2">
        <v>287.04000000000002</v>
      </c>
      <c r="AA45" s="2">
        <v>0</v>
      </c>
      <c r="AC45" s="2">
        <v>2547.7199999999998</v>
      </c>
      <c r="AE45" s="2">
        <f t="shared" si="0"/>
        <v>13650.509624999999</v>
      </c>
      <c r="AG45" s="2">
        <f>7.25*52</f>
        <v>377</v>
      </c>
      <c r="AH45" t="s">
        <v>24</v>
      </c>
    </row>
    <row r="46" spans="1:34" x14ac:dyDescent="0.55000000000000004">
      <c r="A46" t="s">
        <v>11</v>
      </c>
      <c r="C46">
        <v>2174.25</v>
      </c>
      <c r="E46" s="2">
        <v>22.79</v>
      </c>
      <c r="G46" s="2">
        <v>45644.59</v>
      </c>
      <c r="I46" s="2">
        <f>661.95+2830.15</f>
        <v>3492.1000000000004</v>
      </c>
      <c r="K46" s="2">
        <f>661.95+2830.15</f>
        <v>3492.1000000000004</v>
      </c>
      <c r="M46" s="1">
        <v>39329</v>
      </c>
      <c r="Q46" s="2">
        <v>0</v>
      </c>
      <c r="S46" s="2">
        <f t="shared" ref="S46:S47" si="1">943.9*12</f>
        <v>11326.8</v>
      </c>
      <c r="T46" s="15" t="s">
        <v>44</v>
      </c>
      <c r="U46" s="17">
        <v>0.22</v>
      </c>
      <c r="W46" s="2">
        <v>0</v>
      </c>
      <c r="Y46" s="2">
        <v>287.04000000000002</v>
      </c>
      <c r="AA46" s="2">
        <v>0</v>
      </c>
      <c r="AC46" s="2">
        <v>2199.36</v>
      </c>
      <c r="AE46" s="2">
        <f t="shared" si="0"/>
        <v>12228.185660999998</v>
      </c>
      <c r="AG46" s="2">
        <v>0</v>
      </c>
      <c r="AH46" t="s">
        <v>25</v>
      </c>
    </row>
    <row r="47" spans="1:34" x14ac:dyDescent="0.55000000000000004">
      <c r="A47" t="s">
        <v>12</v>
      </c>
      <c r="C47">
        <v>2205</v>
      </c>
      <c r="E47" s="2">
        <v>23.25</v>
      </c>
      <c r="G47" s="2">
        <v>45936.14</v>
      </c>
      <c r="I47" s="2">
        <f>659.4+2819.52</f>
        <v>3478.92</v>
      </c>
      <c r="K47" s="2">
        <f>659.4+2819.52</f>
        <v>3478.92</v>
      </c>
      <c r="M47" t="s">
        <v>54</v>
      </c>
      <c r="Q47" s="2">
        <v>0</v>
      </c>
      <c r="S47" s="2">
        <f t="shared" si="1"/>
        <v>11326.8</v>
      </c>
      <c r="T47" s="15" t="s">
        <v>44</v>
      </c>
      <c r="U47" s="17">
        <v>0.22</v>
      </c>
      <c r="W47" s="2">
        <v>0</v>
      </c>
      <c r="Y47" s="2">
        <v>287.04000000000002</v>
      </c>
      <c r="AA47" s="2">
        <v>0</v>
      </c>
      <c r="AC47" s="2">
        <v>2296.8000000000002</v>
      </c>
      <c r="AE47" s="2">
        <f t="shared" si="0"/>
        <v>12306.291905999999</v>
      </c>
      <c r="AG47" s="2">
        <f>5.23*52</f>
        <v>271.96000000000004</v>
      </c>
      <c r="AH47" t="s">
        <v>26</v>
      </c>
    </row>
    <row r="48" spans="1:34" x14ac:dyDescent="0.55000000000000004">
      <c r="A48" t="s">
        <v>9</v>
      </c>
      <c r="C48">
        <v>320</v>
      </c>
      <c r="E48" s="2">
        <v>35.9</v>
      </c>
      <c r="G48" s="2">
        <v>11488</v>
      </c>
      <c r="I48" s="2">
        <f>162.08+693.12</f>
        <v>855.2</v>
      </c>
      <c r="K48" s="2">
        <f>162.08+693.12</f>
        <v>855.2</v>
      </c>
      <c r="M48" s="1">
        <v>42709</v>
      </c>
      <c r="O48" s="1">
        <v>44628</v>
      </c>
      <c r="Q48" s="2">
        <v>193.68</v>
      </c>
      <c r="S48" s="2">
        <f>1048.79*3-Q48</f>
        <v>2952.69</v>
      </c>
      <c r="T48" s="15" t="s">
        <v>47</v>
      </c>
      <c r="U48" s="17">
        <v>0.22</v>
      </c>
      <c r="W48" s="2">
        <v>0</v>
      </c>
      <c r="Y48" s="2">
        <v>287.04000000000002</v>
      </c>
      <c r="AA48" s="2">
        <v>0</v>
      </c>
      <c r="AC48" s="2">
        <v>574.4</v>
      </c>
      <c r="AE48" s="2">
        <f t="shared" si="0"/>
        <v>3077.6351999999997</v>
      </c>
      <c r="AG48" s="2">
        <v>0</v>
      </c>
      <c r="AH48" t="s">
        <v>27</v>
      </c>
    </row>
    <row r="49" spans="1:34" x14ac:dyDescent="0.55000000000000004">
      <c r="A49" t="s">
        <v>9</v>
      </c>
      <c r="C49">
        <v>1880</v>
      </c>
      <c r="E49" s="2">
        <v>47.01</v>
      </c>
      <c r="G49" s="2">
        <v>78374</v>
      </c>
      <c r="I49" s="2">
        <f>1136.61+4859.16</f>
        <v>5995.7699999999995</v>
      </c>
      <c r="K49" s="2">
        <f>1136.61+4859.16</f>
        <v>5995.7699999999995</v>
      </c>
      <c r="M49" s="1">
        <v>44599</v>
      </c>
      <c r="Q49" s="2">
        <v>0</v>
      </c>
      <c r="S49" s="2">
        <f>732.16*11</f>
        <v>8053.7599999999993</v>
      </c>
      <c r="T49" s="15" t="s">
        <v>50</v>
      </c>
      <c r="W49" s="2">
        <v>0</v>
      </c>
      <c r="Y49" s="2">
        <v>0</v>
      </c>
      <c r="AA49" s="2">
        <v>0</v>
      </c>
      <c r="AC49" s="2">
        <v>0</v>
      </c>
      <c r="AE49" s="2">
        <f t="shared" si="0"/>
        <v>20996.394599999996</v>
      </c>
      <c r="AG49" s="2">
        <v>0</v>
      </c>
      <c r="AH49" t="s">
        <v>51</v>
      </c>
    </row>
    <row r="50" spans="1:34" x14ac:dyDescent="0.55000000000000004">
      <c r="A50" t="s">
        <v>57</v>
      </c>
      <c r="C50">
        <v>1733</v>
      </c>
      <c r="E50" s="2">
        <v>21.31</v>
      </c>
      <c r="G50" s="2">
        <v>38348.230000000003</v>
      </c>
      <c r="I50" s="2">
        <f>515.29+2204.01</f>
        <v>2719.3</v>
      </c>
      <c r="K50" s="2">
        <f>515.29+2204.01</f>
        <v>2719.3</v>
      </c>
      <c r="M50" s="1">
        <v>35503</v>
      </c>
      <c r="O50" s="1">
        <v>44853</v>
      </c>
      <c r="Q50" s="2">
        <v>968.4</v>
      </c>
      <c r="S50" s="2">
        <f>1048.79*11-Q50</f>
        <v>10568.289999999999</v>
      </c>
      <c r="T50" s="15" t="s">
        <v>44</v>
      </c>
      <c r="U50" s="17">
        <v>0.22</v>
      </c>
      <c r="W50" s="2">
        <v>664.8</v>
      </c>
      <c r="Y50" s="2">
        <v>0</v>
      </c>
      <c r="AA50" s="2">
        <v>1169.2</v>
      </c>
      <c r="AC50" s="2">
        <v>1832.18</v>
      </c>
      <c r="AE50" s="2">
        <f t="shared" si="0"/>
        <v>10273.490817</v>
      </c>
      <c r="AG50" s="2">
        <f>8.95*42</f>
        <v>375.9</v>
      </c>
      <c r="AH50" t="s">
        <v>28</v>
      </c>
    </row>
    <row r="51" spans="1:34" x14ac:dyDescent="0.55000000000000004">
      <c r="A51" t="s">
        <v>13</v>
      </c>
      <c r="C51">
        <v>2226.5</v>
      </c>
      <c r="E51" s="2">
        <v>25.35</v>
      </c>
      <c r="G51" s="2">
        <v>50509.99</v>
      </c>
      <c r="I51" s="2">
        <f>714.12+3053.49</f>
        <v>3767.6099999999997</v>
      </c>
      <c r="K51" s="2">
        <f>714.12+3053.49</f>
        <v>3767.6099999999997</v>
      </c>
      <c r="M51" s="1">
        <v>41113</v>
      </c>
      <c r="Q51" s="2">
        <v>0</v>
      </c>
      <c r="S51" s="2">
        <f>943.9*12</f>
        <v>11326.8</v>
      </c>
      <c r="T51" s="15" t="s">
        <v>44</v>
      </c>
      <c r="U51" s="17">
        <v>0.22</v>
      </c>
      <c r="W51" s="2">
        <v>0</v>
      </c>
      <c r="Y51" s="2">
        <v>287.04000000000002</v>
      </c>
      <c r="AA51" s="2">
        <v>764.4</v>
      </c>
      <c r="AC51" s="2">
        <v>2485.2199999999998</v>
      </c>
      <c r="AE51" s="2">
        <f t="shared" si="0"/>
        <v>13531.626320999998</v>
      </c>
      <c r="AG51" s="2">
        <f>8.95*52</f>
        <v>465.4</v>
      </c>
      <c r="AH51" t="s">
        <v>29</v>
      </c>
    </row>
    <row r="52" spans="1:34" x14ac:dyDescent="0.55000000000000004">
      <c r="A52" t="s">
        <v>10</v>
      </c>
      <c r="C52">
        <v>2101</v>
      </c>
      <c r="E52" s="2">
        <v>29.25</v>
      </c>
      <c r="G52" s="2">
        <v>39651.519999999997</v>
      </c>
      <c r="I52" s="2">
        <f>534.58+2285.64</f>
        <v>2820.22</v>
      </c>
      <c r="K52" s="2">
        <f>534.58+2285.64</f>
        <v>2820.22</v>
      </c>
      <c r="M52" s="1">
        <v>38516</v>
      </c>
      <c r="Q52" s="2">
        <v>0</v>
      </c>
      <c r="S52" s="2">
        <v>0</v>
      </c>
      <c r="T52" s="15" t="s">
        <v>48</v>
      </c>
      <c r="W52" s="2">
        <v>0</v>
      </c>
      <c r="Y52" s="2">
        <v>287.04000000000002</v>
      </c>
      <c r="AA52" s="2">
        <v>2785.12</v>
      </c>
      <c r="AC52" s="2">
        <v>1982.58</v>
      </c>
      <c r="AE52" s="2">
        <f t="shared" si="0"/>
        <v>10622.642207999997</v>
      </c>
      <c r="AG52" s="2">
        <v>0</v>
      </c>
      <c r="AH52" t="s">
        <v>49</v>
      </c>
    </row>
    <row r="53" spans="1:34" x14ac:dyDescent="0.55000000000000004">
      <c r="A53" t="s">
        <v>14</v>
      </c>
      <c r="C53">
        <v>2240</v>
      </c>
      <c r="E53" s="2">
        <v>30.32</v>
      </c>
      <c r="G53" s="2">
        <v>62566</v>
      </c>
      <c r="I53" s="2">
        <f>837.8+3581.88</f>
        <v>4419.68</v>
      </c>
      <c r="K53" s="2">
        <f>837.8+3581.88</f>
        <v>4419.68</v>
      </c>
      <c r="M53" s="1">
        <v>37011</v>
      </c>
      <c r="Q53" s="2">
        <v>3228.68</v>
      </c>
      <c r="S53" s="2">
        <f>1793.49*12-Q53</f>
        <v>18293.2</v>
      </c>
      <c r="T53" s="15" t="s">
        <v>53</v>
      </c>
      <c r="U53" s="17">
        <v>0.33</v>
      </c>
      <c r="W53" s="2">
        <v>864.24</v>
      </c>
      <c r="Y53" s="2">
        <v>0</v>
      </c>
      <c r="AA53" s="2">
        <v>703.56</v>
      </c>
      <c r="AC53" s="2">
        <v>2958.5</v>
      </c>
      <c r="AE53" s="2">
        <f t="shared" si="0"/>
        <v>16761.431399999998</v>
      </c>
      <c r="AG53" s="2">
        <v>0</v>
      </c>
      <c r="AH53" t="s">
        <v>31</v>
      </c>
    </row>
    <row r="54" spans="1:34" x14ac:dyDescent="0.55000000000000004">
      <c r="A54" s="10" t="s">
        <v>8</v>
      </c>
      <c r="C54">
        <v>562.25</v>
      </c>
      <c r="E54" s="2">
        <v>17.87</v>
      </c>
      <c r="G54" s="2">
        <v>11360.21</v>
      </c>
      <c r="I54" s="2">
        <f>163.91+700.89</f>
        <v>864.8</v>
      </c>
      <c r="K54" s="2">
        <f>163.91+700.89</f>
        <v>864.8</v>
      </c>
      <c r="M54" s="1">
        <v>44844</v>
      </c>
      <c r="Q54" s="2">
        <v>0</v>
      </c>
      <c r="S54" s="2">
        <v>0</v>
      </c>
      <c r="T54" s="15" t="s">
        <v>48</v>
      </c>
      <c r="W54" s="2">
        <v>0</v>
      </c>
      <c r="Y54" s="2">
        <v>0</v>
      </c>
      <c r="AA54" s="2">
        <v>0</v>
      </c>
      <c r="AC54" s="2">
        <v>280.27999999999997</v>
      </c>
      <c r="AE54" s="2">
        <f t="shared" si="0"/>
        <v>3043.4002589999996</v>
      </c>
      <c r="AG54" s="2">
        <f>6.21*11</f>
        <v>68.31</v>
      </c>
      <c r="AH54" t="s">
        <v>52</v>
      </c>
    </row>
    <row r="55" spans="1:34" x14ac:dyDescent="0.55000000000000004">
      <c r="A55" t="s">
        <v>8</v>
      </c>
      <c r="C55">
        <v>833.5</v>
      </c>
      <c r="E55" s="2">
        <v>15</v>
      </c>
      <c r="G55" s="2">
        <v>13193.75</v>
      </c>
      <c r="I55" s="2">
        <f>184.56+789.24</f>
        <v>973.8</v>
      </c>
      <c r="K55" s="2">
        <f>184.56+789.24</f>
        <v>973.8</v>
      </c>
      <c r="M55" s="1">
        <v>44515</v>
      </c>
      <c r="O55" s="1">
        <v>44701</v>
      </c>
      <c r="Q55" s="2">
        <v>2091.1999999999998</v>
      </c>
      <c r="S55" s="2">
        <f>3020.57*6-Q55</f>
        <v>16032.220000000001</v>
      </c>
      <c r="T55" s="15" t="s">
        <v>55</v>
      </c>
      <c r="U55" s="17">
        <v>0.33</v>
      </c>
      <c r="AA55" s="2">
        <v>0</v>
      </c>
      <c r="AC55" s="2">
        <v>659.7</v>
      </c>
      <c r="AE55" s="2">
        <f t="shared" si="0"/>
        <v>3534.6056249999997</v>
      </c>
      <c r="AG55" s="2">
        <f>5.11*20</f>
        <v>102.2</v>
      </c>
      <c r="AH55" t="s">
        <v>33</v>
      </c>
    </row>
    <row r="57" spans="1:34" x14ac:dyDescent="0.55000000000000004">
      <c r="C57" t="s">
        <v>56</v>
      </c>
    </row>
    <row r="59" spans="1:34" x14ac:dyDescent="0.55000000000000004">
      <c r="C59" t="s">
        <v>40</v>
      </c>
    </row>
  </sheetData>
  <mergeCells count="15">
    <mergeCell ref="C37:AH38"/>
    <mergeCell ref="I40:K40"/>
    <mergeCell ref="W40:Y40"/>
    <mergeCell ref="AC40:AE40"/>
    <mergeCell ref="Q40:U40"/>
    <mergeCell ref="C1:AH2"/>
    <mergeCell ref="W4:Y4"/>
    <mergeCell ref="AC4:AE4"/>
    <mergeCell ref="W22:Y22"/>
    <mergeCell ref="AC22:AE22"/>
    <mergeCell ref="C19:AH20"/>
    <mergeCell ref="I4:K4"/>
    <mergeCell ref="I22:K22"/>
    <mergeCell ref="Q4:U4"/>
    <mergeCell ref="Q22:U2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Ballman</dc:creator>
  <cp:lastModifiedBy>AlanV</cp:lastModifiedBy>
  <cp:lastPrinted>2023-03-14T15:26:03Z</cp:lastPrinted>
  <dcterms:created xsi:type="dcterms:W3CDTF">2023-03-14T14:06:50Z</dcterms:created>
  <dcterms:modified xsi:type="dcterms:W3CDTF">2023-03-27T20:01:21Z</dcterms:modified>
</cp:coreProperties>
</file>