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allman\Desktop\"/>
    </mc:Choice>
  </mc:AlternateContent>
  <xr:revisionPtr revIDLastSave="0" documentId="8_{29CCE40B-4218-4A68-A950-B7FD7DD125CD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3" i="1" l="1"/>
  <c r="B153" i="1"/>
  <c r="C152" i="1"/>
  <c r="C151" i="1"/>
  <c r="C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C97" i="1"/>
  <c r="B96" i="1"/>
  <c r="B95" i="1"/>
  <c r="B94" i="1"/>
  <c r="B93" i="1"/>
  <c r="B92" i="1"/>
  <c r="B91" i="1"/>
  <c r="B90" i="1"/>
  <c r="B89" i="1"/>
  <c r="B88" i="1"/>
  <c r="B87" i="1"/>
  <c r="C86" i="1"/>
  <c r="C85" i="1"/>
  <c r="C84" i="1"/>
  <c r="C83" i="1"/>
  <c r="B82" i="1"/>
  <c r="C81" i="1"/>
  <c r="C80" i="1"/>
  <c r="C79" i="1"/>
  <c r="C78" i="1"/>
  <c r="C77" i="1"/>
  <c r="C76" i="1"/>
  <c r="B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B44" i="1"/>
  <c r="B43" i="1"/>
  <c r="B42" i="1"/>
  <c r="B41" i="1"/>
  <c r="B40" i="1"/>
  <c r="B39" i="1"/>
  <c r="B38" i="1"/>
  <c r="B37" i="1"/>
  <c r="C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C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<sst xmlns="http://schemas.openxmlformats.org/spreadsheetml/2006/main" count="154" uniqueCount="154">
  <si>
    <t>Debit</t>
  </si>
  <si>
    <t>Credit</t>
  </si>
  <si>
    <t>100 Petty Cash</t>
  </si>
  <si>
    <t>101.01 MCB-1363:Operating Funds-1363</t>
  </si>
  <si>
    <t>101.02 MCB-1363:Restricted-Construction</t>
  </si>
  <si>
    <t>101.03 MCB-1363:Restricted - Dep &amp; Reserves</t>
  </si>
  <si>
    <t>101.04 MCB-1363:Restricted-Debt Service-1312</t>
  </si>
  <si>
    <t>101.05 MCB-1363:Restricted-Contingency-899</t>
  </si>
  <si>
    <t>101.06 MCB-1363:Restricted-2019 Water System Imp</t>
  </si>
  <si>
    <t>101.07 MCB-1363:Restricted-Maint &amp; Replacement</t>
  </si>
  <si>
    <t>101.08 MCB-1363:Restricted-Reserve Account</t>
  </si>
  <si>
    <t>101.09 MCB-1363:ARPA Grant</t>
  </si>
  <si>
    <t>102 Rev - 1339</t>
  </si>
  <si>
    <t>110 Accounts Receivable (A/R)</t>
  </si>
  <si>
    <t>110.01 Accounts Receivable (A/R):Unbilled Receivables</t>
  </si>
  <si>
    <t>110.02 Accounts Receivable (A/R):Bad Debt Reserve</t>
  </si>
  <si>
    <t>117 Inventory Asset</t>
  </si>
  <si>
    <t>120.01 Prepaid expenses:Prepaid Insurance</t>
  </si>
  <si>
    <t>140.01 Capital Assets not Depreciated:Construction in Progress</t>
  </si>
  <si>
    <t>140.02 Capital Assets not Depreciated:Land &amp; Land Rights</t>
  </si>
  <si>
    <t>150.01 Capital Assets being Depreciated:Structures &amp; Improvements</t>
  </si>
  <si>
    <t>150.02 Capital Assets being Depreciated:Office Furniture &amp; Equipment</t>
  </si>
  <si>
    <t>150.03 Capital Assets being Depreciated:Transportation Equipment</t>
  </si>
  <si>
    <t>150.04 Capital Assets being Depreciated:Power Operated Equipment</t>
  </si>
  <si>
    <t>150.05 Capital Assets being Depreciated:Supply Mains</t>
  </si>
  <si>
    <t>150.06 Capital Assets being Depreciated:Pumping Equipment</t>
  </si>
  <si>
    <t>150.07 Capital Assets being Depreciated:Transmissions &amp; Distributions Mains</t>
  </si>
  <si>
    <t>150.08 Capital Assets being Depreciated:Services</t>
  </si>
  <si>
    <t>150.09 Capital Assets being Depreciated:Meters &amp; Materials for Installation</t>
  </si>
  <si>
    <t>150.10 Capital Assets being Depreciated:Hydrants</t>
  </si>
  <si>
    <t>150.11 Capital Assets being Depreciated:Other Plant &amp; Equipment</t>
  </si>
  <si>
    <t>150.12 Capital Assets being Depreciated:Water Testing Equipment</t>
  </si>
  <si>
    <t>150.99 Capital Assets being Depreciated:Accumulated depreciation</t>
  </si>
  <si>
    <t>170.04 Restricted Cash:Debt Service</t>
  </si>
  <si>
    <t>170.05 Restricted Cash:Reserve &amp; Depreciation</t>
  </si>
  <si>
    <t>170.05.01 Restricted Cash:Reserve &amp; Depreciation:BNY-2199-Refi 2021Sinking Fund</t>
  </si>
  <si>
    <t>179 Ameriprise Investments</t>
  </si>
  <si>
    <t>180 Regulatory Asset - CERS OPEB</t>
  </si>
  <si>
    <t>185 Regulartory Asset - CERS Pension</t>
  </si>
  <si>
    <t>192 Deferred Outflows of Resources:Deferred Outflows - Pension</t>
  </si>
  <si>
    <t>195 Deferred Outflows of Resources:Deferred Outflows - OPEB</t>
  </si>
  <si>
    <t>231 Accounts Payable (A/P)</t>
  </si>
  <si>
    <t>232 Master Card - 2079-Durbin</t>
  </si>
  <si>
    <t>233 Master Card - 0205-Pyles</t>
  </si>
  <si>
    <t>234 Retainage Payable</t>
  </si>
  <si>
    <t>235 Customer Deposits</t>
  </si>
  <si>
    <t>240.01 Payroll wages and tax to pay:Wages Payable</t>
  </si>
  <si>
    <t>240.02 Payroll wages and tax to pay:Federal Taxes (941/943/944)</t>
  </si>
  <si>
    <t>240.03 Payroll wages and tax to pay:KY Income Tax Payable</t>
  </si>
  <si>
    <t>245.01 Payroll Liabilities:RET Pension Plan</t>
  </si>
  <si>
    <t>245.02 Payroll Liabilities:RHI Retirement Health Insurance</t>
  </si>
  <si>
    <t>245.07 Payroll Liabilities:Employee Savings</t>
  </si>
  <si>
    <t>249 Accrued Sick</t>
  </si>
  <si>
    <t>250 Accrued Vacation</t>
  </si>
  <si>
    <t>251 School Tax Payable</t>
  </si>
  <si>
    <t>253 Sales Tax Payable</t>
  </si>
  <si>
    <t>254 Unearned Revenue-Vouchers</t>
  </si>
  <si>
    <t>255 Accrued Interest</t>
  </si>
  <si>
    <t>260 Other Accrued Liabilities</t>
  </si>
  <si>
    <t>265 Current Portion of Notes &amp; Bonds Payable</t>
  </si>
  <si>
    <t>270 Net Pension Liability</t>
  </si>
  <si>
    <t>275 Net OPEB Liability</t>
  </si>
  <si>
    <t>277 Notes &amp; Bonds Payable</t>
  </si>
  <si>
    <t>277.01 Notes &amp; Bonds Payable:CPAP-Bond-Flaherty Interconnect</t>
  </si>
  <si>
    <t>277.02 Notes &amp; Bonds Payable:Fund F Loan-F-03-05-Ekron</t>
  </si>
  <si>
    <t>277.03 Notes &amp; Bonds Payable:Phase VII-Flaherty Tank &amp; Line Extensions-F08-02</t>
  </si>
  <si>
    <t>277.04 Notes &amp; Bonds Payable:KRWA</t>
  </si>
  <si>
    <t>277.05 Notes &amp; Bonds Payable:2019 RD Project-91-07</t>
  </si>
  <si>
    <t>277.06 Notes &amp; Bonds Payable:Revenue Bond-Series 2021B</t>
  </si>
  <si>
    <t>277.07 Notes &amp; Bonds Payable:Bond Premiums</t>
  </si>
  <si>
    <t>277.08 Notes &amp; Bonds Payable:2022-08- Dodge Ram Loan-8806</t>
  </si>
  <si>
    <t>277.99 Notes &amp; Bonds Payable:Less Current Portion of Long Term Liabilities</t>
  </si>
  <si>
    <t>291 Deferred Inflows of Resources:Deferred Inflows - Pension</t>
  </si>
  <si>
    <t>292 Deferred Inflows of Resources:Deferred Inflows - OPEB</t>
  </si>
  <si>
    <t>301 Net Investment in Capital Assets</t>
  </si>
  <si>
    <t>302 Restricted Net Position</t>
  </si>
  <si>
    <t>303 Unrestricted</t>
  </si>
  <si>
    <t>400.01 Metered Water Revenue:Residential Customers</t>
  </si>
  <si>
    <t>400.01.C Metered Water Revenue:ChargeBacks</t>
  </si>
  <si>
    <t>400.04 Metered Water Revenue:Wholesale Customers</t>
  </si>
  <si>
    <t>401 Service Income (TAP)</t>
  </si>
  <si>
    <t>402 Penalties &amp; Charges Revenue</t>
  </si>
  <si>
    <t>450 Other Revenue</t>
  </si>
  <si>
    <t>500 Cost of Service</t>
  </si>
  <si>
    <t>601.5 Distribution (.5):Salaries and Wages - Employees</t>
  </si>
  <si>
    <t>602.5 Distribution (.5):Payroll Taxes</t>
  </si>
  <si>
    <t>603.5 Distribution (.5):Employee Recruitment</t>
  </si>
  <si>
    <t>604.5 Distribution (.5):Employee Pensions and Benefits (deleted)</t>
  </si>
  <si>
    <t>615.5.1 Distribution (.5):Utilities for Production:Purchased Power</t>
  </si>
  <si>
    <t>615.5.2 Distribution (.5):Utilities for Production:Water Purchased</t>
  </si>
  <si>
    <t>615.5.3 Distribution (.5):Utilities for Production:Natural Gas</t>
  </si>
  <si>
    <t>619.5 Distribution (.5):Chemicals</t>
  </si>
  <si>
    <t>620.5 Distribution (.5):Materials and Supplies</t>
  </si>
  <si>
    <t>621.5 Distribution (.5):Repairs &amp; Maintenance - Main Lines</t>
  </si>
  <si>
    <t>622.5 Distribution (.5):Repairs &amp; Maintenance - Service Lines</t>
  </si>
  <si>
    <t>623.5 Distribution (.5):Repairs &amp; Maintenance - Pump Stations</t>
  </si>
  <si>
    <t>624.5 Distribution (.5):Repairs &amp; Maintenance - Water Tanks</t>
  </si>
  <si>
    <t>625.5 Distribution (.5):Repairs &amp; Maintenance - Other</t>
  </si>
  <si>
    <t>627.5 Distribution (.5):Repairs &amp; Maintenance - Equipment</t>
  </si>
  <si>
    <t>631.5 Distribution (.5):Contractual Services - Engineering</t>
  </si>
  <si>
    <t>632.5 Distribution (.5):Contractual Services - Accounting</t>
  </si>
  <si>
    <t>633.5 Distribution (.5):Contractual Services - Legal</t>
  </si>
  <si>
    <t>636.5 Distribution (.5):Contractual Services - Other</t>
  </si>
  <si>
    <t>638.5 Distribution (.5):Certification and Training</t>
  </si>
  <si>
    <t>642.5 Distribution (.5):Rental of Equipment</t>
  </si>
  <si>
    <t>643.5 Distribution (.5):SCADA</t>
  </si>
  <si>
    <t>650.5 Distribution (.5):Vehicle / Auto Expenses</t>
  </si>
  <si>
    <t>650.5.1 Distribution (.5):Vehicle / Auto Expenses:Repair and Maintenance - Vehicles</t>
  </si>
  <si>
    <t>650.5.2 Distribution (.5):Vehicle / Auto Expenses:Auto Registration &amp; Taxes</t>
  </si>
  <si>
    <t>651.5 Distribution (.5):Fuel</t>
  </si>
  <si>
    <t>653.5 Distribution (.5):Small Tools</t>
  </si>
  <si>
    <t>655.5 Distribution (.5):Safety Equipment</t>
  </si>
  <si>
    <t>657.5 Distribution (.5):Insurance - Gen Liability, Property, Cyber</t>
  </si>
  <si>
    <t>658.5 Distribution (.5):Insurance - Workman's Compensation</t>
  </si>
  <si>
    <t>601.8 Administrative &amp; General (.8):Office &amp; Commissioner Wage Expense</t>
  </si>
  <si>
    <t>601.8 Administrative &amp; General (.8):Office &amp; Commissioner Wage Expense (deleted-1)</t>
  </si>
  <si>
    <t>602.8 Administrative &amp; General (.8):Payroll Taxes</t>
  </si>
  <si>
    <t>603.8 Administrative &amp; General (.8):Sick/Vac Wage Expense</t>
  </si>
  <si>
    <t>604.8.1 Administrative &amp; General (.8):Employee Pensions and Benefits:Dental</t>
  </si>
  <si>
    <t>604.8.2 Administrative &amp; General (.8):Employee Pensions and Benefits:Group Health Insurance</t>
  </si>
  <si>
    <t>604.8.3 Administrative &amp; General (.8):Employee Pensions and Benefits:Per Life Insurance</t>
  </si>
  <si>
    <t>604.8.4 Administrative &amp; General (.8):Employee Pensions and Benefits:Retirement Pension Plan</t>
  </si>
  <si>
    <t>605.8 Administrative &amp; General (.8):Advertising &amp; Marketing</t>
  </si>
  <si>
    <t>608.8.1 Administrative &amp; General (.8):Bank Fees &amp; Charges:CC Processing Fees</t>
  </si>
  <si>
    <t>608.8.2 Administrative &amp; General (.8):Bank Fees &amp; Charges:Bank Fees</t>
  </si>
  <si>
    <t>608.8.3 Administrative &amp; General (.8):Bank Fees &amp; Charges:Finance Expense</t>
  </si>
  <si>
    <t>610.8 Administrative &amp; General (.8):Meals &amp; Entertainment</t>
  </si>
  <si>
    <t>615.8.2 Administrative &amp; General (.8):Utilities:Water/Sewer</t>
  </si>
  <si>
    <t>616.8 Administrative &amp; General (.8):Telephone/Internet</t>
  </si>
  <si>
    <t>617.8 Administrative &amp; General (.8):Information Technologies (IT)</t>
  </si>
  <si>
    <t>618.8 Administrative &amp; General (.8):Communicaion - 811 Service</t>
  </si>
  <si>
    <t>625.8 Administrative &amp; General (.8):Building &amp; Grounds</t>
  </si>
  <si>
    <t>633.8 Administrative &amp; General (.8):Contactual Services - Legal</t>
  </si>
  <si>
    <t>636.8 Administrative &amp; General (.8):Contractual Services - Other</t>
  </si>
  <si>
    <t>637.8 Administrative &amp; General (.8):Dues &amp; Subscriptions</t>
  </si>
  <si>
    <t>640.8 Administrative &amp; General (.8):Office Supplies</t>
  </si>
  <si>
    <t>643.8 Administrative &amp; General (.8):Postage</t>
  </si>
  <si>
    <t>644.8 Administrative &amp; General (.8):Billing Expenses</t>
  </si>
  <si>
    <t>645.8 Administrative &amp; General (.8):Uniforms</t>
  </si>
  <si>
    <t>646.8 Administrative &amp; General (.8):Gifts</t>
  </si>
  <si>
    <t>671.8 Administrative &amp; General (.8):Interest Paid</t>
  </si>
  <si>
    <t>672.8 Administrative &amp; General (.8):Travel Expense</t>
  </si>
  <si>
    <t>Office expenses (deleted):Bank fees &amp; service charges (deleted)</t>
  </si>
  <si>
    <t>Payroll expenses (deleted)</t>
  </si>
  <si>
    <t>Repairs &amp; maintenance (deleted)</t>
  </si>
  <si>
    <t>Uncategorized Expense</t>
  </si>
  <si>
    <t>705 Interest Earned</t>
  </si>
  <si>
    <t>707 Grant Income</t>
  </si>
  <si>
    <t>710 Investment Income</t>
  </si>
  <si>
    <t>TOTAL</t>
  </si>
  <si>
    <t>Tuesday, Mar 07, 2023 11:53:47 AM GMT-8 - Accrual Basis</t>
  </si>
  <si>
    <t>Meade County Water District2</t>
  </si>
  <si>
    <t>Trial Balance</t>
  </si>
  <si>
    <t>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</si>
</sst>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7"/>
  <sheetViews>
    <sheetView tabSelected="1" workbookViewId="0">
      <selection sqref="A1:C1"/>
    </sheetView>
  </sheetViews>
  <sheetFormatPr defaultRowHeight="15" x14ac:dyDescent="0.25"/>
  <cols>
    <col min="1" max="1" width="79.85546875" customWidth="1"/>
    <col min="2" max="3" width="16.28515625" customWidth="1"/>
  </cols>
  <sheetData>
    <row r="1" spans="1:3" ht="18" x14ac:dyDescent="0.25">
      <c r="A1" s="9" t="s">
        <v>151</v>
      </c>
      <c r="B1" s="8"/>
      <c r="C1" s="8"/>
    </row>
    <row r="2" spans="1:3" ht="18" x14ac:dyDescent="0.25">
      <c r="A2" s="9" t="s">
        <v>152</v>
      </c>
      <c r="B2" s="8"/>
      <c r="C2" s="8"/>
    </row>
    <row r="3" spans="1:3" x14ac:dyDescent="0.25">
      <c r="A3" s="10" t="s">
        <v>153</v>
      </c>
      <c r="B3" s="8"/>
      <c r="C3" s="8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>
        <f>150</f>
        <v>150</v>
      </c>
      <c r="C6" s="5"/>
    </row>
    <row r="7" spans="1:3" x14ac:dyDescent="0.25">
      <c r="A7" s="3" t="s">
        <v>3</v>
      </c>
      <c r="B7" s="4">
        <f>135156.78</f>
        <v>135156.78</v>
      </c>
      <c r="C7" s="5"/>
    </row>
    <row r="8" spans="1:3" x14ac:dyDescent="0.25">
      <c r="A8" s="3" t="s">
        <v>4</v>
      </c>
      <c r="B8" s="4">
        <f>7</f>
        <v>7</v>
      </c>
      <c r="C8" s="5"/>
    </row>
    <row r="9" spans="1:3" x14ac:dyDescent="0.25">
      <c r="A9" s="3" t="s">
        <v>5</v>
      </c>
      <c r="B9" s="4">
        <f>45540.6</f>
        <v>45540.6</v>
      </c>
      <c r="C9" s="5"/>
    </row>
    <row r="10" spans="1:3" x14ac:dyDescent="0.25">
      <c r="A10" s="3" t="s">
        <v>6</v>
      </c>
      <c r="B10" s="4">
        <f>165060.97</f>
        <v>165060.97</v>
      </c>
      <c r="C10" s="5"/>
    </row>
    <row r="11" spans="1:3" x14ac:dyDescent="0.25">
      <c r="A11" s="3" t="s">
        <v>7</v>
      </c>
      <c r="B11" s="4">
        <f>144179.99</f>
        <v>144179.99</v>
      </c>
      <c r="C11" s="5"/>
    </row>
    <row r="12" spans="1:3" x14ac:dyDescent="0.25">
      <c r="A12" s="3" t="s">
        <v>8</v>
      </c>
      <c r="B12" s="4">
        <f>123153.41</f>
        <v>123153.41</v>
      </c>
      <c r="C12" s="5"/>
    </row>
    <row r="13" spans="1:3" x14ac:dyDescent="0.25">
      <c r="A13" s="3" t="s">
        <v>9</v>
      </c>
      <c r="B13" s="4">
        <f>56377.04</f>
        <v>56377.04</v>
      </c>
      <c r="C13" s="5"/>
    </row>
    <row r="14" spans="1:3" x14ac:dyDescent="0.25">
      <c r="A14" s="3" t="s">
        <v>10</v>
      </c>
      <c r="B14" s="4">
        <f>32051.37</f>
        <v>32051.37</v>
      </c>
      <c r="C14" s="5"/>
    </row>
    <row r="15" spans="1:3" x14ac:dyDescent="0.25">
      <c r="A15" s="3" t="s">
        <v>11</v>
      </c>
      <c r="B15" s="4">
        <f>500000</f>
        <v>500000</v>
      </c>
      <c r="C15" s="5"/>
    </row>
    <row r="16" spans="1:3" x14ac:dyDescent="0.25">
      <c r="A16" s="3" t="s">
        <v>12</v>
      </c>
      <c r="B16" s="4">
        <f>42435.08</f>
        <v>42435.08</v>
      </c>
      <c r="C16" s="5"/>
    </row>
    <row r="17" spans="1:3" x14ac:dyDescent="0.25">
      <c r="A17" s="3" t="s">
        <v>13</v>
      </c>
      <c r="B17" s="4">
        <f>246675.24</f>
        <v>246675.24</v>
      </c>
      <c r="C17" s="5"/>
    </row>
    <row r="18" spans="1:3" x14ac:dyDescent="0.25">
      <c r="A18" s="3" t="s">
        <v>14</v>
      </c>
      <c r="B18" s="4">
        <f>0</f>
        <v>0</v>
      </c>
      <c r="C18" s="5"/>
    </row>
    <row r="19" spans="1:3" x14ac:dyDescent="0.25">
      <c r="A19" s="3" t="s">
        <v>15</v>
      </c>
      <c r="B19" s="5"/>
      <c r="C19" s="4">
        <f>36000</f>
        <v>36000</v>
      </c>
    </row>
    <row r="20" spans="1:3" x14ac:dyDescent="0.25">
      <c r="A20" s="3" t="s">
        <v>16</v>
      </c>
      <c r="B20" s="4">
        <f>115942.71</f>
        <v>115942.71</v>
      </c>
      <c r="C20" s="5"/>
    </row>
    <row r="21" spans="1:3" x14ac:dyDescent="0.25">
      <c r="A21" s="3" t="s">
        <v>17</v>
      </c>
      <c r="B21" s="4">
        <f>8174.52</f>
        <v>8174.52</v>
      </c>
      <c r="C21" s="5"/>
    </row>
    <row r="22" spans="1:3" x14ac:dyDescent="0.25">
      <c r="A22" s="3" t="s">
        <v>18</v>
      </c>
      <c r="B22" s="4">
        <f>0</f>
        <v>0</v>
      </c>
      <c r="C22" s="5"/>
    </row>
    <row r="23" spans="1:3" x14ac:dyDescent="0.25">
      <c r="A23" s="3" t="s">
        <v>19</v>
      </c>
      <c r="B23" s="4">
        <f>75043</f>
        <v>75043</v>
      </c>
      <c r="C23" s="5"/>
    </row>
    <row r="24" spans="1:3" x14ac:dyDescent="0.25">
      <c r="A24" s="3" t="s">
        <v>20</v>
      </c>
      <c r="B24" s="4">
        <f>2783571</f>
        <v>2783571</v>
      </c>
      <c r="C24" s="5"/>
    </row>
    <row r="25" spans="1:3" x14ac:dyDescent="0.25">
      <c r="A25" s="3" t="s">
        <v>21</v>
      </c>
      <c r="B25" s="4">
        <f>340597.96</f>
        <v>340597.96</v>
      </c>
      <c r="C25" s="5"/>
    </row>
    <row r="26" spans="1:3" x14ac:dyDescent="0.25">
      <c r="A26" s="3" t="s">
        <v>22</v>
      </c>
      <c r="B26" s="4">
        <f>464293.72</f>
        <v>464293.72</v>
      </c>
      <c r="C26" s="5"/>
    </row>
    <row r="27" spans="1:3" x14ac:dyDescent="0.25">
      <c r="A27" s="3" t="s">
        <v>23</v>
      </c>
      <c r="B27" s="4">
        <f>195975</f>
        <v>195975</v>
      </c>
      <c r="C27" s="5"/>
    </row>
    <row r="28" spans="1:3" x14ac:dyDescent="0.25">
      <c r="A28" s="3" t="s">
        <v>24</v>
      </c>
      <c r="B28" s="4">
        <f>14508168.68</f>
        <v>14508168.68</v>
      </c>
      <c r="C28" s="5"/>
    </row>
    <row r="29" spans="1:3" x14ac:dyDescent="0.25">
      <c r="A29" s="3" t="s">
        <v>25</v>
      </c>
      <c r="B29" s="4">
        <f>685232.29</f>
        <v>685232.29</v>
      </c>
      <c r="C29" s="5"/>
    </row>
    <row r="30" spans="1:3" x14ac:dyDescent="0.25">
      <c r="A30" s="3" t="s">
        <v>26</v>
      </c>
      <c r="B30" s="4">
        <f>3410693</f>
        <v>3410693</v>
      </c>
      <c r="C30" s="5"/>
    </row>
    <row r="31" spans="1:3" x14ac:dyDescent="0.25">
      <c r="A31" s="3" t="s">
        <v>27</v>
      </c>
      <c r="B31" s="4">
        <f>63127</f>
        <v>63127</v>
      </c>
      <c r="C31" s="5"/>
    </row>
    <row r="32" spans="1:3" x14ac:dyDescent="0.25">
      <c r="A32" s="3" t="s">
        <v>28</v>
      </c>
      <c r="B32" s="4">
        <f>3765590.76</f>
        <v>3765590.76</v>
      </c>
      <c r="C32" s="5"/>
    </row>
    <row r="33" spans="1:3" x14ac:dyDescent="0.25">
      <c r="A33" s="3" t="s">
        <v>29</v>
      </c>
      <c r="B33" s="4">
        <f>26694</f>
        <v>26694</v>
      </c>
      <c r="C33" s="5"/>
    </row>
    <row r="34" spans="1:3" x14ac:dyDescent="0.25">
      <c r="A34" s="3" t="s">
        <v>30</v>
      </c>
      <c r="B34" s="4">
        <f>108841</f>
        <v>108841</v>
      </c>
      <c r="C34" s="5"/>
    </row>
    <row r="35" spans="1:3" x14ac:dyDescent="0.25">
      <c r="A35" s="3" t="s">
        <v>31</v>
      </c>
      <c r="B35" s="4">
        <f>10000</f>
        <v>10000</v>
      </c>
      <c r="C35" s="5"/>
    </row>
    <row r="36" spans="1:3" x14ac:dyDescent="0.25">
      <c r="A36" s="3" t="s">
        <v>32</v>
      </c>
      <c r="B36" s="5"/>
      <c r="C36" s="4">
        <f>10282686</f>
        <v>10282686</v>
      </c>
    </row>
    <row r="37" spans="1:3" x14ac:dyDescent="0.25">
      <c r="A37" s="3" t="s">
        <v>33</v>
      </c>
      <c r="B37" s="4">
        <f>38735.5</f>
        <v>38735.5</v>
      </c>
      <c r="C37" s="5"/>
    </row>
    <row r="38" spans="1:3" x14ac:dyDescent="0.25">
      <c r="A38" s="3" t="s">
        <v>34</v>
      </c>
      <c r="B38" s="4">
        <f>56147.54</f>
        <v>56147.54</v>
      </c>
      <c r="C38" s="5"/>
    </row>
    <row r="39" spans="1:3" x14ac:dyDescent="0.25">
      <c r="A39" s="3" t="s">
        <v>35</v>
      </c>
      <c r="B39" s="4">
        <f>76804.47</f>
        <v>76804.47</v>
      </c>
      <c r="C39" s="5"/>
    </row>
    <row r="40" spans="1:3" x14ac:dyDescent="0.25">
      <c r="A40" s="3" t="s">
        <v>36</v>
      </c>
      <c r="B40" s="4">
        <f>200141.24</f>
        <v>200141.24</v>
      </c>
      <c r="C40" s="5"/>
    </row>
    <row r="41" spans="1:3" x14ac:dyDescent="0.25">
      <c r="A41" s="3" t="s">
        <v>37</v>
      </c>
      <c r="B41" s="4">
        <f>323763</f>
        <v>323763</v>
      </c>
      <c r="C41" s="5"/>
    </row>
    <row r="42" spans="1:3" x14ac:dyDescent="0.25">
      <c r="A42" s="3" t="s">
        <v>38</v>
      </c>
      <c r="B42" s="4">
        <f>1202043</f>
        <v>1202043</v>
      </c>
      <c r="C42" s="5"/>
    </row>
    <row r="43" spans="1:3" x14ac:dyDescent="0.25">
      <c r="A43" s="3" t="s">
        <v>39</v>
      </c>
      <c r="B43" s="4">
        <f>139722</f>
        <v>139722</v>
      </c>
      <c r="C43" s="5"/>
    </row>
    <row r="44" spans="1:3" x14ac:dyDescent="0.25">
      <c r="A44" s="3" t="s">
        <v>40</v>
      </c>
      <c r="B44" s="4">
        <f>194692</f>
        <v>194692</v>
      </c>
      <c r="C44" s="5"/>
    </row>
    <row r="45" spans="1:3" x14ac:dyDescent="0.25">
      <c r="A45" s="3" t="s">
        <v>41</v>
      </c>
      <c r="B45" s="5"/>
      <c r="C45" s="4">
        <f>3588.72</f>
        <v>3588.72</v>
      </c>
    </row>
    <row r="46" spans="1:3" x14ac:dyDescent="0.25">
      <c r="A46" s="3" t="s">
        <v>42</v>
      </c>
      <c r="B46" s="5"/>
      <c r="C46" s="4">
        <f>1563</f>
        <v>1563</v>
      </c>
    </row>
    <row r="47" spans="1:3" x14ac:dyDescent="0.25">
      <c r="A47" s="3" t="s">
        <v>43</v>
      </c>
      <c r="B47" s="5"/>
      <c r="C47" s="4">
        <f>4714.1</f>
        <v>4714.1000000000004</v>
      </c>
    </row>
    <row r="48" spans="1:3" x14ac:dyDescent="0.25">
      <c r="A48" s="3" t="s">
        <v>44</v>
      </c>
      <c r="B48" s="5"/>
      <c r="C48" s="4">
        <f>15000</f>
        <v>15000</v>
      </c>
    </row>
    <row r="49" spans="1:3" x14ac:dyDescent="0.25">
      <c r="A49" s="3" t="s">
        <v>45</v>
      </c>
      <c r="B49" s="5"/>
      <c r="C49" s="4">
        <f>49092.63</f>
        <v>49092.63</v>
      </c>
    </row>
    <row r="50" spans="1:3" x14ac:dyDescent="0.25">
      <c r="A50" s="3" t="s">
        <v>46</v>
      </c>
      <c r="B50" s="5"/>
      <c r="C50" s="4">
        <f>522.34</f>
        <v>522.34</v>
      </c>
    </row>
    <row r="51" spans="1:3" x14ac:dyDescent="0.25">
      <c r="A51" s="3" t="s">
        <v>47</v>
      </c>
      <c r="B51" s="5"/>
      <c r="C51" s="4">
        <f>11411.6</f>
        <v>11411.6</v>
      </c>
    </row>
    <row r="52" spans="1:3" x14ac:dyDescent="0.25">
      <c r="A52" s="3" t="s">
        <v>48</v>
      </c>
      <c r="B52" s="5"/>
      <c r="C52" s="4">
        <f>2683.45</f>
        <v>2683.45</v>
      </c>
    </row>
    <row r="53" spans="1:3" x14ac:dyDescent="0.25">
      <c r="A53" s="3" t="s">
        <v>49</v>
      </c>
      <c r="B53" s="5"/>
      <c r="C53" s="4">
        <f>12518.03</f>
        <v>12518.03</v>
      </c>
    </row>
    <row r="54" spans="1:3" x14ac:dyDescent="0.25">
      <c r="A54" s="3" t="s">
        <v>50</v>
      </c>
      <c r="B54" s="5"/>
      <c r="C54" s="4">
        <f>1221.72</f>
        <v>1221.72</v>
      </c>
    </row>
    <row r="55" spans="1:3" x14ac:dyDescent="0.25">
      <c r="A55" s="3" t="s">
        <v>51</v>
      </c>
      <c r="B55" s="5"/>
      <c r="C55" s="4">
        <f>5232</f>
        <v>5232</v>
      </c>
    </row>
    <row r="56" spans="1:3" x14ac:dyDescent="0.25">
      <c r="A56" s="3" t="s">
        <v>52</v>
      </c>
      <c r="B56" s="5"/>
      <c r="C56" s="4">
        <f>37510.12</f>
        <v>37510.120000000003</v>
      </c>
    </row>
    <row r="57" spans="1:3" x14ac:dyDescent="0.25">
      <c r="A57" s="3" t="s">
        <v>53</v>
      </c>
      <c r="B57" s="5"/>
      <c r="C57" s="4">
        <f>26105.64</f>
        <v>26105.64</v>
      </c>
    </row>
    <row r="58" spans="1:3" x14ac:dyDescent="0.25">
      <c r="A58" s="3" t="s">
        <v>54</v>
      </c>
      <c r="B58" s="5"/>
      <c r="C58" s="4">
        <f>3782.29</f>
        <v>3782.29</v>
      </c>
    </row>
    <row r="59" spans="1:3" x14ac:dyDescent="0.25">
      <c r="A59" s="3" t="s">
        <v>55</v>
      </c>
      <c r="B59" s="5"/>
      <c r="C59" s="4">
        <f>79.7</f>
        <v>79.7</v>
      </c>
    </row>
    <row r="60" spans="1:3" x14ac:dyDescent="0.25">
      <c r="A60" s="3" t="s">
        <v>56</v>
      </c>
      <c r="B60" s="5"/>
      <c r="C60" s="4">
        <f>2714.47</f>
        <v>2714.47</v>
      </c>
    </row>
    <row r="61" spans="1:3" x14ac:dyDescent="0.25">
      <c r="A61" s="3" t="s">
        <v>57</v>
      </c>
      <c r="B61" s="5"/>
      <c r="C61" s="4">
        <f>50436.83</f>
        <v>50436.83</v>
      </c>
    </row>
    <row r="62" spans="1:3" x14ac:dyDescent="0.25">
      <c r="A62" s="3" t="s">
        <v>58</v>
      </c>
      <c r="B62" s="5"/>
      <c r="C62" s="4">
        <f>15095.59</f>
        <v>15095.59</v>
      </c>
    </row>
    <row r="63" spans="1:3" x14ac:dyDescent="0.25">
      <c r="A63" s="3" t="s">
        <v>59</v>
      </c>
      <c r="B63" s="5"/>
      <c r="C63" s="4">
        <f>235401.82</f>
        <v>235401.82</v>
      </c>
    </row>
    <row r="64" spans="1:3" x14ac:dyDescent="0.25">
      <c r="A64" s="3" t="s">
        <v>60</v>
      </c>
      <c r="B64" s="5"/>
      <c r="C64" s="4">
        <f>1173909</f>
        <v>1173909</v>
      </c>
    </row>
    <row r="65" spans="1:3" x14ac:dyDescent="0.25">
      <c r="A65" s="3" t="s">
        <v>61</v>
      </c>
      <c r="B65" s="5"/>
      <c r="C65" s="4">
        <f>352393</f>
        <v>352393</v>
      </c>
    </row>
    <row r="66" spans="1:3" x14ac:dyDescent="0.25">
      <c r="A66" s="3" t="s">
        <v>62</v>
      </c>
      <c r="B66" s="5"/>
      <c r="C66" s="4">
        <f>0</f>
        <v>0</v>
      </c>
    </row>
    <row r="67" spans="1:3" x14ac:dyDescent="0.25">
      <c r="A67" s="3" t="s">
        <v>63</v>
      </c>
      <c r="B67" s="5"/>
      <c r="C67" s="4">
        <f>1873000</f>
        <v>1873000</v>
      </c>
    </row>
    <row r="68" spans="1:3" x14ac:dyDescent="0.25">
      <c r="A68" s="3" t="s">
        <v>64</v>
      </c>
      <c r="B68" s="5"/>
      <c r="C68" s="4">
        <f>50885.43</f>
        <v>50885.43</v>
      </c>
    </row>
    <row r="69" spans="1:3" x14ac:dyDescent="0.25">
      <c r="A69" s="3" t="s">
        <v>65</v>
      </c>
      <c r="B69" s="5"/>
      <c r="C69" s="4">
        <f>316075.71</f>
        <v>316075.71000000002</v>
      </c>
    </row>
    <row r="70" spans="1:3" x14ac:dyDescent="0.25">
      <c r="A70" s="3" t="s">
        <v>66</v>
      </c>
      <c r="B70" s="5"/>
      <c r="C70" s="4">
        <f>4000.04</f>
        <v>4000.04</v>
      </c>
    </row>
    <row r="71" spans="1:3" x14ac:dyDescent="0.25">
      <c r="A71" s="3" t="s">
        <v>67</v>
      </c>
      <c r="B71" s="5"/>
      <c r="C71" s="4">
        <f>2506170</f>
        <v>2506170</v>
      </c>
    </row>
    <row r="72" spans="1:3" x14ac:dyDescent="0.25">
      <c r="A72" s="3" t="s">
        <v>68</v>
      </c>
      <c r="B72" s="5"/>
      <c r="C72" s="4">
        <f>1980000</f>
        <v>1980000</v>
      </c>
    </row>
    <row r="73" spans="1:3" x14ac:dyDescent="0.25">
      <c r="A73" s="3" t="s">
        <v>69</v>
      </c>
      <c r="B73" s="5"/>
      <c r="C73" s="4">
        <f>151436</f>
        <v>151436</v>
      </c>
    </row>
    <row r="74" spans="1:3" x14ac:dyDescent="0.25">
      <c r="A74" s="3" t="s">
        <v>70</v>
      </c>
      <c r="B74" s="5"/>
      <c r="C74" s="4">
        <f>45803.58</f>
        <v>45803.58</v>
      </c>
    </row>
    <row r="75" spans="1:3" x14ac:dyDescent="0.25">
      <c r="A75" s="3" t="s">
        <v>71</v>
      </c>
      <c r="B75" s="4">
        <f>235401.82</f>
        <v>235401.82</v>
      </c>
      <c r="C75" s="5"/>
    </row>
    <row r="76" spans="1:3" x14ac:dyDescent="0.25">
      <c r="A76" s="3" t="s">
        <v>72</v>
      </c>
      <c r="B76" s="5"/>
      <c r="C76" s="4">
        <f>167856</f>
        <v>167856</v>
      </c>
    </row>
    <row r="77" spans="1:3" x14ac:dyDescent="0.25">
      <c r="A77" s="3" t="s">
        <v>73</v>
      </c>
      <c r="B77" s="5"/>
      <c r="C77" s="4">
        <f>166062</f>
        <v>166062</v>
      </c>
    </row>
    <row r="78" spans="1:3" x14ac:dyDescent="0.25">
      <c r="A78" s="3" t="s">
        <v>74</v>
      </c>
      <c r="B78" s="5"/>
      <c r="C78" s="4">
        <f>8700199</f>
        <v>8700199</v>
      </c>
    </row>
    <row r="79" spans="1:3" x14ac:dyDescent="0.25">
      <c r="A79" s="3" t="s">
        <v>75</v>
      </c>
      <c r="B79" s="5"/>
      <c r="C79" s="4">
        <f>778617</f>
        <v>778617</v>
      </c>
    </row>
    <row r="80" spans="1:3" x14ac:dyDescent="0.25">
      <c r="A80" s="3" t="s">
        <v>76</v>
      </c>
      <c r="B80" s="5"/>
      <c r="C80" s="4">
        <f>471750.73</f>
        <v>471750.73</v>
      </c>
    </row>
    <row r="81" spans="1:3" x14ac:dyDescent="0.25">
      <c r="A81" s="3" t="s">
        <v>77</v>
      </c>
      <c r="B81" s="5"/>
      <c r="C81" s="4">
        <f>2683559.63</f>
        <v>2683559.63</v>
      </c>
    </row>
    <row r="82" spans="1:3" x14ac:dyDescent="0.25">
      <c r="A82" s="3" t="s">
        <v>78</v>
      </c>
      <c r="B82" s="4">
        <f>6321.4</f>
        <v>6321.4</v>
      </c>
      <c r="C82" s="5"/>
    </row>
    <row r="83" spans="1:3" x14ac:dyDescent="0.25">
      <c r="A83" s="3" t="s">
        <v>79</v>
      </c>
      <c r="B83" s="5"/>
      <c r="C83" s="4">
        <f>317722.4</f>
        <v>317722.40000000002</v>
      </c>
    </row>
    <row r="84" spans="1:3" x14ac:dyDescent="0.25">
      <c r="A84" s="3" t="s">
        <v>80</v>
      </c>
      <c r="B84" s="5"/>
      <c r="C84" s="4">
        <f>147321.38</f>
        <v>147321.38</v>
      </c>
    </row>
    <row r="85" spans="1:3" x14ac:dyDescent="0.25">
      <c r="A85" s="3" t="s">
        <v>81</v>
      </c>
      <c r="B85" s="5"/>
      <c r="C85" s="4">
        <f>41915.67</f>
        <v>41915.67</v>
      </c>
    </row>
    <row r="86" spans="1:3" x14ac:dyDescent="0.25">
      <c r="A86" s="3" t="s">
        <v>82</v>
      </c>
      <c r="B86" s="5"/>
      <c r="C86" s="4">
        <f>98.39</f>
        <v>98.39</v>
      </c>
    </row>
    <row r="87" spans="1:3" x14ac:dyDescent="0.25">
      <c r="A87" s="3" t="s">
        <v>83</v>
      </c>
      <c r="B87" s="4">
        <f>14117.76</f>
        <v>14117.76</v>
      </c>
      <c r="C87" s="5"/>
    </row>
    <row r="88" spans="1:3" x14ac:dyDescent="0.25">
      <c r="A88" s="3" t="s">
        <v>84</v>
      </c>
      <c r="B88" s="4">
        <f>289799.6</f>
        <v>289799.59999999998</v>
      </c>
      <c r="C88" s="5"/>
    </row>
    <row r="89" spans="1:3" x14ac:dyDescent="0.25">
      <c r="A89" s="3" t="s">
        <v>85</v>
      </c>
      <c r="B89" s="4">
        <f>41917.34</f>
        <v>41917.339999999997</v>
      </c>
      <c r="C89" s="5"/>
    </row>
    <row r="90" spans="1:3" x14ac:dyDescent="0.25">
      <c r="A90" s="3" t="s">
        <v>86</v>
      </c>
      <c r="B90" s="4">
        <f>442</f>
        <v>442</v>
      </c>
      <c r="C90" s="5"/>
    </row>
    <row r="91" spans="1:3" x14ac:dyDescent="0.25">
      <c r="A91" s="3" t="s">
        <v>87</v>
      </c>
      <c r="B91" s="4">
        <f>204.81</f>
        <v>204.81</v>
      </c>
      <c r="C91" s="5"/>
    </row>
    <row r="92" spans="1:3" x14ac:dyDescent="0.25">
      <c r="A92" s="3" t="s">
        <v>88</v>
      </c>
      <c r="B92" s="4">
        <f>68104.68</f>
        <v>68104.679999999993</v>
      </c>
      <c r="C92" s="5"/>
    </row>
    <row r="93" spans="1:3" x14ac:dyDescent="0.25">
      <c r="A93" s="3" t="s">
        <v>89</v>
      </c>
      <c r="B93" s="4">
        <f>824332.43</f>
        <v>824332.43</v>
      </c>
      <c r="C93" s="5"/>
    </row>
    <row r="94" spans="1:3" x14ac:dyDescent="0.25">
      <c r="A94" s="3" t="s">
        <v>90</v>
      </c>
      <c r="B94" s="4">
        <f>260.21</f>
        <v>260.20999999999998</v>
      </c>
      <c r="C94" s="5"/>
    </row>
    <row r="95" spans="1:3" x14ac:dyDescent="0.25">
      <c r="A95" s="3" t="s">
        <v>91</v>
      </c>
      <c r="B95" s="4">
        <f>890</f>
        <v>890</v>
      </c>
      <c r="C95" s="5"/>
    </row>
    <row r="96" spans="1:3" x14ac:dyDescent="0.25">
      <c r="A96" s="3" t="s">
        <v>92</v>
      </c>
      <c r="B96" s="4">
        <f>130035.35</f>
        <v>130035.35</v>
      </c>
      <c r="C96" s="5"/>
    </row>
    <row r="97" spans="1:3" x14ac:dyDescent="0.25">
      <c r="A97" s="3" t="s">
        <v>93</v>
      </c>
      <c r="B97" s="5"/>
      <c r="C97" s="4">
        <f>1343</f>
        <v>1343</v>
      </c>
    </row>
    <row r="98" spans="1:3" x14ac:dyDescent="0.25">
      <c r="A98" s="3" t="s">
        <v>94</v>
      </c>
      <c r="B98" s="4">
        <f>353.15</f>
        <v>353.15</v>
      </c>
      <c r="C98" s="5"/>
    </row>
    <row r="99" spans="1:3" x14ac:dyDescent="0.25">
      <c r="A99" s="3" t="s">
        <v>95</v>
      </c>
      <c r="B99" s="4">
        <f>7597.76</f>
        <v>7597.76</v>
      </c>
      <c r="C99" s="5"/>
    </row>
    <row r="100" spans="1:3" x14ac:dyDescent="0.25">
      <c r="A100" s="3" t="s">
        <v>96</v>
      </c>
      <c r="B100" s="4">
        <f>2000</f>
        <v>2000</v>
      </c>
      <c r="C100" s="5"/>
    </row>
    <row r="101" spans="1:3" x14ac:dyDescent="0.25">
      <c r="A101" s="3" t="s">
        <v>97</v>
      </c>
      <c r="B101" s="4">
        <f>162.11</f>
        <v>162.11000000000001</v>
      </c>
      <c r="C101" s="5"/>
    </row>
    <row r="102" spans="1:3" x14ac:dyDescent="0.25">
      <c r="A102" s="3" t="s">
        <v>98</v>
      </c>
      <c r="B102" s="4">
        <f>35728.02</f>
        <v>35728.019999999997</v>
      </c>
      <c r="C102" s="5"/>
    </row>
    <row r="103" spans="1:3" x14ac:dyDescent="0.25">
      <c r="A103" s="3" t="s">
        <v>99</v>
      </c>
      <c r="B103" s="4">
        <f>59424.59</f>
        <v>59424.59</v>
      </c>
      <c r="C103" s="5"/>
    </row>
    <row r="104" spans="1:3" x14ac:dyDescent="0.25">
      <c r="A104" s="3" t="s">
        <v>100</v>
      </c>
      <c r="B104" s="4">
        <f>29006.19</f>
        <v>29006.19</v>
      </c>
      <c r="C104" s="5"/>
    </row>
    <row r="105" spans="1:3" x14ac:dyDescent="0.25">
      <c r="A105" s="3" t="s">
        <v>101</v>
      </c>
      <c r="B105" s="4">
        <f>525</f>
        <v>525</v>
      </c>
      <c r="C105" s="5"/>
    </row>
    <row r="106" spans="1:3" x14ac:dyDescent="0.25">
      <c r="A106" s="3" t="s">
        <v>102</v>
      </c>
      <c r="B106" s="4">
        <f>46123.7</f>
        <v>46123.7</v>
      </c>
      <c r="C106" s="5"/>
    </row>
    <row r="107" spans="1:3" x14ac:dyDescent="0.25">
      <c r="A107" s="3" t="s">
        <v>103</v>
      </c>
      <c r="B107" s="4">
        <f>12923.18</f>
        <v>12923.18</v>
      </c>
      <c r="C107" s="5"/>
    </row>
    <row r="108" spans="1:3" x14ac:dyDescent="0.25">
      <c r="A108" s="3" t="s">
        <v>104</v>
      </c>
      <c r="B108" s="4">
        <f>283.76</f>
        <v>283.76</v>
      </c>
      <c r="C108" s="5"/>
    </row>
    <row r="109" spans="1:3" x14ac:dyDescent="0.25">
      <c r="A109" s="3" t="s">
        <v>105</v>
      </c>
      <c r="B109" s="4">
        <f>855</f>
        <v>855</v>
      </c>
      <c r="C109" s="5"/>
    </row>
    <row r="110" spans="1:3" x14ac:dyDescent="0.25">
      <c r="A110" s="3" t="s">
        <v>106</v>
      </c>
      <c r="B110" s="4">
        <f>4258.48</f>
        <v>4258.4799999999996</v>
      </c>
      <c r="C110" s="5"/>
    </row>
    <row r="111" spans="1:3" x14ac:dyDescent="0.25">
      <c r="A111" s="3" t="s">
        <v>107</v>
      </c>
      <c r="B111" s="4">
        <f>2480.29</f>
        <v>2480.29</v>
      </c>
      <c r="C111" s="5"/>
    </row>
    <row r="112" spans="1:3" x14ac:dyDescent="0.25">
      <c r="A112" s="3" t="s">
        <v>108</v>
      </c>
      <c r="B112" s="4">
        <f>37.04</f>
        <v>37.04</v>
      </c>
      <c r="C112" s="5"/>
    </row>
    <row r="113" spans="1:3" x14ac:dyDescent="0.25">
      <c r="A113" s="3" t="s">
        <v>109</v>
      </c>
      <c r="B113" s="4">
        <f>34462.22</f>
        <v>34462.22</v>
      </c>
      <c r="C113" s="5"/>
    </row>
    <row r="114" spans="1:3" x14ac:dyDescent="0.25">
      <c r="A114" s="3" t="s">
        <v>110</v>
      </c>
      <c r="B114" s="4">
        <f>9334.53</f>
        <v>9334.5300000000007</v>
      </c>
      <c r="C114" s="5"/>
    </row>
    <row r="115" spans="1:3" x14ac:dyDescent="0.25">
      <c r="A115" s="3" t="s">
        <v>111</v>
      </c>
      <c r="B115" s="4">
        <f>12500.73</f>
        <v>12500.73</v>
      </c>
      <c r="C115" s="5"/>
    </row>
    <row r="116" spans="1:3" x14ac:dyDescent="0.25">
      <c r="A116" s="3" t="s">
        <v>112</v>
      </c>
      <c r="B116" s="4">
        <f>30109.48</f>
        <v>30109.48</v>
      </c>
      <c r="C116" s="5"/>
    </row>
    <row r="117" spans="1:3" x14ac:dyDescent="0.25">
      <c r="A117" s="3" t="s">
        <v>113</v>
      </c>
      <c r="B117" s="4">
        <f>5891.16</f>
        <v>5891.16</v>
      </c>
      <c r="C117" s="5"/>
    </row>
    <row r="118" spans="1:3" x14ac:dyDescent="0.25">
      <c r="A118" s="3" t="s">
        <v>114</v>
      </c>
      <c r="B118" s="4">
        <f>109760.17</f>
        <v>109760.17</v>
      </c>
      <c r="C118" s="5"/>
    </row>
    <row r="119" spans="1:3" x14ac:dyDescent="0.25">
      <c r="A119" s="3" t="s">
        <v>115</v>
      </c>
      <c r="B119" s="4">
        <f>120950.49</f>
        <v>120950.49</v>
      </c>
      <c r="C119" s="5"/>
    </row>
    <row r="120" spans="1:3" x14ac:dyDescent="0.25">
      <c r="A120" s="3" t="s">
        <v>116</v>
      </c>
      <c r="B120" s="4">
        <f>2260.21</f>
        <v>2260.21</v>
      </c>
      <c r="C120" s="5"/>
    </row>
    <row r="121" spans="1:3" x14ac:dyDescent="0.25">
      <c r="A121" s="3" t="s">
        <v>117</v>
      </c>
      <c r="B121" s="4">
        <f>99158.95</f>
        <v>99158.95</v>
      </c>
      <c r="C121" s="5"/>
    </row>
    <row r="122" spans="1:3" x14ac:dyDescent="0.25">
      <c r="A122" s="3" t="s">
        <v>118</v>
      </c>
      <c r="B122" s="4">
        <f>2285.68</f>
        <v>2285.6799999999998</v>
      </c>
      <c r="C122" s="5"/>
    </row>
    <row r="123" spans="1:3" x14ac:dyDescent="0.25">
      <c r="A123" s="3" t="s">
        <v>119</v>
      </c>
      <c r="B123" s="4">
        <f>116004.78</f>
        <v>116004.78</v>
      </c>
      <c r="C123" s="5"/>
    </row>
    <row r="124" spans="1:3" x14ac:dyDescent="0.25">
      <c r="A124" s="3" t="s">
        <v>120</v>
      </c>
      <c r="B124" s="4">
        <f>2957.65</f>
        <v>2957.65</v>
      </c>
      <c r="C124" s="5"/>
    </row>
    <row r="125" spans="1:3" x14ac:dyDescent="0.25">
      <c r="A125" s="3" t="s">
        <v>121</v>
      </c>
      <c r="B125" s="4">
        <f>160133.43</f>
        <v>160133.43</v>
      </c>
      <c r="C125" s="5"/>
    </row>
    <row r="126" spans="1:3" x14ac:dyDescent="0.25">
      <c r="A126" s="3" t="s">
        <v>122</v>
      </c>
      <c r="B126" s="4">
        <f>3394.21</f>
        <v>3394.21</v>
      </c>
      <c r="C126" s="5"/>
    </row>
    <row r="127" spans="1:3" x14ac:dyDescent="0.25">
      <c r="A127" s="3" t="s">
        <v>123</v>
      </c>
      <c r="B127" s="4">
        <f>15763.38</f>
        <v>15763.38</v>
      </c>
      <c r="C127" s="5"/>
    </row>
    <row r="128" spans="1:3" x14ac:dyDescent="0.25">
      <c r="A128" s="3" t="s">
        <v>124</v>
      </c>
      <c r="B128" s="4">
        <f>67.77</f>
        <v>67.77</v>
      </c>
      <c r="C128" s="5"/>
    </row>
    <row r="129" spans="1:3" x14ac:dyDescent="0.25">
      <c r="A129" s="3" t="s">
        <v>125</v>
      </c>
      <c r="B129" s="4">
        <f>7132.78</f>
        <v>7132.78</v>
      </c>
      <c r="C129" s="5"/>
    </row>
    <row r="130" spans="1:3" x14ac:dyDescent="0.25">
      <c r="A130" s="3" t="s">
        <v>126</v>
      </c>
      <c r="B130" s="4">
        <f>3583.95</f>
        <v>3583.95</v>
      </c>
      <c r="C130" s="5"/>
    </row>
    <row r="131" spans="1:3" x14ac:dyDescent="0.25">
      <c r="A131" s="3" t="s">
        <v>127</v>
      </c>
      <c r="B131" s="4">
        <f>1840.92</f>
        <v>1840.92</v>
      </c>
      <c r="C131" s="5"/>
    </row>
    <row r="132" spans="1:3" x14ac:dyDescent="0.25">
      <c r="A132" s="3" t="s">
        <v>128</v>
      </c>
      <c r="B132" s="4">
        <f>16226.42</f>
        <v>16226.42</v>
      </c>
      <c r="C132" s="5"/>
    </row>
    <row r="133" spans="1:3" x14ac:dyDescent="0.25">
      <c r="A133" s="3" t="s">
        <v>129</v>
      </c>
      <c r="B133" s="4">
        <f>71667.29</f>
        <v>71667.289999999994</v>
      </c>
      <c r="C133" s="5"/>
    </row>
    <row r="134" spans="1:3" x14ac:dyDescent="0.25">
      <c r="A134" s="3" t="s">
        <v>130</v>
      </c>
      <c r="B134" s="4">
        <f>1407</f>
        <v>1407</v>
      </c>
      <c r="C134" s="5"/>
    </row>
    <row r="135" spans="1:3" x14ac:dyDescent="0.25">
      <c r="A135" s="3" t="s">
        <v>131</v>
      </c>
      <c r="B135" s="4">
        <f>32573.85</f>
        <v>32573.85</v>
      </c>
      <c r="C135" s="5"/>
    </row>
    <row r="136" spans="1:3" x14ac:dyDescent="0.25">
      <c r="A136" s="3" t="s">
        <v>132</v>
      </c>
      <c r="B136" s="4">
        <f>3420.5</f>
        <v>3420.5</v>
      </c>
      <c r="C136" s="5"/>
    </row>
    <row r="137" spans="1:3" x14ac:dyDescent="0.25">
      <c r="A137" s="3" t="s">
        <v>133</v>
      </c>
      <c r="B137" s="4">
        <f>21132.88</f>
        <v>21132.880000000001</v>
      </c>
      <c r="C137" s="5"/>
    </row>
    <row r="138" spans="1:3" x14ac:dyDescent="0.25">
      <c r="A138" s="3" t="s">
        <v>134</v>
      </c>
      <c r="B138" s="4">
        <f>8220.18</f>
        <v>8220.18</v>
      </c>
      <c r="C138" s="5"/>
    </row>
    <row r="139" spans="1:3" x14ac:dyDescent="0.25">
      <c r="A139" s="3" t="s">
        <v>135</v>
      </c>
      <c r="B139" s="4">
        <f>11940.52</f>
        <v>11940.52</v>
      </c>
      <c r="C139" s="5"/>
    </row>
    <row r="140" spans="1:3" x14ac:dyDescent="0.25">
      <c r="A140" s="3" t="s">
        <v>136</v>
      </c>
      <c r="B140" s="4">
        <f>2255.6</f>
        <v>2255.6</v>
      </c>
      <c r="C140" s="5"/>
    </row>
    <row r="141" spans="1:3" x14ac:dyDescent="0.25">
      <c r="A141" s="3" t="s">
        <v>137</v>
      </c>
      <c r="B141" s="4">
        <f>29840.54</f>
        <v>29840.54</v>
      </c>
      <c r="C141" s="5"/>
    </row>
    <row r="142" spans="1:3" x14ac:dyDescent="0.25">
      <c r="A142" s="3" t="s">
        <v>138</v>
      </c>
      <c r="B142" s="4">
        <f>10224.08</f>
        <v>10224.08</v>
      </c>
      <c r="C142" s="5"/>
    </row>
    <row r="143" spans="1:3" x14ac:dyDescent="0.25">
      <c r="A143" s="3" t="s">
        <v>139</v>
      </c>
      <c r="B143" s="4">
        <f>894.34</f>
        <v>894.34</v>
      </c>
      <c r="C143" s="5"/>
    </row>
    <row r="144" spans="1:3" x14ac:dyDescent="0.25">
      <c r="A144" s="3" t="s">
        <v>140</v>
      </c>
      <c r="B144" s="4">
        <f>176730.33</f>
        <v>176730.33</v>
      </c>
      <c r="C144" s="5"/>
    </row>
    <row r="145" spans="1:3" x14ac:dyDescent="0.25">
      <c r="A145" s="3" t="s">
        <v>141</v>
      </c>
      <c r="B145" s="4">
        <f>101.23</f>
        <v>101.23</v>
      </c>
      <c r="C145" s="5"/>
    </row>
    <row r="146" spans="1:3" x14ac:dyDescent="0.25">
      <c r="A146" s="3" t="s">
        <v>142</v>
      </c>
      <c r="B146" s="4">
        <f>60</f>
        <v>60</v>
      </c>
      <c r="C146" s="5"/>
    </row>
    <row r="147" spans="1:3" x14ac:dyDescent="0.25">
      <c r="A147" s="3" t="s">
        <v>143</v>
      </c>
      <c r="B147" s="4">
        <f>840.73</f>
        <v>840.73</v>
      </c>
      <c r="C147" s="5"/>
    </row>
    <row r="148" spans="1:3" x14ac:dyDescent="0.25">
      <c r="A148" s="3" t="s">
        <v>144</v>
      </c>
      <c r="B148" s="4">
        <f>504.76</f>
        <v>504.76</v>
      </c>
      <c r="C148" s="5"/>
    </row>
    <row r="149" spans="1:3" x14ac:dyDescent="0.25">
      <c r="A149" s="3" t="s">
        <v>145</v>
      </c>
      <c r="B149" s="4">
        <f>14282.25</f>
        <v>14282.25</v>
      </c>
      <c r="C149" s="5"/>
    </row>
    <row r="150" spans="1:3" x14ac:dyDescent="0.25">
      <c r="A150" s="3" t="s">
        <v>146</v>
      </c>
      <c r="B150" s="5"/>
      <c r="C150" s="4">
        <f>10662.28</f>
        <v>10662.28</v>
      </c>
    </row>
    <row r="151" spans="1:3" x14ac:dyDescent="0.25">
      <c r="A151" s="3" t="s">
        <v>147</v>
      </c>
      <c r="B151" s="5"/>
      <c r="C151" s="4">
        <f>500000</f>
        <v>500000</v>
      </c>
    </row>
    <row r="152" spans="1:3" x14ac:dyDescent="0.25">
      <c r="A152" s="3" t="s">
        <v>148</v>
      </c>
      <c r="B152" s="5"/>
      <c r="C152" s="4">
        <f>141.24</f>
        <v>141.24</v>
      </c>
    </row>
    <row r="153" spans="1:3" x14ac:dyDescent="0.25">
      <c r="A153" s="3" t="s">
        <v>149</v>
      </c>
      <c r="B153" s="6">
        <f>((((((((((((((((((((((((((((((((((((((((((((((((((((((((((((((((((((((((((((((((((((((((((((((((((((((((((((((((((((((((((((((((((((((((((((((((((B6)+(B7))+(B8))+(B9))+(B10))+(B11))+(B12))+(B13))+(B14))+(B15))+(B16))+(B17))+(B18))+(B19))+(B20))+(B21))+(B22))+(B23))+(B24))+(B25))+(B26))+(B27))+(B28))+(B29))+(B30))+(B31))+(B32))+(B33))+(B34))+(B35))+(B36))+(B37))+(B38))+(B39))+(B40))+(B41))+(B42))+(B43))+(B44))+(B45))+(B46))+(B47))+(B48))+(B49))+(B50))+(B51))+(B52))+(B53))+(B54))+(B55))+(B56))+(B57))+(B58))+(B59))+(B60))+(B61))+(B62))+(B63))+(B64))+(B65))+(B66))+(B67))+(B68))+(B69))+(B70))+(B71))+(B72))+(B73))+(B74))+(B75))+(B76))+(B77))+(B78))+(B79))+(B80))+(B81))+(B82))+(B83))+(B84))+(B85))+(B86))+(B87))+(B88))+(B89))+(B90))+(B91))+(B92))+(B93))+(B94))+(B95))+(B96))+(B97))+(B98))+(B99))+(B100))+(B101))+(B102))+(B103))+(B104))+(B105))+(B106))+(B107))+(B108))+(B109))+(B110))+(B111))+(B112))+(B113))+(B114))+(B115))+(B116))+(B117))+(B118))+(B119))+(B120))+(B121))+(B122))+(B123))+(B124))+(B125))+(B126))+(B127))+(B128))+(B129))+(B130))+(B131))+(B132))+(B133))+(B134))+(B135))+(B136))+(B137))+(B138))+(B139))+(B140))+(B141))+(B142))+(B143))+(B144))+(B145))+(B146))+(B147))+(B148))+(B149))+(B150))+(B151))+(B152)</f>
        <v>33238281.529999997</v>
      </c>
      <c r="C153" s="6">
        <f>((((((((((((((((((((((((((((((((((((((((((((((((((((((((((((((((((((((((((((((((((((((((((((((((((((((((((((((((((((((((((((((((((((((((((((((((((C6)+(C7))+(C8))+(C9))+(C10))+(C11))+(C12))+(C13))+(C14))+(C15))+(C16))+(C17))+(C18))+(C19))+(C20))+(C21))+(C22))+(C23))+(C24))+(C25))+(C26))+(C27))+(C28))+(C29))+(C30))+(C31))+(C32))+(C33))+(C34))+(C35))+(C36))+(C37))+(C38))+(C39))+(C40))+(C41))+(C42))+(C43))+(C44))+(C45))+(C46))+(C47))+(C48))+(C49))+(C50))+(C51))+(C52))+(C53))+(C54))+(C55))+(C56))+(C57))+(C58))+(C59))+(C60))+(C61))+(C62))+(C63))+(C64))+(C65))+(C66))+(C67))+(C68))+(C69))+(C70))+(C71))+(C72))+(C73))+(C74))+(C75))+(C76))+(C77))+(C78))+(C79))+(C80))+(C81))+(C82))+(C83))+(C84))+(C85))+(C86))+(C87))+(C88))+(C89))+(C90))+(C91))+(C92))+(C93))+(C94))+(C95))+(C96))+(C97))+(C98))+(C99))+(C100))+(C101))+(C102))+(C103))+(C104))+(C105))+(C106))+(C107))+(C108))+(C109))+(C110))+(C111))+(C112))+(C113))+(C114))+(C115))+(C116))+(C117))+(C118))+(C119))+(C120))+(C121))+(C122))+(C123))+(C124))+(C125))+(C126))+(C127))+(C128))+(C129))+(C130))+(C131))+(C132))+(C133))+(C134))+(C135))+(C136))+(C137))+(C138))+(C139))+(C140))+(C141))+(C142))+(C143))+(C144))+(C145))+(C146))+(C147))+(C148))+(C149))+(C150))+(C151))+(C152)</f>
        <v>33238281.529999994</v>
      </c>
    </row>
    <row r="154" spans="1:3" x14ac:dyDescent="0.25">
      <c r="A154" s="3"/>
      <c r="B154" s="5"/>
      <c r="C154" s="5"/>
    </row>
    <row r="157" spans="1:3" x14ac:dyDescent="0.25">
      <c r="A157" s="7" t="s">
        <v>150</v>
      </c>
      <c r="B157" s="8"/>
      <c r="C157" s="8"/>
    </row>
  </sheetData>
  <mergeCells count="4">
    <mergeCell ref="A157:C157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Ballman</cp:lastModifiedBy>
  <dcterms:created xsi:type="dcterms:W3CDTF">2023-03-07T19:53:47Z</dcterms:created>
  <dcterms:modified xsi:type="dcterms:W3CDTF">2023-03-07T19:55:02Z</dcterms:modified>
</cp:coreProperties>
</file>