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18595\Desktop\KRWA\E Daviess WA\23-0025 DR\"/>
    </mc:Choice>
  </mc:AlternateContent>
  <xr:revisionPtr revIDLastSave="0" documentId="13_ncr:1_{D1EDC8AE-1E81-446F-99EA-428AE392AD18}" xr6:coauthVersionLast="47" xr6:coauthVersionMax="47" xr10:uidLastSave="{00000000-0000-0000-0000-000000000000}"/>
  <bookViews>
    <workbookView xWindow="-110" yWindow="-110" windowWidth="19420" windowHeight="10300" activeTab="3" xr2:uid="{00000000-000D-0000-FFFF-FFFF00000000}"/>
  </bookViews>
  <sheets>
    <sheet name="SAO" sheetId="6" r:id="rId1"/>
    <sheet name="Revenue Requirements" sheetId="56" r:id="rId2"/>
    <sheet name="References" sheetId="57" r:id="rId3"/>
    <sheet name="Wages" sheetId="49" r:id="rId4"/>
    <sheet name="Medical" sheetId="40" r:id="rId5"/>
    <sheet name="Capital" sheetId="54" r:id="rId6"/>
    <sheet name="Materials and Supplies" sheetId="58" r:id="rId7"/>
    <sheet name="Debt Service" sheetId="53" r:id="rId8"/>
    <sheet name="Water Loss" sheetId="55" r:id="rId9"/>
    <sheet name="Bills" sheetId="42" r:id="rId10"/>
    <sheet name="Depreciation" sheetId="52" r:id="rId11"/>
    <sheet name="Amortization" sheetId="59" r:id="rId12"/>
    <sheet name="Rates" sheetId="2" r:id="rId13"/>
    <sheet name="ExBA" sheetId="51" r:id="rId14"/>
    <sheet name="PrBA" sheetId="43" r:id="rId15"/>
  </sheets>
  <definedNames>
    <definedName name="AHV">#REF!</definedName>
    <definedName name="_xlnm.Print_Area" localSheetId="9">Bills!$A$1:$J$30</definedName>
    <definedName name="_xlnm.Print_Area" localSheetId="7">'Debt Service'!$A$1:$O$26</definedName>
    <definedName name="_xlnm.Print_Area" localSheetId="13">ExBA!$A$1:$I$112</definedName>
    <definedName name="_xlnm.Print_Area" localSheetId="14">PrBA!$A$1:$J$113</definedName>
    <definedName name="_xlnm.Print_Area" localSheetId="12">Rates!$A$1:$L$41</definedName>
    <definedName name="_xlnm.Print_Area" localSheetId="1">'Revenue Requirements'!$A$1:$G$14</definedName>
    <definedName name="_xlnm.Print_Area" localSheetId="0">SAO!$A$1:$H$54</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40" l="1"/>
  <c r="F18" i="40"/>
  <c r="M23" i="53"/>
  <c r="G61" i="6"/>
  <c r="G59" i="6"/>
  <c r="E39" i="6"/>
  <c r="G25" i="54"/>
  <c r="F25" i="54"/>
  <c r="E25" i="54"/>
  <c r="B56" i="54"/>
  <c r="E26" i="6"/>
  <c r="I9" i="55"/>
  <c r="I8" i="55"/>
  <c r="I6" i="55"/>
  <c r="G8" i="55"/>
  <c r="G6" i="55"/>
  <c r="G48" i="6" l="1"/>
  <c r="E48" i="6"/>
  <c r="E12" i="59"/>
  <c r="D12" i="59"/>
  <c r="C12" i="59"/>
  <c r="D14" i="58"/>
  <c r="D7" i="58" s="1"/>
  <c r="F7" i="58" s="1"/>
  <c r="E33" i="6" s="1"/>
  <c r="E42" i="6" l="1"/>
  <c r="B98" i="43" l="1"/>
  <c r="B97" i="43"/>
  <c r="B96" i="43"/>
  <c r="B91" i="43"/>
  <c r="G88" i="43" s="1"/>
  <c r="B90" i="43"/>
  <c r="F88" i="43" s="1"/>
  <c r="F91" i="43" s="1"/>
  <c r="B89" i="43"/>
  <c r="E88" i="43" s="1"/>
  <c r="B83" i="43"/>
  <c r="B82" i="43"/>
  <c r="B81" i="43"/>
  <c r="B76" i="43"/>
  <c r="B75" i="43"/>
  <c r="B74" i="43"/>
  <c r="B68" i="43"/>
  <c r="B67" i="43"/>
  <c r="B66" i="43"/>
  <c r="B61" i="43"/>
  <c r="G58" i="43" s="1"/>
  <c r="B60" i="43"/>
  <c r="F58" i="43" s="1"/>
  <c r="F61" i="43" s="1"/>
  <c r="B59" i="43"/>
  <c r="B53" i="43"/>
  <c r="B52" i="43"/>
  <c r="B51" i="43"/>
  <c r="B50" i="43"/>
  <c r="B45" i="43"/>
  <c r="H41" i="43" s="1"/>
  <c r="B44" i="43"/>
  <c r="G41" i="43" s="1"/>
  <c r="G45" i="43" s="1"/>
  <c r="B43" i="43"/>
  <c r="F41" i="43" s="1"/>
  <c r="F45" i="43" s="1"/>
  <c r="B42" i="43"/>
  <c r="B36" i="43"/>
  <c r="B35" i="43"/>
  <c r="B34" i="43"/>
  <c r="B33" i="43"/>
  <c r="B27" i="43"/>
  <c r="H23" i="43" s="1"/>
  <c r="B26" i="43"/>
  <c r="G23" i="43" s="1"/>
  <c r="G27" i="43" s="1"/>
  <c r="B25" i="43"/>
  <c r="F23" i="43" s="1"/>
  <c r="F27" i="43" s="1"/>
  <c r="B24" i="43"/>
  <c r="E23" i="43" s="1"/>
  <c r="D109" i="43"/>
  <c r="E11" i="43" s="1"/>
  <c r="C109" i="43"/>
  <c r="D11" i="43" s="1"/>
  <c r="E104" i="43"/>
  <c r="D92" i="43"/>
  <c r="C92" i="43"/>
  <c r="C96" i="43" s="1"/>
  <c r="E89" i="43"/>
  <c r="H89" i="43" s="1"/>
  <c r="D77" i="43"/>
  <c r="C77" i="43"/>
  <c r="C81" i="43" s="1"/>
  <c r="G73" i="43"/>
  <c r="F73" i="43"/>
  <c r="F76" i="43" s="1"/>
  <c r="E74" i="43"/>
  <c r="E73" i="43"/>
  <c r="D62" i="43"/>
  <c r="C62" i="43"/>
  <c r="C66" i="43" s="1"/>
  <c r="E59" i="43"/>
  <c r="H59" i="43" s="1"/>
  <c r="E58" i="43"/>
  <c r="D46" i="43"/>
  <c r="C46" i="43"/>
  <c r="C50" i="43" s="1"/>
  <c r="E42" i="43"/>
  <c r="I42" i="43" s="1"/>
  <c r="E41" i="43"/>
  <c r="D28" i="43"/>
  <c r="C28" i="43"/>
  <c r="C33" i="43" s="1"/>
  <c r="E24" i="43"/>
  <c r="I24" i="43" s="1"/>
  <c r="G10" i="51"/>
  <c r="G15" i="51"/>
  <c r="F24" i="54"/>
  <c r="E24" i="54"/>
  <c r="C19" i="54"/>
  <c r="D30" i="54"/>
  <c r="D29" i="54"/>
  <c r="D28" i="54"/>
  <c r="D25" i="54"/>
  <c r="D24" i="54"/>
  <c r="E76" i="43" l="1"/>
  <c r="E75" i="43"/>
  <c r="F75" i="43" s="1"/>
  <c r="F77" i="43" s="1"/>
  <c r="D82" i="43" s="1"/>
  <c r="H74" i="43"/>
  <c r="E43" i="43"/>
  <c r="E45" i="43"/>
  <c r="E44" i="43"/>
  <c r="E25" i="43"/>
  <c r="E27" i="43"/>
  <c r="E26" i="43"/>
  <c r="E90" i="43"/>
  <c r="E91" i="43"/>
  <c r="E60" i="43"/>
  <c r="E61" i="43"/>
  <c r="D6" i="43"/>
  <c r="D13" i="43" s="1"/>
  <c r="G76" i="43"/>
  <c r="G77" i="43" s="1"/>
  <c r="D83" i="43" s="1"/>
  <c r="F26" i="43"/>
  <c r="F44" i="43"/>
  <c r="G24" i="54"/>
  <c r="E77" i="43" l="1"/>
  <c r="D81" i="43" s="1"/>
  <c r="D84" i="43" s="1"/>
  <c r="E46" i="43"/>
  <c r="D50" i="43" s="1"/>
  <c r="E28" i="43"/>
  <c r="D33" i="43" s="1"/>
  <c r="F60" i="43"/>
  <c r="F62" i="43" s="1"/>
  <c r="D67" i="43" s="1"/>
  <c r="H60" i="43"/>
  <c r="E62" i="43"/>
  <c r="H27" i="43"/>
  <c r="H28" i="43" s="1"/>
  <c r="D36" i="43" s="1"/>
  <c r="F25" i="43"/>
  <c r="F28" i="43" s="1"/>
  <c r="D34" i="43" s="1"/>
  <c r="H76" i="43"/>
  <c r="H75" i="43"/>
  <c r="G91" i="43"/>
  <c r="G92" i="43" s="1"/>
  <c r="D98" i="43" s="1"/>
  <c r="H45" i="43"/>
  <c r="H46" i="43" s="1"/>
  <c r="D53" i="43" s="1"/>
  <c r="G26" i="43"/>
  <c r="G28" i="43" s="1"/>
  <c r="D35" i="43" s="1"/>
  <c r="G44" i="43"/>
  <c r="G46" i="43" s="1"/>
  <c r="D52" i="43" s="1"/>
  <c r="G61" i="43"/>
  <c r="G62" i="43" s="1"/>
  <c r="D68" i="43" s="1"/>
  <c r="F90" i="43"/>
  <c r="F92" i="43" s="1"/>
  <c r="D97" i="43" s="1"/>
  <c r="E92" i="43"/>
  <c r="F43" i="43"/>
  <c r="F46" i="43" s="1"/>
  <c r="D51" i="43" s="1"/>
  <c r="H77" i="43" l="1"/>
  <c r="I45" i="43"/>
  <c r="I26" i="43"/>
  <c r="I44" i="43"/>
  <c r="D54" i="43"/>
  <c r="D66" i="43"/>
  <c r="D69" i="43" s="1"/>
  <c r="H62" i="43"/>
  <c r="I43" i="43"/>
  <c r="H61" i="43"/>
  <c r="H91" i="43"/>
  <c r="I27" i="43"/>
  <c r="H90" i="43"/>
  <c r="D96" i="43"/>
  <c r="D99" i="43" s="1"/>
  <c r="H92" i="43"/>
  <c r="I25" i="43"/>
  <c r="D37" i="43"/>
  <c r="I28" i="43" l="1"/>
  <c r="I46" i="43"/>
  <c r="E6" i="43"/>
  <c r="E13" i="43" s="1"/>
  <c r="C39" i="40" l="1"/>
  <c r="D14" i="40"/>
  <c r="E14" i="40" s="1"/>
  <c r="B39" i="40"/>
  <c r="C21" i="40" s="1"/>
  <c r="H42" i="52"/>
  <c r="H17" i="54" l="1"/>
  <c r="E17" i="54"/>
  <c r="E16" i="54"/>
  <c r="E18" i="54"/>
  <c r="H18" i="54" s="1"/>
  <c r="D5" i="49"/>
  <c r="H18" i="49"/>
  <c r="G13" i="49"/>
  <c r="F13" i="49"/>
  <c r="G12" i="49"/>
  <c r="F12" i="49"/>
  <c r="E19" i="54" l="1"/>
  <c r="C3" i="54" s="1"/>
  <c r="H19" i="54"/>
  <c r="D3" i="54" s="1"/>
  <c r="I13" i="49"/>
  <c r="I12" i="49"/>
  <c r="E3" i="54" l="1"/>
  <c r="J13" i="49"/>
  <c r="D5" i="54"/>
  <c r="D6" i="54"/>
  <c r="E30" i="6" s="1"/>
  <c r="G34" i="6" s="1"/>
  <c r="E17" i="6"/>
  <c r="D11" i="49" l="1"/>
  <c r="G11" i="49" s="1"/>
  <c r="C11" i="49"/>
  <c r="F11" i="49" s="1"/>
  <c r="D10" i="49"/>
  <c r="C10" i="49"/>
  <c r="C9" i="49"/>
  <c r="D9" i="49"/>
  <c r="C6" i="49"/>
  <c r="M24" i="51"/>
  <c r="M24" i="53"/>
  <c r="I11" i="49" l="1"/>
  <c r="J11" i="49" l="1"/>
  <c r="E14" i="42"/>
  <c r="E13" i="42"/>
  <c r="E12" i="42"/>
  <c r="G39" i="6" l="1"/>
  <c r="G36" i="6"/>
  <c r="C110" i="51"/>
  <c r="D14" i="51" s="1"/>
  <c r="D110" i="51"/>
  <c r="E14" i="51" s="1"/>
  <c r="B90" i="51"/>
  <c r="E89" i="51" s="1"/>
  <c r="E92" i="51" s="1"/>
  <c r="B91" i="51"/>
  <c r="B92" i="51"/>
  <c r="G89" i="51" s="1"/>
  <c r="B97" i="51"/>
  <c r="B98" i="51"/>
  <c r="B99" i="51"/>
  <c r="C93" i="51"/>
  <c r="C97" i="51" s="1"/>
  <c r="E97" i="51"/>
  <c r="F28" i="2"/>
  <c r="F33" i="2" s="1"/>
  <c r="E99" i="51" s="1"/>
  <c r="F23" i="2"/>
  <c r="F22" i="2"/>
  <c r="F7" i="49"/>
  <c r="G7" i="49"/>
  <c r="F15" i="49"/>
  <c r="G15" i="49"/>
  <c r="D18" i="49"/>
  <c r="J32" i="52"/>
  <c r="K32" i="52" s="1"/>
  <c r="M27" i="53"/>
  <c r="M29" i="53" s="1"/>
  <c r="G6" i="56" s="1"/>
  <c r="F27" i="2" l="1"/>
  <c r="E16" i="42"/>
  <c r="E15" i="42"/>
  <c r="E17" i="42"/>
  <c r="I7" i="49"/>
  <c r="J7" i="49" s="1"/>
  <c r="D93" i="51"/>
  <c r="E91" i="51"/>
  <c r="F91" i="51" s="1"/>
  <c r="G97" i="51"/>
  <c r="C18" i="49"/>
  <c r="D78" i="51"/>
  <c r="C78" i="51"/>
  <c r="B22" i="55"/>
  <c r="B21" i="55"/>
  <c r="B20" i="55"/>
  <c r="E25" i="51"/>
  <c r="I25" i="51" s="1"/>
  <c r="A2" i="43"/>
  <c r="E110" i="51"/>
  <c r="G110" i="51" s="1"/>
  <c r="F40" i="52"/>
  <c r="G11" i="6"/>
  <c r="F89" i="51"/>
  <c r="F92" i="51" s="1"/>
  <c r="G92" i="51" s="1"/>
  <c r="B77" i="51"/>
  <c r="G74" i="51" s="1"/>
  <c r="B76" i="51"/>
  <c r="F74" i="51" s="1"/>
  <c r="B75" i="51"/>
  <c r="E74" i="51" s="1"/>
  <c r="B62" i="51"/>
  <c r="G59" i="51" s="1"/>
  <c r="B61" i="51"/>
  <c r="F59" i="51" s="1"/>
  <c r="B60" i="51"/>
  <c r="E59" i="51" s="1"/>
  <c r="B46" i="51"/>
  <c r="H42" i="51" s="1"/>
  <c r="B45" i="51"/>
  <c r="G42" i="51" s="1"/>
  <c r="B44" i="51"/>
  <c r="F42" i="51" s="1"/>
  <c r="B43" i="51"/>
  <c r="E42" i="51" s="1"/>
  <c r="B28" i="51"/>
  <c r="H24" i="51" s="1"/>
  <c r="B27" i="51"/>
  <c r="G24" i="51" s="1"/>
  <c r="B26" i="51"/>
  <c r="F24" i="51" s="1"/>
  <c r="B25" i="51"/>
  <c r="E24" i="51" s="1"/>
  <c r="B15" i="40"/>
  <c r="H14" i="40"/>
  <c r="H13" i="40"/>
  <c r="H12" i="40"/>
  <c r="H11" i="40"/>
  <c r="H10" i="40"/>
  <c r="H9" i="40"/>
  <c r="H8" i="40"/>
  <c r="H7" i="40"/>
  <c r="H6" i="40"/>
  <c r="D13" i="40"/>
  <c r="E13" i="40" s="1"/>
  <c r="F13" i="40" s="1"/>
  <c r="D12" i="40"/>
  <c r="E12" i="40" s="1"/>
  <c r="F12" i="40" s="1"/>
  <c r="D11" i="40"/>
  <c r="E11" i="40" s="1"/>
  <c r="F11" i="40" s="1"/>
  <c r="D10" i="40"/>
  <c r="E10" i="40" s="1"/>
  <c r="F10" i="40" s="1"/>
  <c r="D9" i="40"/>
  <c r="E9" i="40" s="1"/>
  <c r="F9" i="40" s="1"/>
  <c r="D8" i="40"/>
  <c r="E8" i="40" s="1"/>
  <c r="F8" i="40" s="1"/>
  <c r="D7" i="40"/>
  <c r="E7" i="40" s="1"/>
  <c r="F7" i="40" s="1"/>
  <c r="D6" i="40"/>
  <c r="E6" i="40" s="1"/>
  <c r="F6" i="40" s="1"/>
  <c r="F14" i="40"/>
  <c r="I30" i="49"/>
  <c r="E84" i="51"/>
  <c r="E83" i="51"/>
  <c r="E82" i="51"/>
  <c r="B84" i="51"/>
  <c r="B83" i="51"/>
  <c r="B82" i="51"/>
  <c r="E69" i="51"/>
  <c r="E68" i="51"/>
  <c r="E67" i="51"/>
  <c r="B69" i="51"/>
  <c r="B68" i="51"/>
  <c r="B67" i="51"/>
  <c r="B54" i="51"/>
  <c r="B53" i="51"/>
  <c r="B52" i="51"/>
  <c r="B51" i="51"/>
  <c r="B37" i="51"/>
  <c r="B36" i="51"/>
  <c r="B35" i="51"/>
  <c r="B34" i="51"/>
  <c r="E54" i="51"/>
  <c r="E53" i="51"/>
  <c r="E52" i="51"/>
  <c r="E51" i="51"/>
  <c r="E37" i="51"/>
  <c r="E36" i="51"/>
  <c r="E35" i="51"/>
  <c r="E34" i="51"/>
  <c r="E11" i="42"/>
  <c r="E10" i="42"/>
  <c r="E9" i="42"/>
  <c r="C14" i="55"/>
  <c r="D13" i="6"/>
  <c r="G12" i="6"/>
  <c r="G10" i="6"/>
  <c r="G8" i="56" s="1"/>
  <c r="G29" i="6"/>
  <c r="G14" i="51" l="1"/>
  <c r="L109" i="43"/>
  <c r="F32" i="2"/>
  <c r="E20" i="42"/>
  <c r="E19" i="42"/>
  <c r="E18" i="42"/>
  <c r="F93" i="51"/>
  <c r="D98" i="51" s="1"/>
  <c r="H91" i="51"/>
  <c r="G93" i="51"/>
  <c r="H92" i="51"/>
  <c r="B23" i="55"/>
  <c r="E105" i="51"/>
  <c r="C82" i="51"/>
  <c r="G82" i="51" s="1"/>
  <c r="D29" i="51"/>
  <c r="C29" i="51"/>
  <c r="C34" i="51" s="1"/>
  <c r="D47" i="51"/>
  <c r="C47" i="51"/>
  <c r="C51" i="51" s="1"/>
  <c r="G51" i="51" s="1"/>
  <c r="E43" i="51"/>
  <c r="I43" i="51" s="1"/>
  <c r="D63" i="51"/>
  <c r="E60" i="51"/>
  <c r="H60" i="51" s="1"/>
  <c r="E90" i="51"/>
  <c r="E77" i="51"/>
  <c r="E76" i="51"/>
  <c r="F77" i="51"/>
  <c r="E62" i="51"/>
  <c r="E61" i="51"/>
  <c r="F62" i="51"/>
  <c r="E44" i="51"/>
  <c r="E46" i="51"/>
  <c r="E45" i="51"/>
  <c r="F45" i="51"/>
  <c r="F46" i="51"/>
  <c r="G46" i="51"/>
  <c r="E27" i="51"/>
  <c r="F28" i="51"/>
  <c r="F27" i="51"/>
  <c r="G28" i="51"/>
  <c r="E26" i="51"/>
  <c r="F26" i="51" s="1"/>
  <c r="I26" i="51" s="1"/>
  <c r="E28" i="51"/>
  <c r="E98" i="51" l="1"/>
  <c r="E23" i="42"/>
  <c r="E22" i="42"/>
  <c r="E21" i="42"/>
  <c r="G98" i="51"/>
  <c r="G16" i="51"/>
  <c r="L11" i="43"/>
  <c r="D99" i="51"/>
  <c r="G99" i="51" s="1"/>
  <c r="G100" i="51" s="1"/>
  <c r="L99" i="43" s="1"/>
  <c r="H90" i="51"/>
  <c r="E93" i="51"/>
  <c r="H28" i="51"/>
  <c r="G77" i="51"/>
  <c r="H77" i="51" s="1"/>
  <c r="F61" i="51"/>
  <c r="F63" i="51" s="1"/>
  <c r="D68" i="51" s="1"/>
  <c r="G68" i="51" s="1"/>
  <c r="H46" i="51"/>
  <c r="H47" i="51" s="1"/>
  <c r="D54" i="51" s="1"/>
  <c r="G62" i="51"/>
  <c r="G63" i="51" s="1"/>
  <c r="G34" i="51"/>
  <c r="E75" i="51"/>
  <c r="H75" i="51" s="1"/>
  <c r="C63" i="51"/>
  <c r="C67" i="51" s="1"/>
  <c r="G67" i="51" s="1"/>
  <c r="F76" i="51"/>
  <c r="H76" i="51" s="1"/>
  <c r="E47" i="51"/>
  <c r="D51" i="51" s="1"/>
  <c r="G45" i="51"/>
  <c r="I45" i="51" s="1"/>
  <c r="F44" i="51"/>
  <c r="F47" i="51" s="1"/>
  <c r="D52" i="51" s="1"/>
  <c r="G52" i="51" s="1"/>
  <c r="H29" i="51"/>
  <c r="D37" i="51" s="1"/>
  <c r="G37" i="51" s="1"/>
  <c r="G27" i="51"/>
  <c r="G29" i="51" s="1"/>
  <c r="D36" i="51" s="1"/>
  <c r="G36" i="51" s="1"/>
  <c r="F29" i="51"/>
  <c r="D35" i="51" s="1"/>
  <c r="G35" i="51" s="1"/>
  <c r="E29" i="51"/>
  <c r="D34" i="51" s="1"/>
  <c r="D14" i="55"/>
  <c r="D16" i="55" s="1"/>
  <c r="C9" i="55"/>
  <c r="C6" i="54"/>
  <c r="E6" i="54" s="1"/>
  <c r="C5" i="54"/>
  <c r="E5" i="54" s="1"/>
  <c r="G5" i="49"/>
  <c r="F5" i="49"/>
  <c r="D20" i="55" l="1"/>
  <c r="D21" i="55"/>
  <c r="E27" i="6" s="1"/>
  <c r="I5" i="49"/>
  <c r="D7" i="51"/>
  <c r="D22" i="55"/>
  <c r="H61" i="51"/>
  <c r="I46" i="51"/>
  <c r="G78" i="51"/>
  <c r="D84" i="51" s="1"/>
  <c r="G84" i="51" s="1"/>
  <c r="D97" i="51"/>
  <c r="D100" i="51" s="1"/>
  <c r="H93" i="51"/>
  <c r="I44" i="51"/>
  <c r="H62" i="51"/>
  <c r="D69" i="51"/>
  <c r="G69" i="51" s="1"/>
  <c r="G70" i="51" s="1"/>
  <c r="L69" i="43" s="1"/>
  <c r="G54" i="51"/>
  <c r="G55" i="51" s="1"/>
  <c r="E78" i="51"/>
  <c r="F78" i="51"/>
  <c r="D83" i="51" s="1"/>
  <c r="G83" i="51" s="1"/>
  <c r="G47" i="51"/>
  <c r="D53" i="51" s="1"/>
  <c r="G53" i="51" s="1"/>
  <c r="E63" i="51"/>
  <c r="I28" i="51"/>
  <c r="I27" i="51"/>
  <c r="J5" i="49" l="1"/>
  <c r="D18" i="51"/>
  <c r="D28" i="55" s="1"/>
  <c r="E25" i="6"/>
  <c r="G26" i="6" s="1"/>
  <c r="D23" i="55"/>
  <c r="I47" i="51"/>
  <c r="G85" i="51"/>
  <c r="L84" i="43" s="1"/>
  <c r="D67" i="51"/>
  <c r="D70" i="51" s="1"/>
  <c r="H63" i="51"/>
  <c r="D82" i="51"/>
  <c r="D85" i="51" s="1"/>
  <c r="H78" i="51"/>
  <c r="D55" i="51"/>
  <c r="I24" i="49"/>
  <c r="D27" i="55" l="1"/>
  <c r="D29" i="55" s="1"/>
  <c r="E7" i="51"/>
  <c r="K19" i="53"/>
  <c r="I19" i="53"/>
  <c r="G19" i="53"/>
  <c r="E19" i="53"/>
  <c r="C19" i="53"/>
  <c r="M17" i="53"/>
  <c r="M16" i="53"/>
  <c r="M15" i="53"/>
  <c r="M14" i="53"/>
  <c r="L19" i="53"/>
  <c r="M13" i="53"/>
  <c r="J19" i="53"/>
  <c r="F19" i="53"/>
  <c r="M12" i="53"/>
  <c r="M19" i="53" s="1"/>
  <c r="M22" i="53" s="1"/>
  <c r="H40" i="52"/>
  <c r="J38" i="52"/>
  <c r="K38" i="52" s="1"/>
  <c r="J35" i="52"/>
  <c r="K35" i="52" s="1"/>
  <c r="J31" i="52"/>
  <c r="K31" i="52" s="1"/>
  <c r="J30" i="52"/>
  <c r="K30" i="52" s="1"/>
  <c r="J29" i="52"/>
  <c r="K29" i="52" s="1"/>
  <c r="J28" i="52"/>
  <c r="K28" i="52" s="1"/>
  <c r="J27" i="52"/>
  <c r="K27" i="52" s="1"/>
  <c r="J26" i="52"/>
  <c r="K26" i="52" s="1"/>
  <c r="J25" i="52"/>
  <c r="K25" i="52" s="1"/>
  <c r="J24" i="52"/>
  <c r="K24" i="52" s="1"/>
  <c r="J21" i="52"/>
  <c r="K21" i="52" s="1"/>
  <c r="J20" i="52"/>
  <c r="K20" i="52" s="1"/>
  <c r="J19" i="52"/>
  <c r="K19" i="52" s="1"/>
  <c r="J16" i="52"/>
  <c r="K16" i="52" s="1"/>
  <c r="J15" i="52"/>
  <c r="K15" i="52" s="1"/>
  <c r="J14" i="52"/>
  <c r="K14" i="52" s="1"/>
  <c r="J13" i="52"/>
  <c r="K13" i="52" s="1"/>
  <c r="J12" i="52"/>
  <c r="K12" i="52" s="1"/>
  <c r="J11" i="52"/>
  <c r="K11" i="52" s="1"/>
  <c r="E18" i="51" l="1"/>
  <c r="H19" i="53"/>
  <c r="D19" i="53"/>
  <c r="P19" i="53" s="1"/>
  <c r="K40" i="52"/>
  <c r="J40" i="52"/>
  <c r="J42" i="52" s="1"/>
  <c r="K42" i="52" s="1"/>
  <c r="E49" i="6" s="1"/>
  <c r="P24" i="53" l="1"/>
  <c r="C4" i="42"/>
  <c r="C6" i="2"/>
  <c r="F16" i="49" l="1"/>
  <c r="F10" i="49"/>
  <c r="F9" i="49"/>
  <c r="F8" i="49"/>
  <c r="G37" i="6"/>
  <c r="G41" i="6"/>
  <c r="G28" i="6"/>
  <c r="G16" i="49" l="1"/>
  <c r="G10" i="49"/>
  <c r="G9" i="49"/>
  <c r="I9" i="49" s="1"/>
  <c r="J9" i="49" s="1"/>
  <c r="G8" i="49"/>
  <c r="I8" i="49" s="1"/>
  <c r="J8" i="49" s="1"/>
  <c r="G6" i="49"/>
  <c r="F6" i="49"/>
  <c r="F18" i="49" s="1"/>
  <c r="G18" i="49" l="1"/>
  <c r="I6" i="49"/>
  <c r="I10" i="49"/>
  <c r="J10" i="49" s="1"/>
  <c r="G45" i="6"/>
  <c r="G44" i="6"/>
  <c r="G42" i="6"/>
  <c r="G40" i="6"/>
  <c r="G38" i="6"/>
  <c r="G35" i="6"/>
  <c r="G27" i="6"/>
  <c r="G20" i="6"/>
  <c r="G7" i="6"/>
  <c r="J6" i="49" l="1"/>
  <c r="J18" i="49" s="1"/>
  <c r="I33" i="49"/>
  <c r="I20" i="49"/>
  <c r="I18" i="49"/>
  <c r="I27" i="49" l="1"/>
  <c r="I29" i="49" s="1"/>
  <c r="I31" i="49" s="1"/>
  <c r="I35" i="49"/>
  <c r="I37" i="49" s="1"/>
  <c r="E23" i="6" s="1"/>
  <c r="I23" i="49"/>
  <c r="E50" i="6" l="1"/>
  <c r="G50" i="6" s="1"/>
  <c r="F15" i="40"/>
  <c r="H15" i="40"/>
  <c r="C20" i="40" s="1"/>
  <c r="C22" i="40" l="1"/>
  <c r="E22" i="6" l="1"/>
  <c r="G24" i="6" s="1"/>
  <c r="G43" i="6"/>
  <c r="G49" i="6" l="1"/>
  <c r="D46" i="6" l="1"/>
  <c r="D51" i="6" l="1"/>
  <c r="D53" i="6" s="1"/>
  <c r="I25" i="49" l="1"/>
  <c r="E18" i="6" s="1"/>
  <c r="G19" i="6" l="1"/>
  <c r="G46" i="6" s="1"/>
  <c r="G51" i="6" s="1"/>
  <c r="G19" i="56" l="1"/>
  <c r="G22" i="56" s="1"/>
  <c r="G25" i="56" s="1"/>
  <c r="G56" i="6"/>
  <c r="G58" i="6" s="1"/>
  <c r="G60" i="6" s="1"/>
  <c r="G3" i="56"/>
  <c r="G5" i="56" s="1"/>
  <c r="G7" i="56" s="1"/>
  <c r="G10" i="56" s="1"/>
  <c r="G15" i="43" s="1"/>
  <c r="E46" i="6"/>
  <c r="E51" i="6" s="1"/>
  <c r="I29" i="51" l="1"/>
  <c r="G38" i="51" l="1"/>
  <c r="D38" i="51"/>
  <c r="G7" i="51" l="1"/>
  <c r="L6" i="43" s="1"/>
  <c r="L37" i="43"/>
  <c r="M26" i="51"/>
  <c r="G9" i="51" l="1"/>
  <c r="L8" i="43" s="1"/>
  <c r="G18" i="51" l="1"/>
  <c r="L13" i="43" s="1"/>
  <c r="G11" i="51"/>
  <c r="G19" i="51" s="1"/>
  <c r="E8" i="6"/>
  <c r="G8" i="6" l="1"/>
  <c r="G65" i="6" s="1"/>
  <c r="G12" i="56" l="1"/>
  <c r="E6" i="6"/>
  <c r="G6" i="6" l="1"/>
  <c r="G64" i="6" s="1"/>
  <c r="E13" i="6"/>
  <c r="E53" i="6" s="1"/>
  <c r="G11" i="56" l="1"/>
  <c r="G13" i="6"/>
  <c r="G53" i="6" s="1"/>
  <c r="G13" i="56" l="1"/>
  <c r="G14" i="56" s="1"/>
  <c r="H36" i="2" l="1"/>
  <c r="J36" i="2" s="1"/>
  <c r="K36" i="2" s="1"/>
  <c r="H9" i="2"/>
  <c r="H11" i="2"/>
  <c r="E35" i="43" s="1"/>
  <c r="G35" i="43" s="1"/>
  <c r="H31" i="2"/>
  <c r="E96" i="43" s="1"/>
  <c r="G96" i="43" s="1"/>
  <c r="H18" i="2"/>
  <c r="E53" i="43" s="1"/>
  <c r="G53" i="43" s="1"/>
  <c r="H23" i="2"/>
  <c r="E68" i="43" s="1"/>
  <c r="G68" i="43" s="1"/>
  <c r="H12" i="2"/>
  <c r="E36" i="43" s="1"/>
  <c r="G36" i="43" s="1"/>
  <c r="H32" i="2"/>
  <c r="E97" i="43" s="1"/>
  <c r="G97" i="43" s="1"/>
  <c r="H40" i="2"/>
  <c r="E109" i="43" s="1"/>
  <c r="G109" i="43" s="1"/>
  <c r="M109" i="43" s="1"/>
  <c r="H26" i="2"/>
  <c r="E81" i="43" s="1"/>
  <c r="G81" i="43" s="1"/>
  <c r="H33" i="2"/>
  <c r="E98" i="43" s="1"/>
  <c r="G98" i="43" s="1"/>
  <c r="H15" i="2"/>
  <c r="E50" i="43" s="1"/>
  <c r="G50" i="43" s="1"/>
  <c r="H21" i="2"/>
  <c r="E66" i="43" s="1"/>
  <c r="G66" i="43" s="1"/>
  <c r="H16" i="2"/>
  <c r="E51" i="43" s="1"/>
  <c r="G51" i="43" s="1"/>
  <c r="H10" i="2"/>
  <c r="E34" i="43" s="1"/>
  <c r="G34" i="43" s="1"/>
  <c r="H27" i="2"/>
  <c r="E82" i="43" s="1"/>
  <c r="G82" i="43" s="1"/>
  <c r="E33" i="43"/>
  <c r="G33" i="43" s="1"/>
  <c r="H17" i="2"/>
  <c r="E52" i="43" s="1"/>
  <c r="G52" i="43" s="1"/>
  <c r="H22" i="2"/>
  <c r="E67" i="43" s="1"/>
  <c r="G67" i="43" s="1"/>
  <c r="H28" i="2"/>
  <c r="E83" i="43" s="1"/>
  <c r="G83" i="43" s="1"/>
  <c r="J23" i="2" l="1"/>
  <c r="K23" i="2" s="1"/>
  <c r="J31" i="2"/>
  <c r="K31" i="2" s="1"/>
  <c r="J18" i="2"/>
  <c r="K18" i="2" s="1"/>
  <c r="J12" i="2"/>
  <c r="K12" i="2" s="1"/>
  <c r="G54" i="43"/>
  <c r="J26" i="2"/>
  <c r="K26" i="2" s="1"/>
  <c r="F19" i="42"/>
  <c r="G19" i="42" s="1"/>
  <c r="H19" i="42" s="1"/>
  <c r="G69" i="43"/>
  <c r="M69" i="43" s="1"/>
  <c r="J17" i="2"/>
  <c r="K17" i="2" s="1"/>
  <c r="F23" i="42"/>
  <c r="G23" i="42" s="1"/>
  <c r="H23" i="42" s="1"/>
  <c r="J33" i="2"/>
  <c r="K33" i="2" s="1"/>
  <c r="J11" i="2"/>
  <c r="K11" i="2" s="1"/>
  <c r="J22" i="2"/>
  <c r="K22" i="2" s="1"/>
  <c r="F22" i="42"/>
  <c r="G22" i="42" s="1"/>
  <c r="H22" i="42" s="1"/>
  <c r="G11" i="43"/>
  <c r="M11" i="43" s="1"/>
  <c r="J16" i="2"/>
  <c r="K16" i="2" s="1"/>
  <c r="F9" i="42"/>
  <c r="G9" i="42" s="1"/>
  <c r="H9" i="42" s="1"/>
  <c r="J40" i="2"/>
  <c r="K40" i="2" s="1"/>
  <c r="G37" i="43"/>
  <c r="M37" i="43" s="1"/>
  <c r="J15" i="2"/>
  <c r="K15" i="2" s="1"/>
  <c r="F15" i="42"/>
  <c r="G15" i="42" s="1"/>
  <c r="H15" i="42" s="1"/>
  <c r="F17" i="42"/>
  <c r="G17" i="42" s="1"/>
  <c r="H17" i="42" s="1"/>
  <c r="F12" i="42"/>
  <c r="G12" i="42" s="1"/>
  <c r="H12" i="42" s="1"/>
  <c r="J9" i="2"/>
  <c r="K9" i="2" s="1"/>
  <c r="F14" i="42"/>
  <c r="G14" i="42" s="1"/>
  <c r="H14" i="42" s="1"/>
  <c r="F10" i="42"/>
  <c r="G10" i="42" s="1"/>
  <c r="H10" i="42" s="1"/>
  <c r="J28" i="2"/>
  <c r="K28" i="2" s="1"/>
  <c r="F13" i="42"/>
  <c r="G13" i="42" s="1"/>
  <c r="H13" i="42" s="1"/>
  <c r="F11" i="42"/>
  <c r="G11" i="42" s="1"/>
  <c r="H11" i="42" s="1"/>
  <c r="G84" i="43"/>
  <c r="M84" i="43" s="1"/>
  <c r="G99" i="43"/>
  <c r="M99" i="43" s="1"/>
  <c r="J32" i="2"/>
  <c r="K32" i="2" s="1"/>
  <c r="J10" i="2"/>
  <c r="K10" i="2" s="1"/>
  <c r="F16" i="42"/>
  <c r="G16" i="42" s="1"/>
  <c r="H16" i="42" s="1"/>
  <c r="F18" i="42"/>
  <c r="G18" i="42" s="1"/>
  <c r="H18" i="42" s="1"/>
  <c r="F20" i="42"/>
  <c r="G20" i="42" s="1"/>
  <c r="H20" i="42" s="1"/>
  <c r="J27" i="2"/>
  <c r="K27" i="2" s="1"/>
  <c r="J21" i="2"/>
  <c r="K21" i="2" s="1"/>
  <c r="F21" i="42"/>
  <c r="G21" i="42" s="1"/>
  <c r="H21" i="42" s="1"/>
  <c r="G6" i="43" l="1"/>
  <c r="M6" i="43" s="1"/>
  <c r="G8" i="43" l="1"/>
  <c r="G13" i="43" s="1"/>
  <c r="M13" i="43" l="1"/>
  <c r="G16" i="43"/>
  <c r="M8" i="43"/>
  <c r="G63" i="6"/>
  <c r="G66" i="6" s="1"/>
  <c r="G67" i="6" s="1"/>
</calcChain>
</file>

<file path=xl/sharedStrings.xml><?xml version="1.0" encoding="utf-8"?>
<sst xmlns="http://schemas.openxmlformats.org/spreadsheetml/2006/main" count="917" uniqueCount="397">
  <si>
    <t>Total Operating Expenses</t>
  </si>
  <si>
    <t>Taxes Other Than Income</t>
  </si>
  <si>
    <t>Salaries and Wages - Employees</t>
  </si>
  <si>
    <t>Salaries and Wages - Officers</t>
  </si>
  <si>
    <t>Employee Pensions and Benefits</t>
  </si>
  <si>
    <t>Purchased Water</t>
  </si>
  <si>
    <t>Purchased Power</t>
  </si>
  <si>
    <t>Materials and Supplies</t>
  </si>
  <si>
    <t>Contractual Services</t>
  </si>
  <si>
    <t>Miscellaneous Expenses</t>
  </si>
  <si>
    <t>Transportation Expenses</t>
  </si>
  <si>
    <t>Proposed</t>
  </si>
  <si>
    <t>Total</t>
  </si>
  <si>
    <t>Gallons</t>
  </si>
  <si>
    <t>Operating Revenues</t>
  </si>
  <si>
    <t>Sales for Resale</t>
  </si>
  <si>
    <t>Other Water Revenues:</t>
  </si>
  <si>
    <t>Total Operating Revenues</t>
  </si>
  <si>
    <t>Operating Expenses</t>
  </si>
  <si>
    <t>Depreciation Expense</t>
  </si>
  <si>
    <t>Plus:</t>
  </si>
  <si>
    <t>Less:</t>
  </si>
  <si>
    <t>Other Operating Revenue</t>
  </si>
  <si>
    <t>Existing</t>
  </si>
  <si>
    <t>Change</t>
  </si>
  <si>
    <t>1"</t>
  </si>
  <si>
    <t>2"</t>
  </si>
  <si>
    <t>Table A</t>
  </si>
  <si>
    <t>SCHEDULE OF ADJUSTED OPERATIONS</t>
  </si>
  <si>
    <t>Test Year</t>
  </si>
  <si>
    <t>Adjustments</t>
  </si>
  <si>
    <t>Ref.</t>
  </si>
  <si>
    <t>Proforma</t>
  </si>
  <si>
    <t>Operation and Maintenance</t>
  </si>
  <si>
    <t>Insurance - Gen. Liab. &amp; Workers Comp.</t>
  </si>
  <si>
    <t>Total Operation and Mnt. Expenses</t>
  </si>
  <si>
    <t>Total Utility Operating Income</t>
  </si>
  <si>
    <t>Pro Forma Operating Expenses</t>
  </si>
  <si>
    <t>Adjustment</t>
  </si>
  <si>
    <t>Forfeited Discounts</t>
  </si>
  <si>
    <t>Total Metered Retail Sales</t>
  </si>
  <si>
    <t>DEPRECIATION EXPENSE ADJUSTMENTS</t>
  </si>
  <si>
    <t>Depreciation</t>
  </si>
  <si>
    <t>Date in</t>
  </si>
  <si>
    <t>Original</t>
  </si>
  <si>
    <t>Expense</t>
  </si>
  <si>
    <t>Service</t>
  </si>
  <si>
    <t>Life</t>
  </si>
  <si>
    <t>Depr. Exp.</t>
  </si>
  <si>
    <t>SUMMARY</t>
  </si>
  <si>
    <t>USAGE</t>
  </si>
  <si>
    <t>BILLS</t>
  </si>
  <si>
    <t>GALLONS</t>
  </si>
  <si>
    <t>TOTAL</t>
  </si>
  <si>
    <t>RATE</t>
  </si>
  <si>
    <t>REVENUE</t>
  </si>
  <si>
    <t>CURRENT AND PROPOSED RATES</t>
  </si>
  <si>
    <t>Private Fire Protection</t>
  </si>
  <si>
    <t>Insurance - Other</t>
  </si>
  <si>
    <t>Bad Debt</t>
  </si>
  <si>
    <t>Revenue Required From Sales of Water</t>
  </si>
  <si>
    <t>Revenue from Sales with Present Rates</t>
  </si>
  <si>
    <t>Total Revenue Requirement</t>
  </si>
  <si>
    <t>Required Revenue Increase</t>
  </si>
  <si>
    <t>Percent Increase</t>
  </si>
  <si>
    <t>various</t>
  </si>
  <si>
    <t>Meter</t>
  </si>
  <si>
    <t>Difference</t>
  </si>
  <si>
    <t>Bill</t>
  </si>
  <si>
    <t>Percentage</t>
  </si>
  <si>
    <t>Size</t>
  </si>
  <si>
    <t>EXISTING AND PROPOSED BILLS</t>
  </si>
  <si>
    <t>MONTHLY</t>
  </si>
  <si>
    <t>EMPLOYEE</t>
  </si>
  <si>
    <t xml:space="preserve">WATER DIST </t>
  </si>
  <si>
    <t>PREMIUM</t>
  </si>
  <si>
    <t>ANNUAL</t>
  </si>
  <si>
    <t>Employer</t>
  </si>
  <si>
    <t>Share</t>
  </si>
  <si>
    <t>Premium</t>
  </si>
  <si>
    <t>Medical Insurance Adjustment</t>
  </si>
  <si>
    <t>CONTRIB</t>
  </si>
  <si>
    <t>CONTRIB %</t>
  </si>
  <si>
    <t>TOTALS</t>
  </si>
  <si>
    <t>TABLE C</t>
  </si>
  <si>
    <t>per Month*</t>
  </si>
  <si>
    <t>* Highlighted usage represents the average residential bill.</t>
  </si>
  <si>
    <t>Chemicals</t>
  </si>
  <si>
    <t>Salaries &amp; Wages and Associated Adjustments</t>
  </si>
  <si>
    <t>Pro Forma</t>
  </si>
  <si>
    <t xml:space="preserve">Pro Forma </t>
  </si>
  <si>
    <t>Employee</t>
  </si>
  <si>
    <t>Reg. Hrs</t>
  </si>
  <si>
    <t>O. T. Hours</t>
  </si>
  <si>
    <t>Wage Rate</t>
  </si>
  <si>
    <t>Reg. Wages</t>
  </si>
  <si>
    <t>O. T. Wages</t>
  </si>
  <si>
    <t>Wages</t>
  </si>
  <si>
    <t>Pro Forma Salaries &amp; Wages Expense</t>
  </si>
  <si>
    <t>Less: Test Year Salaries &amp; Wages Exp</t>
  </si>
  <si>
    <t>Pro Forma Salaries &amp; Wages Adj'mt</t>
  </si>
  <si>
    <t xml:space="preserve"> </t>
  </si>
  <si>
    <t>Pro Forma Salaries and Wages Expense</t>
  </si>
  <si>
    <t>Times: 7.65 Percent FICA Rate</t>
  </si>
  <si>
    <t>Pro Forma Payroll Taxes</t>
  </si>
  <si>
    <t>Less: Test Year Payroll Taxes</t>
  </si>
  <si>
    <t>Payroll Tax Adjustment</t>
  </si>
  <si>
    <t>Times: Percent Pension Contribution</t>
  </si>
  <si>
    <t>Total Pro Forma Pension Contribution</t>
  </si>
  <si>
    <t>Less: Test Year Pension Contribution</t>
  </si>
  <si>
    <t>Pension &amp; Benefits Adjustment</t>
  </si>
  <si>
    <t>per month</t>
  </si>
  <si>
    <t>1 Inch Meter</t>
  </si>
  <si>
    <t>1 1/2 Inch Meter</t>
  </si>
  <si>
    <t>2 Inch Meter</t>
  </si>
  <si>
    <t>COMPONENT</t>
  </si>
  <si>
    <t>1 INCH METER</t>
  </si>
  <si>
    <t>1 1/2 INCH METER</t>
  </si>
  <si>
    <t>2 INCH METER</t>
  </si>
  <si>
    <t>Less Adjustments</t>
  </si>
  <si>
    <t xml:space="preserve">Total  </t>
  </si>
  <si>
    <t>Medical Adjustment</t>
  </si>
  <si>
    <t>Reported</t>
  </si>
  <si>
    <t>Asset</t>
  </si>
  <si>
    <t>Cost *</t>
  </si>
  <si>
    <t>General Plant</t>
  </si>
  <si>
    <t>Structures &amp; Improvements</t>
  </si>
  <si>
    <t>varies</t>
  </si>
  <si>
    <t>Office Furniture &amp; Equipment</t>
  </si>
  <si>
    <t>Power Operated Equipment</t>
  </si>
  <si>
    <t>Tools, Shop, &amp; Garage Equipment</t>
  </si>
  <si>
    <t>Tank Repairs &amp; Painting</t>
  </si>
  <si>
    <t>Pumping Plant</t>
  </si>
  <si>
    <t>Telemetry</t>
  </si>
  <si>
    <t>Pumping Equipment</t>
  </si>
  <si>
    <t>Transmission &amp; Distribution Plant</t>
  </si>
  <si>
    <t>Hydrants</t>
  </si>
  <si>
    <t>Transmission &amp; Distribution Mains</t>
  </si>
  <si>
    <t>Meter Installations</t>
  </si>
  <si>
    <t>Meter Change-outs</t>
  </si>
  <si>
    <t>Pump Equipment</t>
  </si>
  <si>
    <t>Tank Fence</t>
  </si>
  <si>
    <t>Services</t>
  </si>
  <si>
    <t>Reservoirs &amp; Tanks</t>
  </si>
  <si>
    <t>Transportation Equipment</t>
  </si>
  <si>
    <t>Entire Group</t>
  </si>
  <si>
    <t>Water Treatment Plant</t>
  </si>
  <si>
    <t xml:space="preserve">              *  Includes only costs associated with assets that contributed to depreciation expense in the test year.</t>
  </si>
  <si>
    <t>Table B</t>
  </si>
  <si>
    <t>DEBT SERVICE SCHDULE</t>
  </si>
  <si>
    <t>CY 2022 - 2026</t>
  </si>
  <si>
    <t>CY 2022</t>
  </si>
  <si>
    <t>CY 2023</t>
  </si>
  <si>
    <t>CY 2024</t>
  </si>
  <si>
    <t>CY 2025</t>
  </si>
  <si>
    <t>CY 2026</t>
  </si>
  <si>
    <t>Interest</t>
  </si>
  <si>
    <t>Principal</t>
  </si>
  <si>
    <t>&amp; Fees</t>
  </si>
  <si>
    <t>Average Annual Principal &amp; Interest</t>
  </si>
  <si>
    <t>Average Annual Coverage</t>
  </si>
  <si>
    <t>Average Annual Principal and Interest Payments</t>
  </si>
  <si>
    <t>Additional Working Capital</t>
  </si>
  <si>
    <t>DISTRICT'S</t>
  </si>
  <si>
    <t>Allowable</t>
  </si>
  <si>
    <t>TOTAL MEDICAL AND DENTAL INSURANCE</t>
  </si>
  <si>
    <t>Allowable Employer Premium</t>
  </si>
  <si>
    <t>Total Gross Wages</t>
  </si>
  <si>
    <t>Gross Wages for Full Time Employees CERS Eligible</t>
  </si>
  <si>
    <t>Labor and Materials Adjustment for New Service Installations</t>
  </si>
  <si>
    <t>New Tapping Fees Collected</t>
  </si>
  <si>
    <t xml:space="preserve">Labor </t>
  </si>
  <si>
    <t xml:space="preserve">Materials </t>
  </si>
  <si>
    <t>`</t>
  </si>
  <si>
    <t>Water Loss Adjustment</t>
  </si>
  <si>
    <t>Produced &amp; Purchased</t>
  </si>
  <si>
    <t>Sold</t>
  </si>
  <si>
    <t>Uses:</t>
  </si>
  <si>
    <t xml:space="preserve">  WTP</t>
  </si>
  <si>
    <t xml:space="preserve">  Flushing</t>
  </si>
  <si>
    <t xml:space="preserve">  Fire</t>
  </si>
  <si>
    <t xml:space="preserve">  Other</t>
  </si>
  <si>
    <t>Tank O.F.</t>
  </si>
  <si>
    <t>Line Leaks</t>
  </si>
  <si>
    <t xml:space="preserve">  water loss percentage</t>
  </si>
  <si>
    <t xml:space="preserve">  allowable in rates</t>
  </si>
  <si>
    <t xml:space="preserve">  adjustment percentage</t>
  </si>
  <si>
    <t>Other</t>
  </si>
  <si>
    <t>TABLE D</t>
  </si>
  <si>
    <t>Miscellaneous Service Revenues</t>
  </si>
  <si>
    <t>Current</t>
  </si>
  <si>
    <t>Location</t>
  </si>
  <si>
    <t>Fuel for Power Production</t>
  </si>
  <si>
    <t>Non-Utility Income</t>
  </si>
  <si>
    <t>5/8 Inch Meter</t>
  </si>
  <si>
    <t>per gallon</t>
  </si>
  <si>
    <t>gallons</t>
  </si>
  <si>
    <t>First</t>
  </si>
  <si>
    <t>Next</t>
  </si>
  <si>
    <t>Over</t>
  </si>
  <si>
    <t>3/4 Inch Meter</t>
  </si>
  <si>
    <t>5/8"</t>
  </si>
  <si>
    <t>3/4"</t>
  </si>
  <si>
    <t>5/8 INCH METER</t>
  </si>
  <si>
    <t>3/4 INCH METER</t>
  </si>
  <si>
    <t>MEDICAL</t>
  </si>
  <si>
    <t>REVENUE BY RATE INCREMENT</t>
  </si>
  <si>
    <t>CONSUMPTION BY RATE INCREMENT</t>
  </si>
  <si>
    <t>Debt service on promissory note.</t>
  </si>
  <si>
    <t>Total Retail Sales</t>
  </si>
  <si>
    <t>Total Wholesale Sales</t>
  </si>
  <si>
    <t>Sheet ExBA Cell G11</t>
  </si>
  <si>
    <t>Sheet ExBA Cell G16</t>
  </si>
  <si>
    <t>Sheet Medical Cell C35</t>
  </si>
  <si>
    <t>Sheet Debt Service Cell M22</t>
  </si>
  <si>
    <t>Sheet Debt Service Cell M24</t>
  </si>
  <si>
    <t>A</t>
  </si>
  <si>
    <t>B</t>
  </si>
  <si>
    <t>M</t>
  </si>
  <si>
    <t>L</t>
  </si>
  <si>
    <t>Costs Subject to Water Loss Adjustment</t>
  </si>
  <si>
    <t>Computation of Water Loss Surcharge</t>
  </si>
  <si>
    <t>Total Adjustment</t>
  </si>
  <si>
    <t>/ Number of Bills</t>
  </si>
  <si>
    <t>Monthly Surcharge Amount</t>
  </si>
  <si>
    <t>REVENUE REQUIREMENTS USING DEBT SERVICE COVERAGE METHOD</t>
  </si>
  <si>
    <t>REVENUE REQUIREMENTS USING OPERATING RATIO METHOD</t>
  </si>
  <si>
    <t>Divided by:  Operating Ratio</t>
  </si>
  <si>
    <t xml:space="preserve">  Subtotal</t>
  </si>
  <si>
    <t>Interest Expense</t>
  </si>
  <si>
    <t>Interest Only</t>
  </si>
  <si>
    <t>Average Interest Only</t>
  </si>
  <si>
    <t>PROPOSED BILLING ANALYSIS WITH 2021 USAGE &amp; PROPOSED RATES</t>
  </si>
  <si>
    <t>CURRENT BILLING ANALYSIS WITH 2021 USAGE &amp; EXISTING RATES</t>
  </si>
  <si>
    <t>Sheet Debt Service Cell M29</t>
  </si>
  <si>
    <t>No working capital reserve required.</t>
  </si>
  <si>
    <t>Sheet Wages Cell H27</t>
  </si>
  <si>
    <t>East Daviess County Water Association</t>
  </si>
  <si>
    <t>WHOLESALE</t>
  </si>
  <si>
    <t>Wholesale</t>
  </si>
  <si>
    <t>Other Water Revenues</t>
  </si>
  <si>
    <t xml:space="preserve">     Legal</t>
  </si>
  <si>
    <t xml:space="preserve">     Water Testing</t>
  </si>
  <si>
    <t>Insurance - Worker's Compensation</t>
  </si>
  <si>
    <t xml:space="preserve">     Accounting</t>
  </si>
  <si>
    <t xml:space="preserve">     Other</t>
  </si>
  <si>
    <t>Gains(Losses) from disposition of property</t>
  </si>
  <si>
    <t>Adjustment to SAO Billed Revenues (PWA increase)</t>
  </si>
  <si>
    <t>Customer activity report (water adjustments)</t>
  </si>
  <si>
    <t>Increase</t>
  </si>
  <si>
    <t>Decrease expense due to greater than 15 % water loss</t>
  </si>
  <si>
    <t>Leak Adjustment Rate</t>
  </si>
  <si>
    <t>1 1/2"</t>
  </si>
  <si>
    <t>91-10 Bond</t>
  </si>
  <si>
    <t>AR 2021 gallons</t>
  </si>
  <si>
    <t>References</t>
  </si>
  <si>
    <t>From PSC 2021 Annual Report</t>
  </si>
  <si>
    <t>Bonus</t>
  </si>
  <si>
    <t>Retirement</t>
  </si>
  <si>
    <t>Various</t>
  </si>
  <si>
    <t>Tank Painting &amp; Repairs</t>
  </si>
  <si>
    <t>x1000</t>
  </si>
  <si>
    <t>Materials portion of tapping fees at revised rate.</t>
  </si>
  <si>
    <t>Labor portion of tapping fees at revised rate.</t>
  </si>
  <si>
    <t>Sheet Capital Cell D5</t>
  </si>
  <si>
    <t>Sheet Capital Cell D6</t>
  </si>
  <si>
    <t>2021 meter taps rate increased in September</t>
  </si>
  <si>
    <t>x  $850</t>
  </si>
  <si>
    <t xml:space="preserve"> x $1,000</t>
  </si>
  <si>
    <t>1/1/2022 - 12/31/22</t>
  </si>
  <si>
    <t>Depreciation Expense 2021 PSC annual report</t>
  </si>
  <si>
    <t xml:space="preserve">TOTALS for Depreciation Expense 2022  </t>
  </si>
  <si>
    <t>Wages applicable to retirement payments</t>
  </si>
  <si>
    <t>Anthem Invoices</t>
  </si>
  <si>
    <t>January</t>
  </si>
  <si>
    <t>February</t>
  </si>
  <si>
    <t>March</t>
  </si>
  <si>
    <t>April</t>
  </si>
  <si>
    <t>May</t>
  </si>
  <si>
    <t>June</t>
  </si>
  <si>
    <t>July</t>
  </si>
  <si>
    <t>August</t>
  </si>
  <si>
    <t>September</t>
  </si>
  <si>
    <t>October</t>
  </si>
  <si>
    <t>November</t>
  </si>
  <si>
    <t>December</t>
  </si>
  <si>
    <t>BROWN SERVICE COMPANY</t>
  </si>
  <si>
    <t>2021 retirement Payment Summary</t>
  </si>
  <si>
    <t>Less 2021 Premium</t>
  </si>
  <si>
    <t>Decrease Medical insurance premiums to allowed amount.</t>
  </si>
  <si>
    <t>Sheet Wages Cell I37</t>
  </si>
  <si>
    <t>Increase in retirement contribution rate.</t>
  </si>
  <si>
    <t>Sheet Depreciation Cell K42</t>
  </si>
  <si>
    <t>EQ Rental</t>
  </si>
  <si>
    <t>Mini</t>
  </si>
  <si>
    <t>Backhoe</t>
  </si>
  <si>
    <t>Trencher</t>
  </si>
  <si>
    <t>1 man after 4 hours $40/hour</t>
  </si>
  <si>
    <t>49 meter sets</t>
  </si>
  <si>
    <t>Totals</t>
  </si>
  <si>
    <t>TOTAL INCREASE</t>
  </si>
  <si>
    <t>PROPOSED RATE</t>
  </si>
  <si>
    <t>Increase to revenues to match billing analysis with current rates due to PWA.</t>
  </si>
  <si>
    <t>Sheet Wages Cell I25</t>
  </si>
  <si>
    <t>Increase due to 2022 wage rates increase.</t>
  </si>
  <si>
    <t>Increase due to supplier's increased wholesale rate</t>
  </si>
  <si>
    <t>The utility collected $48,386 in tapping fees in 21 . These taps were installed by the utility and were recorded as labor and material expenses.  Labor expense has been reduced by $16,136 or 30% of the tapping fees while materials and supplies expense has been reduced by $37,650 or 70% of the tapping fees.</t>
  </si>
  <si>
    <t>C</t>
  </si>
  <si>
    <t>Since 2021, there have been increase in wage rates, employee turnover and an additional employee, resulting in an annual wage increase of $ 24,750.</t>
  </si>
  <si>
    <t>D</t>
  </si>
  <si>
    <t>E</t>
  </si>
  <si>
    <t>Increase in pension benefits to reflect increase in salaries and increase in contribution rate.</t>
  </si>
  <si>
    <t>F</t>
  </si>
  <si>
    <t>G</t>
  </si>
  <si>
    <t xml:space="preserve">The utility's wholesale water supplier increased its rate to the utility resulting in an annual increase of $150,653 in purchased water expense. </t>
  </si>
  <si>
    <t>H</t>
  </si>
  <si>
    <t>*** Debt Service coverage Method Not used ***</t>
  </si>
  <si>
    <t>Increase due to insurance provider premium increase</t>
  </si>
  <si>
    <t>Increase due to contractor fees increase</t>
  </si>
  <si>
    <t>I</t>
  </si>
  <si>
    <t>J</t>
  </si>
  <si>
    <t>K</t>
  </si>
  <si>
    <t>Increase payroll taxes by $543 due to increase employee wages.</t>
  </si>
  <si>
    <t>Increase due to Insurance provider increase in commercial package premium.</t>
  </si>
  <si>
    <t>Five year average interest on promissory note.</t>
  </si>
  <si>
    <t>Increase payroll taxes due to increased 2022 wage rates.</t>
  </si>
  <si>
    <t>The PSC requires adjustments to a water utility's depreciation expense when asset lives fall outside the ranges recommended by NARUC in its publication titled "Depreciation Practices for small utilities". Adjustments are included to bring asset lives to the midpoint of the recommended ranges to reflect PSC policy. During 2022 the utility purchased two trucks, extended mains by 4,660 feet, purchased equipment and made improvements. Depreciation expense has been increased by $75,015 to reflect these changes. See Table A.</t>
  </si>
  <si>
    <t>The Revenue Requirement is computed using the Operating Ratio Method. This method is used when a utility has little or no debt. The five year average interest expense is determined from existing debt and added to the Revenue Requirement calculation.</t>
  </si>
  <si>
    <t>Decrease in allowable health insurance premium reflecting PSC policy.</t>
  </si>
  <si>
    <t>Communication &amp; Computer Eq.</t>
  </si>
  <si>
    <t>2016-177 Staff report, US bank loan required 1.5 coverage, the loan is retired, the RD note would require 1.1 ratio coverage</t>
  </si>
  <si>
    <t xml:space="preserve">EDCWA personnel work with Brown Service Company equipment and personnel </t>
  </si>
  <si>
    <t>Line Breaks</t>
  </si>
  <si>
    <t>***East Daviess County Water District has no customers that receive the 3/4 meter rate***</t>
  </si>
  <si>
    <t>Application and service charges</t>
  </si>
  <si>
    <t>Yearly</t>
  </si>
  <si>
    <t>Decrease phone service expense due to software system upgrade</t>
  </si>
  <si>
    <t xml:space="preserve">Decrease website maintenance expense due to software system upgrade </t>
  </si>
  <si>
    <t>Adjustment to Materials and Supplies</t>
  </si>
  <si>
    <t>Materials and Supplies cell F6</t>
  </si>
  <si>
    <t>2022 Depreciation schedule adjusted to PSC policy allowed lives</t>
  </si>
  <si>
    <t>Amortized over 3 years</t>
  </si>
  <si>
    <t>Cost</t>
  </si>
  <si>
    <t>Initial setup fee</t>
  </si>
  <si>
    <t>Setup and Technical Services</t>
  </si>
  <si>
    <t>Utility Data Conversion with History</t>
  </si>
  <si>
    <t>Less: Original software purchase Credit</t>
  </si>
  <si>
    <t>Total Initial Fees</t>
  </si>
  <si>
    <t>UNITED SYSTEMS &amp; SOFTWARE, INC.</t>
  </si>
  <si>
    <t>Utility Process Management</t>
  </si>
  <si>
    <t>Initial Fees</t>
  </si>
  <si>
    <t>Service Charges</t>
  </si>
  <si>
    <t>2023 Monthly</t>
  </si>
  <si>
    <t>Initial Fees for Computer software upgrade</t>
  </si>
  <si>
    <t>Sheet Amortization Cell C12</t>
  </si>
  <si>
    <t xml:space="preserve">The utility is upgrading and expanding its software system. The change will eliminate the current phone service, $3,949, and web site expenses of $350. The upgrade will increase the fees from the software vendor by $52,352. The $13,664 initial fees for setup of the new system amortized over 3 years will be $4,555 per year.   </t>
  </si>
  <si>
    <t>EDCWA board approved United Systems software upgrade</t>
  </si>
  <si>
    <t>Amortization Expense</t>
  </si>
  <si>
    <t>Adjust annual retail sales to billing analysis.(PWA 22-112)</t>
  </si>
  <si>
    <t>Adjust annual wholesale sales to billing analysis.(PWA 22-112)</t>
  </si>
  <si>
    <t>*** FYI not recommended***</t>
  </si>
  <si>
    <t xml:space="preserve">Purchased Water Expense </t>
  </si>
  <si>
    <t xml:space="preserve">Gallons </t>
  </si>
  <si>
    <t>Rate</t>
  </si>
  <si>
    <t>$2.16/1,000</t>
  </si>
  <si>
    <t>$2.64/1,000</t>
  </si>
  <si>
    <t>Increased rate</t>
  </si>
  <si>
    <t>Increased purchase water expense</t>
  </si>
  <si>
    <t>Sheet Water Loss Cell I9</t>
  </si>
  <si>
    <t xml:space="preserve">Owensboro Municipal Utilities </t>
  </si>
  <si>
    <t>The utility's test year water loss was 15.68 percent. The PSC's maximum allowable loss for rate-making purposes is 15.0 percent. Therefore, the expenses for purchased water and purchased power above the 15 percent limit is not allowed in the rate base and must be deducted. Purchased water  expense was decreased by $4,392 and Purchased power expense was decreased by $296.</t>
  </si>
  <si>
    <t>470 20033</t>
  </si>
  <si>
    <t>470 20034</t>
  </si>
  <si>
    <t>470 20066</t>
  </si>
  <si>
    <t>470 20203</t>
  </si>
  <si>
    <t xml:space="preserve">470 20204 </t>
  </si>
  <si>
    <t>470 20262</t>
  </si>
  <si>
    <t>470 20263</t>
  </si>
  <si>
    <t>470 20264</t>
  </si>
  <si>
    <t>470 20333</t>
  </si>
  <si>
    <t>470 20473</t>
  </si>
  <si>
    <t>470 20474</t>
  </si>
  <si>
    <t>470 20475</t>
  </si>
  <si>
    <t>470 20476</t>
  </si>
  <si>
    <t>470 20477</t>
  </si>
  <si>
    <t>470 20478</t>
  </si>
  <si>
    <t>470 20489</t>
  </si>
  <si>
    <t>Year end adj</t>
  </si>
  <si>
    <t>Brown Service Company</t>
  </si>
  <si>
    <t>Amount</t>
  </si>
  <si>
    <t>Charges</t>
  </si>
  <si>
    <t>Meter sets (contractor expense)</t>
  </si>
  <si>
    <t>Leak Repairs (contractor expense)</t>
  </si>
  <si>
    <t>Account 635-0060 Contractual Service - Other Repair &amp; Maintenance</t>
  </si>
  <si>
    <t>Sheet Capital Cell G25</t>
  </si>
  <si>
    <t xml:space="preserve"> Brown Service Company a contractor for the utility, increased service fees 100%. </t>
  </si>
  <si>
    <t>Average Annual Interest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</si>
</sst>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 numFmtId="167" formatCode="0.0%"/>
    <numFmt numFmtId="168" formatCode="_(* #,##0.0_);_(* \(#,##0.0\);_(* &quot;-&quot;??_);_(@_)"/>
    <numFmt numFmtId="169" formatCode="mm/dd/yy;@"/>
    <numFmt numFmtId="170" formatCode="_([$$-409]* #,##0_);_([$$-409]* \(#,##0\);_([$$-409]* &quot;-&quot;??_);_(@_)"/>
    <numFmt numFmtId="171" formatCode="[$$-409]#,##0"/>
    <numFmt numFmtId="172" formatCode="_(* #,##0.0000_);_(* \(#,##0.0000\);_(* &quot;-&quot;??_);_(@_)"/>
    <numFmt numFmtId="173" formatCode="&quot;$&quot;#,##0.00000"/>
    <numFmt numFmtId="174" formatCode="&quot;$&quot;#,##0.000000"/>
    <numFmt numFmtId="175" formatCode="0_);\(0\)"/>
    <numFmt numFmtId="176" formatCode="0.000%"/>
    <numFmt numFmtId="177" formatCode="#,##0.000"/>
  </numFmts>
  <fonts count="30" x14ac:knownFonts="1">
    <font>
      <sz val="12"/>
      <name val="Arial"/>
    </font>
    <font>
      <sz val="12"/>
      <name val="Arial"/>
      <family val="2"/>
    </font>
    <font>
      <sz val="12"/>
      <name val="Arial"/>
      <family val="2"/>
    </font>
    <font>
      <sz val="11"/>
      <name val="Calibri"/>
      <family val="2"/>
      <scheme val="minor"/>
    </font>
    <font>
      <b/>
      <sz val="14"/>
      <name val="Calibri"/>
      <family val="2"/>
      <scheme val="minor"/>
    </font>
    <font>
      <b/>
      <u/>
      <sz val="14"/>
      <name val="Calibri"/>
      <family val="2"/>
      <scheme val="minor"/>
    </font>
    <font>
      <u/>
      <sz val="11"/>
      <name val="Calibri"/>
      <family val="2"/>
      <scheme val="minor"/>
    </font>
    <font>
      <b/>
      <sz val="11"/>
      <name val="Calibri"/>
      <family val="2"/>
      <scheme val="minor"/>
    </font>
    <font>
      <b/>
      <u/>
      <sz val="11"/>
      <name val="Calibri"/>
      <family val="2"/>
      <scheme val="minor"/>
    </font>
    <font>
      <u val="singleAccounting"/>
      <sz val="11"/>
      <name val="Calibri"/>
      <family val="2"/>
      <scheme val="minor"/>
    </font>
    <font>
      <b/>
      <u val="singleAccounting"/>
      <sz val="11"/>
      <name val="Calibri"/>
      <family val="2"/>
      <scheme val="minor"/>
    </font>
    <font>
      <b/>
      <sz val="12"/>
      <name val="Calibri"/>
      <family val="2"/>
      <scheme val="minor"/>
    </font>
    <font>
      <sz val="8"/>
      <color rgb="FFFF0000"/>
      <name val="Calibri"/>
      <family val="2"/>
      <scheme val="minor"/>
    </font>
    <font>
      <b/>
      <sz val="11"/>
      <color rgb="FFFF0000"/>
      <name val="Calibri"/>
      <family val="2"/>
      <scheme val="minor"/>
    </font>
    <font>
      <b/>
      <sz val="8"/>
      <color rgb="FF00B050"/>
      <name val="Calibri"/>
      <family val="2"/>
      <scheme val="minor"/>
    </font>
    <font>
      <sz val="11"/>
      <color theme="1"/>
      <name val="Calibri"/>
      <family val="2"/>
      <scheme val="minor"/>
    </font>
    <font>
      <b/>
      <sz val="11"/>
      <color theme="1"/>
      <name val="Calibri"/>
      <family val="2"/>
      <scheme val="minor"/>
    </font>
    <font>
      <b/>
      <sz val="11"/>
      <color rgb="FF00B050"/>
      <name val="Calibri"/>
      <family val="2"/>
      <scheme val="minor"/>
    </font>
    <font>
      <sz val="8"/>
      <name val="Calibri"/>
      <family val="2"/>
      <scheme val="minor"/>
    </font>
    <font>
      <u/>
      <sz val="11"/>
      <color theme="1"/>
      <name val="Calibri"/>
      <family val="2"/>
      <scheme val="minor"/>
    </font>
    <font>
      <b/>
      <sz val="16"/>
      <name val="Calibri"/>
      <family val="2"/>
      <scheme val="minor"/>
    </font>
    <font>
      <sz val="11"/>
      <color rgb="FFFF0000"/>
      <name val="Calibri"/>
      <family val="2"/>
      <scheme val="minor"/>
    </font>
    <font>
      <b/>
      <u/>
      <sz val="11"/>
      <color theme="1"/>
      <name val="Calibri"/>
      <family val="2"/>
      <scheme val="minor"/>
    </font>
    <font>
      <sz val="12"/>
      <name val="Calibri"/>
      <family val="2"/>
      <scheme val="minor"/>
    </font>
    <font>
      <u/>
      <sz val="12"/>
      <color theme="10"/>
      <name val="Arial"/>
      <family val="2"/>
    </font>
    <font>
      <sz val="11"/>
      <name val="Calibri"/>
      <family val="2"/>
    </font>
    <font>
      <sz val="8"/>
      <name val="Arial"/>
      <family val="2"/>
    </font>
    <font>
      <sz val="11"/>
      <color theme="0"/>
      <name val="Calibri"/>
      <family val="2"/>
      <scheme val="minor"/>
    </font>
    <font>
      <b/>
      <sz val="12"/>
      <name val="Arial"/>
      <family val="2"/>
    </font>
    <font>
      <u/>
      <sz val="12"/>
      <name val="Arial"/>
      <family val="2"/>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3" fontId="15" fillId="0" borderId="0" applyFont="0" applyFill="0" applyBorder="0" applyAlignment="0" applyProtection="0"/>
    <xf numFmtId="44" fontId="15" fillId="0" borderId="0" applyFont="0" applyFill="0" applyBorder="0" applyAlignment="0" applyProtection="0"/>
    <xf numFmtId="0" fontId="24" fillId="0" borderId="0" applyNumberFormat="0" applyFill="0" applyBorder="0" applyAlignment="0" applyProtection="0"/>
  </cellStyleXfs>
  <cellXfs count="471">
    <xf numFmtId="0" fontId="0" fillId="0" borderId="0" xfId="0"/>
    <xf numFmtId="0" fontId="3" fillId="0" borderId="0" xfId="0" applyFont="1"/>
    <xf numFmtId="0" fontId="0" fillId="0" borderId="6" xfId="0" applyBorder="1"/>
    <xf numFmtId="165" fontId="3" fillId="0" borderId="1" xfId="1" applyNumberFormat="1" applyFont="1" applyBorder="1"/>
    <xf numFmtId="165" fontId="3" fillId="0" borderId="0" xfId="1" applyNumberFormat="1" applyFont="1" applyBorder="1"/>
    <xf numFmtId="165" fontId="3" fillId="0" borderId="0" xfId="1" applyNumberFormat="1" applyFont="1"/>
    <xf numFmtId="165" fontId="3" fillId="0" borderId="3" xfId="1" applyNumberFormat="1" applyFont="1" applyBorder="1"/>
    <xf numFmtId="165" fontId="3" fillId="0" borderId="2" xfId="1" applyNumberFormat="1" applyFont="1" applyBorder="1"/>
    <xf numFmtId="165" fontId="3" fillId="0" borderId="4" xfId="1" applyNumberFormat="1" applyFont="1" applyBorder="1"/>
    <xf numFmtId="165" fontId="3" fillId="0" borderId="7" xfId="1" applyNumberFormat="1" applyFont="1" applyBorder="1"/>
    <xf numFmtId="165" fontId="3" fillId="0" borderId="8" xfId="1" applyNumberFormat="1" applyFont="1" applyBorder="1"/>
    <xf numFmtId="165" fontId="3" fillId="0" borderId="5" xfId="1" applyNumberFormat="1" applyFont="1" applyBorder="1"/>
    <xf numFmtId="165" fontId="3" fillId="0" borderId="6" xfId="1" applyNumberFormat="1" applyFont="1" applyBorder="1"/>
    <xf numFmtId="43" fontId="3" fillId="0" borderId="0" xfId="1" applyFont="1"/>
    <xf numFmtId="165" fontId="9" fillId="0" borderId="0" xfId="1" applyNumberFormat="1" applyFont="1" applyBorder="1" applyAlignment="1">
      <alignment horizontal="center"/>
    </xf>
    <xf numFmtId="43" fontId="3" fillId="0" borderId="0" xfId="1" applyFont="1" applyBorder="1"/>
    <xf numFmtId="165" fontId="3" fillId="0" borderId="0" xfId="5" applyNumberFormat="1" applyFont="1"/>
    <xf numFmtId="165" fontId="3" fillId="0" borderId="7" xfId="5" applyNumberFormat="1" applyFont="1" applyBorder="1"/>
    <xf numFmtId="0" fontId="3" fillId="0" borderId="0" xfId="0" applyFont="1" applyAlignment="1">
      <alignment horizontal="center"/>
    </xf>
    <xf numFmtId="0" fontId="3" fillId="0" borderId="1" xfId="0" applyFont="1" applyBorder="1" applyAlignment="1">
      <alignment horizontal="center"/>
    </xf>
    <xf numFmtId="165" fontId="3" fillId="0" borderId="0" xfId="5" applyNumberFormat="1" applyFont="1" applyBorder="1"/>
    <xf numFmtId="164" fontId="3" fillId="0" borderId="0" xfId="0" applyNumberFormat="1" applyFont="1"/>
    <xf numFmtId="168" fontId="3" fillId="0" borderId="0" xfId="5" applyNumberFormat="1" applyFont="1" applyBorder="1"/>
    <xf numFmtId="168" fontId="8" fillId="0" borderId="0" xfId="5" applyNumberFormat="1" applyFont="1" applyBorder="1" applyAlignment="1">
      <alignment horizontal="center"/>
    </xf>
    <xf numFmtId="43" fontId="3" fillId="0" borderId="0" xfId="1" applyFont="1" applyBorder="1" applyAlignment="1"/>
    <xf numFmtId="165" fontId="9" fillId="0" borderId="0" xfId="5" applyNumberFormat="1" applyFont="1"/>
    <xf numFmtId="164" fontId="3" fillId="0" borderId="0" xfId="6" applyNumberFormat="1" applyFont="1"/>
    <xf numFmtId="165" fontId="9" fillId="0" borderId="8" xfId="1" applyNumberFormat="1" applyFont="1" applyBorder="1" applyAlignment="1">
      <alignment horizontal="center"/>
    </xf>
    <xf numFmtId="3" fontId="4" fillId="0" borderId="0" xfId="0" applyNumberFormat="1" applyFont="1" applyAlignment="1">
      <alignment horizontal="center" vertical="center"/>
    </xf>
    <xf numFmtId="3" fontId="11" fillId="0" borderId="0" xfId="0" applyNumberFormat="1" applyFont="1" applyAlignment="1">
      <alignment horizontal="center" vertical="center"/>
    </xf>
    <xf numFmtId="3" fontId="11" fillId="0" borderId="8" xfId="0" applyNumberFormat="1" applyFont="1" applyBorder="1" applyAlignment="1">
      <alignment horizontal="center" vertical="center"/>
    </xf>
    <xf numFmtId="43" fontId="3" fillId="0" borderId="8" xfId="1" quotePrefix="1" applyFont="1" applyBorder="1" applyAlignment="1">
      <alignment horizontal="center"/>
    </xf>
    <xf numFmtId="0" fontId="3" fillId="0" borderId="8" xfId="0" applyFont="1" applyBorder="1" applyAlignment="1">
      <alignment horizontal="center"/>
    </xf>
    <xf numFmtId="167" fontId="3" fillId="0" borderId="8" xfId="3" applyNumberFormat="1" applyFont="1" applyBorder="1"/>
    <xf numFmtId="165" fontId="3" fillId="2" borderId="0" xfId="1" applyNumberFormat="1" applyFont="1" applyFill="1" applyBorder="1"/>
    <xf numFmtId="43" fontId="3" fillId="2" borderId="8" xfId="1" quotePrefix="1" applyFont="1" applyFill="1" applyBorder="1" applyAlignment="1">
      <alignment horizontal="center"/>
    </xf>
    <xf numFmtId="167" fontId="3" fillId="2" borderId="8" xfId="3" applyNumberFormat="1" applyFont="1" applyFill="1" applyBorder="1"/>
    <xf numFmtId="164" fontId="3" fillId="0" borderId="0" xfId="6" applyNumberFormat="1" applyFont="1" applyBorder="1"/>
    <xf numFmtId="165" fontId="13" fillId="0" borderId="0" xfId="1" applyNumberFormat="1" applyFont="1"/>
    <xf numFmtId="44" fontId="3" fillId="0" borderId="0" xfId="10" applyFont="1"/>
    <xf numFmtId="165" fontId="9" fillId="0" borderId="0" xfId="1" applyNumberFormat="1" applyFont="1" applyBorder="1"/>
    <xf numFmtId="0" fontId="16" fillId="0" borderId="0" xfId="0" applyFont="1"/>
    <xf numFmtId="0" fontId="19" fillId="0" borderId="0" xfId="0" applyFont="1" applyAlignment="1">
      <alignment horizontal="center"/>
    </xf>
    <xf numFmtId="10" fontId="3" fillId="0" borderId="0" xfId="3" applyNumberFormat="1" applyFont="1" applyAlignment="1">
      <alignment horizontal="center"/>
    </xf>
    <xf numFmtId="44" fontId="3" fillId="0" borderId="0" xfId="0" applyNumberFormat="1" applyFont="1"/>
    <xf numFmtId="165" fontId="3" fillId="0" borderId="0" xfId="5" quotePrefix="1" applyNumberFormat="1" applyFont="1"/>
    <xf numFmtId="166" fontId="3" fillId="0" borderId="0" xfId="1" applyNumberFormat="1" applyFont="1" applyBorder="1" applyAlignment="1"/>
    <xf numFmtId="0" fontId="3" fillId="0" borderId="7" xfId="0" applyFont="1" applyBorder="1"/>
    <xf numFmtId="165" fontId="17" fillId="0" borderId="0" xfId="1" applyNumberFormat="1" applyFont="1"/>
    <xf numFmtId="165" fontId="3" fillId="0" borderId="0" xfId="1" applyNumberFormat="1" applyFont="1" applyAlignment="1">
      <alignment horizontal="centerContinuous" vertical="center"/>
    </xf>
    <xf numFmtId="165" fontId="3" fillId="0" borderId="0" xfId="1" applyNumberFormat="1" applyFont="1" applyAlignment="1">
      <alignment vertical="center"/>
    </xf>
    <xf numFmtId="165" fontId="8" fillId="0" borderId="0" xfId="1" applyNumberFormat="1" applyFont="1" applyAlignment="1">
      <alignment horizontal="center" vertical="center"/>
    </xf>
    <xf numFmtId="165" fontId="6" fillId="0" borderId="0" xfId="1" applyNumberFormat="1" applyFont="1" applyAlignment="1">
      <alignment vertical="center"/>
    </xf>
    <xf numFmtId="165" fontId="3" fillId="0" borderId="0" xfId="1" applyNumberFormat="1" applyFont="1" applyAlignment="1">
      <alignment horizontal="center" vertical="center"/>
    </xf>
    <xf numFmtId="165" fontId="12" fillId="0" borderId="0" xfId="1" applyNumberFormat="1" applyFont="1" applyAlignment="1">
      <alignment vertical="center"/>
    </xf>
    <xf numFmtId="165" fontId="14" fillId="0" borderId="0" xfId="1" applyNumberFormat="1" applyFont="1" applyAlignment="1">
      <alignment vertical="center"/>
    </xf>
    <xf numFmtId="165" fontId="18" fillId="0" borderId="0" xfId="1" applyNumberFormat="1" applyFont="1" applyAlignment="1">
      <alignment vertical="center"/>
    </xf>
    <xf numFmtId="165" fontId="7" fillId="0" borderId="0" xfId="1" applyNumberFormat="1" applyFont="1" applyAlignment="1">
      <alignment vertical="center"/>
    </xf>
    <xf numFmtId="165" fontId="3" fillId="0" borderId="0" xfId="1" applyNumberFormat="1" applyFont="1" applyAlignment="1">
      <alignment horizontal="center"/>
    </xf>
    <xf numFmtId="165" fontId="12" fillId="0" borderId="0" xfId="1" applyNumberFormat="1" applyFont="1" applyAlignment="1">
      <alignment horizontal="left"/>
    </xf>
    <xf numFmtId="165" fontId="12" fillId="0" borderId="0" xfId="1" applyNumberFormat="1" applyFont="1" applyAlignment="1">
      <alignment horizontal="center"/>
    </xf>
    <xf numFmtId="165" fontId="10" fillId="0" borderId="0" xfId="1" applyNumberFormat="1" applyFont="1" applyAlignment="1">
      <alignment horizontal="center" vertical="center"/>
    </xf>
    <xf numFmtId="165" fontId="3" fillId="0" borderId="0" xfId="1" applyNumberFormat="1" applyFont="1" applyAlignment="1"/>
    <xf numFmtId="10" fontId="3" fillId="0" borderId="0" xfId="3" applyNumberFormat="1" applyFont="1" applyAlignment="1">
      <alignment vertical="center"/>
    </xf>
    <xf numFmtId="165" fontId="3" fillId="0" borderId="0" xfId="5" applyNumberFormat="1" applyFont="1" applyBorder="1" applyAlignment="1">
      <alignment horizontal="center"/>
    </xf>
    <xf numFmtId="10" fontId="3" fillId="0" borderId="0" xfId="3" applyNumberFormat="1" applyFont="1" applyBorder="1" applyAlignment="1">
      <alignment vertical="center"/>
    </xf>
    <xf numFmtId="10" fontId="3" fillId="0" borderId="0" xfId="3" applyNumberFormat="1" applyFont="1" applyBorder="1"/>
    <xf numFmtId="43" fontId="3" fillId="0" borderId="0" xfId="5" applyFont="1"/>
    <xf numFmtId="165" fontId="3" fillId="0" borderId="8" xfId="5" applyNumberFormat="1" applyFont="1" applyBorder="1"/>
    <xf numFmtId="0" fontId="22" fillId="0" borderId="0" xfId="0" applyFont="1" applyAlignment="1">
      <alignment horizontal="center"/>
    </xf>
    <xf numFmtId="165" fontId="21" fillId="0" borderId="0" xfId="5" applyNumberFormat="1" applyFont="1"/>
    <xf numFmtId="170" fontId="3" fillId="0" borderId="0" xfId="0" applyNumberFormat="1" applyFont="1"/>
    <xf numFmtId="164" fontId="16" fillId="0" borderId="9" xfId="6" applyNumberFormat="1" applyFont="1" applyBorder="1"/>
    <xf numFmtId="164" fontId="3" fillId="0" borderId="1" xfId="6" applyNumberFormat="1" applyFont="1" applyBorder="1"/>
    <xf numFmtId="43" fontId="3" fillId="0" borderId="0" xfId="1" applyFont="1" applyBorder="1" applyAlignment="1">
      <alignment horizontal="center"/>
    </xf>
    <xf numFmtId="166" fontId="3" fillId="0" borderId="0" xfId="1" applyNumberFormat="1" applyFont="1" applyBorder="1" applyAlignment="1">
      <alignment horizontal="center"/>
    </xf>
    <xf numFmtId="166" fontId="3" fillId="0" borderId="0" xfId="2" applyNumberFormat="1" applyFont="1" applyBorder="1"/>
    <xf numFmtId="0" fontId="6" fillId="0" borderId="0" xfId="0" applyFont="1"/>
    <xf numFmtId="0" fontId="3" fillId="0" borderId="3" xfId="0" applyFont="1" applyBorder="1"/>
    <xf numFmtId="166" fontId="3" fillId="0" borderId="0" xfId="0" applyNumberFormat="1" applyFont="1"/>
    <xf numFmtId="0" fontId="3" fillId="0" borderId="5" xfId="0" applyFont="1" applyBorder="1"/>
    <xf numFmtId="0" fontId="3" fillId="0" borderId="0" xfId="1" applyNumberFormat="1" applyFont="1" applyBorder="1" applyAlignment="1"/>
    <xf numFmtId="0" fontId="3" fillId="0" borderId="0" xfId="1" applyNumberFormat="1" applyFont="1" applyBorder="1" applyAlignment="1">
      <alignment horizontal="center"/>
    </xf>
    <xf numFmtId="43" fontId="3" fillId="0" borderId="0" xfId="5" applyFont="1" applyFill="1"/>
    <xf numFmtId="37" fontId="3" fillId="0" borderId="0" xfId="0" applyNumberFormat="1" applyFont="1" applyAlignment="1">
      <alignment horizontal="center"/>
    </xf>
    <xf numFmtId="165" fontId="3" fillId="0" borderId="0" xfId="0" applyNumberFormat="1" applyFont="1"/>
    <xf numFmtId="165" fontId="9" fillId="0" borderId="0" xfId="5" applyNumberFormat="1" applyFont="1" applyBorder="1"/>
    <xf numFmtId="0" fontId="13" fillId="0" borderId="0" xfId="0" applyFont="1" applyAlignment="1">
      <alignment horizontal="centerContinuous"/>
    </xf>
    <xf numFmtId="0" fontId="3" fillId="0" borderId="0" xfId="0" applyFont="1" applyAlignment="1">
      <alignment horizontal="centerContinuous"/>
    </xf>
    <xf numFmtId="3" fontId="3" fillId="0" borderId="0" xfId="0" applyNumberFormat="1" applyFont="1" applyAlignment="1">
      <alignment horizontal="right"/>
    </xf>
    <xf numFmtId="0" fontId="3" fillId="0" borderId="0" xfId="0" applyFont="1" applyAlignment="1">
      <alignment horizontal="right"/>
    </xf>
    <xf numFmtId="0" fontId="3" fillId="0" borderId="0" xfId="0" applyFont="1" applyAlignment="1">
      <alignment horizontal="left"/>
    </xf>
    <xf numFmtId="165" fontId="3" fillId="0" borderId="0" xfId="1" applyNumberFormat="1" applyFont="1" applyBorder="1" applyAlignment="1"/>
    <xf numFmtId="165" fontId="4" fillId="0" borderId="0" xfId="1" applyNumberFormat="1" applyFont="1" applyBorder="1" applyAlignment="1">
      <alignment horizontal="center" vertical="center"/>
    </xf>
    <xf numFmtId="165" fontId="3" fillId="0" borderId="0" xfId="1" applyNumberFormat="1" applyFont="1" applyBorder="1" applyAlignment="1">
      <alignment horizontal="centerContinuous"/>
    </xf>
    <xf numFmtId="165" fontId="3" fillId="0" borderId="0" xfId="1" applyNumberFormat="1" applyFont="1" applyBorder="1" applyAlignment="1">
      <alignment horizontal="center"/>
    </xf>
    <xf numFmtId="165" fontId="0" fillId="0" borderId="0" xfId="1" applyNumberFormat="1" applyFont="1" applyBorder="1"/>
    <xf numFmtId="164" fontId="9" fillId="0" borderId="0" xfId="6" applyNumberFormat="1" applyFont="1" applyBorder="1"/>
    <xf numFmtId="44" fontId="4" fillId="0" borderId="0" xfId="0" applyNumberFormat="1" applyFont="1" applyAlignment="1">
      <alignment horizontal="center" vertical="center"/>
    </xf>
    <xf numFmtId="44" fontId="3" fillId="0" borderId="0" xfId="0" applyNumberFormat="1" applyFont="1" applyAlignment="1">
      <alignment horizontal="centerContinuous"/>
    </xf>
    <xf numFmtId="44" fontId="3" fillId="0" borderId="0" xfId="0" applyNumberFormat="1" applyFont="1" applyAlignment="1">
      <alignment horizontal="center"/>
    </xf>
    <xf numFmtId="44" fontId="3" fillId="0" borderId="0" xfId="5" applyNumberFormat="1" applyFont="1" applyBorder="1"/>
    <xf numFmtId="44" fontId="9" fillId="0" borderId="0" xfId="5" applyNumberFormat="1" applyFont="1" applyBorder="1"/>
    <xf numFmtId="44" fontId="0" fillId="0" borderId="0" xfId="0" applyNumberFormat="1"/>
    <xf numFmtId="44" fontId="3" fillId="0" borderId="2" xfId="1" applyNumberFormat="1" applyFont="1" applyBorder="1"/>
    <xf numFmtId="44" fontId="3" fillId="0" borderId="1" xfId="1" applyNumberFormat="1" applyFont="1" applyBorder="1"/>
    <xf numFmtId="44" fontId="11" fillId="0" borderId="7" xfId="0" applyNumberFormat="1" applyFont="1" applyBorder="1" applyAlignment="1">
      <alignment horizontal="center" vertical="center"/>
    </xf>
    <xf numFmtId="44" fontId="9" fillId="0" borderId="7" xfId="1" applyNumberFormat="1" applyFont="1" applyBorder="1" applyAlignment="1">
      <alignment horizontal="center"/>
    </xf>
    <xf numFmtId="44" fontId="3" fillId="0" borderId="7" xfId="1" applyNumberFormat="1" applyFont="1" applyBorder="1"/>
    <xf numFmtId="44" fontId="3" fillId="0" borderId="5" xfId="1" applyNumberFormat="1" applyFont="1" applyBorder="1"/>
    <xf numFmtId="44" fontId="3" fillId="0" borderId="0" xfId="1" applyNumberFormat="1" applyFont="1"/>
    <xf numFmtId="44" fontId="11" fillId="0" borderId="0" xfId="0" applyNumberFormat="1" applyFont="1" applyAlignment="1">
      <alignment horizontal="center" vertical="center"/>
    </xf>
    <xf numFmtId="44" fontId="9" fillId="0" borderId="0" xfId="1" applyNumberFormat="1" applyFont="1" applyBorder="1" applyAlignment="1">
      <alignment horizontal="center"/>
    </xf>
    <xf numFmtId="44" fontId="3" fillId="0" borderId="0" xfId="1" applyNumberFormat="1" applyFont="1" applyBorder="1"/>
    <xf numFmtId="44" fontId="3" fillId="0" borderId="0" xfId="2" applyFont="1" applyBorder="1"/>
    <xf numFmtId="0" fontId="7" fillId="0" borderId="0" xfId="0" applyFont="1"/>
    <xf numFmtId="165" fontId="3" fillId="0" borderId="0" xfId="9" applyNumberFormat="1" applyFont="1" applyFill="1" applyBorder="1"/>
    <xf numFmtId="165" fontId="9" fillId="0" borderId="0" xfId="9" applyNumberFormat="1" applyFont="1" applyFill="1" applyBorder="1"/>
    <xf numFmtId="0" fontId="1" fillId="0" borderId="0" xfId="4"/>
    <xf numFmtId="0" fontId="19" fillId="0" borderId="0" xfId="4" applyFont="1" applyAlignment="1">
      <alignment horizontal="center"/>
    </xf>
    <xf numFmtId="167" fontId="3" fillId="0" borderId="0" xfId="3" applyNumberFormat="1" applyFont="1" applyFill="1" applyBorder="1"/>
    <xf numFmtId="165" fontId="3" fillId="0" borderId="0" xfId="9" applyNumberFormat="1" applyFont="1" applyFill="1" applyBorder="1" applyAlignment="1">
      <alignment horizontal="center"/>
    </xf>
    <xf numFmtId="165" fontId="7" fillId="0" borderId="7" xfId="5" applyNumberFormat="1" applyFont="1" applyBorder="1" applyAlignment="1">
      <alignment horizontal="center"/>
    </xf>
    <xf numFmtId="3" fontId="3" fillId="0" borderId="0" xfId="0" applyNumberFormat="1" applyFont="1"/>
    <xf numFmtId="168" fontId="3" fillId="0" borderId="0" xfId="5" applyNumberFormat="1" applyFont="1" applyAlignment="1"/>
    <xf numFmtId="3" fontId="3" fillId="0" borderId="2" xfId="0" applyNumberFormat="1" applyFont="1" applyBorder="1"/>
    <xf numFmtId="168" fontId="3" fillId="0" borderId="2" xfId="5" applyNumberFormat="1" applyFont="1" applyBorder="1"/>
    <xf numFmtId="3" fontId="3" fillId="0" borderId="4" xfId="0" applyNumberFormat="1" applyFont="1" applyBorder="1"/>
    <xf numFmtId="3" fontId="3" fillId="0" borderId="7" xfId="0" applyNumberFormat="1" applyFont="1" applyBorder="1"/>
    <xf numFmtId="3" fontId="3" fillId="0" borderId="8" xfId="0" applyNumberFormat="1" applyFont="1" applyBorder="1"/>
    <xf numFmtId="168" fontId="3" fillId="0" borderId="0" xfId="5" applyNumberFormat="1" applyFont="1" applyBorder="1" applyAlignment="1"/>
    <xf numFmtId="3" fontId="8" fillId="0" borderId="0" xfId="0" applyNumberFormat="1" applyFont="1" applyAlignment="1">
      <alignment horizontal="center"/>
    </xf>
    <xf numFmtId="3" fontId="7" fillId="0" borderId="0" xfId="0" applyNumberFormat="1" applyFont="1" applyAlignment="1">
      <alignment horizontal="center"/>
    </xf>
    <xf numFmtId="168" fontId="8" fillId="0" borderId="0" xfId="5" applyNumberFormat="1" applyFont="1" applyBorder="1" applyAlignment="1">
      <alignment horizontal="centerContinuous"/>
    </xf>
    <xf numFmtId="3" fontId="8" fillId="0" borderId="0" xfId="0" applyNumberFormat="1" applyFont="1" applyAlignment="1">
      <alignment horizontal="centerContinuous"/>
    </xf>
    <xf numFmtId="44" fontId="10" fillId="0" borderId="0" xfId="0" applyNumberFormat="1" applyFont="1" applyAlignment="1">
      <alignment horizontal="center"/>
    </xf>
    <xf numFmtId="3" fontId="8" fillId="0" borderId="0" xfId="0" applyNumberFormat="1" applyFont="1"/>
    <xf numFmtId="169" fontId="3" fillId="0" borderId="0" xfId="0" applyNumberFormat="1" applyFont="1" applyAlignment="1">
      <alignment horizontal="center"/>
    </xf>
    <xf numFmtId="168" fontId="3" fillId="0" borderId="0" xfId="5" applyNumberFormat="1" applyFont="1" applyBorder="1" applyAlignment="1">
      <alignment horizontal="center"/>
    </xf>
    <xf numFmtId="168" fontId="3" fillId="0" borderId="0" xfId="5" quotePrefix="1" applyNumberFormat="1" applyFont="1" applyBorder="1" applyAlignment="1">
      <alignment horizontal="center"/>
    </xf>
    <xf numFmtId="168" fontId="13" fillId="0" borderId="0" xfId="5" applyNumberFormat="1" applyFont="1" applyBorder="1" applyAlignment="1"/>
    <xf numFmtId="165" fontId="3" fillId="0" borderId="0" xfId="5" applyNumberFormat="1" applyFont="1" applyBorder="1" applyAlignment="1"/>
    <xf numFmtId="3" fontId="7" fillId="0" borderId="0" xfId="0" applyNumberFormat="1" applyFont="1"/>
    <xf numFmtId="171" fontId="3" fillId="0" borderId="0" xfId="0" applyNumberFormat="1" applyFont="1"/>
    <xf numFmtId="170" fontId="7" fillId="0" borderId="0" xfId="0" applyNumberFormat="1" applyFont="1"/>
    <xf numFmtId="3" fontId="3" fillId="0" borderId="1" xfId="0" applyNumberFormat="1" applyFont="1" applyBorder="1"/>
    <xf numFmtId="168" fontId="3" fillId="0" borderId="1" xfId="5" applyNumberFormat="1" applyFont="1" applyBorder="1" applyAlignment="1"/>
    <xf numFmtId="3" fontId="3" fillId="0" borderId="6" xfId="0" applyNumberFormat="1" applyFont="1" applyBorder="1"/>
    <xf numFmtId="4" fontId="3" fillId="0" borderId="7" xfId="0" applyNumberFormat="1" applyFont="1" applyBorder="1"/>
    <xf numFmtId="165" fontId="3" fillId="0" borderId="3" xfId="5" applyNumberFormat="1" applyFont="1" applyBorder="1"/>
    <xf numFmtId="165" fontId="3" fillId="0" borderId="2" xfId="5" applyNumberFormat="1" applyFont="1" applyBorder="1"/>
    <xf numFmtId="165" fontId="3" fillId="0" borderId="4" xfId="5" applyNumberFormat="1" applyFont="1" applyBorder="1"/>
    <xf numFmtId="165" fontId="4" fillId="0" borderId="7" xfId="5" applyNumberFormat="1" applyFont="1" applyBorder="1" applyAlignment="1">
      <alignment horizontal="centerContinuous"/>
    </xf>
    <xf numFmtId="165" fontId="7" fillId="0" borderId="0" xfId="5" applyNumberFormat="1" applyFont="1" applyAlignment="1">
      <alignment horizontal="centerContinuous"/>
    </xf>
    <xf numFmtId="165" fontId="5" fillId="0" borderId="7" xfId="5" applyNumberFormat="1" applyFont="1" applyBorder="1" applyAlignment="1">
      <alignment horizontal="centerContinuous"/>
    </xf>
    <xf numFmtId="165" fontId="8" fillId="0" borderId="0" xfId="5" applyNumberFormat="1" applyFont="1" applyAlignment="1">
      <alignment horizontal="centerContinuous"/>
    </xf>
    <xf numFmtId="3" fontId="11" fillId="0" borderId="7" xfId="0" applyNumberFormat="1" applyFont="1" applyBorder="1" applyAlignment="1">
      <alignment horizontal="centerContinuous" vertical="center"/>
    </xf>
    <xf numFmtId="165" fontId="23" fillId="0" borderId="7" xfId="5" applyNumberFormat="1" applyFont="1" applyBorder="1" applyAlignment="1">
      <alignment horizontal="centerContinuous"/>
    </xf>
    <xf numFmtId="165" fontId="3" fillId="0" borderId="0" xfId="5" applyNumberFormat="1" applyFont="1" applyAlignment="1">
      <alignment horizontal="centerContinuous"/>
    </xf>
    <xf numFmtId="165" fontId="3" fillId="0" borderId="7" xfId="5" applyNumberFormat="1" applyFont="1" applyBorder="1" applyAlignment="1">
      <alignment horizontal="centerContinuous"/>
    </xf>
    <xf numFmtId="165" fontId="3" fillId="0" borderId="10" xfId="5" applyNumberFormat="1" applyFont="1" applyBorder="1" applyAlignment="1">
      <alignment horizontal="left"/>
    </xf>
    <xf numFmtId="165" fontId="3" fillId="0" borderId="3" xfId="5" applyNumberFormat="1" applyFont="1" applyBorder="1" applyAlignment="1">
      <alignment horizontal="left"/>
    </xf>
    <xf numFmtId="165" fontId="3" fillId="0" borderId="2" xfId="5" applyNumberFormat="1" applyFont="1" applyBorder="1" applyAlignment="1">
      <alignment horizontal="left"/>
    </xf>
    <xf numFmtId="165" fontId="3" fillId="0" borderId="4" xfId="5" applyNumberFormat="1" applyFont="1" applyBorder="1" applyAlignment="1">
      <alignment horizontal="left"/>
    </xf>
    <xf numFmtId="165" fontId="3" fillId="0" borderId="11" xfId="5" applyNumberFormat="1" applyFont="1" applyBorder="1"/>
    <xf numFmtId="165" fontId="10" fillId="0" borderId="0" xfId="5" applyNumberFormat="1" applyFont="1" applyAlignment="1">
      <alignment horizontal="center" vertical="center"/>
    </xf>
    <xf numFmtId="165" fontId="7" fillId="0" borderId="8" xfId="5" applyNumberFormat="1" applyFont="1" applyBorder="1" applyAlignment="1">
      <alignment horizontal="center" vertical="center"/>
    </xf>
    <xf numFmtId="165" fontId="7" fillId="0" borderId="0" xfId="5" applyNumberFormat="1" applyFont="1" applyAlignment="1">
      <alignment horizontal="center" vertical="center"/>
    </xf>
    <xf numFmtId="165" fontId="10" fillId="0" borderId="8" xfId="5" applyNumberFormat="1" applyFont="1" applyBorder="1" applyAlignment="1">
      <alignment horizontal="center" vertical="center"/>
    </xf>
    <xf numFmtId="165" fontId="10" fillId="0" borderId="0" xfId="5" applyNumberFormat="1" applyFont="1" applyBorder="1" applyAlignment="1">
      <alignment horizontal="center" vertical="center"/>
    </xf>
    <xf numFmtId="165" fontId="3" fillId="0" borderId="11" xfId="5" applyNumberFormat="1" applyFont="1" applyBorder="1" applyAlignment="1">
      <alignment horizontal="left"/>
    </xf>
    <xf numFmtId="165" fontId="3" fillId="0" borderId="7" xfId="5" applyNumberFormat="1" applyFont="1" applyBorder="1" applyAlignment="1">
      <alignment horizontal="center"/>
    </xf>
    <xf numFmtId="165" fontId="3" fillId="0" borderId="0" xfId="5" applyNumberFormat="1" applyFont="1" applyAlignment="1">
      <alignment horizontal="center"/>
    </xf>
    <xf numFmtId="165" fontId="3" fillId="0" borderId="8" xfId="5" applyNumberFormat="1" applyFont="1" applyBorder="1" applyAlignment="1">
      <alignment horizontal="center"/>
    </xf>
    <xf numFmtId="164" fontId="3" fillId="0" borderId="0" xfId="6" quotePrefix="1" applyNumberFormat="1" applyFont="1" applyBorder="1" applyAlignment="1">
      <alignment horizontal="center"/>
    </xf>
    <xf numFmtId="165" fontId="3" fillId="0" borderId="0" xfId="5" quotePrefix="1" applyNumberFormat="1" applyFont="1" applyBorder="1" applyAlignment="1">
      <alignment horizontal="center"/>
    </xf>
    <xf numFmtId="165" fontId="3" fillId="0" borderId="11" xfId="5" quotePrefix="1" applyNumberFormat="1" applyFont="1" applyBorder="1" applyAlignment="1">
      <alignment horizontal="center"/>
    </xf>
    <xf numFmtId="165" fontId="3" fillId="0" borderId="7" xfId="5" quotePrefix="1" applyNumberFormat="1" applyFont="1" applyBorder="1" applyAlignment="1">
      <alignment horizontal="left"/>
    </xf>
    <xf numFmtId="165" fontId="3" fillId="0" borderId="0" xfId="5" quotePrefix="1" applyNumberFormat="1" applyFont="1" applyAlignment="1">
      <alignment horizontal="left"/>
    </xf>
    <xf numFmtId="165" fontId="3" fillId="0" borderId="8" xfId="5" quotePrefix="1" applyNumberFormat="1" applyFont="1" applyBorder="1" applyAlignment="1">
      <alignment horizontal="left"/>
    </xf>
    <xf numFmtId="165" fontId="7" fillId="0" borderId="7" xfId="5" quotePrefix="1" applyNumberFormat="1" applyFont="1" applyBorder="1" applyAlignment="1">
      <alignment horizontal="left"/>
    </xf>
    <xf numFmtId="165" fontId="7" fillId="0" borderId="0" xfId="5" quotePrefix="1" applyNumberFormat="1" applyFont="1" applyAlignment="1">
      <alignment horizontal="left"/>
    </xf>
    <xf numFmtId="165" fontId="7" fillId="0" borderId="8" xfId="5" quotePrefix="1" applyNumberFormat="1" applyFont="1" applyBorder="1" applyAlignment="1">
      <alignment horizontal="left"/>
    </xf>
    <xf numFmtId="164" fontId="7" fillId="0" borderId="0" xfId="6" quotePrefix="1" applyNumberFormat="1" applyFont="1" applyBorder="1" applyAlignment="1">
      <alignment horizontal="left"/>
    </xf>
    <xf numFmtId="165" fontId="7" fillId="0" borderId="12" xfId="5" applyNumberFormat="1" applyFont="1" applyBorder="1" applyAlignment="1">
      <alignment horizontal="right"/>
    </xf>
    <xf numFmtId="165" fontId="7" fillId="0" borderId="5" xfId="5" applyNumberFormat="1" applyFont="1" applyBorder="1" applyAlignment="1">
      <alignment horizontal="right"/>
    </xf>
    <xf numFmtId="165" fontId="7" fillId="0" borderId="1" xfId="5" applyNumberFormat="1" applyFont="1" applyBorder="1" applyAlignment="1">
      <alignment horizontal="right"/>
    </xf>
    <xf numFmtId="165" fontId="7" fillId="0" borderId="6" xfId="5" applyNumberFormat="1" applyFont="1" applyBorder="1" applyAlignment="1">
      <alignment horizontal="right"/>
    </xf>
    <xf numFmtId="165" fontId="7" fillId="0" borderId="8" xfId="5" applyNumberFormat="1" applyFont="1" applyBorder="1" applyAlignment="1">
      <alignment horizontal="right"/>
    </xf>
    <xf numFmtId="165" fontId="3" fillId="0" borderId="6" xfId="5" applyNumberFormat="1" applyFont="1" applyBorder="1"/>
    <xf numFmtId="165" fontId="7" fillId="0" borderId="7" xfId="5" applyNumberFormat="1" applyFont="1" applyBorder="1" applyAlignment="1">
      <alignment horizontal="right"/>
    </xf>
    <xf numFmtId="165" fontId="7" fillId="0" borderId="0" xfId="5" applyNumberFormat="1" applyFont="1" applyAlignment="1">
      <alignment horizontal="right"/>
    </xf>
    <xf numFmtId="165" fontId="7" fillId="0" borderId="2" xfId="5" applyNumberFormat="1" applyFont="1" applyBorder="1" applyAlignment="1">
      <alignment horizontal="right"/>
    </xf>
    <xf numFmtId="165" fontId="7" fillId="0" borderId="7" xfId="5" applyNumberFormat="1" applyFont="1" applyBorder="1"/>
    <xf numFmtId="164" fontId="7" fillId="0" borderId="0" xfId="6" applyNumberFormat="1" applyFont="1"/>
    <xf numFmtId="165" fontId="7" fillId="0" borderId="0" xfId="5" applyNumberFormat="1" applyFont="1"/>
    <xf numFmtId="165" fontId="7" fillId="0" borderId="0" xfId="5" applyNumberFormat="1" applyFont="1" applyBorder="1"/>
    <xf numFmtId="164" fontId="7" fillId="0" borderId="0" xfId="6" applyNumberFormat="1" applyFont="1" applyBorder="1"/>
    <xf numFmtId="165" fontId="3" fillId="0" borderId="5" xfId="5" applyNumberFormat="1" applyFont="1" applyBorder="1" applyAlignment="1">
      <alignment horizontal="center"/>
    </xf>
    <xf numFmtId="165" fontId="3" fillId="0" borderId="1" xfId="5" applyNumberFormat="1" applyFont="1" applyBorder="1" applyAlignment="1">
      <alignment horizontal="center"/>
    </xf>
    <xf numFmtId="0" fontId="21" fillId="0" borderId="0" xfId="0" applyFont="1" applyAlignment="1">
      <alignment horizontal="left"/>
    </xf>
    <xf numFmtId="165" fontId="21" fillId="0" borderId="0" xfId="1" applyNumberFormat="1" applyFont="1" applyAlignment="1">
      <alignment vertical="center"/>
    </xf>
    <xf numFmtId="9" fontId="3" fillId="0" borderId="0" xfId="0" applyNumberFormat="1" applyFont="1" applyAlignment="1">
      <alignment horizontal="center"/>
    </xf>
    <xf numFmtId="9" fontId="19" fillId="0" borderId="0" xfId="0" applyNumberFormat="1" applyFont="1" applyAlignment="1">
      <alignment horizontal="center"/>
    </xf>
    <xf numFmtId="9" fontId="3" fillId="0" borderId="0" xfId="3" applyFont="1" applyAlignment="1">
      <alignment horizontal="center"/>
    </xf>
    <xf numFmtId="164" fontId="3" fillId="0" borderId="0" xfId="5" applyNumberFormat="1" applyFont="1" applyBorder="1"/>
    <xf numFmtId="164" fontId="3" fillId="0" borderId="0" xfId="2" applyNumberFormat="1" applyFont="1" applyBorder="1"/>
    <xf numFmtId="9" fontId="3" fillId="0" borderId="0" xfId="3" applyFont="1"/>
    <xf numFmtId="42" fontId="3" fillId="0" borderId="0" xfId="0" applyNumberFormat="1" applyFont="1"/>
    <xf numFmtId="10" fontId="3" fillId="0" borderId="0" xfId="0" applyNumberFormat="1" applyFont="1"/>
    <xf numFmtId="165" fontId="3" fillId="0" borderId="1" xfId="5" applyNumberFormat="1" applyFont="1" applyBorder="1"/>
    <xf numFmtId="9" fontId="3" fillId="0" borderId="0" xfId="9" applyNumberFormat="1" applyFont="1" applyFill="1" applyBorder="1" applyAlignment="1">
      <alignment horizontal="center"/>
    </xf>
    <xf numFmtId="9" fontId="9" fillId="0" borderId="0" xfId="9" applyNumberFormat="1" applyFont="1" applyFill="1" applyBorder="1" applyAlignment="1">
      <alignment horizontal="center"/>
    </xf>
    <xf numFmtId="164" fontId="3" fillId="0" borderId="0" xfId="0" applyNumberFormat="1" applyFont="1" applyAlignment="1">
      <alignment horizontal="left" indent="1"/>
    </xf>
    <xf numFmtId="164" fontId="7" fillId="0" borderId="0" xfId="4" applyNumberFormat="1" applyFont="1" applyAlignment="1">
      <alignment horizontal="left" indent="1"/>
    </xf>
    <xf numFmtId="10" fontId="7" fillId="0" borderId="0" xfId="0" applyNumberFormat="1" applyFont="1"/>
    <xf numFmtId="165" fontId="3" fillId="0" borderId="0" xfId="1" applyNumberFormat="1" applyFont="1" applyBorder="1" applyAlignment="1">
      <alignment vertical="center"/>
    </xf>
    <xf numFmtId="165" fontId="9" fillId="0" borderId="0" xfId="1" applyNumberFormat="1" applyFont="1" applyBorder="1" applyAlignment="1">
      <alignment vertical="center"/>
    </xf>
    <xf numFmtId="165" fontId="3" fillId="0" borderId="0" xfId="1" applyNumberFormat="1" applyFont="1" applyBorder="1" applyAlignment="1">
      <alignment horizontal="center" vertical="center"/>
    </xf>
    <xf numFmtId="165" fontId="9" fillId="0" borderId="0" xfId="1" applyNumberFormat="1" applyFont="1" applyBorder="1" applyAlignment="1">
      <alignment horizontal="center" vertical="center"/>
    </xf>
    <xf numFmtId="172" fontId="3" fillId="0" borderId="0" xfId="1" applyNumberFormat="1" applyFont="1" applyBorder="1"/>
    <xf numFmtId="172" fontId="0" fillId="0" borderId="0" xfId="1" applyNumberFormat="1" applyFont="1" applyBorder="1"/>
    <xf numFmtId="43" fontId="0" fillId="0" borderId="0" xfId="1" applyFont="1" applyBorder="1"/>
    <xf numFmtId="165" fontId="9" fillId="0" borderId="0" xfId="1" applyNumberFormat="1" applyFont="1"/>
    <xf numFmtId="44" fontId="3" fillId="2" borderId="7" xfId="1" applyNumberFormat="1" applyFont="1" applyFill="1" applyBorder="1"/>
    <xf numFmtId="44" fontId="3" fillId="2" borderId="0" xfId="1" applyNumberFormat="1" applyFont="1" applyFill="1" applyBorder="1"/>
    <xf numFmtId="10" fontId="3" fillId="2" borderId="0" xfId="3" applyNumberFormat="1" applyFont="1" applyFill="1" applyBorder="1"/>
    <xf numFmtId="10" fontId="3" fillId="0" borderId="0" xfId="3" applyNumberFormat="1" applyFont="1" applyBorder="1" applyAlignment="1"/>
    <xf numFmtId="172" fontId="3" fillId="0" borderId="0" xfId="1" applyNumberFormat="1" applyFont="1" applyBorder="1" applyAlignment="1">
      <alignment horizontal="center"/>
    </xf>
    <xf numFmtId="165" fontId="25" fillId="0" borderId="0" xfId="11" applyNumberFormat="1" applyFont="1" applyAlignment="1">
      <alignment vertical="center"/>
    </xf>
    <xf numFmtId="165" fontId="10" fillId="0" borderId="0" xfId="1" applyNumberFormat="1" applyFont="1" applyAlignment="1">
      <alignment vertical="center"/>
    </xf>
    <xf numFmtId="173" fontId="3" fillId="0" borderId="0" xfId="1" applyNumberFormat="1" applyFont="1" applyBorder="1" applyAlignment="1"/>
    <xf numFmtId="165" fontId="6" fillId="0" borderId="0" xfId="1" applyNumberFormat="1" applyFont="1" applyBorder="1"/>
    <xf numFmtId="0" fontId="3" fillId="0" borderId="0" xfId="1" applyNumberFormat="1" applyFont="1" applyBorder="1" applyAlignment="1">
      <alignment horizontal="left"/>
    </xf>
    <xf numFmtId="0" fontId="3" fillId="0" borderId="0" xfId="1" applyNumberFormat="1" applyFont="1" applyBorder="1" applyAlignment="1">
      <alignment horizontal="right"/>
    </xf>
    <xf numFmtId="166" fontId="3" fillId="0" borderId="0" xfId="1" applyNumberFormat="1" applyFont="1" applyBorder="1" applyAlignment="1">
      <alignment horizontal="right"/>
    </xf>
    <xf numFmtId="173" fontId="3" fillId="0" borderId="0" xfId="1" applyNumberFormat="1" applyFont="1" applyBorder="1" applyAlignment="1">
      <alignment horizontal="right"/>
    </xf>
    <xf numFmtId="43" fontId="3" fillId="0" borderId="13" xfId="1" applyFont="1" applyBorder="1" applyAlignment="1"/>
    <xf numFmtId="43" fontId="3" fillId="0" borderId="14" xfId="1" applyFont="1" applyBorder="1" applyAlignment="1"/>
    <xf numFmtId="165" fontId="3" fillId="0" borderId="14" xfId="1" applyNumberFormat="1" applyFont="1" applyBorder="1" applyAlignment="1"/>
    <xf numFmtId="0" fontId="3" fillId="0" borderId="14" xfId="1" applyNumberFormat="1" applyFont="1" applyBorder="1" applyAlignment="1"/>
    <xf numFmtId="10" fontId="3" fillId="0" borderId="14" xfId="3" applyNumberFormat="1" applyFont="1" applyBorder="1" applyAlignment="1"/>
    <xf numFmtId="43" fontId="3" fillId="0" borderId="15" xfId="1" applyFont="1" applyBorder="1" applyAlignment="1"/>
    <xf numFmtId="43" fontId="3" fillId="0" borderId="16" xfId="1" applyFont="1" applyBorder="1" applyAlignment="1"/>
    <xf numFmtId="43" fontId="3" fillId="0" borderId="17" xfId="1" applyFont="1" applyBorder="1" applyAlignment="1"/>
    <xf numFmtId="43" fontId="3" fillId="0" borderId="17" xfId="1" applyFont="1" applyBorder="1" applyAlignment="1">
      <alignment vertical="center"/>
    </xf>
    <xf numFmtId="0" fontId="3" fillId="0" borderId="16" xfId="0" applyFont="1" applyBorder="1"/>
    <xf numFmtId="43" fontId="3" fillId="0" borderId="18" xfId="1" applyFont="1" applyBorder="1" applyAlignment="1"/>
    <xf numFmtId="43" fontId="3" fillId="0" borderId="19" xfId="1" applyFont="1" applyBorder="1" applyAlignment="1"/>
    <xf numFmtId="165" fontId="3" fillId="0" borderId="19" xfId="1" applyNumberFormat="1" applyFont="1" applyBorder="1" applyAlignment="1"/>
    <xf numFmtId="0" fontId="3" fillId="0" borderId="19" xfId="1" applyNumberFormat="1" applyFont="1" applyBorder="1" applyAlignment="1"/>
    <xf numFmtId="10" fontId="3" fillId="0" borderId="19" xfId="3" applyNumberFormat="1" applyFont="1" applyBorder="1" applyAlignment="1"/>
    <xf numFmtId="43" fontId="3" fillId="0" borderId="20" xfId="1" applyFont="1" applyBorder="1" applyAlignment="1"/>
    <xf numFmtId="0" fontId="3" fillId="0" borderId="14" xfId="1" applyNumberFormat="1" applyFont="1" applyBorder="1" applyAlignment="1">
      <alignment horizontal="left"/>
    </xf>
    <xf numFmtId="0" fontId="6" fillId="0" borderId="0" xfId="0" applyFont="1" applyAlignment="1">
      <alignment horizontal="left"/>
    </xf>
    <xf numFmtId="0" fontId="3" fillId="0" borderId="19" xfId="1" applyNumberFormat="1" applyFont="1" applyBorder="1" applyAlignment="1">
      <alignment horizontal="left"/>
    </xf>
    <xf numFmtId="173" fontId="3" fillId="0" borderId="0" xfId="0" applyNumberFormat="1" applyFont="1"/>
    <xf numFmtId="173" fontId="3" fillId="0" borderId="0" xfId="2" applyNumberFormat="1" applyFont="1" applyBorder="1"/>
    <xf numFmtId="3" fontId="3" fillId="0" borderId="0" xfId="1" applyNumberFormat="1" applyFont="1" applyBorder="1"/>
    <xf numFmtId="44" fontId="3" fillId="0" borderId="1" xfId="0" applyNumberFormat="1" applyFont="1" applyBorder="1"/>
    <xf numFmtId="0" fontId="16" fillId="0" borderId="1" xfId="0" applyFont="1" applyBorder="1"/>
    <xf numFmtId="44" fontId="3" fillId="0" borderId="1" xfId="10" applyFont="1" applyBorder="1"/>
    <xf numFmtId="0" fontId="7" fillId="0" borderId="0" xfId="0" applyFont="1" applyAlignment="1">
      <alignment horizontal="center"/>
    </xf>
    <xf numFmtId="165" fontId="3" fillId="0" borderId="0" xfId="0" applyNumberFormat="1" applyFont="1" applyAlignment="1">
      <alignment horizontal="right"/>
    </xf>
    <xf numFmtId="165" fontId="3" fillId="0" borderId="0" xfId="1" applyNumberFormat="1" applyFont="1" applyBorder="1" applyAlignment="1">
      <alignment horizontal="right"/>
    </xf>
    <xf numFmtId="165" fontId="9" fillId="0" borderId="0" xfId="1" applyNumberFormat="1" applyFont="1" applyBorder="1" applyAlignment="1">
      <alignment horizontal="right"/>
    </xf>
    <xf numFmtId="165" fontId="6" fillId="0" borderId="0" xfId="0" applyNumberFormat="1" applyFont="1"/>
    <xf numFmtId="0" fontId="7" fillId="0" borderId="13" xfId="0" applyFont="1" applyBorder="1"/>
    <xf numFmtId="165" fontId="3" fillId="0" borderId="14" xfId="1" applyNumberFormat="1" applyFont="1" applyBorder="1"/>
    <xf numFmtId="3" fontId="3" fillId="0" borderId="14" xfId="0" applyNumberFormat="1" applyFont="1" applyBorder="1" applyAlignment="1">
      <alignment horizontal="right"/>
    </xf>
    <xf numFmtId="165" fontId="3" fillId="0" borderId="14" xfId="0" applyNumberFormat="1" applyFont="1" applyBorder="1"/>
    <xf numFmtId="0" fontId="7" fillId="0" borderId="16" xfId="0" applyFont="1" applyBorder="1"/>
    <xf numFmtId="0" fontId="3" fillId="0" borderId="17" xfId="0" applyFont="1" applyBorder="1"/>
    <xf numFmtId="0" fontId="3" fillId="0" borderId="17" xfId="0" applyFont="1" applyBorder="1" applyAlignment="1">
      <alignment horizontal="right"/>
    </xf>
    <xf numFmtId="0" fontId="3" fillId="0" borderId="16" xfId="0" applyFont="1" applyBorder="1" applyAlignment="1">
      <alignment horizontal="right"/>
    </xf>
    <xf numFmtId="165" fontId="3" fillId="0" borderId="17" xfId="1" applyNumberFormat="1" applyFont="1" applyBorder="1"/>
    <xf numFmtId="165" fontId="9" fillId="0" borderId="17" xfId="1" applyNumberFormat="1" applyFont="1" applyBorder="1"/>
    <xf numFmtId="0" fontId="3" fillId="0" borderId="16" xfId="1" applyNumberFormat="1" applyFont="1" applyBorder="1" applyAlignment="1">
      <alignment horizontal="right"/>
    </xf>
    <xf numFmtId="0" fontId="3" fillId="0" borderId="18" xfId="0" applyFont="1" applyBorder="1"/>
    <xf numFmtId="165" fontId="3" fillId="0" borderId="19" xfId="1" applyNumberFormat="1" applyFont="1" applyBorder="1"/>
    <xf numFmtId="164" fontId="3" fillId="0" borderId="19" xfId="2" applyNumberFormat="1" applyFont="1" applyBorder="1"/>
    <xf numFmtId="0" fontId="3" fillId="0" borderId="19" xfId="0" applyFont="1" applyBorder="1"/>
    <xf numFmtId="44" fontId="3" fillId="0" borderId="14" xfId="0" applyNumberFormat="1" applyFont="1" applyBorder="1"/>
    <xf numFmtId="0" fontId="3" fillId="0" borderId="15" xfId="0" applyFont="1" applyBorder="1"/>
    <xf numFmtId="0" fontId="3" fillId="0" borderId="20" xfId="0" applyFont="1" applyBorder="1"/>
    <xf numFmtId="0" fontId="3" fillId="0" borderId="14" xfId="0" applyFont="1" applyBorder="1"/>
    <xf numFmtId="43" fontId="3" fillId="0" borderId="14" xfId="1" applyFont="1" applyBorder="1"/>
    <xf numFmtId="172" fontId="3" fillId="0" borderId="14" xfId="1" applyNumberFormat="1" applyFont="1" applyBorder="1" applyAlignment="1">
      <alignment horizontal="center"/>
    </xf>
    <xf numFmtId="44" fontId="3" fillId="0" borderId="19" xfId="5" applyNumberFormat="1" applyFont="1" applyBorder="1"/>
    <xf numFmtId="0" fontId="3" fillId="0" borderId="18" xfId="0" applyFont="1" applyBorder="1" applyAlignment="1">
      <alignment horizontal="right"/>
    </xf>
    <xf numFmtId="165" fontId="3" fillId="0" borderId="19" xfId="5" applyNumberFormat="1" applyFont="1" applyBorder="1"/>
    <xf numFmtId="0" fontId="3" fillId="0" borderId="17" xfId="0" quotePrefix="1" applyFont="1" applyBorder="1"/>
    <xf numFmtId="3" fontId="3" fillId="0" borderId="19" xfId="1" applyNumberFormat="1" applyFont="1" applyBorder="1"/>
    <xf numFmtId="169" fontId="3" fillId="0" borderId="0" xfId="0" quotePrefix="1" applyNumberFormat="1" applyFont="1" applyAlignment="1">
      <alignment horizontal="center"/>
    </xf>
    <xf numFmtId="165" fontId="9" fillId="0" borderId="0" xfId="1" applyNumberFormat="1" applyFont="1" applyAlignment="1">
      <alignment vertical="center"/>
    </xf>
    <xf numFmtId="37" fontId="3" fillId="0" borderId="0" xfId="0" applyNumberFormat="1" applyFont="1" applyAlignment="1">
      <alignment horizontal="right"/>
    </xf>
    <xf numFmtId="165" fontId="3" fillId="0" borderId="0" xfId="1" quotePrefix="1" applyNumberFormat="1" applyFont="1" applyAlignment="1">
      <alignment horizontal="left" vertical="center"/>
    </xf>
    <xf numFmtId="42" fontId="3" fillId="0" borderId="0" xfId="2" applyNumberFormat="1" applyFont="1"/>
    <xf numFmtId="164" fontId="3" fillId="0" borderId="0" xfId="2" applyNumberFormat="1" applyFont="1"/>
    <xf numFmtId="164" fontId="3" fillId="0" borderId="1" xfId="2" applyNumberFormat="1" applyFont="1" applyBorder="1"/>
    <xf numFmtId="0" fontId="3" fillId="0" borderId="1" xfId="0" applyFont="1" applyBorder="1"/>
    <xf numFmtId="42" fontId="3" fillId="0" borderId="1" xfId="2" applyNumberFormat="1" applyFont="1" applyBorder="1"/>
    <xf numFmtId="3" fontId="7" fillId="0" borderId="0" xfId="0" applyNumberFormat="1" applyFont="1" applyAlignment="1">
      <alignment vertical="center"/>
    </xf>
    <xf numFmtId="3" fontId="3" fillId="0" borderId="0" xfId="0" applyNumberFormat="1" applyFont="1" applyAlignment="1">
      <alignment vertical="center"/>
    </xf>
    <xf numFmtId="0" fontId="25" fillId="0" borderId="0" xfId="0" applyFont="1"/>
    <xf numFmtId="165" fontId="25" fillId="0" borderId="0" xfId="0" applyNumberFormat="1" applyFont="1"/>
    <xf numFmtId="0" fontId="3" fillId="0" borderId="0" xfId="0" applyFont="1" applyAlignment="1">
      <alignment horizontal="left" vertical="center"/>
    </xf>
    <xf numFmtId="0" fontId="3" fillId="0" borderId="0" xfId="1" applyNumberFormat="1" applyFont="1" applyAlignment="1">
      <alignment horizontal="left" vertical="center"/>
    </xf>
    <xf numFmtId="0" fontId="3" fillId="0" borderId="0" xfId="0" applyFont="1" applyAlignment="1">
      <alignment vertical="center"/>
    </xf>
    <xf numFmtId="0" fontId="3" fillId="0" borderId="0" xfId="1" applyNumberFormat="1" applyFont="1" applyAlignment="1">
      <alignment vertical="center"/>
    </xf>
    <xf numFmtId="165" fontId="3" fillId="0" borderId="0" xfId="5" applyNumberFormat="1" applyFont="1" applyFill="1"/>
    <xf numFmtId="43" fontId="3" fillId="0" borderId="0" xfId="1" applyFont="1" applyFill="1"/>
    <xf numFmtId="0" fontId="7" fillId="0" borderId="3" xfId="0" applyFont="1" applyBorder="1"/>
    <xf numFmtId="3" fontId="3" fillId="0" borderId="2" xfId="0" applyNumberFormat="1" applyFont="1" applyBorder="1" applyAlignment="1">
      <alignment horizontal="right"/>
    </xf>
    <xf numFmtId="165" fontId="3" fillId="0" borderId="2" xfId="0" applyNumberFormat="1" applyFont="1" applyBorder="1"/>
    <xf numFmtId="44" fontId="3" fillId="0" borderId="2" xfId="0" applyNumberFormat="1" applyFont="1" applyBorder="1"/>
    <xf numFmtId="0" fontId="3" fillId="0" borderId="2" xfId="0" applyFont="1" applyBorder="1"/>
    <xf numFmtId="0" fontId="3" fillId="0" borderId="4" xfId="0" applyFont="1" applyBorder="1"/>
    <xf numFmtId="0" fontId="7" fillId="0" borderId="7" xfId="0" applyFont="1" applyBorder="1"/>
    <xf numFmtId="0" fontId="3" fillId="0" borderId="8" xfId="0" applyFont="1" applyBorder="1"/>
    <xf numFmtId="0" fontId="3" fillId="0" borderId="8" xfId="0" applyFont="1" applyBorder="1" applyAlignment="1">
      <alignment horizontal="right"/>
    </xf>
    <xf numFmtId="0" fontId="3" fillId="0" borderId="7" xfId="0" applyFont="1" applyBorder="1" applyAlignment="1">
      <alignment horizontal="right"/>
    </xf>
    <xf numFmtId="165" fontId="9" fillId="0" borderId="8" xfId="1" applyNumberFormat="1" applyFont="1" applyBorder="1"/>
    <xf numFmtId="0" fontId="3" fillId="0" borderId="8" xfId="0" quotePrefix="1" applyFont="1" applyBorder="1"/>
    <xf numFmtId="0" fontId="3" fillId="0" borderId="7" xfId="1" applyNumberFormat="1" applyFont="1" applyBorder="1" applyAlignment="1">
      <alignment horizontal="right"/>
    </xf>
    <xf numFmtId="0" fontId="3" fillId="0" borderId="5" xfId="0" applyFont="1" applyBorder="1" applyAlignment="1">
      <alignment horizontal="right"/>
    </xf>
    <xf numFmtId="44" fontId="3" fillId="0" borderId="1" xfId="5" applyNumberFormat="1" applyFont="1" applyBorder="1"/>
    <xf numFmtId="0" fontId="3" fillId="0" borderId="6" xfId="0" applyFont="1" applyBorder="1"/>
    <xf numFmtId="43" fontId="3" fillId="0" borderId="1" xfId="1" applyFont="1" applyBorder="1"/>
    <xf numFmtId="43" fontId="3" fillId="0" borderId="0" xfId="0" applyNumberFormat="1" applyFont="1"/>
    <xf numFmtId="44" fontId="3" fillId="0" borderId="7" xfId="1" quotePrefix="1" applyNumberFormat="1" applyFont="1" applyBorder="1"/>
    <xf numFmtId="174" fontId="3" fillId="0" borderId="0" xfId="1" applyNumberFormat="1" applyFont="1" applyBorder="1" applyAlignment="1"/>
    <xf numFmtId="43" fontId="9" fillId="0" borderId="0" xfId="5" applyFont="1" applyFill="1" applyBorder="1"/>
    <xf numFmtId="165" fontId="3" fillId="3" borderId="0" xfId="1" applyNumberFormat="1" applyFont="1" applyFill="1" applyAlignment="1">
      <alignment horizontal="right" vertical="center"/>
    </xf>
    <xf numFmtId="0" fontId="0" fillId="0" borderId="0" xfId="0" applyAlignment="1">
      <alignment horizontal="center" vertical="center"/>
    </xf>
    <xf numFmtId="0" fontId="1" fillId="0" borderId="0" xfId="0" applyFont="1" applyAlignment="1">
      <alignment horizontal="center" wrapText="1"/>
    </xf>
    <xf numFmtId="0" fontId="1" fillId="0" borderId="0" xfId="0" applyFont="1" applyAlignment="1">
      <alignment horizontal="center" vertical="center"/>
    </xf>
    <xf numFmtId="0" fontId="1" fillId="0" borderId="0" xfId="0" applyFont="1" applyAlignment="1">
      <alignment wrapText="1"/>
    </xf>
    <xf numFmtId="0" fontId="1" fillId="0" borderId="0" xfId="0" applyFont="1"/>
    <xf numFmtId="0" fontId="0" fillId="0" borderId="0" xfId="0" applyAlignment="1">
      <alignment wrapText="1"/>
    </xf>
    <xf numFmtId="165" fontId="3" fillId="4" borderId="0" xfId="1" applyNumberFormat="1" applyFont="1" applyFill="1" applyBorder="1"/>
    <xf numFmtId="3" fontId="3" fillId="4" borderId="0" xfId="0" applyNumberFormat="1" applyFont="1" applyFill="1" applyAlignment="1">
      <alignment horizontal="right"/>
    </xf>
    <xf numFmtId="164" fontId="3" fillId="4" borderId="0" xfId="6" applyNumberFormat="1" applyFont="1" applyFill="1" applyBorder="1"/>
    <xf numFmtId="165" fontId="9" fillId="4" borderId="0" xfId="0" applyNumberFormat="1" applyFont="1" applyFill="1"/>
    <xf numFmtId="164" fontId="9" fillId="4" borderId="0" xfId="0" applyNumberFormat="1" applyFont="1" applyFill="1"/>
    <xf numFmtId="0" fontId="3" fillId="4" borderId="0" xfId="0" applyFont="1" applyFill="1"/>
    <xf numFmtId="165" fontId="3" fillId="4" borderId="0" xfId="0" applyNumberFormat="1" applyFont="1" applyFill="1"/>
    <xf numFmtId="10" fontId="3" fillId="4" borderId="0" xfId="3" applyNumberFormat="1" applyFont="1" applyFill="1" applyBorder="1"/>
    <xf numFmtId="0" fontId="3" fillId="4" borderId="1" xfId="0" applyFont="1" applyFill="1" applyBorder="1" applyAlignment="1">
      <alignment horizontal="center"/>
    </xf>
    <xf numFmtId="164" fontId="3" fillId="4" borderId="0" xfId="3" applyNumberFormat="1" applyFont="1" applyFill="1" applyBorder="1"/>
    <xf numFmtId="165" fontId="3" fillId="3" borderId="0" xfId="1" applyNumberFormat="1" applyFont="1" applyFill="1" applyAlignment="1">
      <alignment vertical="center"/>
    </xf>
    <xf numFmtId="164" fontId="3" fillId="3" borderId="0" xfId="0" applyNumberFormat="1" applyFont="1" applyFill="1"/>
    <xf numFmtId="165" fontId="3" fillId="3" borderId="0" xfId="1" applyNumberFormat="1" applyFont="1" applyFill="1" applyBorder="1"/>
    <xf numFmtId="3" fontId="3" fillId="3" borderId="0" xfId="0" applyNumberFormat="1" applyFont="1" applyFill="1" applyAlignment="1">
      <alignment horizontal="right"/>
    </xf>
    <xf numFmtId="164" fontId="3" fillId="3" borderId="0" xfId="6" applyNumberFormat="1" applyFont="1" applyFill="1" applyBorder="1"/>
    <xf numFmtId="165" fontId="3" fillId="3" borderId="0" xfId="0" applyNumberFormat="1" applyFont="1" applyFill="1"/>
    <xf numFmtId="10" fontId="3" fillId="3" borderId="0" xfId="3" applyNumberFormat="1" applyFont="1" applyFill="1" applyBorder="1"/>
    <xf numFmtId="0" fontId="3" fillId="3" borderId="0" xfId="0" applyFont="1" applyFill="1"/>
    <xf numFmtId="43" fontId="3" fillId="0" borderId="0" xfId="0" applyNumberFormat="1" applyFont="1" applyAlignment="1">
      <alignment horizontal="left"/>
    </xf>
    <xf numFmtId="43" fontId="3" fillId="0" borderId="0" xfId="1" applyFont="1" applyFill="1" applyBorder="1"/>
    <xf numFmtId="43" fontId="9" fillId="0" borderId="0" xfId="1" applyFont="1" applyFill="1" applyBorder="1"/>
    <xf numFmtId="43" fontId="3" fillId="0" borderId="0" xfId="5" applyFont="1" applyBorder="1"/>
    <xf numFmtId="10" fontId="3" fillId="3" borderId="1" xfId="0" applyNumberFormat="1" applyFont="1" applyFill="1" applyBorder="1"/>
    <xf numFmtId="3" fontId="3" fillId="0" borderId="0" xfId="5" applyNumberFormat="1" applyFont="1" applyBorder="1"/>
    <xf numFmtId="3" fontId="3" fillId="0" borderId="0" xfId="0" applyNumberFormat="1" applyFont="1" applyAlignment="1">
      <alignment horizontal="center"/>
    </xf>
    <xf numFmtId="3" fontId="0" fillId="0" borderId="0" xfId="0" applyNumberFormat="1"/>
    <xf numFmtId="0" fontId="6" fillId="0" borderId="0" xfId="0" applyFont="1" applyAlignment="1">
      <alignment horizontal="center"/>
    </xf>
    <xf numFmtId="1" fontId="6" fillId="0" borderId="0" xfId="0" applyNumberFormat="1" applyFont="1" applyAlignment="1">
      <alignment horizontal="center"/>
    </xf>
    <xf numFmtId="42" fontId="3" fillId="0" borderId="0" xfId="0" applyNumberFormat="1" applyFont="1" applyAlignment="1">
      <alignment horizontal="center"/>
    </xf>
    <xf numFmtId="175" fontId="3" fillId="0" borderId="1" xfId="1" applyNumberFormat="1" applyFont="1" applyBorder="1" applyAlignment="1">
      <alignment horizontal="center"/>
    </xf>
    <xf numFmtId="165" fontId="9" fillId="3" borderId="0" xfId="1" applyNumberFormat="1" applyFont="1" applyFill="1" applyAlignment="1">
      <alignment vertical="center"/>
    </xf>
    <xf numFmtId="165" fontId="21" fillId="3" borderId="0" xfId="1" applyNumberFormat="1" applyFont="1" applyFill="1" applyAlignment="1">
      <alignment vertical="center"/>
    </xf>
    <xf numFmtId="165" fontId="3" fillId="3" borderId="0" xfId="1" applyNumberFormat="1" applyFont="1" applyFill="1"/>
    <xf numFmtId="165" fontId="27" fillId="3" borderId="0" xfId="1" applyNumberFormat="1" applyFont="1" applyFill="1" applyAlignment="1">
      <alignment horizontal="right" vertical="center"/>
    </xf>
    <xf numFmtId="165" fontId="27" fillId="3" borderId="0" xfId="1" applyNumberFormat="1" applyFont="1" applyFill="1" applyAlignment="1">
      <alignment vertical="center"/>
    </xf>
    <xf numFmtId="165" fontId="3" fillId="3" borderId="21" xfId="5" applyNumberFormat="1" applyFont="1" applyFill="1" applyBorder="1"/>
    <xf numFmtId="165" fontId="3" fillId="3" borderId="1" xfId="5" applyNumberFormat="1" applyFont="1" applyFill="1" applyBorder="1"/>
    <xf numFmtId="165" fontId="9" fillId="3" borderId="0" xfId="1" applyNumberFormat="1" applyFont="1" applyFill="1" applyBorder="1" applyAlignment="1">
      <alignment vertical="center"/>
    </xf>
    <xf numFmtId="3" fontId="3" fillId="0" borderId="0" xfId="3" applyNumberFormat="1" applyFont="1"/>
    <xf numFmtId="44" fontId="3" fillId="0" borderId="0" xfId="2" applyFont="1"/>
    <xf numFmtId="44" fontId="3" fillId="0" borderId="0" xfId="3" applyNumberFormat="1" applyFont="1" applyAlignment="1">
      <alignment horizontal="center"/>
    </xf>
    <xf numFmtId="3" fontId="6" fillId="0" borderId="0" xfId="0" applyNumberFormat="1" applyFont="1" applyAlignment="1">
      <alignment horizontal="center"/>
    </xf>
    <xf numFmtId="44" fontId="3" fillId="0" borderId="0" xfId="2" applyFont="1" applyAlignment="1">
      <alignment horizontal="center"/>
    </xf>
    <xf numFmtId="4" fontId="3" fillId="0" borderId="0" xfId="2" applyNumberFormat="1" applyFont="1"/>
    <xf numFmtId="4" fontId="3" fillId="0" borderId="0" xfId="2" applyNumberFormat="1" applyFont="1" applyAlignment="1">
      <alignment horizontal="center"/>
    </xf>
    <xf numFmtId="4" fontId="3" fillId="0" borderId="0" xfId="0" applyNumberFormat="1" applyFont="1"/>
    <xf numFmtId="4" fontId="3" fillId="0" borderId="0" xfId="0" applyNumberFormat="1" applyFont="1" applyAlignment="1">
      <alignment horizontal="center"/>
    </xf>
    <xf numFmtId="44" fontId="3" fillId="0" borderId="2" xfId="3" applyNumberFormat="1" applyFont="1" applyBorder="1"/>
    <xf numFmtId="0" fontId="6" fillId="0" borderId="2" xfId="0" applyFont="1" applyBorder="1" applyAlignment="1">
      <alignment horizontal="center"/>
    </xf>
    <xf numFmtId="165" fontId="3" fillId="3" borderId="21" xfId="1" applyNumberFormat="1" applyFont="1" applyFill="1" applyBorder="1"/>
    <xf numFmtId="165" fontId="3" fillId="0" borderId="1" xfId="0" applyNumberFormat="1" applyFont="1" applyBorder="1"/>
    <xf numFmtId="164" fontId="3" fillId="0" borderId="1" xfId="0" applyNumberFormat="1" applyFont="1" applyBorder="1"/>
    <xf numFmtId="10" fontId="3" fillId="0" borderId="0" xfId="3" applyNumberFormat="1" applyFont="1"/>
    <xf numFmtId="176" fontId="3" fillId="0" borderId="0" xfId="3" applyNumberFormat="1" applyFont="1"/>
    <xf numFmtId="37" fontId="3" fillId="0" borderId="0" xfId="1" applyNumberFormat="1" applyFont="1" applyAlignment="1">
      <alignment horizontal="center" vertical="center"/>
    </xf>
    <xf numFmtId="3" fontId="3" fillId="0" borderId="0" xfId="3" applyNumberFormat="1" applyFont="1" applyAlignment="1">
      <alignment horizontal="center"/>
    </xf>
    <xf numFmtId="44" fontId="3" fillId="0" borderId="0" xfId="3" applyNumberFormat="1" applyFont="1"/>
    <xf numFmtId="165" fontId="0" fillId="0" borderId="0" xfId="0" applyNumberFormat="1"/>
    <xf numFmtId="177" fontId="0" fillId="0" borderId="0" xfId="0" applyNumberFormat="1"/>
    <xf numFmtId="0" fontId="7" fillId="0" borderId="21" xfId="0" applyFont="1" applyBorder="1"/>
    <xf numFmtId="164" fontId="7" fillId="0" borderId="21" xfId="6" applyNumberFormat="1" applyFont="1" applyBorder="1"/>
    <xf numFmtId="0" fontId="3" fillId="3" borderId="21" xfId="0" applyFont="1" applyFill="1" applyBorder="1"/>
    <xf numFmtId="0" fontId="7" fillId="3" borderId="21" xfId="0" applyFont="1" applyFill="1" applyBorder="1"/>
    <xf numFmtId="164" fontId="3" fillId="3" borderId="21" xfId="6" applyNumberFormat="1" applyFont="1" applyFill="1" applyBorder="1"/>
    <xf numFmtId="164" fontId="7" fillId="3" borderId="21" xfId="0" applyNumberFormat="1" applyFont="1" applyFill="1" applyBorder="1"/>
    <xf numFmtId="0" fontId="3" fillId="0" borderId="21" xfId="0" applyFont="1" applyBorder="1"/>
    <xf numFmtId="165" fontId="3" fillId="3" borderId="21" xfId="1" applyNumberFormat="1" applyFont="1" applyFill="1" applyBorder="1" applyAlignment="1">
      <alignment horizontal="center"/>
    </xf>
    <xf numFmtId="164" fontId="3" fillId="0" borderId="0" xfId="4" applyNumberFormat="1" applyFont="1" applyAlignment="1">
      <alignment horizontal="left" indent="1"/>
    </xf>
    <xf numFmtId="165" fontId="3" fillId="0" borderId="0" xfId="1" applyNumberFormat="1" applyFont="1" applyFill="1"/>
    <xf numFmtId="44" fontId="0" fillId="0" borderId="0" xfId="2" applyFont="1"/>
    <xf numFmtId="0" fontId="29" fillId="0" borderId="0" xfId="0" applyFont="1" applyAlignment="1">
      <alignment horizontal="center"/>
    </xf>
    <xf numFmtId="0" fontId="0" fillId="0" borderId="0" xfId="0" applyAlignment="1">
      <alignment horizontal="center"/>
    </xf>
    <xf numFmtId="44" fontId="1" fillId="0" borderId="0" xfId="2" applyFont="1"/>
    <xf numFmtId="44" fontId="1" fillId="0" borderId="1" xfId="2" applyFont="1" applyBorder="1"/>
    <xf numFmtId="44" fontId="1" fillId="0" borderId="0" xfId="0" applyNumberFormat="1" applyFont="1"/>
    <xf numFmtId="0" fontId="1" fillId="0" borderId="0" xfId="0" applyFont="1" applyAlignment="1">
      <alignment horizontal="right"/>
    </xf>
    <xf numFmtId="0" fontId="1" fillId="0" borderId="0" xfId="0" applyFont="1" applyAlignment="1">
      <alignment horizontal="center"/>
    </xf>
    <xf numFmtId="164" fontId="9" fillId="0" borderId="0" xfId="0" applyNumberFormat="1" applyFont="1"/>
    <xf numFmtId="44" fontId="3" fillId="0" borderId="1" xfId="2" applyFont="1" applyBorder="1"/>
    <xf numFmtId="0" fontId="3" fillId="0" borderId="13" xfId="0" applyFont="1" applyBorder="1"/>
    <xf numFmtId="0" fontId="3" fillId="0" borderId="14" xfId="0" applyFont="1" applyBorder="1" applyAlignment="1">
      <alignment horizontal="center"/>
    </xf>
    <xf numFmtId="0" fontId="3" fillId="0" borderId="16" xfId="0" applyFont="1" applyBorder="1" applyAlignment="1">
      <alignment horizontal="center"/>
    </xf>
    <xf numFmtId="165" fontId="3" fillId="0" borderId="16" xfId="0" applyNumberFormat="1" applyFont="1" applyBorder="1"/>
    <xf numFmtId="44" fontId="3" fillId="0" borderId="19" xfId="2" applyFont="1" applyBorder="1"/>
    <xf numFmtId="164" fontId="9" fillId="0" borderId="0" xfId="2" applyNumberFormat="1" applyFont="1" applyBorder="1"/>
    <xf numFmtId="4" fontId="0" fillId="0" borderId="0" xfId="0" applyNumberFormat="1"/>
    <xf numFmtId="0" fontId="1" fillId="0" borderId="0" xfId="0" applyFont="1" applyAlignment="1">
      <alignment horizontal="left"/>
    </xf>
    <xf numFmtId="4" fontId="29" fillId="0" borderId="0" xfId="0" applyNumberFormat="1" applyFont="1"/>
    <xf numFmtId="0" fontId="6" fillId="0" borderId="1" xfId="0" applyFont="1" applyBorder="1"/>
    <xf numFmtId="9" fontId="3" fillId="0" borderId="1" xfId="3" applyFont="1" applyBorder="1"/>
    <xf numFmtId="42" fontId="9" fillId="0" borderId="1" xfId="0" applyNumberFormat="1" applyFont="1" applyBorder="1"/>
    <xf numFmtId="1" fontId="3" fillId="0" borderId="1" xfId="3" applyNumberFormat="1" applyFont="1" applyBorder="1" applyAlignment="1">
      <alignment horizontal="center"/>
    </xf>
    <xf numFmtId="1" fontId="3" fillId="0" borderId="1" xfId="0" applyNumberFormat="1" applyFont="1" applyBorder="1" applyAlignment="1">
      <alignment horizontal="center"/>
    </xf>
    <xf numFmtId="165" fontId="7" fillId="0" borderId="0" xfId="1" applyNumberFormat="1" applyFont="1" applyBorder="1"/>
    <xf numFmtId="44" fontId="3" fillId="0" borderId="4" xfId="0" applyNumberFormat="1" applyFont="1" applyBorder="1"/>
    <xf numFmtId="165" fontId="3" fillId="0" borderId="8" xfId="0" applyNumberFormat="1" applyFont="1" applyBorder="1" applyAlignment="1">
      <alignment horizontal="right"/>
    </xf>
    <xf numFmtId="165" fontId="3" fillId="0" borderId="8" xfId="1" applyNumberFormat="1" applyFont="1" applyBorder="1" applyAlignment="1">
      <alignment horizontal="right"/>
    </xf>
    <xf numFmtId="44" fontId="3" fillId="0" borderId="8" xfId="0" applyNumberFormat="1" applyFont="1" applyBorder="1"/>
    <xf numFmtId="0" fontId="7" fillId="0" borderId="8" xfId="0" applyFont="1" applyBorder="1"/>
    <xf numFmtId="44" fontId="3" fillId="0" borderId="8" xfId="0" applyNumberFormat="1" applyFont="1" applyBorder="1" applyAlignment="1">
      <alignment horizontal="center"/>
    </xf>
    <xf numFmtId="173" fontId="3" fillId="0" borderId="1" xfId="2" applyNumberFormat="1" applyFont="1" applyBorder="1"/>
    <xf numFmtId="166" fontId="3" fillId="0" borderId="1" xfId="1" applyNumberFormat="1" applyFont="1" applyBorder="1" applyAlignment="1"/>
    <xf numFmtId="164" fontId="3" fillId="0" borderId="6" xfId="5" applyNumberFormat="1" applyFont="1" applyBorder="1"/>
    <xf numFmtId="165" fontId="4" fillId="0" borderId="0" xfId="1" applyNumberFormat="1" applyFont="1" applyAlignment="1">
      <alignment horizontal="center" vertical="center"/>
    </xf>
    <xf numFmtId="3" fontId="20" fillId="0" borderId="0" xfId="0" applyNumberFormat="1" applyFont="1" applyAlignment="1">
      <alignment horizontal="center" vertical="center"/>
    </xf>
    <xf numFmtId="0" fontId="28" fillId="0" borderId="0" xfId="0" applyFont="1" applyAlignment="1">
      <alignment horizontal="center"/>
    </xf>
    <xf numFmtId="0" fontId="3" fillId="0" borderId="0" xfId="0" applyFont="1" applyAlignment="1">
      <alignment horizontal="center"/>
    </xf>
    <xf numFmtId="0" fontId="1" fillId="0" borderId="0" xfId="0" applyFont="1" applyAlignment="1">
      <alignment horizontal="center"/>
    </xf>
    <xf numFmtId="165" fontId="10" fillId="0" borderId="7" xfId="5" applyNumberFormat="1" applyFont="1" applyBorder="1" applyAlignment="1">
      <alignment horizontal="center" vertical="center"/>
    </xf>
    <xf numFmtId="165" fontId="10" fillId="0" borderId="8" xfId="5" applyNumberFormat="1" applyFont="1" applyBorder="1" applyAlignment="1">
      <alignment horizontal="center" vertical="center"/>
    </xf>
    <xf numFmtId="0" fontId="3" fillId="0" borderId="16" xfId="0" applyFont="1" applyBorder="1" applyAlignment="1">
      <alignment horizontal="center"/>
    </xf>
    <xf numFmtId="43" fontId="3" fillId="0" borderId="16" xfId="0" applyNumberFormat="1" applyFont="1" applyBorder="1" applyAlignment="1">
      <alignment horizontal="center"/>
    </xf>
    <xf numFmtId="43" fontId="3" fillId="0" borderId="0" xfId="0" applyNumberFormat="1" applyFont="1" applyAlignment="1">
      <alignment horizontal="center"/>
    </xf>
    <xf numFmtId="0" fontId="5" fillId="0" borderId="0" xfId="0" applyFont="1" applyAlignment="1">
      <alignment horizontal="center"/>
    </xf>
    <xf numFmtId="0" fontId="5" fillId="0" borderId="8" xfId="0" applyFont="1" applyBorder="1" applyAlignment="1">
      <alignment horizontal="center"/>
    </xf>
    <xf numFmtId="3" fontId="11" fillId="0" borderId="0" xfId="0" applyNumberFormat="1" applyFont="1" applyAlignment="1">
      <alignment horizontal="center" vertical="center"/>
    </xf>
    <xf numFmtId="3" fontId="11" fillId="0" borderId="8" xfId="0" applyNumberFormat="1" applyFont="1" applyBorder="1" applyAlignment="1">
      <alignment horizontal="center" vertical="center"/>
    </xf>
    <xf numFmtId="165" fontId="4" fillId="0" borderId="0" xfId="1" applyNumberFormat="1" applyFont="1" applyBorder="1" applyAlignment="1">
      <alignment horizontal="center"/>
    </xf>
    <xf numFmtId="165" fontId="4" fillId="0" borderId="8" xfId="1" applyNumberFormat="1" applyFont="1" applyBorder="1" applyAlignment="1">
      <alignment horizontal="center"/>
    </xf>
    <xf numFmtId="3" fontId="4" fillId="0" borderId="0" xfId="0" applyNumberFormat="1" applyFont="1" applyAlignment="1">
      <alignment horizontal="center"/>
    </xf>
    <xf numFmtId="3" fontId="5" fillId="0" borderId="0" xfId="0" applyNumberFormat="1" applyFont="1" applyAlignment="1">
      <alignment horizontal="center"/>
    </xf>
    <xf numFmtId="0" fontId="29" fillId="0" borderId="0" xfId="0" applyFont="1" applyAlignment="1">
      <alignment horizontal="center"/>
    </xf>
    <xf numFmtId="166" fontId="6" fillId="0" borderId="0" xfId="1" applyNumberFormat="1" applyFont="1" applyBorder="1" applyAlignment="1">
      <alignment horizontal="center"/>
    </xf>
    <xf numFmtId="43" fontId="4" fillId="0" borderId="0" xfId="1" applyFont="1" applyBorder="1" applyAlignment="1">
      <alignment horizontal="center"/>
    </xf>
    <xf numFmtId="37" fontId="3" fillId="0" borderId="0" xfId="0" applyNumberFormat="1" applyFont="1" applyAlignment="1">
      <alignment horizontal="center"/>
    </xf>
    <xf numFmtId="0" fontId="7" fillId="0" borderId="0" xfId="0" applyFont="1" applyAlignment="1">
      <alignment horizontal="center"/>
    </xf>
    <xf numFmtId="0" fontId="7" fillId="0" borderId="2" xfId="0" applyFont="1" applyBorder="1" applyAlignment="1">
      <alignment horizontal="center"/>
    </xf>
    <xf numFmtId="0" fontId="7" fillId="0" borderId="14" xfId="0" applyFont="1" applyBorder="1" applyAlignment="1">
      <alignment horizontal="center"/>
    </xf>
    <xf numFmtId="0" fontId="20" fillId="0" borderId="0" xfId="0" applyFont="1" applyAlignment="1">
      <alignment horizontal="center"/>
    </xf>
    <xf numFmtId="165" fontId="11" fillId="0" borderId="0" xfId="5" applyNumberFormat="1" applyFont="1" applyBorder="1" applyAlignment="1">
      <alignment horizontal="center" vertical="center"/>
    </xf>
    <xf numFmtId="3" fontId="4" fillId="0" borderId="0" xfId="0" applyNumberFormat="1" applyFont="1" applyAlignment="1">
      <alignment horizontal="center" vertical="center"/>
    </xf>
  </cellXfs>
  <cellStyles count="12">
    <cellStyle name="Comma" xfId="1" builtinId="3"/>
    <cellStyle name="Comma 2" xfId="5" xr:uid="{00000000-0005-0000-0000-000001000000}"/>
    <cellStyle name="Comma 3" xfId="9" xr:uid="{00000000-0005-0000-0000-000002000000}"/>
    <cellStyle name="Currency" xfId="2" builtinId="4"/>
    <cellStyle name="Currency 2" xfId="6" xr:uid="{00000000-0005-0000-0000-000004000000}"/>
    <cellStyle name="Currency 3" xfId="10" xr:uid="{00000000-0005-0000-0000-000005000000}"/>
    <cellStyle name="Hyperlink" xfId="11" builtinId="8"/>
    <cellStyle name="Normal" xfId="0" builtinId="0"/>
    <cellStyle name="Normal 2" xfId="4" xr:uid="{00000000-0005-0000-0000-000007000000}"/>
    <cellStyle name="Normal 3" xfId="8" xr:uid="{00000000-0005-0000-0000-000008000000}"/>
    <cellStyle name="Percent" xfId="3" builtinId="5"/>
    <cellStyle name="Percent 2" xfId="7" xr:uid="{00000000-0005-0000-0000-00000A00000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L67"/>
  <sheetViews>
    <sheetView showGridLines="0" workbookViewId="0">
      <selection activeCell="B69" sqref="B69"/>
    </sheetView>
  </sheetViews>
  <sheetFormatPr defaultColWidth="8.765625" defaultRowHeight="14.5" x14ac:dyDescent="0.35"/>
  <cols>
    <col min="1" max="1" width="3.69140625" style="5" customWidth="1"/>
    <col min="2" max="2" width="2.69140625" style="5" customWidth="1"/>
    <col min="3" max="3" width="32" style="5" bestFit="1" customWidth="1"/>
    <col min="4" max="4" width="11.3046875" style="5" customWidth="1"/>
    <col min="5" max="5" width="11.53515625" style="5" customWidth="1"/>
    <col min="6" max="6" width="5.3046875" style="5" customWidth="1"/>
    <col min="7" max="7" width="11.53515625" style="5" customWidth="1"/>
    <col min="8" max="8" width="3.61328125" style="5" customWidth="1"/>
    <col min="9" max="9" width="54.15234375" style="5" bestFit="1" customWidth="1"/>
    <col min="10" max="10" width="11.3046875" style="5" customWidth="1"/>
    <col min="11" max="11" width="16.4609375" style="5" customWidth="1"/>
    <col min="12" max="12" width="10.84375" style="5" customWidth="1"/>
    <col min="13" max="16384" width="8.765625" style="5"/>
  </cols>
  <sheetData>
    <row r="1" spans="1:12" ht="18.5" x14ac:dyDescent="0.35">
      <c r="A1" s="443" t="s">
        <v>28</v>
      </c>
      <c r="B1" s="443"/>
      <c r="C1" s="443"/>
      <c r="D1" s="443"/>
      <c r="E1" s="443"/>
      <c r="F1" s="443"/>
      <c r="G1" s="443"/>
      <c r="H1" s="50"/>
      <c r="I1" s="50"/>
      <c r="J1" s="50"/>
      <c r="K1" s="50"/>
    </row>
    <row r="2" spans="1:12" ht="21" x14ac:dyDescent="0.35">
      <c r="A2" s="444" t="s">
        <v>237</v>
      </c>
      <c r="B2" s="444"/>
      <c r="C2" s="444"/>
      <c r="D2" s="444"/>
      <c r="E2" s="444"/>
      <c r="F2" s="444"/>
      <c r="G2" s="444"/>
      <c r="H2" s="444"/>
      <c r="I2" s="50"/>
      <c r="J2" s="50"/>
      <c r="K2" s="50"/>
      <c r="L2" s="50"/>
    </row>
    <row r="3" spans="1:12" x14ac:dyDescent="0.35">
      <c r="A3" s="38"/>
      <c r="B3" s="49"/>
      <c r="C3" s="49"/>
      <c r="D3" s="49"/>
      <c r="E3" s="49"/>
      <c r="F3" s="49"/>
      <c r="G3" s="49"/>
      <c r="H3" s="50"/>
      <c r="I3" s="50"/>
      <c r="J3" s="50"/>
      <c r="K3" s="50"/>
    </row>
    <row r="4" spans="1:12" ht="16" x14ac:dyDescent="0.35">
      <c r="A4" s="50"/>
      <c r="B4" s="50"/>
      <c r="C4" s="50"/>
      <c r="D4" s="51" t="s">
        <v>29</v>
      </c>
      <c r="E4" s="51" t="s">
        <v>30</v>
      </c>
      <c r="F4" s="51" t="s">
        <v>31</v>
      </c>
      <c r="G4" s="51" t="s">
        <v>32</v>
      </c>
      <c r="H4" s="50"/>
      <c r="I4" s="61" t="s">
        <v>38</v>
      </c>
      <c r="J4" s="50"/>
      <c r="L4" s="230" t="s">
        <v>191</v>
      </c>
    </row>
    <row r="5" spans="1:12" x14ac:dyDescent="0.35">
      <c r="A5" s="52" t="s">
        <v>14</v>
      </c>
      <c r="B5" s="50"/>
      <c r="C5" s="50"/>
      <c r="D5" s="50"/>
      <c r="F5" s="50"/>
      <c r="G5" s="50"/>
      <c r="H5" s="50"/>
      <c r="J5" s="50"/>
      <c r="K5" s="50"/>
    </row>
    <row r="6" spans="1:12" x14ac:dyDescent="0.35">
      <c r="A6" s="50"/>
      <c r="B6" s="50" t="s">
        <v>40</v>
      </c>
      <c r="C6" s="50"/>
      <c r="D6" s="50">
        <v>1924243</v>
      </c>
      <c r="E6" s="350">
        <f>ExBA!G11</f>
        <v>182613.75999999978</v>
      </c>
      <c r="F6" s="53" t="s">
        <v>216</v>
      </c>
      <c r="G6" s="50">
        <f>D6+E6</f>
        <v>2106856.7599999998</v>
      </c>
      <c r="H6" s="54"/>
      <c r="I6" s="50" t="s">
        <v>358</v>
      </c>
      <c r="J6" s="50"/>
      <c r="K6" s="229"/>
      <c r="L6" s="5" t="s">
        <v>211</v>
      </c>
    </row>
    <row r="7" spans="1:12" x14ac:dyDescent="0.35">
      <c r="A7" s="50"/>
      <c r="B7" s="50" t="s">
        <v>57</v>
      </c>
      <c r="C7" s="50"/>
      <c r="D7" s="50">
        <v>1140</v>
      </c>
      <c r="E7" s="350"/>
      <c r="F7" s="53"/>
      <c r="G7" s="50">
        <f>D7+E7</f>
        <v>1140</v>
      </c>
      <c r="H7" s="55"/>
      <c r="I7" s="48"/>
      <c r="J7" s="50"/>
      <c r="K7" s="50"/>
    </row>
    <row r="8" spans="1:12" x14ac:dyDescent="0.35">
      <c r="A8" s="50"/>
      <c r="B8" s="50" t="s">
        <v>15</v>
      </c>
      <c r="C8" s="50"/>
      <c r="D8" s="50">
        <v>17843</v>
      </c>
      <c r="E8" s="350">
        <f>ExBA!G16</f>
        <v>4606</v>
      </c>
      <c r="F8" s="53" t="s">
        <v>216</v>
      </c>
      <c r="G8" s="50">
        <f>D8+E8</f>
        <v>22449</v>
      </c>
      <c r="H8" s="54"/>
      <c r="I8" s="296" t="s">
        <v>359</v>
      </c>
      <c r="J8" s="50"/>
      <c r="L8" s="5" t="s">
        <v>212</v>
      </c>
    </row>
    <row r="9" spans="1:12" x14ac:dyDescent="0.35">
      <c r="A9" s="50"/>
      <c r="B9" s="50" t="s">
        <v>16</v>
      </c>
      <c r="C9" s="50"/>
      <c r="D9" s="50"/>
      <c r="E9" s="350"/>
      <c r="F9" s="53"/>
      <c r="G9" s="50"/>
      <c r="H9" s="56"/>
      <c r="I9" s="50"/>
      <c r="J9" s="50"/>
      <c r="K9" s="50"/>
    </row>
    <row r="10" spans="1:12" x14ac:dyDescent="0.35">
      <c r="A10" s="50"/>
      <c r="B10" s="50"/>
      <c r="C10" s="50" t="s">
        <v>39</v>
      </c>
      <c r="D10" s="50">
        <v>29595</v>
      </c>
      <c r="E10" s="350"/>
      <c r="F10" s="53"/>
      <c r="G10" s="50">
        <f>D10+E10</f>
        <v>29595</v>
      </c>
      <c r="H10" s="54"/>
      <c r="I10" s="50"/>
      <c r="J10" s="50"/>
      <c r="K10" s="50"/>
    </row>
    <row r="11" spans="1:12" x14ac:dyDescent="0.35">
      <c r="A11" s="50"/>
      <c r="B11" s="50"/>
      <c r="C11" s="50" t="s">
        <v>189</v>
      </c>
      <c r="D11" s="50">
        <v>38581</v>
      </c>
      <c r="E11" s="350">
        <v>0</v>
      </c>
      <c r="F11" s="53"/>
      <c r="G11" s="50">
        <f>D11+E11</f>
        <v>38581</v>
      </c>
      <c r="H11" s="54"/>
      <c r="I11" s="50"/>
      <c r="J11" s="50"/>
      <c r="K11" s="50"/>
    </row>
    <row r="12" spans="1:12" ht="16" x14ac:dyDescent="0.35">
      <c r="A12" s="50"/>
      <c r="B12" s="50"/>
      <c r="C12" s="50" t="s">
        <v>240</v>
      </c>
      <c r="D12" s="294">
        <v>16757</v>
      </c>
      <c r="E12" s="370">
        <v>0</v>
      </c>
      <c r="F12" s="53"/>
      <c r="G12" s="294">
        <f>D12+E12</f>
        <v>16757</v>
      </c>
      <c r="H12" s="54"/>
      <c r="I12" s="50"/>
      <c r="J12" s="50"/>
      <c r="K12" s="50"/>
    </row>
    <row r="13" spans="1:12" x14ac:dyDescent="0.35">
      <c r="A13" s="57" t="s">
        <v>17</v>
      </c>
      <c r="B13" s="50"/>
      <c r="C13" s="50"/>
      <c r="D13" s="50">
        <f>SUM(D6:D12)</f>
        <v>2028159</v>
      </c>
      <c r="E13" s="350">
        <f>SUM(E6:E12)</f>
        <v>187219.75999999978</v>
      </c>
      <c r="F13" s="53"/>
      <c r="G13" s="50">
        <f>SUM(G6:G12)</f>
        <v>2215378.7599999998</v>
      </c>
      <c r="H13" s="56"/>
      <c r="J13" s="50"/>
      <c r="K13" s="50"/>
    </row>
    <row r="14" spans="1:12" x14ac:dyDescent="0.35">
      <c r="A14" s="50"/>
      <c r="B14" s="50"/>
      <c r="C14" s="50"/>
      <c r="D14" s="50"/>
      <c r="E14" s="350"/>
      <c r="F14" s="53"/>
      <c r="G14" s="50"/>
      <c r="H14" s="56"/>
      <c r="I14" s="50"/>
      <c r="J14" s="50"/>
      <c r="K14" s="50"/>
    </row>
    <row r="15" spans="1:12" x14ac:dyDescent="0.35">
      <c r="A15" s="52" t="s">
        <v>18</v>
      </c>
      <c r="B15" s="50"/>
      <c r="C15" s="50"/>
      <c r="D15" s="50"/>
      <c r="E15" s="350"/>
      <c r="F15" s="53"/>
      <c r="G15" s="50"/>
      <c r="H15" s="56"/>
      <c r="I15" s="50"/>
      <c r="J15" s="50"/>
      <c r="K15" s="50"/>
    </row>
    <row r="16" spans="1:12" x14ac:dyDescent="0.35">
      <c r="A16" s="50"/>
      <c r="B16" s="50" t="s">
        <v>33</v>
      </c>
      <c r="C16" s="50"/>
      <c r="D16" s="50"/>
      <c r="E16" s="350"/>
      <c r="F16" s="53"/>
      <c r="G16" s="50"/>
      <c r="H16" s="56"/>
      <c r="I16" s="50"/>
      <c r="J16" s="50"/>
      <c r="K16" s="50"/>
    </row>
    <row r="17" spans="1:12" x14ac:dyDescent="0.35">
      <c r="A17" s="50"/>
      <c r="B17" s="50"/>
      <c r="C17" s="50" t="s">
        <v>2</v>
      </c>
      <c r="D17" s="50">
        <v>388386</v>
      </c>
      <c r="E17" s="350">
        <f>-Capital!D5</f>
        <v>-16135.695</v>
      </c>
      <c r="F17" s="58" t="s">
        <v>217</v>
      </c>
      <c r="G17" s="50"/>
      <c r="H17" s="54"/>
      <c r="I17" s="5" t="s">
        <v>263</v>
      </c>
      <c r="J17" s="50"/>
      <c r="K17" s="50"/>
      <c r="L17" s="5" t="s">
        <v>264</v>
      </c>
    </row>
    <row r="18" spans="1:12" x14ac:dyDescent="0.35">
      <c r="A18" s="50"/>
      <c r="B18" s="50"/>
      <c r="C18" s="50"/>
      <c r="D18" s="50"/>
      <c r="E18" s="333">
        <f>Wages!I25</f>
        <v>24750.224999999977</v>
      </c>
      <c r="F18" s="58" t="s">
        <v>307</v>
      </c>
      <c r="G18" s="50"/>
      <c r="H18" s="54"/>
      <c r="I18" s="50" t="s">
        <v>304</v>
      </c>
      <c r="J18" s="50"/>
      <c r="K18" s="50"/>
      <c r="L18" s="5" t="s">
        <v>303</v>
      </c>
    </row>
    <row r="19" spans="1:12" x14ac:dyDescent="0.35">
      <c r="A19" s="50"/>
      <c r="B19" s="50"/>
      <c r="C19" s="50"/>
      <c r="D19" s="50"/>
      <c r="E19" s="373"/>
      <c r="F19" s="58"/>
      <c r="G19" s="50">
        <f>D17+E17+E18</f>
        <v>397000.52999999997</v>
      </c>
      <c r="H19" s="54"/>
      <c r="I19" s="50"/>
      <c r="J19" s="50"/>
      <c r="K19" s="50"/>
    </row>
    <row r="20" spans="1:12" x14ac:dyDescent="0.35">
      <c r="A20" s="50"/>
      <c r="B20" s="50"/>
      <c r="C20" s="50" t="s">
        <v>3</v>
      </c>
      <c r="D20" s="50">
        <v>15500</v>
      </c>
      <c r="E20" s="374"/>
      <c r="F20" s="53"/>
      <c r="G20" s="50">
        <f>D20+E20</f>
        <v>15500</v>
      </c>
      <c r="H20" s="54"/>
    </row>
    <row r="21" spans="1:12" x14ac:dyDescent="0.35">
      <c r="A21" s="50"/>
      <c r="B21" s="50"/>
      <c r="C21" s="50" t="s">
        <v>4</v>
      </c>
      <c r="D21" s="50">
        <v>151148</v>
      </c>
      <c r="E21" s="374"/>
      <c r="F21" s="58"/>
      <c r="G21" s="50"/>
      <c r="H21" s="54"/>
      <c r="J21" s="50"/>
      <c r="K21" s="50"/>
      <c r="L21" s="372"/>
    </row>
    <row r="22" spans="1:12" x14ac:dyDescent="0.35">
      <c r="A22" s="50"/>
      <c r="B22" s="50"/>
      <c r="C22" s="50"/>
      <c r="D22" s="50"/>
      <c r="E22" s="333">
        <f>Medical!C22</f>
        <v>-33568.647199999978</v>
      </c>
      <c r="F22" s="58" t="s">
        <v>309</v>
      </c>
      <c r="G22" s="50"/>
      <c r="H22" s="54"/>
      <c r="I22" s="50" t="s">
        <v>289</v>
      </c>
      <c r="J22" s="50"/>
      <c r="K22" s="50"/>
      <c r="L22" s="372" t="s">
        <v>213</v>
      </c>
    </row>
    <row r="23" spans="1:12" x14ac:dyDescent="0.35">
      <c r="A23" s="50"/>
      <c r="B23" s="50"/>
      <c r="C23" s="50"/>
      <c r="D23" s="50"/>
      <c r="E23" s="350">
        <f>Wages!I37</f>
        <v>28229.522499999999</v>
      </c>
      <c r="F23" s="58" t="s">
        <v>310</v>
      </c>
      <c r="G23" s="50"/>
      <c r="H23" s="54"/>
      <c r="I23" s="50" t="s">
        <v>291</v>
      </c>
      <c r="J23" s="50"/>
      <c r="K23" s="50"/>
      <c r="L23" s="372" t="s">
        <v>290</v>
      </c>
    </row>
    <row r="24" spans="1:12" x14ac:dyDescent="0.35">
      <c r="A24" s="50"/>
      <c r="B24" s="50"/>
      <c r="C24" s="50"/>
      <c r="D24" s="50"/>
      <c r="E24" s="371"/>
      <c r="F24" s="58"/>
      <c r="G24" s="216">
        <f>D21+E21+E22+E23</f>
        <v>145808.87530000001</v>
      </c>
      <c r="H24" s="54"/>
      <c r="I24" s="201"/>
      <c r="J24" s="50"/>
      <c r="K24" s="50"/>
    </row>
    <row r="25" spans="1:12" x14ac:dyDescent="0.35">
      <c r="A25" s="50"/>
      <c r="B25" s="50"/>
      <c r="C25" s="50" t="s">
        <v>5</v>
      </c>
      <c r="D25" s="50">
        <v>650219</v>
      </c>
      <c r="E25" s="333">
        <f>'Water Loss'!D20</f>
        <v>-4391.9718345759247</v>
      </c>
      <c r="F25" s="58" t="s">
        <v>312</v>
      </c>
      <c r="G25" s="50"/>
      <c r="H25" s="59"/>
      <c r="I25" s="5" t="s">
        <v>250</v>
      </c>
    </row>
    <row r="26" spans="1:12" x14ac:dyDescent="0.35">
      <c r="A26" s="50"/>
      <c r="B26" s="50"/>
      <c r="C26" s="50"/>
      <c r="D26" s="50"/>
      <c r="E26" s="333">
        <f>'Water Loss'!I9</f>
        <v>150652.79999999993</v>
      </c>
      <c r="F26" s="58" t="s">
        <v>313</v>
      </c>
      <c r="G26" s="50">
        <f>D25+E25+E26</f>
        <v>796479.82816542406</v>
      </c>
      <c r="H26" s="59"/>
      <c r="I26" s="5" t="s">
        <v>305</v>
      </c>
      <c r="L26" s="5" t="s">
        <v>368</v>
      </c>
    </row>
    <row r="27" spans="1:12" x14ac:dyDescent="0.35">
      <c r="A27" s="50"/>
      <c r="B27" s="50"/>
      <c r="C27" s="50" t="s">
        <v>6</v>
      </c>
      <c r="D27" s="50">
        <v>43803</v>
      </c>
      <c r="E27" s="333">
        <f>'Water Loss'!D21</f>
        <v>-295.87191741540806</v>
      </c>
      <c r="F27" s="58" t="s">
        <v>312</v>
      </c>
      <c r="G27" s="50">
        <f>D27+E27</f>
        <v>43507.12808258459</v>
      </c>
      <c r="H27" s="60"/>
      <c r="I27" s="5" t="s">
        <v>250</v>
      </c>
      <c r="J27" s="50"/>
      <c r="K27" s="50"/>
    </row>
    <row r="28" spans="1:12" x14ac:dyDescent="0.35">
      <c r="A28" s="50"/>
      <c r="B28" s="50"/>
      <c r="C28" s="50" t="s">
        <v>192</v>
      </c>
      <c r="D28" s="50"/>
      <c r="E28" s="350"/>
      <c r="F28" s="394"/>
      <c r="G28" s="50">
        <f>D28+E28</f>
        <v>0</v>
      </c>
      <c r="H28" s="60"/>
      <c r="J28" s="50"/>
      <c r="K28" s="50"/>
    </row>
    <row r="29" spans="1:12" x14ac:dyDescent="0.35">
      <c r="A29" s="50"/>
      <c r="B29" s="50"/>
      <c r="C29" s="50" t="s">
        <v>87</v>
      </c>
      <c r="D29" s="50">
        <v>0</v>
      </c>
      <c r="E29" s="350">
        <v>0</v>
      </c>
      <c r="F29" s="58"/>
      <c r="G29" s="50">
        <f>D29+E29</f>
        <v>0</v>
      </c>
      <c r="H29" s="60"/>
      <c r="J29" s="50"/>
      <c r="K29" s="50"/>
    </row>
    <row r="30" spans="1:12" x14ac:dyDescent="0.35">
      <c r="A30" s="50"/>
      <c r="B30" s="50"/>
      <c r="C30" s="50" t="s">
        <v>7</v>
      </c>
      <c r="D30" s="50">
        <v>55126</v>
      </c>
      <c r="E30" s="350">
        <f>-Capital!D6</f>
        <v>-37649.955000000002</v>
      </c>
      <c r="F30" s="58" t="s">
        <v>217</v>
      </c>
      <c r="G30" s="50"/>
      <c r="H30" s="54"/>
      <c r="I30" s="50" t="s">
        <v>262</v>
      </c>
      <c r="J30" s="50"/>
      <c r="K30" s="50"/>
      <c r="L30" s="5" t="s">
        <v>265</v>
      </c>
    </row>
    <row r="31" spans="1:12" x14ac:dyDescent="0.35">
      <c r="A31" s="50"/>
      <c r="B31" s="50"/>
      <c r="C31" s="50"/>
      <c r="D31" s="50"/>
      <c r="E31" s="350">
        <v>-3949</v>
      </c>
      <c r="F31" s="58" t="s">
        <v>315</v>
      </c>
      <c r="G31" s="50"/>
      <c r="H31" s="54"/>
      <c r="I31" s="50" t="s">
        <v>336</v>
      </c>
      <c r="J31" s="50"/>
      <c r="K31" s="50"/>
    </row>
    <row r="32" spans="1:12" x14ac:dyDescent="0.35">
      <c r="A32" s="50"/>
      <c r="B32" s="50"/>
      <c r="C32" s="50"/>
      <c r="D32" s="50"/>
      <c r="E32" s="350">
        <v>-349.99</v>
      </c>
      <c r="F32" s="58" t="s">
        <v>315</v>
      </c>
      <c r="G32" s="50"/>
      <c r="H32" s="54"/>
      <c r="I32" s="50" t="s">
        <v>337</v>
      </c>
      <c r="J32" s="50"/>
      <c r="K32" s="50"/>
    </row>
    <row r="33" spans="1:12" x14ac:dyDescent="0.35">
      <c r="A33" s="50"/>
      <c r="B33" s="50"/>
      <c r="C33" s="50"/>
      <c r="D33" s="50"/>
      <c r="E33" s="350">
        <f>'Materials and Supplies'!F7</f>
        <v>52341.990000000005</v>
      </c>
      <c r="F33" s="58" t="s">
        <v>315</v>
      </c>
      <c r="G33" s="50"/>
      <c r="H33" s="54"/>
      <c r="I33" s="5" t="s">
        <v>356</v>
      </c>
      <c r="J33" s="50"/>
      <c r="K33" s="50"/>
      <c r="L33" s="5" t="s">
        <v>339</v>
      </c>
    </row>
    <row r="34" spans="1:12" x14ac:dyDescent="0.35">
      <c r="A34" s="50"/>
      <c r="B34" s="50"/>
      <c r="C34" s="50"/>
      <c r="D34" s="50"/>
      <c r="E34" s="350">
        <v>0</v>
      </c>
      <c r="F34" s="58"/>
      <c r="G34" s="50">
        <f>D30+E30+E31+E32+E33</f>
        <v>65519.045000000006</v>
      </c>
      <c r="H34" s="54"/>
      <c r="I34" s="350"/>
      <c r="J34" s="50"/>
      <c r="K34" s="50"/>
    </row>
    <row r="35" spans="1:12" x14ac:dyDescent="0.35">
      <c r="A35" s="50"/>
      <c r="B35" s="50"/>
      <c r="C35" s="50" t="s">
        <v>8</v>
      </c>
      <c r="D35" s="50"/>
      <c r="E35" s="350"/>
      <c r="F35" s="58"/>
      <c r="G35" s="50">
        <f t="shared" ref="G35:G45" si="0">D35+E35</f>
        <v>0</v>
      </c>
      <c r="H35" s="54"/>
      <c r="I35" s="50"/>
      <c r="J35" s="50"/>
      <c r="K35" s="50"/>
    </row>
    <row r="36" spans="1:12" x14ac:dyDescent="0.35">
      <c r="A36" s="50"/>
      <c r="B36" s="50"/>
      <c r="C36" s="50" t="s">
        <v>244</v>
      </c>
      <c r="D36" s="50">
        <v>29270</v>
      </c>
      <c r="E36" s="350">
        <v>0</v>
      </c>
      <c r="F36" s="58"/>
      <c r="G36" s="50">
        <f t="shared" ref="G36" si="1">D36+E36</f>
        <v>29270</v>
      </c>
      <c r="H36" s="54"/>
      <c r="I36" s="50"/>
      <c r="J36" s="50"/>
      <c r="K36" s="50"/>
    </row>
    <row r="37" spans="1:12" x14ac:dyDescent="0.35">
      <c r="A37" s="50"/>
      <c r="B37" s="50"/>
      <c r="C37" s="50" t="s">
        <v>241</v>
      </c>
      <c r="D37" s="50">
        <v>89</v>
      </c>
      <c r="E37" s="350">
        <v>0</v>
      </c>
      <c r="F37" s="58"/>
      <c r="G37" s="50">
        <f t="shared" si="0"/>
        <v>89</v>
      </c>
      <c r="H37" s="54"/>
      <c r="J37" s="50"/>
      <c r="K37" s="50"/>
    </row>
    <row r="38" spans="1:12" x14ac:dyDescent="0.35">
      <c r="A38" s="50"/>
      <c r="B38" s="50"/>
      <c r="C38" s="50" t="s">
        <v>242</v>
      </c>
      <c r="D38" s="50">
        <v>6123</v>
      </c>
      <c r="E38" s="350">
        <v>0</v>
      </c>
      <c r="F38" s="58"/>
      <c r="G38" s="50">
        <f t="shared" si="0"/>
        <v>6123</v>
      </c>
      <c r="H38" s="54"/>
      <c r="I38" s="50"/>
      <c r="J38" s="50"/>
      <c r="K38" s="50"/>
    </row>
    <row r="39" spans="1:12" x14ac:dyDescent="0.35">
      <c r="A39" s="50"/>
      <c r="B39" s="50"/>
      <c r="C39" s="50" t="s">
        <v>245</v>
      </c>
      <c r="D39" s="50">
        <v>100510</v>
      </c>
      <c r="E39" s="350">
        <f>Capital!G25</f>
        <v>58001.94</v>
      </c>
      <c r="F39" s="58" t="s">
        <v>319</v>
      </c>
      <c r="G39" s="50">
        <f t="shared" ref="G39" si="2">D39+E39</f>
        <v>158511.94</v>
      </c>
      <c r="H39" s="54"/>
      <c r="I39" s="50" t="s">
        <v>318</v>
      </c>
      <c r="J39" s="50"/>
      <c r="K39" s="50"/>
      <c r="L39" s="5" t="s">
        <v>394</v>
      </c>
    </row>
    <row r="40" spans="1:12" x14ac:dyDescent="0.35">
      <c r="A40" s="50"/>
      <c r="B40" s="50"/>
      <c r="C40" s="50" t="s">
        <v>10</v>
      </c>
      <c r="D40" s="50">
        <v>31735</v>
      </c>
      <c r="E40" s="350">
        <v>0</v>
      </c>
      <c r="F40" s="58"/>
      <c r="G40" s="50">
        <f t="shared" si="0"/>
        <v>31735</v>
      </c>
      <c r="H40" s="56"/>
      <c r="I40" s="50"/>
      <c r="J40" s="50"/>
      <c r="K40" s="50"/>
    </row>
    <row r="41" spans="1:12" x14ac:dyDescent="0.35">
      <c r="A41" s="50"/>
      <c r="B41" s="50"/>
      <c r="C41" s="50" t="s">
        <v>58</v>
      </c>
      <c r="D41" s="50">
        <v>239</v>
      </c>
      <c r="E41" s="350">
        <v>0</v>
      </c>
      <c r="F41" s="58"/>
      <c r="G41" s="50">
        <f t="shared" si="0"/>
        <v>239</v>
      </c>
      <c r="H41" s="56"/>
      <c r="I41" s="50"/>
      <c r="J41" s="50"/>
      <c r="K41" s="50"/>
    </row>
    <row r="42" spans="1:12" x14ac:dyDescent="0.35">
      <c r="A42" s="50"/>
      <c r="B42" s="50"/>
      <c r="C42" s="50" t="s">
        <v>34</v>
      </c>
      <c r="D42" s="50">
        <v>22486</v>
      </c>
      <c r="E42" s="350">
        <f>20289.64-19915.96</f>
        <v>373.68000000000029</v>
      </c>
      <c r="F42" s="58" t="s">
        <v>320</v>
      </c>
      <c r="G42" s="50">
        <f t="shared" si="0"/>
        <v>22859.68</v>
      </c>
      <c r="H42" s="56"/>
      <c r="I42" s="50" t="s">
        <v>317</v>
      </c>
      <c r="J42" s="50"/>
      <c r="K42" s="50"/>
    </row>
    <row r="43" spans="1:12" x14ac:dyDescent="0.35">
      <c r="A43" s="50"/>
      <c r="B43" s="50"/>
      <c r="C43" s="50" t="s">
        <v>243</v>
      </c>
      <c r="D43" s="50">
        <v>5762</v>
      </c>
      <c r="E43" s="350">
        <v>0</v>
      </c>
      <c r="F43" s="58"/>
      <c r="G43" s="50">
        <f t="shared" si="0"/>
        <v>5762</v>
      </c>
      <c r="H43" s="56"/>
      <c r="I43" s="50"/>
      <c r="J43" s="50"/>
      <c r="K43" s="50"/>
    </row>
    <row r="44" spans="1:12" x14ac:dyDescent="0.35">
      <c r="A44" s="50"/>
      <c r="B44" s="50"/>
      <c r="C44" s="50" t="s">
        <v>59</v>
      </c>
      <c r="D44" s="50">
        <v>9375</v>
      </c>
      <c r="E44" s="350">
        <v>0</v>
      </c>
      <c r="F44" s="53"/>
      <c r="G44" s="50">
        <f t="shared" si="0"/>
        <v>9375</v>
      </c>
      <c r="H44" s="56"/>
      <c r="I44" s="50"/>
      <c r="J44" s="50"/>
      <c r="K44" s="50"/>
    </row>
    <row r="45" spans="1:12" ht="16" x14ac:dyDescent="0.35">
      <c r="A45" s="50"/>
      <c r="B45" s="50"/>
      <c r="C45" s="50" t="s">
        <v>9</v>
      </c>
      <c r="D45" s="217">
        <v>32057</v>
      </c>
      <c r="E45" s="377"/>
      <c r="F45" s="58"/>
      <c r="G45" s="217">
        <f t="shared" si="0"/>
        <v>32057</v>
      </c>
      <c r="H45" s="56"/>
      <c r="I45" s="50"/>
      <c r="J45" s="50"/>
      <c r="K45" s="50"/>
    </row>
    <row r="46" spans="1:12" x14ac:dyDescent="0.35">
      <c r="A46" s="50"/>
      <c r="B46" s="50" t="s">
        <v>35</v>
      </c>
      <c r="C46" s="50"/>
      <c r="D46" s="50">
        <f>SUM(D17:D45)</f>
        <v>1541828</v>
      </c>
      <c r="E46" s="350">
        <f>SUM(E17:E45)</f>
        <v>218009.02654800861</v>
      </c>
      <c r="F46" s="53"/>
      <c r="G46" s="50">
        <f>SUM(G17:G45)</f>
        <v>1759837.0265480084</v>
      </c>
      <c r="H46" s="56"/>
      <c r="I46" s="50"/>
      <c r="J46" s="50"/>
      <c r="K46" s="50"/>
    </row>
    <row r="47" spans="1:12" x14ac:dyDescent="0.35">
      <c r="A47" s="50"/>
      <c r="B47" s="50"/>
      <c r="C47" s="50"/>
      <c r="D47" s="50"/>
      <c r="E47" s="350"/>
      <c r="F47" s="53"/>
      <c r="G47" s="50"/>
      <c r="H47" s="56"/>
      <c r="I47" s="50"/>
      <c r="J47" s="50"/>
      <c r="K47" s="50"/>
    </row>
    <row r="48" spans="1:12" x14ac:dyDescent="0.35">
      <c r="A48" s="50"/>
      <c r="B48" s="50" t="s">
        <v>357</v>
      </c>
      <c r="C48" s="50"/>
      <c r="D48" s="50"/>
      <c r="E48" s="350">
        <f>Amortization!C12</f>
        <v>4554.666666666667</v>
      </c>
      <c r="F48" s="53" t="s">
        <v>315</v>
      </c>
      <c r="G48" s="50">
        <f>D48+E48</f>
        <v>4554.666666666667</v>
      </c>
      <c r="H48" s="56"/>
      <c r="I48" s="50" t="s">
        <v>353</v>
      </c>
      <c r="J48" s="50"/>
      <c r="K48" s="50"/>
      <c r="L48" s="5" t="s">
        <v>354</v>
      </c>
    </row>
    <row r="49" spans="1:12" x14ac:dyDescent="0.35">
      <c r="A49" s="50"/>
      <c r="B49" s="50" t="s">
        <v>19</v>
      </c>
      <c r="C49" s="50"/>
      <c r="D49" s="350">
        <v>239075</v>
      </c>
      <c r="E49" s="350">
        <f>Depreciation!K42</f>
        <v>75014.509882539685</v>
      </c>
      <c r="F49" s="53" t="s">
        <v>321</v>
      </c>
      <c r="G49" s="50">
        <f>D49+E49</f>
        <v>314089.50988253969</v>
      </c>
      <c r="H49" s="56"/>
      <c r="I49" s="350" t="s">
        <v>340</v>
      </c>
      <c r="J49" s="50"/>
      <c r="L49" s="5" t="s">
        <v>292</v>
      </c>
    </row>
    <row r="50" spans="1:12" ht="16" x14ac:dyDescent="0.35">
      <c r="A50" s="50"/>
      <c r="B50" s="50" t="s">
        <v>1</v>
      </c>
      <c r="C50" s="50"/>
      <c r="D50" s="217">
        <v>31062</v>
      </c>
      <c r="E50" s="377">
        <f>Wages!I31</f>
        <v>542.92121249999764</v>
      </c>
      <c r="F50" s="218" t="s">
        <v>219</v>
      </c>
      <c r="G50" s="217">
        <f>D50+E50</f>
        <v>31604.921212499998</v>
      </c>
      <c r="H50" s="56"/>
      <c r="I50" s="50" t="s">
        <v>325</v>
      </c>
      <c r="J50" s="50"/>
      <c r="L50" s="5" t="s">
        <v>236</v>
      </c>
    </row>
    <row r="51" spans="1:12" ht="16" x14ac:dyDescent="0.35">
      <c r="A51" s="57" t="s">
        <v>0</v>
      </c>
      <c r="B51" s="50"/>
      <c r="C51" s="50"/>
      <c r="D51" s="217">
        <f>SUM(D46:D50)</f>
        <v>1811965</v>
      </c>
      <c r="E51" s="377">
        <f>SUM(E46:E50)</f>
        <v>298121.12430971494</v>
      </c>
      <c r="F51" s="219"/>
      <c r="G51" s="217">
        <f>SUM(G46:G50)</f>
        <v>2110086.1243097149</v>
      </c>
      <c r="H51" s="56"/>
      <c r="I51" s="50"/>
      <c r="J51" s="50"/>
      <c r="K51" s="50"/>
    </row>
    <row r="52" spans="1:12" ht="14.5" customHeight="1" x14ac:dyDescent="0.35">
      <c r="A52" s="57"/>
      <c r="B52" s="50"/>
      <c r="C52" s="50" t="s">
        <v>246</v>
      </c>
      <c r="D52" s="50"/>
      <c r="E52" s="350"/>
      <c r="F52" s="53"/>
      <c r="G52" s="50"/>
      <c r="H52" s="50"/>
      <c r="I52" s="50"/>
      <c r="J52" s="50"/>
      <c r="K52" s="50"/>
    </row>
    <row r="53" spans="1:12" x14ac:dyDescent="0.35">
      <c r="A53" s="57" t="s">
        <v>36</v>
      </c>
      <c r="B53" s="50"/>
      <c r="C53" s="50"/>
      <c r="D53" s="50">
        <f>D13-D51+D52</f>
        <v>216194</v>
      </c>
      <c r="E53" s="350">
        <f>E13-E51</f>
        <v>-110901.36430971517</v>
      </c>
      <c r="F53" s="53"/>
      <c r="G53" s="50">
        <f>G13-G51</f>
        <v>105292.63569028489</v>
      </c>
      <c r="H53" s="50"/>
      <c r="I53" s="50"/>
      <c r="K53" s="50"/>
    </row>
    <row r="54" spans="1:12" x14ac:dyDescent="0.35">
      <c r="A54" s="50"/>
      <c r="B54" s="50"/>
      <c r="C54" s="50"/>
      <c r="D54" s="50"/>
      <c r="E54" s="50"/>
      <c r="F54" s="53"/>
      <c r="G54" s="50"/>
      <c r="H54" s="50"/>
      <c r="I54" s="50"/>
      <c r="J54" s="50"/>
      <c r="K54" s="50"/>
    </row>
    <row r="55" spans="1:12" ht="18.5" x14ac:dyDescent="0.35">
      <c r="A55" s="443" t="s">
        <v>226</v>
      </c>
      <c r="B55" s="443"/>
      <c r="C55" s="443"/>
      <c r="D55" s="443"/>
      <c r="E55" s="443"/>
      <c r="F55" s="443"/>
      <c r="G55" s="443"/>
    </row>
    <row r="56" spans="1:12" x14ac:dyDescent="0.35">
      <c r="A56" s="302" t="s">
        <v>37</v>
      </c>
      <c r="B56" s="303"/>
      <c r="C56" s="303"/>
      <c r="D56" s="62"/>
      <c r="E56" s="50"/>
      <c r="F56" s="58"/>
      <c r="G56" s="5">
        <f>G51</f>
        <v>2110086.1243097149</v>
      </c>
    </row>
    <row r="57" spans="1:12" x14ac:dyDescent="0.35">
      <c r="A57" s="303" t="s">
        <v>227</v>
      </c>
      <c r="B57" s="303"/>
      <c r="C57" s="303"/>
      <c r="D57" s="62"/>
      <c r="E57" s="50"/>
      <c r="F57" s="58"/>
      <c r="G57" s="207">
        <v>0.88</v>
      </c>
    </row>
    <row r="58" spans="1:12" x14ac:dyDescent="0.35">
      <c r="A58" s="303" t="s">
        <v>228</v>
      </c>
      <c r="B58" s="123"/>
      <c r="C58" s="123"/>
      <c r="D58" s="62"/>
      <c r="E58" s="50"/>
      <c r="F58" s="58"/>
      <c r="G58" s="5">
        <f>G56/G57</f>
        <v>2397825.1412610398</v>
      </c>
    </row>
    <row r="59" spans="1:12" ht="16" x14ac:dyDescent="0.5">
      <c r="A59" s="303" t="s">
        <v>20</v>
      </c>
      <c r="B59" s="303"/>
      <c r="C59" s="303" t="s">
        <v>229</v>
      </c>
      <c r="D59" s="62"/>
      <c r="E59" s="50"/>
      <c r="F59" s="406" t="s">
        <v>218</v>
      </c>
      <c r="G59" s="223">
        <f>'Debt Service'!M29</f>
        <v>13845.128000000001</v>
      </c>
    </row>
    <row r="60" spans="1:12" x14ac:dyDescent="0.35">
      <c r="A60" s="302" t="s">
        <v>62</v>
      </c>
      <c r="B60" s="303"/>
      <c r="C60" s="303"/>
      <c r="D60" s="62"/>
      <c r="E60" s="50"/>
      <c r="F60" s="58"/>
      <c r="G60" s="5">
        <f>G58+G59</f>
        <v>2411670.2692610398</v>
      </c>
    </row>
    <row r="61" spans="1:12" x14ac:dyDescent="0.35">
      <c r="A61" s="303" t="s">
        <v>21</v>
      </c>
      <c r="B61" s="303"/>
      <c r="C61" s="308" t="s">
        <v>22</v>
      </c>
      <c r="D61" s="62"/>
      <c r="E61" s="50"/>
      <c r="F61" s="58"/>
      <c r="G61" s="389">
        <f>SUM(G10:G12)</f>
        <v>84933</v>
      </c>
    </row>
    <row r="62" spans="1:12" ht="16" x14ac:dyDescent="0.5">
      <c r="A62" s="303"/>
      <c r="B62" s="303"/>
      <c r="C62" s="309" t="s">
        <v>193</v>
      </c>
      <c r="D62" s="62"/>
      <c r="E62" s="50"/>
      <c r="F62" s="58"/>
      <c r="G62" s="40"/>
    </row>
    <row r="63" spans="1:12" x14ac:dyDescent="0.35">
      <c r="A63" s="302" t="s">
        <v>60</v>
      </c>
      <c r="B63" s="303"/>
      <c r="C63" s="303"/>
      <c r="D63" s="62"/>
      <c r="E63" s="50"/>
      <c r="F63" s="58"/>
      <c r="G63" s="5">
        <f>G60-G61-G62</f>
        <v>2326737.2692610398</v>
      </c>
    </row>
    <row r="64" spans="1:12" x14ac:dyDescent="0.35">
      <c r="A64" s="303" t="s">
        <v>21</v>
      </c>
      <c r="B64" s="303"/>
      <c r="C64" s="306" t="s">
        <v>61</v>
      </c>
      <c r="D64" s="62"/>
      <c r="E64" s="50"/>
      <c r="F64" s="58"/>
      <c r="G64" s="4">
        <f>G6</f>
        <v>2106856.7599999998</v>
      </c>
    </row>
    <row r="65" spans="1:7" ht="16" x14ac:dyDescent="0.5">
      <c r="A65" s="303"/>
      <c r="B65" s="303"/>
      <c r="C65" s="307" t="s">
        <v>15</v>
      </c>
      <c r="D65" s="62"/>
      <c r="E65" s="50"/>
      <c r="F65" s="58"/>
      <c r="G65" s="40">
        <f>G8</f>
        <v>22449</v>
      </c>
    </row>
    <row r="66" spans="1:7" x14ac:dyDescent="0.35">
      <c r="A66" s="302" t="s">
        <v>63</v>
      </c>
      <c r="B66" s="303"/>
      <c r="C66" s="303"/>
      <c r="D66" s="62"/>
      <c r="E66" s="50"/>
      <c r="F66" s="58"/>
      <c r="G66" s="4">
        <f>G63-G64-G65</f>
        <v>197431.50926104002</v>
      </c>
    </row>
    <row r="67" spans="1:7" x14ac:dyDescent="0.35">
      <c r="A67" s="302" t="s">
        <v>64</v>
      </c>
      <c r="B67" s="303"/>
      <c r="C67" s="303"/>
      <c r="G67" s="63">
        <f>G66/(G64+G65)</f>
        <v>9.2721070392934105E-2</v>
      </c>
    </row>
  </sheetData>
  <mergeCells count="3">
    <mergeCell ref="A1:G1"/>
    <mergeCell ref="A2:H2"/>
    <mergeCell ref="A55:G55"/>
  </mergeCells>
  <printOptions horizontalCentered="1"/>
  <pageMargins left="0.45" right="0.25" top="0.5" bottom="0.5" header="0.3" footer="0.3"/>
  <pageSetup orientation="portrait" horizontalDpi="4294967293" r:id="rId1"/>
  <rowBreaks count="2" manualBreakCount="2">
    <brk id="53" max="16383" man="1"/>
    <brk id="5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B1:O30"/>
  <sheetViews>
    <sheetView showGridLines="0" workbookViewId="0">
      <selection activeCell="F11" sqref="F11"/>
    </sheetView>
  </sheetViews>
  <sheetFormatPr defaultColWidth="8.84375" defaultRowHeight="14.5" x14ac:dyDescent="0.35"/>
  <cols>
    <col min="1" max="1" width="3.61328125" style="5" customWidth="1"/>
    <col min="2" max="2" width="1.765625" style="5" customWidth="1"/>
    <col min="3" max="4" width="9.765625" style="5" customWidth="1"/>
    <col min="5" max="7" width="9.765625" style="110" customWidth="1"/>
    <col min="8" max="8" width="9.765625" style="5" customWidth="1"/>
    <col min="9" max="9" width="1.765625" style="5" customWidth="1"/>
    <col min="10" max="10" width="3.61328125" style="5" customWidth="1"/>
    <col min="11" max="16384" width="8.84375" style="5"/>
  </cols>
  <sheetData>
    <row r="1" spans="2:11" x14ac:dyDescent="0.35">
      <c r="B1" s="6"/>
      <c r="C1" s="7"/>
      <c r="D1" s="7"/>
      <c r="E1" s="104"/>
      <c r="F1" s="104"/>
      <c r="G1" s="104"/>
      <c r="H1" s="7"/>
      <c r="I1" s="8"/>
    </row>
    <row r="2" spans="2:11" ht="18.5" hidden="1" x14ac:dyDescent="0.45">
      <c r="B2" s="9"/>
      <c r="C2" s="457" t="s">
        <v>188</v>
      </c>
      <c r="D2" s="457"/>
      <c r="E2" s="457"/>
      <c r="F2" s="457"/>
      <c r="G2" s="457"/>
      <c r="H2" s="457"/>
      <c r="I2" s="458"/>
    </row>
    <row r="3" spans="2:11" ht="18.5" x14ac:dyDescent="0.45">
      <c r="B3" s="9"/>
      <c r="C3" s="453" t="s">
        <v>71</v>
      </c>
      <c r="D3" s="453"/>
      <c r="E3" s="453"/>
      <c r="F3" s="453"/>
      <c r="G3" s="453"/>
      <c r="H3" s="453"/>
      <c r="I3" s="454"/>
    </row>
    <row r="4" spans="2:11" ht="15.5" x14ac:dyDescent="0.35">
      <c r="B4" s="9"/>
      <c r="C4" s="455" t="str">
        <f>SAO!A2</f>
        <v>East Daviess County Water Association</v>
      </c>
      <c r="D4" s="455"/>
      <c r="E4" s="455"/>
      <c r="F4" s="455"/>
      <c r="G4" s="455"/>
      <c r="H4" s="455"/>
      <c r="I4" s="456"/>
    </row>
    <row r="5" spans="2:11" x14ac:dyDescent="0.35">
      <c r="B5" s="11"/>
      <c r="C5" s="3"/>
      <c r="D5" s="3"/>
      <c r="E5" s="105"/>
      <c r="F5" s="105"/>
      <c r="G5" s="105"/>
      <c r="H5" s="3"/>
      <c r="I5" s="12"/>
    </row>
    <row r="6" spans="2:11" ht="6" customHeight="1" x14ac:dyDescent="0.35">
      <c r="B6" s="9"/>
      <c r="C6" s="4"/>
      <c r="D6" s="10"/>
      <c r="E6" s="106"/>
      <c r="F6" s="111"/>
      <c r="G6" s="111"/>
      <c r="H6" s="29"/>
      <c r="I6" s="30"/>
      <c r="J6" s="28"/>
      <c r="K6" s="28"/>
    </row>
    <row r="7" spans="2:11" ht="16" x14ac:dyDescent="0.5">
      <c r="B7" s="9"/>
      <c r="C7" s="14" t="s">
        <v>13</v>
      </c>
      <c r="D7" s="27" t="s">
        <v>66</v>
      </c>
      <c r="E7" s="107" t="s">
        <v>23</v>
      </c>
      <c r="F7" s="112" t="s">
        <v>11</v>
      </c>
      <c r="G7" s="112"/>
      <c r="H7" s="14"/>
      <c r="I7" s="27"/>
    </row>
    <row r="8" spans="2:11" ht="16" x14ac:dyDescent="0.5">
      <c r="B8" s="9"/>
      <c r="C8" s="14" t="s">
        <v>85</v>
      </c>
      <c r="D8" s="27" t="s">
        <v>70</v>
      </c>
      <c r="E8" s="107" t="s">
        <v>68</v>
      </c>
      <c r="F8" s="112" t="s">
        <v>68</v>
      </c>
      <c r="G8" s="112" t="s">
        <v>24</v>
      </c>
      <c r="H8" s="14" t="s">
        <v>69</v>
      </c>
      <c r="I8" s="27"/>
    </row>
    <row r="9" spans="2:11" x14ac:dyDescent="0.35">
      <c r="B9" s="9"/>
      <c r="C9" s="15">
        <v>0</v>
      </c>
      <c r="D9" s="31" t="s">
        <v>201</v>
      </c>
      <c r="E9" s="108">
        <f>Rates!F9</f>
        <v>19.68</v>
      </c>
      <c r="F9" s="108">
        <f>Rates!H9</f>
        <v>21.5</v>
      </c>
      <c r="G9" s="114">
        <f>F9-E9</f>
        <v>1.8200000000000003</v>
      </c>
      <c r="H9" s="66">
        <f>G9/E9</f>
        <v>9.2479674796747985E-2</v>
      </c>
      <c r="I9" s="33"/>
    </row>
    <row r="10" spans="2:11" x14ac:dyDescent="0.35">
      <c r="B10" s="9"/>
      <c r="C10" s="4">
        <v>2000</v>
      </c>
      <c r="D10" s="31" t="s">
        <v>201</v>
      </c>
      <c r="E10" s="108">
        <f>Rates!F9</f>
        <v>19.68</v>
      </c>
      <c r="F10" s="108">
        <f>Rates!H9</f>
        <v>21.5</v>
      </c>
      <c r="G10" s="113">
        <f t="shared" ref="G10:G17" si="0">F10-E10</f>
        <v>1.8200000000000003</v>
      </c>
      <c r="H10" s="66">
        <f t="shared" ref="H10:H17" si="1">G10/E10</f>
        <v>9.2479674796747985E-2</v>
      </c>
      <c r="I10" s="33"/>
    </row>
    <row r="11" spans="2:11" x14ac:dyDescent="0.35">
      <c r="B11" s="9"/>
      <c r="C11" s="34">
        <v>4000</v>
      </c>
      <c r="D11" s="35" t="s">
        <v>201</v>
      </c>
      <c r="E11" s="224">
        <f>Rates!F9+2000*Rates!F10</f>
        <v>34.019999999999996</v>
      </c>
      <c r="F11" s="224">
        <f>Rates!H9+2000*Rates!H10</f>
        <v>37.159999999999997</v>
      </c>
      <c r="G11" s="225">
        <f t="shared" ref="G11:G16" si="2">F11-E11</f>
        <v>3.1400000000000006</v>
      </c>
      <c r="H11" s="226">
        <f t="shared" ref="H11:H16" si="3">G11/E11</f>
        <v>9.2298647854203442E-2</v>
      </c>
      <c r="I11" s="36"/>
    </row>
    <row r="12" spans="2:11" x14ac:dyDescent="0.35">
      <c r="B12" s="9"/>
      <c r="C12" s="4">
        <v>6000</v>
      </c>
      <c r="D12" s="31" t="s">
        <v>202</v>
      </c>
      <c r="E12" s="108">
        <f>Rates!F15+3000*Rates!F16</f>
        <v>48.36</v>
      </c>
      <c r="F12" s="108">
        <f>Rates!H15+3000*Rates!H16</f>
        <v>52.83</v>
      </c>
      <c r="G12" s="113">
        <f t="shared" si="2"/>
        <v>4.4699999999999989</v>
      </c>
      <c r="H12" s="66">
        <f t="shared" si="3"/>
        <v>9.243176178660048E-2</v>
      </c>
      <c r="I12" s="33"/>
    </row>
    <row r="13" spans="2:11" x14ac:dyDescent="0.35">
      <c r="B13" s="9"/>
      <c r="C13" s="4">
        <v>8000</v>
      </c>
      <c r="D13" s="31" t="s">
        <v>202</v>
      </c>
      <c r="E13" s="108">
        <f>Rates!F15+(3000*Rates!F16)+(2000*Rates!F17)</f>
        <v>60.519999999999996</v>
      </c>
      <c r="F13" s="108">
        <f>Rates!H15+(3000*Rates!H16)+(2000*Rates!H17)</f>
        <v>66.11</v>
      </c>
      <c r="G13" s="113">
        <f t="shared" si="2"/>
        <v>5.5900000000000034</v>
      </c>
      <c r="H13" s="66">
        <f t="shared" si="3"/>
        <v>9.2366159947124979E-2</v>
      </c>
      <c r="I13" s="33"/>
    </row>
    <row r="14" spans="2:11" x14ac:dyDescent="0.35">
      <c r="B14" s="9"/>
      <c r="C14" s="4">
        <v>10000</v>
      </c>
      <c r="D14" s="31" t="s">
        <v>202</v>
      </c>
      <c r="E14" s="108">
        <f>Rates!F15+(3000*Rates!F16)+(4000*Rates!F17)</f>
        <v>72.680000000000007</v>
      </c>
      <c r="F14" s="108">
        <f>Rates!H15+(3000*Rates!H16)+(4000*Rates!H17)</f>
        <v>79.39</v>
      </c>
      <c r="G14" s="113">
        <f t="shared" si="2"/>
        <v>6.7099999999999937</v>
      </c>
      <c r="H14" s="66">
        <f t="shared" si="3"/>
        <v>9.2322509631260222E-2</v>
      </c>
      <c r="I14" s="33"/>
    </row>
    <row r="15" spans="2:11" x14ac:dyDescent="0.35">
      <c r="B15" s="9"/>
      <c r="C15" s="4">
        <v>15000</v>
      </c>
      <c r="D15" s="31" t="s">
        <v>25</v>
      </c>
      <c r="E15" s="108">
        <f>Rates!F21+9000*Rates!F22</f>
        <v>103.08000000000001</v>
      </c>
      <c r="F15" s="108">
        <f>Rates!H21+9000*Rates!H22</f>
        <v>112.6</v>
      </c>
      <c r="G15" s="113">
        <f t="shared" si="2"/>
        <v>9.5199999999999818</v>
      </c>
      <c r="H15" s="66">
        <f t="shared" si="3"/>
        <v>9.2355452076057248E-2</v>
      </c>
      <c r="I15" s="33"/>
    </row>
    <row r="16" spans="2:11" x14ac:dyDescent="0.35">
      <c r="B16" s="9"/>
      <c r="C16" s="4">
        <v>20000</v>
      </c>
      <c r="D16" s="31" t="s">
        <v>25</v>
      </c>
      <c r="E16" s="108">
        <f>Rates!F21+14000*Rates!F22</f>
        <v>133.48000000000002</v>
      </c>
      <c r="F16" s="108">
        <f>Rates!H21+14000*Rates!H22</f>
        <v>145.80000000000001</v>
      </c>
      <c r="G16" s="113">
        <f t="shared" si="2"/>
        <v>12.319999999999993</v>
      </c>
      <c r="H16" s="66">
        <f t="shared" si="3"/>
        <v>9.2298471681150671E-2</v>
      </c>
      <c r="I16" s="33"/>
    </row>
    <row r="17" spans="2:15" x14ac:dyDescent="0.35">
      <c r="B17" s="9"/>
      <c r="C17" s="4">
        <v>25000</v>
      </c>
      <c r="D17" s="32" t="s">
        <v>25</v>
      </c>
      <c r="E17" s="108">
        <f>Rates!F21+19000*Rates!F22</f>
        <v>163.88</v>
      </c>
      <c r="F17" s="108">
        <f>Rates!H21+19000*Rates!H22</f>
        <v>179</v>
      </c>
      <c r="G17" s="113">
        <f t="shared" si="0"/>
        <v>15.120000000000005</v>
      </c>
      <c r="H17" s="66">
        <f t="shared" si="1"/>
        <v>9.2262631193556294E-2</v>
      </c>
      <c r="I17" s="33"/>
    </row>
    <row r="18" spans="2:15" x14ac:dyDescent="0.35">
      <c r="B18" s="9"/>
      <c r="C18" s="4">
        <v>30000</v>
      </c>
      <c r="D18" s="32" t="s">
        <v>252</v>
      </c>
      <c r="E18" s="330">
        <f>Rates!F26+(20000*Rates!F27)</f>
        <v>194.28000000000003</v>
      </c>
      <c r="F18" s="330">
        <f>Rates!H26+(20000*Rates!H27)</f>
        <v>212.22000000000003</v>
      </c>
      <c r="G18" s="113">
        <f t="shared" ref="G18:G20" si="4">F18-E18</f>
        <v>17.939999999999998</v>
      </c>
      <c r="H18" s="66">
        <f t="shared" ref="H18:H20" si="5">G18/E18</f>
        <v>9.2340951204447158E-2</v>
      </c>
      <c r="I18" s="33"/>
    </row>
    <row r="19" spans="2:15" x14ac:dyDescent="0.35">
      <c r="B19" s="9"/>
      <c r="C19" s="4">
        <v>40000</v>
      </c>
      <c r="D19" s="32" t="s">
        <v>252</v>
      </c>
      <c r="E19" s="330">
        <f>Rates!F26+(30000*Rates!F27)</f>
        <v>255.08</v>
      </c>
      <c r="F19" s="330">
        <f>Rates!H26+(30000*Rates!H27)</f>
        <v>278.62</v>
      </c>
      <c r="G19" s="113">
        <f t="shared" si="4"/>
        <v>23.539999999999992</v>
      </c>
      <c r="H19" s="66">
        <f t="shared" si="5"/>
        <v>9.2284773404422107E-2</v>
      </c>
      <c r="I19" s="33"/>
    </row>
    <row r="20" spans="2:15" x14ac:dyDescent="0.35">
      <c r="B20" s="9"/>
      <c r="C20" s="4">
        <v>50000</v>
      </c>
      <c r="D20" s="32" t="s">
        <v>252</v>
      </c>
      <c r="E20" s="330">
        <f>Rates!F26+(40000*Rates!F27)</f>
        <v>315.88</v>
      </c>
      <c r="F20" s="330">
        <f>Rates!H26+(40000*Rates!H27)</f>
        <v>345.02000000000004</v>
      </c>
      <c r="G20" s="113">
        <f t="shared" si="4"/>
        <v>29.140000000000043</v>
      </c>
      <c r="H20" s="66">
        <f t="shared" si="5"/>
        <v>9.2250221603140573E-2</v>
      </c>
      <c r="I20" s="33"/>
    </row>
    <row r="21" spans="2:15" x14ac:dyDescent="0.35">
      <c r="B21" s="9"/>
      <c r="C21" s="5">
        <v>60000</v>
      </c>
      <c r="D21" s="32" t="s">
        <v>26</v>
      </c>
      <c r="E21" s="330">
        <f>Rates!F31+(30000*Rates!F32)+(10000*Rates!F33)</f>
        <v>368.68</v>
      </c>
      <c r="F21" s="330">
        <f>Rates!H31+(30000*Rates!H32)+(10000*Rates!H33)</f>
        <v>402.76</v>
      </c>
      <c r="G21" s="113">
        <f t="shared" ref="G21:G23" si="6">F21-E21</f>
        <v>34.079999999999984</v>
      </c>
      <c r="H21" s="66">
        <f t="shared" ref="H21:H22" si="7">G21/E21</f>
        <v>9.2437886514050077E-2</v>
      </c>
      <c r="I21" s="33"/>
      <c r="O21" s="4"/>
    </row>
    <row r="22" spans="2:15" x14ac:dyDescent="0.35">
      <c r="B22" s="9"/>
      <c r="C22" s="5">
        <v>70000</v>
      </c>
      <c r="D22" s="32" t="s">
        <v>26</v>
      </c>
      <c r="E22" s="330">
        <f>Rates!F31+(30000*Rates!F32)+(20000*Rates!F33)</f>
        <v>421.48</v>
      </c>
      <c r="F22" s="330">
        <f>Rates!H31+(30000*Rates!H32)+(20000*Rates!H33)</f>
        <v>460.46000000000004</v>
      </c>
      <c r="G22" s="113">
        <f t="shared" si="6"/>
        <v>38.980000000000018</v>
      </c>
      <c r="H22" s="66">
        <f t="shared" si="7"/>
        <v>9.248362911644685E-2</v>
      </c>
      <c r="I22" s="33"/>
    </row>
    <row r="23" spans="2:15" x14ac:dyDescent="0.35">
      <c r="B23" s="9"/>
      <c r="C23" s="5">
        <v>80000</v>
      </c>
      <c r="D23" s="32" t="s">
        <v>26</v>
      </c>
      <c r="E23" s="330">
        <f>Rates!F31+(30000*Rates!F32)+(30000*Rates!F33)</f>
        <v>474.28</v>
      </c>
      <c r="F23" s="330">
        <f>Rates!H31+(30000*Rates!H32)+(30000*Rates!H33)</f>
        <v>518.16</v>
      </c>
      <c r="G23" s="113">
        <f t="shared" si="6"/>
        <v>43.879999999999995</v>
      </c>
      <c r="H23" s="66">
        <f>G23/E23</f>
        <v>9.2519186978156365E-2</v>
      </c>
      <c r="I23" s="33"/>
    </row>
    <row r="24" spans="2:15" x14ac:dyDescent="0.35">
      <c r="B24" s="9"/>
      <c r="C24" s="4"/>
      <c r="D24" s="32"/>
      <c r="E24" s="108"/>
      <c r="F24" s="108"/>
      <c r="G24" s="113"/>
      <c r="H24" s="66"/>
      <c r="I24" s="33"/>
    </row>
    <row r="25" spans="2:15" x14ac:dyDescent="0.35">
      <c r="B25" s="9"/>
      <c r="C25" s="4"/>
      <c r="D25" s="32"/>
      <c r="E25" s="108"/>
      <c r="F25" s="108"/>
      <c r="G25" s="113"/>
      <c r="H25" s="66"/>
      <c r="I25" s="33"/>
    </row>
    <row r="26" spans="2:15" x14ac:dyDescent="0.35">
      <c r="B26" s="9"/>
      <c r="C26" s="4"/>
      <c r="D26" s="32"/>
      <c r="E26" s="108"/>
      <c r="F26" s="108"/>
      <c r="G26" s="113"/>
      <c r="H26" s="66"/>
      <c r="I26" s="33"/>
    </row>
    <row r="27" spans="2:15" x14ac:dyDescent="0.35">
      <c r="B27" s="9"/>
      <c r="C27" s="4"/>
      <c r="D27" s="32"/>
      <c r="E27" s="108"/>
      <c r="F27" s="108"/>
      <c r="G27" s="113"/>
      <c r="H27" s="66"/>
      <c r="I27" s="33"/>
    </row>
    <row r="28" spans="2:15" ht="6" customHeight="1" x14ac:dyDescent="0.35">
      <c r="B28" s="11"/>
      <c r="C28" s="3"/>
      <c r="D28" s="2"/>
      <c r="E28" s="109"/>
      <c r="F28" s="105"/>
      <c r="G28" s="105"/>
      <c r="H28" s="3"/>
      <c r="I28" s="12"/>
    </row>
    <row r="30" spans="2:15" x14ac:dyDescent="0.35">
      <c r="D30" s="45" t="s">
        <v>86</v>
      </c>
    </row>
  </sheetData>
  <mergeCells count="3">
    <mergeCell ref="C3:I3"/>
    <mergeCell ref="C4:I4"/>
    <mergeCell ref="C2:I2"/>
  </mergeCells>
  <printOptions horizontalCentered="1"/>
  <pageMargins left="0.7" right="0.7" top="1.1000000000000001"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4C12-8B08-4347-8810-FE79CDF4480C}">
  <sheetPr>
    <tabColor rgb="FF00B050"/>
    <pageSetUpPr fitToPage="1"/>
  </sheetPr>
  <dimension ref="A1:N48"/>
  <sheetViews>
    <sheetView showGridLines="0" topLeftCell="A6" workbookViewId="0">
      <selection activeCell="J8" sqref="J8"/>
    </sheetView>
  </sheetViews>
  <sheetFormatPr defaultRowHeight="15.5" x14ac:dyDescent="0.35"/>
  <cols>
    <col min="1" max="1" width="2" customWidth="1"/>
    <col min="2" max="2" width="1.84375" customWidth="1"/>
    <col min="3" max="3" width="1.765625" customWidth="1"/>
    <col min="4" max="4" width="27.4609375" customWidth="1"/>
    <col min="5" max="5" width="8.3046875" customWidth="1"/>
    <col min="6" max="6" width="11.69140625" style="365" customWidth="1"/>
    <col min="7" max="7" width="6.07421875" customWidth="1"/>
    <col min="8" max="8" width="10.15234375" customWidth="1"/>
    <col min="9" max="9" width="6.07421875" customWidth="1"/>
    <col min="10" max="10" width="9.3046875" customWidth="1"/>
    <col min="11" max="11" width="10.69140625" customWidth="1"/>
    <col min="12" max="12" width="1.84375" customWidth="1"/>
    <col min="13" max="13" width="2.4609375" customWidth="1"/>
  </cols>
  <sheetData>
    <row r="1" spans="1:13" x14ac:dyDescent="0.35">
      <c r="A1" s="1"/>
      <c r="B1" s="1"/>
      <c r="C1" s="123"/>
      <c r="D1" s="123"/>
      <c r="E1" s="123"/>
      <c r="F1" s="123"/>
      <c r="G1" s="124"/>
      <c r="H1" s="123"/>
      <c r="I1" s="124"/>
      <c r="J1" s="123"/>
      <c r="K1" s="123"/>
      <c r="L1" s="123"/>
      <c r="M1" s="123"/>
    </row>
    <row r="2" spans="1:13" ht="14.5" customHeight="1" x14ac:dyDescent="0.35">
      <c r="A2" s="1"/>
      <c r="B2" s="78"/>
      <c r="C2" s="125"/>
      <c r="D2" s="125"/>
      <c r="E2" s="125"/>
      <c r="F2" s="125"/>
      <c r="G2" s="126"/>
      <c r="H2" s="125"/>
      <c r="I2" s="126"/>
      <c r="J2" s="125"/>
      <c r="K2" s="125"/>
      <c r="L2" s="127"/>
      <c r="M2" s="128"/>
    </row>
    <row r="3" spans="1:13" ht="17.5" customHeight="1" x14ac:dyDescent="0.45">
      <c r="A3" s="1"/>
      <c r="B3" s="47"/>
      <c r="C3" s="459" t="s">
        <v>27</v>
      </c>
      <c r="D3" s="459"/>
      <c r="E3" s="459"/>
      <c r="F3" s="459"/>
      <c r="G3" s="459"/>
      <c r="H3" s="459"/>
      <c r="I3" s="459"/>
      <c r="J3" s="459"/>
      <c r="K3" s="459"/>
      <c r="L3" s="129"/>
      <c r="M3" s="128"/>
    </row>
    <row r="4" spans="1:13" ht="18.5" x14ac:dyDescent="0.45">
      <c r="A4" s="1"/>
      <c r="B4" s="47"/>
      <c r="C4" s="460" t="s">
        <v>41</v>
      </c>
      <c r="D4" s="460"/>
      <c r="E4" s="460"/>
      <c r="F4" s="460"/>
      <c r="G4" s="460"/>
      <c r="H4" s="460"/>
      <c r="I4" s="460"/>
      <c r="J4" s="460"/>
      <c r="K4" s="460"/>
      <c r="L4" s="129"/>
      <c r="M4" s="128"/>
    </row>
    <row r="5" spans="1:13" x14ac:dyDescent="0.35">
      <c r="A5" s="1"/>
      <c r="B5" s="47"/>
      <c r="C5" s="455" t="s">
        <v>237</v>
      </c>
      <c r="D5" s="455"/>
      <c r="E5" s="455"/>
      <c r="F5" s="455"/>
      <c r="G5" s="455"/>
      <c r="H5" s="455"/>
      <c r="I5" s="455"/>
      <c r="J5" s="455"/>
      <c r="K5" s="455"/>
      <c r="L5" s="129"/>
      <c r="M5" s="128"/>
    </row>
    <row r="6" spans="1:13" x14ac:dyDescent="0.35">
      <c r="A6" s="1"/>
      <c r="B6" s="47"/>
      <c r="C6" s="123"/>
      <c r="D6" s="123"/>
      <c r="E6" s="123"/>
      <c r="F6" s="123" t="s">
        <v>269</v>
      </c>
      <c r="G6" s="130"/>
      <c r="H6" s="123"/>
      <c r="I6" s="130"/>
      <c r="J6" s="123"/>
      <c r="K6" s="131" t="s">
        <v>42</v>
      </c>
      <c r="L6" s="129"/>
      <c r="M6" s="128"/>
    </row>
    <row r="7" spans="1:13" x14ac:dyDescent="0.35">
      <c r="A7" s="1"/>
      <c r="B7" s="47"/>
      <c r="C7" s="132"/>
      <c r="D7" s="132"/>
      <c r="E7" s="132" t="s">
        <v>43</v>
      </c>
      <c r="F7" s="132" t="s">
        <v>44</v>
      </c>
      <c r="G7" s="133" t="s">
        <v>122</v>
      </c>
      <c r="H7" s="134"/>
      <c r="I7" s="133" t="s">
        <v>32</v>
      </c>
      <c r="J7" s="134"/>
      <c r="K7" s="131" t="s">
        <v>45</v>
      </c>
      <c r="L7" s="129"/>
      <c r="M7" s="128"/>
    </row>
    <row r="8" spans="1:13" ht="17" x14ac:dyDescent="0.5">
      <c r="A8" s="1"/>
      <c r="B8" s="47"/>
      <c r="C8" s="131"/>
      <c r="D8" s="135" t="s">
        <v>123</v>
      </c>
      <c r="E8" s="131" t="s">
        <v>46</v>
      </c>
      <c r="F8" s="131" t="s">
        <v>124</v>
      </c>
      <c r="G8" s="23" t="s">
        <v>47</v>
      </c>
      <c r="H8" s="131" t="s">
        <v>48</v>
      </c>
      <c r="I8" s="23" t="s">
        <v>47</v>
      </c>
      <c r="J8" s="131" t="s">
        <v>48</v>
      </c>
      <c r="K8" s="131" t="s">
        <v>38</v>
      </c>
      <c r="L8" s="129"/>
      <c r="M8" s="128"/>
    </row>
    <row r="9" spans="1:13" x14ac:dyDescent="0.35">
      <c r="A9" s="1"/>
      <c r="B9" s="47"/>
      <c r="C9" s="131"/>
      <c r="D9" s="131"/>
      <c r="E9" s="131"/>
      <c r="F9" s="131"/>
      <c r="G9" s="23"/>
      <c r="H9" s="131"/>
      <c r="I9" s="23"/>
      <c r="J9" s="131"/>
      <c r="K9" s="131"/>
      <c r="L9" s="129"/>
      <c r="M9" s="128"/>
    </row>
    <row r="10" spans="1:13" x14ac:dyDescent="0.35">
      <c r="A10" s="1"/>
      <c r="B10" s="47"/>
      <c r="C10" s="136" t="s">
        <v>125</v>
      </c>
      <c r="D10" s="123"/>
      <c r="E10" s="137"/>
      <c r="F10" s="123"/>
      <c r="G10" s="130"/>
      <c r="H10" s="85"/>
      <c r="I10" s="130"/>
      <c r="J10" s="85"/>
      <c r="K10" s="85"/>
      <c r="L10" s="129"/>
      <c r="M10" s="128"/>
    </row>
    <row r="11" spans="1:13" x14ac:dyDescent="0.35">
      <c r="A11" s="1"/>
      <c r="B11" s="47"/>
      <c r="C11" s="136"/>
      <c r="D11" s="123" t="s">
        <v>126</v>
      </c>
      <c r="E11" s="137" t="s">
        <v>65</v>
      </c>
      <c r="F11" s="363">
        <v>447875.56</v>
      </c>
      <c r="G11" s="64" t="s">
        <v>127</v>
      </c>
      <c r="H11" s="20">
        <v>12446.73</v>
      </c>
      <c r="I11" s="130">
        <v>37.5</v>
      </c>
      <c r="J11" s="20">
        <f>F11/I11</f>
        <v>11943.348266666666</v>
      </c>
      <c r="K11" s="20">
        <f>J11-H11</f>
        <v>-503.38173333333361</v>
      </c>
      <c r="L11" s="129"/>
      <c r="M11" s="128"/>
    </row>
    <row r="12" spans="1:13" x14ac:dyDescent="0.35">
      <c r="A12" s="1"/>
      <c r="B12" s="47"/>
      <c r="C12" s="136"/>
      <c r="D12" s="123" t="s">
        <v>329</v>
      </c>
      <c r="E12" s="137" t="s">
        <v>65</v>
      </c>
      <c r="F12" s="363">
        <v>42848.95</v>
      </c>
      <c r="G12" s="64" t="s">
        <v>127</v>
      </c>
      <c r="H12" s="20">
        <v>1935.54</v>
      </c>
      <c r="I12" s="130">
        <v>10</v>
      </c>
      <c r="J12" s="20">
        <f>F12/I12</f>
        <v>4284.8949999999995</v>
      </c>
      <c r="K12" s="20">
        <f>J12-H12</f>
        <v>2349.3549999999996</v>
      </c>
      <c r="L12" s="129"/>
      <c r="M12" s="128"/>
    </row>
    <row r="13" spans="1:13" x14ac:dyDescent="0.35">
      <c r="A13" s="1"/>
      <c r="B13" s="47"/>
      <c r="C13" s="123"/>
      <c r="D13" s="123" t="s">
        <v>128</v>
      </c>
      <c r="E13" s="137" t="s">
        <v>65</v>
      </c>
      <c r="F13" s="363">
        <v>45903.27</v>
      </c>
      <c r="G13" s="64" t="s">
        <v>127</v>
      </c>
      <c r="H13" s="20">
        <v>2004.48</v>
      </c>
      <c r="I13" s="130">
        <v>22.5</v>
      </c>
      <c r="J13" s="20">
        <f>F13/I13</f>
        <v>2040.1453333333332</v>
      </c>
      <c r="K13" s="20">
        <f>J13-H13</f>
        <v>35.665333333333137</v>
      </c>
      <c r="L13" s="129"/>
      <c r="M13" s="128"/>
    </row>
    <row r="14" spans="1:13" x14ac:dyDescent="0.35">
      <c r="A14" s="1"/>
      <c r="B14" s="47"/>
      <c r="C14" s="123"/>
      <c r="D14" s="123" t="s">
        <v>129</v>
      </c>
      <c r="E14" s="137" t="s">
        <v>65</v>
      </c>
      <c r="F14" s="363">
        <v>1782.69</v>
      </c>
      <c r="G14" s="64" t="s">
        <v>127</v>
      </c>
      <c r="H14" s="20">
        <v>138.06</v>
      </c>
      <c r="I14" s="130">
        <v>12.5</v>
      </c>
      <c r="J14" s="20">
        <f t="shared" ref="J14:J16" si="0">F14/I14</f>
        <v>142.61520000000002</v>
      </c>
      <c r="K14" s="20">
        <f t="shared" ref="K14:K16" si="1">J14-H14</f>
        <v>4.5552000000000135</v>
      </c>
      <c r="L14" s="129"/>
      <c r="M14" s="128"/>
    </row>
    <row r="15" spans="1:13" x14ac:dyDescent="0.35">
      <c r="A15" s="1"/>
      <c r="B15" s="47"/>
      <c r="C15" s="123"/>
      <c r="D15" s="123" t="s">
        <v>130</v>
      </c>
      <c r="E15" s="137" t="s">
        <v>65</v>
      </c>
      <c r="F15" s="363">
        <v>16774.91</v>
      </c>
      <c r="G15" s="64" t="s">
        <v>127</v>
      </c>
      <c r="H15" s="20">
        <v>931.04</v>
      </c>
      <c r="I15" s="130">
        <v>17.5</v>
      </c>
      <c r="J15" s="20">
        <f t="shared" si="0"/>
        <v>958.56628571428575</v>
      </c>
      <c r="K15" s="20">
        <f t="shared" si="1"/>
        <v>27.526285714285791</v>
      </c>
      <c r="L15" s="129"/>
      <c r="M15" s="128"/>
    </row>
    <row r="16" spans="1:13" x14ac:dyDescent="0.35">
      <c r="A16" s="1"/>
      <c r="B16" s="47"/>
      <c r="C16" s="123"/>
      <c r="D16" s="123" t="s">
        <v>131</v>
      </c>
      <c r="E16" s="137" t="s">
        <v>65</v>
      </c>
      <c r="F16" s="363">
        <v>2175.16</v>
      </c>
      <c r="G16" s="64" t="s">
        <v>127</v>
      </c>
      <c r="H16" s="20">
        <v>163.1</v>
      </c>
      <c r="I16" s="130">
        <v>15</v>
      </c>
      <c r="J16" s="20">
        <f t="shared" si="0"/>
        <v>145.01066666666665</v>
      </c>
      <c r="K16" s="20">
        <f t="shared" si="1"/>
        <v>-18.089333333333343</v>
      </c>
      <c r="L16" s="129"/>
      <c r="M16" s="128"/>
    </row>
    <row r="17" spans="1:13" x14ac:dyDescent="0.35">
      <c r="A17" s="1"/>
      <c r="B17" s="47"/>
      <c r="C17" s="131"/>
      <c r="D17" s="131"/>
      <c r="E17" s="131"/>
      <c r="F17" s="131"/>
      <c r="G17" s="23"/>
      <c r="H17" s="131"/>
      <c r="I17" s="23"/>
      <c r="J17" s="131"/>
      <c r="K17" s="131"/>
      <c r="L17" s="129"/>
      <c r="M17" s="128"/>
    </row>
    <row r="18" spans="1:13" x14ac:dyDescent="0.35">
      <c r="A18" s="1"/>
      <c r="B18" s="47"/>
      <c r="C18" s="136" t="s">
        <v>132</v>
      </c>
      <c r="D18" s="123"/>
      <c r="E18" s="137"/>
      <c r="F18" s="123"/>
      <c r="G18" s="138"/>
      <c r="H18" s="85"/>
      <c r="I18" s="138"/>
      <c r="J18" s="85"/>
      <c r="K18" s="85"/>
      <c r="L18" s="129"/>
      <c r="M18" s="128"/>
    </row>
    <row r="19" spans="1:13" x14ac:dyDescent="0.35">
      <c r="A19" s="1"/>
      <c r="B19" s="47"/>
      <c r="C19" s="136"/>
      <c r="D19" s="123" t="s">
        <v>126</v>
      </c>
      <c r="E19" s="137" t="s">
        <v>65</v>
      </c>
      <c r="F19" s="363">
        <v>82567.460000000006</v>
      </c>
      <c r="G19" s="64" t="s">
        <v>127</v>
      </c>
      <c r="H19" s="20">
        <v>2201.8000000000002</v>
      </c>
      <c r="I19" s="130">
        <v>37.5</v>
      </c>
      <c r="J19" s="20">
        <f>F19/I19</f>
        <v>2201.7989333333335</v>
      </c>
      <c r="K19" s="20">
        <f>J19-H19</f>
        <v>-1.0666666667020763E-3</v>
      </c>
      <c r="L19" s="129"/>
      <c r="M19" s="128"/>
    </row>
    <row r="20" spans="1:13" x14ac:dyDescent="0.35">
      <c r="A20" s="1"/>
      <c r="B20" s="47"/>
      <c r="C20" s="123"/>
      <c r="D20" s="123" t="s">
        <v>133</v>
      </c>
      <c r="E20" s="137"/>
      <c r="F20" s="123"/>
      <c r="G20" s="64"/>
      <c r="H20" s="20"/>
      <c r="I20" s="130">
        <v>10</v>
      </c>
      <c r="J20" s="85">
        <f>F20/I20</f>
        <v>0</v>
      </c>
      <c r="K20" s="20">
        <f>J20-H20</f>
        <v>0</v>
      </c>
      <c r="L20" s="129"/>
      <c r="M20" s="128"/>
    </row>
    <row r="21" spans="1:13" x14ac:dyDescent="0.35">
      <c r="A21" s="1"/>
      <c r="B21" s="47"/>
      <c r="C21" s="123"/>
      <c r="D21" s="123" t="s">
        <v>134</v>
      </c>
      <c r="E21" s="137" t="s">
        <v>65</v>
      </c>
      <c r="F21" s="123">
        <v>161825.04</v>
      </c>
      <c r="G21" s="64" t="s">
        <v>127</v>
      </c>
      <c r="H21" s="20">
        <v>6405.83</v>
      </c>
      <c r="I21" s="130">
        <v>20</v>
      </c>
      <c r="J21" s="85">
        <f>F21/I21</f>
        <v>8091.2520000000004</v>
      </c>
      <c r="K21" s="20">
        <f>J21-H21</f>
        <v>1685.4220000000005</v>
      </c>
      <c r="L21" s="129"/>
      <c r="M21" s="128"/>
    </row>
    <row r="22" spans="1:13" x14ac:dyDescent="0.35">
      <c r="A22" s="1"/>
      <c r="B22" s="47"/>
      <c r="C22" s="131"/>
      <c r="D22" s="131"/>
      <c r="E22" s="131"/>
      <c r="F22" s="123"/>
      <c r="G22" s="138"/>
      <c r="H22" s="85"/>
      <c r="I22" s="138"/>
      <c r="J22" s="85"/>
      <c r="K22" s="85"/>
      <c r="L22" s="129"/>
      <c r="M22" s="128"/>
    </row>
    <row r="23" spans="1:13" x14ac:dyDescent="0.35">
      <c r="A23" s="1"/>
      <c r="B23" s="47"/>
      <c r="C23" s="136" t="s">
        <v>135</v>
      </c>
      <c r="D23" s="123"/>
      <c r="E23" s="137"/>
      <c r="F23" s="123"/>
      <c r="G23" s="130"/>
      <c r="H23" s="85"/>
      <c r="I23" s="130"/>
      <c r="J23" s="85"/>
      <c r="K23" s="85"/>
      <c r="L23" s="129"/>
      <c r="M23" s="128"/>
    </row>
    <row r="24" spans="1:13" x14ac:dyDescent="0.35">
      <c r="A24" s="1"/>
      <c r="B24" s="47"/>
      <c r="C24" s="136"/>
      <c r="D24" s="123" t="s">
        <v>136</v>
      </c>
      <c r="E24" s="137" t="s">
        <v>65</v>
      </c>
      <c r="F24" s="363">
        <v>316065.75</v>
      </c>
      <c r="G24" s="64" t="s">
        <v>127</v>
      </c>
      <c r="H24" s="20">
        <v>6321.31</v>
      </c>
      <c r="I24" s="130">
        <v>50</v>
      </c>
      <c r="J24" s="20">
        <f>H24</f>
        <v>6321.31</v>
      </c>
      <c r="K24" s="20">
        <f>J24-H24</f>
        <v>0</v>
      </c>
      <c r="L24" s="129"/>
      <c r="M24" s="128"/>
    </row>
    <row r="25" spans="1:13" x14ac:dyDescent="0.35">
      <c r="A25" s="1"/>
      <c r="B25" s="47"/>
      <c r="C25" s="136"/>
      <c r="D25" s="123" t="s">
        <v>137</v>
      </c>
      <c r="E25" s="137" t="s">
        <v>65</v>
      </c>
      <c r="F25" s="363">
        <v>7822179.7999999998</v>
      </c>
      <c r="G25" s="64" t="s">
        <v>127</v>
      </c>
      <c r="H25" s="20">
        <v>125155</v>
      </c>
      <c r="I25" s="130">
        <v>62.5</v>
      </c>
      <c r="J25" s="20">
        <f t="shared" ref="J25:J32" si="2">F25/I25</f>
        <v>125154.8768</v>
      </c>
      <c r="K25" s="20">
        <f t="shared" ref="K25:K32" si="3">J25-H25</f>
        <v>-0.12320000000181608</v>
      </c>
      <c r="L25" s="129"/>
      <c r="M25" s="128"/>
    </row>
    <row r="26" spans="1:13" x14ac:dyDescent="0.35">
      <c r="A26" s="1"/>
      <c r="B26" s="47"/>
      <c r="C26" s="136"/>
      <c r="D26" s="123" t="s">
        <v>138</v>
      </c>
      <c r="E26" s="137" t="s">
        <v>65</v>
      </c>
      <c r="F26" s="363">
        <v>92373.31</v>
      </c>
      <c r="G26" s="64" t="s">
        <v>127</v>
      </c>
      <c r="H26" s="20">
        <v>2309.3200000000002</v>
      </c>
      <c r="I26" s="130">
        <v>45</v>
      </c>
      <c r="J26" s="20">
        <f t="shared" si="2"/>
        <v>2052.7402222222222</v>
      </c>
      <c r="K26" s="20">
        <f t="shared" si="3"/>
        <v>-256.57977777777796</v>
      </c>
      <c r="L26" s="129"/>
      <c r="M26" s="128"/>
    </row>
    <row r="27" spans="1:13" x14ac:dyDescent="0.35">
      <c r="A27" s="1"/>
      <c r="B27" s="47"/>
      <c r="C27" s="136"/>
      <c r="D27" s="123" t="s">
        <v>139</v>
      </c>
      <c r="E27" s="137" t="s">
        <v>65</v>
      </c>
      <c r="F27" s="363">
        <v>1471904.58</v>
      </c>
      <c r="G27" s="64" t="s">
        <v>127</v>
      </c>
      <c r="H27" s="20">
        <v>36515.5</v>
      </c>
      <c r="I27" s="130">
        <v>15</v>
      </c>
      <c r="J27" s="20">
        <f t="shared" si="2"/>
        <v>98126.972000000009</v>
      </c>
      <c r="K27" s="20">
        <f t="shared" si="3"/>
        <v>61611.472000000009</v>
      </c>
      <c r="L27" s="129"/>
      <c r="M27" s="128"/>
    </row>
    <row r="28" spans="1:13" x14ac:dyDescent="0.35">
      <c r="A28" s="1"/>
      <c r="B28" s="47"/>
      <c r="C28" s="136"/>
      <c r="D28" s="123" t="s">
        <v>140</v>
      </c>
      <c r="E28" s="137"/>
      <c r="F28" s="363"/>
      <c r="G28" s="64"/>
      <c r="H28" s="20"/>
      <c r="I28" s="130">
        <v>20</v>
      </c>
      <c r="J28" s="20">
        <f t="shared" si="2"/>
        <v>0</v>
      </c>
      <c r="K28" s="20">
        <f t="shared" si="3"/>
        <v>0</v>
      </c>
      <c r="L28" s="129"/>
      <c r="M28" s="128"/>
    </row>
    <row r="29" spans="1:13" x14ac:dyDescent="0.35">
      <c r="A29" s="1"/>
      <c r="B29" s="47"/>
      <c r="C29" s="136"/>
      <c r="D29" s="123" t="s">
        <v>141</v>
      </c>
      <c r="E29" s="137"/>
      <c r="F29" s="363"/>
      <c r="G29" s="64"/>
      <c r="H29" s="20"/>
      <c r="I29" s="130">
        <v>37.5</v>
      </c>
      <c r="J29" s="20">
        <f t="shared" si="2"/>
        <v>0</v>
      </c>
      <c r="K29" s="20">
        <f t="shared" si="3"/>
        <v>0</v>
      </c>
      <c r="L29" s="129"/>
      <c r="M29" s="128"/>
    </row>
    <row r="30" spans="1:13" x14ac:dyDescent="0.35">
      <c r="A30" s="1"/>
      <c r="B30" s="47"/>
      <c r="C30" s="136"/>
      <c r="D30" s="123" t="s">
        <v>142</v>
      </c>
      <c r="E30" s="137"/>
      <c r="F30" s="363"/>
      <c r="G30" s="64"/>
      <c r="H30" s="20"/>
      <c r="I30" s="130">
        <v>40</v>
      </c>
      <c r="J30" s="20">
        <f t="shared" si="2"/>
        <v>0</v>
      </c>
      <c r="K30" s="20">
        <f t="shared" si="3"/>
        <v>0</v>
      </c>
      <c r="L30" s="129"/>
      <c r="M30" s="128"/>
    </row>
    <row r="31" spans="1:13" x14ac:dyDescent="0.35">
      <c r="A31" s="1"/>
      <c r="B31" s="47"/>
      <c r="C31" s="136"/>
      <c r="D31" s="123" t="s">
        <v>143</v>
      </c>
      <c r="E31" s="137" t="s">
        <v>65</v>
      </c>
      <c r="F31" s="363">
        <v>1649308.72</v>
      </c>
      <c r="G31" s="64" t="s">
        <v>127</v>
      </c>
      <c r="H31" s="20">
        <v>32986.18</v>
      </c>
      <c r="I31" s="130">
        <v>45</v>
      </c>
      <c r="J31" s="20">
        <f t="shared" si="2"/>
        <v>36651.304888888888</v>
      </c>
      <c r="K31" s="20">
        <f t="shared" si="3"/>
        <v>3665.1248888888877</v>
      </c>
      <c r="L31" s="129"/>
      <c r="M31" s="128"/>
    </row>
    <row r="32" spans="1:13" x14ac:dyDescent="0.35">
      <c r="A32" s="1"/>
      <c r="B32" s="47"/>
      <c r="C32" s="136"/>
      <c r="D32" s="123" t="s">
        <v>260</v>
      </c>
      <c r="E32" s="293"/>
      <c r="F32" s="363"/>
      <c r="G32" s="64"/>
      <c r="H32" s="20"/>
      <c r="I32" s="130">
        <v>15</v>
      </c>
      <c r="J32" s="20">
        <f t="shared" si="2"/>
        <v>0</v>
      </c>
      <c r="K32" s="20">
        <f t="shared" si="3"/>
        <v>0</v>
      </c>
      <c r="L32" s="129"/>
      <c r="M32" s="128"/>
    </row>
    <row r="33" spans="1:14" x14ac:dyDescent="0.35">
      <c r="A33" s="1"/>
      <c r="B33" s="47"/>
      <c r="C33" s="136"/>
      <c r="D33" s="1"/>
      <c r="E33" s="137"/>
      <c r="F33" s="123"/>
      <c r="G33" s="138"/>
      <c r="H33" s="85"/>
      <c r="I33" s="138"/>
      <c r="J33" s="85"/>
      <c r="K33" s="20"/>
      <c r="L33" s="129"/>
      <c r="M33" s="128"/>
    </row>
    <row r="34" spans="1:14" x14ac:dyDescent="0.35">
      <c r="A34" s="1"/>
      <c r="B34" s="47"/>
      <c r="C34" s="136" t="s">
        <v>144</v>
      </c>
      <c r="D34" s="1"/>
      <c r="E34" s="137"/>
      <c r="F34" s="123"/>
      <c r="G34" s="130"/>
      <c r="H34" s="85"/>
      <c r="I34" s="139"/>
      <c r="J34" s="85"/>
      <c r="K34" s="85"/>
      <c r="L34" s="129"/>
      <c r="M34" s="128"/>
    </row>
    <row r="35" spans="1:14" x14ac:dyDescent="0.35">
      <c r="A35" s="1"/>
      <c r="B35" s="47"/>
      <c r="C35" s="123"/>
      <c r="D35" s="1" t="s">
        <v>145</v>
      </c>
      <c r="E35" s="137" t="s">
        <v>259</v>
      </c>
      <c r="F35" s="123">
        <v>111822.72</v>
      </c>
      <c r="G35" s="64" t="s">
        <v>127</v>
      </c>
      <c r="H35" s="85">
        <v>15620.69</v>
      </c>
      <c r="I35" s="139">
        <v>7</v>
      </c>
      <c r="J35" s="85">
        <f>F35/I35</f>
        <v>15974.674285714285</v>
      </c>
      <c r="K35" s="85">
        <f>J35-H35</f>
        <v>353.98428571428485</v>
      </c>
      <c r="L35" s="129"/>
      <c r="M35" s="128"/>
    </row>
    <row r="36" spans="1:14" x14ac:dyDescent="0.35">
      <c r="A36" s="1"/>
      <c r="B36" s="47"/>
      <c r="C36" s="131"/>
      <c r="D36" s="131"/>
      <c r="E36" s="131"/>
      <c r="F36" s="123"/>
      <c r="G36" s="138"/>
      <c r="H36" s="85"/>
      <c r="I36" s="138"/>
      <c r="J36" s="85"/>
      <c r="K36" s="85"/>
      <c r="L36" s="129"/>
      <c r="M36" s="128"/>
    </row>
    <row r="37" spans="1:14" x14ac:dyDescent="0.35">
      <c r="A37" s="1"/>
      <c r="B37" s="47"/>
      <c r="C37" s="136" t="s">
        <v>146</v>
      </c>
      <c r="D37" s="123"/>
      <c r="E37" s="137"/>
      <c r="F37" s="123"/>
      <c r="G37" s="140"/>
      <c r="H37" s="85"/>
      <c r="I37" s="130"/>
      <c r="J37" s="85"/>
      <c r="K37" s="85"/>
      <c r="L37" s="129"/>
      <c r="M37" s="128"/>
    </row>
    <row r="38" spans="1:14" x14ac:dyDescent="0.35">
      <c r="A38" s="1"/>
      <c r="B38" s="47"/>
      <c r="C38" s="136"/>
      <c r="D38" s="1" t="s">
        <v>137</v>
      </c>
      <c r="E38" s="137"/>
      <c r="F38" s="123"/>
      <c r="G38" s="130"/>
      <c r="H38" s="85"/>
      <c r="I38" s="139">
        <v>62.5</v>
      </c>
      <c r="J38" s="85">
        <f>F38/I38</f>
        <v>0</v>
      </c>
      <c r="K38" s="85">
        <f>J38-H38</f>
        <v>0</v>
      </c>
      <c r="L38" s="129"/>
      <c r="M38" s="128"/>
    </row>
    <row r="39" spans="1:14" x14ac:dyDescent="0.35">
      <c r="A39" s="1"/>
      <c r="B39" s="47"/>
      <c r="C39" s="123"/>
      <c r="D39" s="123"/>
      <c r="E39" s="123"/>
      <c r="F39" s="364"/>
      <c r="G39" s="85"/>
      <c r="H39" s="141"/>
      <c r="I39" s="85"/>
      <c r="J39" s="130"/>
      <c r="K39" s="85"/>
      <c r="L39" s="129"/>
      <c r="M39" s="128"/>
    </row>
    <row r="40" spans="1:14" x14ac:dyDescent="0.35">
      <c r="A40" s="1"/>
      <c r="B40" s="47"/>
      <c r="C40" s="142" t="s">
        <v>271</v>
      </c>
      <c r="D40" s="1"/>
      <c r="E40" s="1"/>
      <c r="F40" s="142">
        <f>SUM(F11:F39)</f>
        <v>12265407.920000002</v>
      </c>
      <c r="G40" s="143"/>
      <c r="H40" s="144">
        <f>SUM(H11:H39)</f>
        <v>245134.58000000002</v>
      </c>
      <c r="I40" s="144"/>
      <c r="J40" s="144">
        <f>SUM(J11:J39)</f>
        <v>314089.50988253969</v>
      </c>
      <c r="K40" s="144">
        <f>SUM(K11:K39)</f>
        <v>68954.929882539684</v>
      </c>
      <c r="L40" s="129"/>
      <c r="M40" s="128"/>
      <c r="N40" s="18"/>
    </row>
    <row r="41" spans="1:14" x14ac:dyDescent="0.35">
      <c r="A41" s="1"/>
      <c r="B41" s="47"/>
      <c r="C41" s="142"/>
      <c r="D41" s="1"/>
      <c r="E41" s="1"/>
      <c r="F41" s="142"/>
      <c r="G41" s="143"/>
      <c r="H41" s="144"/>
      <c r="I41" s="144"/>
      <c r="J41" s="144"/>
      <c r="K41" s="144"/>
      <c r="L41" s="129"/>
      <c r="M41" s="128"/>
      <c r="N41" s="18"/>
    </row>
    <row r="42" spans="1:14" x14ac:dyDescent="0.35">
      <c r="A42" s="1"/>
      <c r="B42" s="47"/>
      <c r="C42" s="142"/>
      <c r="D42" s="1" t="s">
        <v>270</v>
      </c>
      <c r="E42" s="1"/>
      <c r="F42" s="142"/>
      <c r="G42" s="143"/>
      <c r="H42" s="144">
        <f>SAO!D49</f>
        <v>239075</v>
      </c>
      <c r="I42" s="144"/>
      <c r="J42" s="144">
        <f>J40</f>
        <v>314089.50988253969</v>
      </c>
      <c r="K42" s="144">
        <f>J42-H42</f>
        <v>75014.509882539685</v>
      </c>
      <c r="L42" s="129"/>
      <c r="M42" s="128"/>
      <c r="N42" s="18"/>
    </row>
    <row r="43" spans="1:14" x14ac:dyDescent="0.35">
      <c r="A43" s="1"/>
      <c r="B43" s="47"/>
      <c r="C43" s="142"/>
      <c r="D43" s="1"/>
      <c r="E43" s="1"/>
      <c r="F43" s="142"/>
      <c r="G43" s="143"/>
      <c r="H43" s="144"/>
      <c r="I43" s="144"/>
      <c r="J43" s="144"/>
      <c r="K43" s="144"/>
      <c r="L43" s="129"/>
      <c r="M43" s="128"/>
      <c r="N43" s="18"/>
    </row>
    <row r="44" spans="1:14" x14ac:dyDescent="0.35">
      <c r="A44" s="1"/>
      <c r="B44" s="80"/>
      <c r="C44" s="145"/>
      <c r="D44" s="145"/>
      <c r="E44" s="145"/>
      <c r="F44" s="145"/>
      <c r="G44" s="145"/>
      <c r="H44" s="146"/>
      <c r="I44" s="145"/>
      <c r="J44" s="146"/>
      <c r="K44" s="145"/>
      <c r="L44" s="147"/>
      <c r="M44" s="148"/>
    </row>
    <row r="45" spans="1:14" x14ac:dyDescent="0.35">
      <c r="A45" s="1"/>
      <c r="B45" s="1"/>
      <c r="C45" s="123"/>
      <c r="D45" s="123"/>
      <c r="E45" s="123"/>
      <c r="F45" s="123"/>
      <c r="G45" s="123"/>
      <c r="H45" s="22"/>
      <c r="I45" s="123"/>
      <c r="J45" s="22"/>
      <c r="K45" s="123"/>
      <c r="L45" s="123"/>
      <c r="M45" s="123"/>
    </row>
    <row r="46" spans="1:14" x14ac:dyDescent="0.35">
      <c r="D46" s="123" t="s">
        <v>147</v>
      </c>
    </row>
    <row r="47" spans="1:14" x14ac:dyDescent="0.35">
      <c r="D47" s="123"/>
    </row>
    <row r="48" spans="1:14" x14ac:dyDescent="0.35">
      <c r="D48" s="1"/>
    </row>
  </sheetData>
  <mergeCells count="3">
    <mergeCell ref="C3:K3"/>
    <mergeCell ref="C4:K4"/>
    <mergeCell ref="C5:K5"/>
  </mergeCells>
  <pageMargins left="0.7" right="0.7" top="0.75" bottom="0.75" header="0.3" footer="0.3"/>
  <pageSetup scale="76"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DE01A-77B9-4E58-A3DA-56EC2D8F36B3}">
  <sheetPr>
    <tabColor rgb="FF00B050"/>
  </sheetPr>
  <dimension ref="A2:F12"/>
  <sheetViews>
    <sheetView workbookViewId="0">
      <selection activeCell="A2" sqref="A2:E2"/>
    </sheetView>
  </sheetViews>
  <sheetFormatPr defaultRowHeight="15.5" x14ac:dyDescent="0.35"/>
  <cols>
    <col min="1" max="1" width="33.84375" bestFit="1" customWidth="1"/>
    <col min="2" max="2" width="11.53515625" customWidth="1"/>
    <col min="3" max="5" width="10.15234375" bestFit="1" customWidth="1"/>
    <col min="6" max="6" width="11.15234375" bestFit="1" customWidth="1"/>
  </cols>
  <sheetData>
    <row r="2" spans="1:6" x14ac:dyDescent="0.35">
      <c r="A2" s="447" t="s">
        <v>348</v>
      </c>
      <c r="B2" s="447"/>
      <c r="C2" s="447"/>
      <c r="D2" s="447"/>
      <c r="E2" s="447"/>
    </row>
    <row r="3" spans="1:6" x14ac:dyDescent="0.35">
      <c r="A3" s="447" t="s">
        <v>349</v>
      </c>
      <c r="B3" s="447"/>
      <c r="C3" s="447"/>
      <c r="D3" s="447"/>
      <c r="E3" s="447"/>
    </row>
    <row r="5" spans="1:6" x14ac:dyDescent="0.35">
      <c r="A5" s="338" t="s">
        <v>350</v>
      </c>
      <c r="B5" s="338"/>
    </row>
    <row r="6" spans="1:6" x14ac:dyDescent="0.35">
      <c r="B6" s="338"/>
    </row>
    <row r="7" spans="1:6" x14ac:dyDescent="0.35">
      <c r="B7" s="410" t="s">
        <v>342</v>
      </c>
    </row>
    <row r="8" spans="1:6" x14ac:dyDescent="0.35">
      <c r="A8" t="s">
        <v>343</v>
      </c>
      <c r="B8" s="412">
        <v>1500</v>
      </c>
    </row>
    <row r="9" spans="1:6" x14ac:dyDescent="0.35">
      <c r="A9" t="s">
        <v>344</v>
      </c>
      <c r="B9" s="412">
        <v>9650</v>
      </c>
    </row>
    <row r="10" spans="1:6" x14ac:dyDescent="0.35">
      <c r="A10" t="s">
        <v>345</v>
      </c>
      <c r="B10" s="412">
        <v>7384</v>
      </c>
      <c r="C10" s="461" t="s">
        <v>341</v>
      </c>
      <c r="D10" s="461"/>
      <c r="E10" s="461"/>
    </row>
    <row r="11" spans="1:6" x14ac:dyDescent="0.35">
      <c r="A11" t="s">
        <v>346</v>
      </c>
      <c r="B11" s="413">
        <v>-4870</v>
      </c>
      <c r="C11" s="410">
        <v>2023</v>
      </c>
      <c r="D11" s="410">
        <v>2024</v>
      </c>
      <c r="E11" s="410">
        <v>2025</v>
      </c>
    </row>
    <row r="12" spans="1:6" x14ac:dyDescent="0.35">
      <c r="A12" s="415" t="s">
        <v>347</v>
      </c>
      <c r="B12" s="409">
        <v>13664</v>
      </c>
      <c r="C12" s="414">
        <f>B12/3</f>
        <v>4554.666666666667</v>
      </c>
      <c r="D12" s="103">
        <f>B12/3</f>
        <v>4554.666666666667</v>
      </c>
      <c r="E12" s="103">
        <f>B12/3</f>
        <v>4554.666666666667</v>
      </c>
      <c r="F12" s="103"/>
    </row>
  </sheetData>
  <mergeCells count="3">
    <mergeCell ref="C10:E10"/>
    <mergeCell ref="A2:E2"/>
    <mergeCell ref="A3:E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GH41"/>
  <sheetViews>
    <sheetView showGridLines="0" workbookViewId="0">
      <selection sqref="A1:M42"/>
    </sheetView>
  </sheetViews>
  <sheetFormatPr defaultColWidth="8.84375" defaultRowHeight="14.5" x14ac:dyDescent="0.35"/>
  <cols>
    <col min="1" max="1" width="2.61328125" style="15" customWidth="1"/>
    <col min="2" max="2" width="1.765625" style="24" customWidth="1"/>
    <col min="3" max="3" width="4.61328125" style="24" customWidth="1"/>
    <col min="4" max="4" width="7.61328125" style="92" customWidth="1"/>
    <col min="5" max="5" width="10.61328125" style="233" customWidth="1"/>
    <col min="6" max="6" width="10.61328125" style="24" customWidth="1"/>
    <col min="7" max="7" width="12.61328125" style="24" customWidth="1"/>
    <col min="8" max="8" width="10.61328125" style="24" customWidth="1"/>
    <col min="9" max="9" width="9.69140625" style="81" customWidth="1"/>
    <col min="10" max="10" width="8.921875" style="24" customWidth="1"/>
    <col min="11" max="11" width="7.15234375" style="227" bestFit="1" customWidth="1"/>
    <col min="12" max="12" width="1.765625" style="24" customWidth="1"/>
    <col min="13" max="13" width="2.3046875" style="24" customWidth="1"/>
    <col min="14" max="190" width="9.69140625" style="24" customWidth="1"/>
    <col min="191" max="16384" width="8.84375" style="15"/>
  </cols>
  <sheetData>
    <row r="1" spans="2:190" ht="15" thickBot="1" x14ac:dyDescent="0.4"/>
    <row r="2" spans="2:190" x14ac:dyDescent="0.35">
      <c r="B2" s="237"/>
      <c r="C2" s="238"/>
      <c r="D2" s="239"/>
      <c r="E2" s="253"/>
      <c r="F2" s="238"/>
      <c r="G2" s="238"/>
      <c r="H2" s="238"/>
      <c r="I2" s="240"/>
      <c r="J2" s="238"/>
      <c r="K2" s="241"/>
      <c r="L2" s="242"/>
    </row>
    <row r="3" spans="2:190" ht="18.5" hidden="1" x14ac:dyDescent="0.45">
      <c r="B3" s="243"/>
      <c r="C3" s="463" t="s">
        <v>84</v>
      </c>
      <c r="D3" s="463"/>
      <c r="E3" s="463"/>
      <c r="F3" s="463"/>
      <c r="G3" s="463"/>
      <c r="H3" s="463"/>
      <c r="I3" s="463"/>
      <c r="J3" s="463"/>
      <c r="L3" s="244"/>
    </row>
    <row r="4" spans="2:190" ht="7.15" customHeight="1" x14ac:dyDescent="0.35">
      <c r="B4" s="243"/>
      <c r="L4" s="244"/>
    </row>
    <row r="5" spans="2:190" ht="18.5" x14ac:dyDescent="0.45">
      <c r="B5" s="243"/>
      <c r="C5" s="460" t="s">
        <v>56</v>
      </c>
      <c r="D5" s="460"/>
      <c r="E5" s="460"/>
      <c r="F5" s="460"/>
      <c r="G5" s="460"/>
      <c r="H5" s="460"/>
      <c r="I5" s="460"/>
      <c r="J5" s="460"/>
      <c r="L5" s="244"/>
    </row>
    <row r="6" spans="2:190" ht="18" customHeight="1" x14ac:dyDescent="0.35">
      <c r="B6" s="243"/>
      <c r="C6" s="455" t="str">
        <f>SAO!A2</f>
        <v>East Daviess County Water Association</v>
      </c>
      <c r="D6" s="455"/>
      <c r="E6" s="455"/>
      <c r="F6" s="455"/>
      <c r="G6" s="455"/>
      <c r="H6" s="455"/>
      <c r="I6" s="455"/>
      <c r="J6" s="455"/>
      <c r="L6" s="244"/>
    </row>
    <row r="7" spans="2:190" ht="6" customHeight="1" x14ac:dyDescent="0.35">
      <c r="B7" s="243"/>
      <c r="L7" s="244"/>
    </row>
    <row r="8" spans="2:190" ht="14.25" customHeight="1" x14ac:dyDescent="0.35">
      <c r="B8" s="243"/>
      <c r="C8" s="77" t="s">
        <v>194</v>
      </c>
      <c r="D8" s="232"/>
      <c r="E8" s="254"/>
      <c r="F8" s="462" t="s">
        <v>190</v>
      </c>
      <c r="G8" s="462"/>
      <c r="H8" s="462" t="s">
        <v>11</v>
      </c>
      <c r="I8" s="462"/>
      <c r="J8" s="462" t="s">
        <v>67</v>
      </c>
      <c r="K8" s="462"/>
      <c r="L8" s="245"/>
      <c r="GH8" s="15"/>
    </row>
    <row r="9" spans="2:190" ht="17.25" customHeight="1" x14ac:dyDescent="0.35">
      <c r="B9" s="243"/>
      <c r="C9" s="90" t="s">
        <v>197</v>
      </c>
      <c r="D9" s="4">
        <v>2000</v>
      </c>
      <c r="E9" s="91" t="s">
        <v>196</v>
      </c>
      <c r="F9" s="235">
        <v>19.68</v>
      </c>
      <c r="G9" s="46" t="s">
        <v>111</v>
      </c>
      <c r="H9" s="46">
        <f>ROUND(F9*(1+'Revenue Requirements'!$G$14),2)</f>
        <v>21.5</v>
      </c>
      <c r="I9" s="81" t="s">
        <v>111</v>
      </c>
      <c r="J9" s="46">
        <f>H9-F9</f>
        <v>1.8200000000000003</v>
      </c>
      <c r="K9" s="65">
        <f>J9/F9</f>
        <v>9.2479674796747985E-2</v>
      </c>
      <c r="L9" s="245"/>
      <c r="GH9" s="15"/>
    </row>
    <row r="10" spans="2:190" ht="14.25" customHeight="1" x14ac:dyDescent="0.35">
      <c r="B10" s="243"/>
      <c r="C10" s="90" t="s">
        <v>198</v>
      </c>
      <c r="D10" s="4">
        <v>4000</v>
      </c>
      <c r="E10" s="91" t="s">
        <v>196</v>
      </c>
      <c r="F10" s="236">
        <v>7.1700000000000002E-3</v>
      </c>
      <c r="G10" s="46" t="s">
        <v>195</v>
      </c>
      <c r="H10" s="231">
        <f>ROUND(F10*(1+'Revenue Requirements'!$G$14),5)</f>
        <v>7.8300000000000002E-3</v>
      </c>
      <c r="I10" s="81" t="s">
        <v>195</v>
      </c>
      <c r="J10" s="231">
        <f>H10-F10</f>
        <v>6.6E-4</v>
      </c>
      <c r="K10" s="65">
        <f t="shared" ref="K10:K12" si="0">J10/F10</f>
        <v>9.2050209205020925E-2</v>
      </c>
      <c r="L10" s="245"/>
      <c r="GH10" s="15"/>
    </row>
    <row r="11" spans="2:190" ht="14.25" customHeight="1" x14ac:dyDescent="0.35">
      <c r="B11" s="246"/>
      <c r="C11" s="90" t="s">
        <v>198</v>
      </c>
      <c r="D11" s="4">
        <v>44000</v>
      </c>
      <c r="E11" s="91" t="s">
        <v>196</v>
      </c>
      <c r="F11" s="236">
        <v>6.0800000000000003E-3</v>
      </c>
      <c r="G11" s="46" t="s">
        <v>195</v>
      </c>
      <c r="H11" s="231">
        <f>ROUND(F11*(1+'Revenue Requirements'!$G$14),5)</f>
        <v>6.6400000000000001E-3</v>
      </c>
      <c r="I11" s="81" t="s">
        <v>195</v>
      </c>
      <c r="J11" s="231">
        <f t="shared" ref="J11:J12" si="1">H11-F11</f>
        <v>5.5999999999999973E-4</v>
      </c>
      <c r="K11" s="65">
        <f t="shared" si="0"/>
        <v>9.210526315789469E-2</v>
      </c>
      <c r="L11" s="245"/>
      <c r="GH11" s="15"/>
    </row>
    <row r="12" spans="2:190" ht="15" customHeight="1" x14ac:dyDescent="0.35">
      <c r="B12" s="243"/>
      <c r="C12" s="234" t="s">
        <v>199</v>
      </c>
      <c r="D12" s="95">
        <v>50000</v>
      </c>
      <c r="E12" s="233" t="s">
        <v>196</v>
      </c>
      <c r="F12" s="236">
        <v>5.28E-3</v>
      </c>
      <c r="G12" s="46" t="s">
        <v>195</v>
      </c>
      <c r="H12" s="231">
        <f>ROUND(F12*(1+'Revenue Requirements'!$G$14),5)</f>
        <v>5.77E-3</v>
      </c>
      <c r="I12" s="81" t="s">
        <v>195</v>
      </c>
      <c r="J12" s="231">
        <f t="shared" si="1"/>
        <v>4.8999999999999998E-4</v>
      </c>
      <c r="K12" s="65">
        <f t="shared" si="0"/>
        <v>9.2803030303030304E-2</v>
      </c>
      <c r="L12" s="245"/>
      <c r="GH12" s="15"/>
    </row>
    <row r="13" spans="2:190" ht="15" customHeight="1" x14ac:dyDescent="0.35">
      <c r="B13" s="243"/>
      <c r="C13" s="74"/>
      <c r="D13" s="95"/>
      <c r="F13" s="75"/>
      <c r="G13" s="74"/>
      <c r="H13" s="46"/>
      <c r="I13" s="82"/>
      <c r="J13" s="46"/>
      <c r="K13" s="65"/>
      <c r="L13" s="245"/>
      <c r="GH13" s="15"/>
    </row>
    <row r="14" spans="2:190" ht="15" customHeight="1" x14ac:dyDescent="0.35">
      <c r="B14" s="243"/>
      <c r="C14" s="77" t="s">
        <v>200</v>
      </c>
      <c r="D14" s="232"/>
      <c r="E14" s="254"/>
      <c r="F14" s="462" t="s">
        <v>190</v>
      </c>
      <c r="G14" s="462"/>
      <c r="H14" s="462" t="s">
        <v>11</v>
      </c>
      <c r="I14" s="462"/>
      <c r="J14" s="462" t="s">
        <v>67</v>
      </c>
      <c r="K14" s="462"/>
      <c r="L14" s="245"/>
      <c r="GH14" s="15"/>
    </row>
    <row r="15" spans="2:190" ht="15" customHeight="1" x14ac:dyDescent="0.35">
      <c r="B15" s="243"/>
      <c r="C15" s="90" t="s">
        <v>197</v>
      </c>
      <c r="D15" s="4">
        <v>3000</v>
      </c>
      <c r="E15" s="91" t="s">
        <v>196</v>
      </c>
      <c r="F15" s="235">
        <v>26.85</v>
      </c>
      <c r="G15" s="46" t="s">
        <v>111</v>
      </c>
      <c r="H15" s="46">
        <f>ROUND(F15*(1+'Revenue Requirements'!$G$14),2)</f>
        <v>29.34</v>
      </c>
      <c r="I15" s="81" t="s">
        <v>111</v>
      </c>
      <c r="J15" s="46">
        <f>H15-F15</f>
        <v>2.4899999999999984</v>
      </c>
      <c r="K15" s="65">
        <f>J15/F15</f>
        <v>9.2737430167597695E-2</v>
      </c>
      <c r="L15" s="245"/>
      <c r="GH15" s="15"/>
    </row>
    <row r="16" spans="2:190" ht="15" customHeight="1" x14ac:dyDescent="0.35">
      <c r="B16" s="243"/>
      <c r="C16" s="90" t="s">
        <v>198</v>
      </c>
      <c r="D16" s="4">
        <v>3000</v>
      </c>
      <c r="E16" s="91" t="s">
        <v>196</v>
      </c>
      <c r="F16" s="236">
        <v>7.1700000000000002E-3</v>
      </c>
      <c r="G16" s="46" t="s">
        <v>195</v>
      </c>
      <c r="H16" s="231">
        <f>ROUND(F16*(1+'Revenue Requirements'!$G$14),5)</f>
        <v>7.8300000000000002E-3</v>
      </c>
      <c r="I16" s="81" t="s">
        <v>195</v>
      </c>
      <c r="J16" s="231">
        <f t="shared" ref="J16:J18" si="2">H16-F16</f>
        <v>6.6E-4</v>
      </c>
      <c r="K16" s="65">
        <f t="shared" ref="K16:K18" si="3">J16/F16</f>
        <v>9.2050209205020925E-2</v>
      </c>
      <c r="L16" s="245"/>
      <c r="GH16" s="15"/>
    </row>
    <row r="17" spans="2:190" ht="15" customHeight="1" x14ac:dyDescent="0.35">
      <c r="B17" s="243"/>
      <c r="C17" s="90" t="s">
        <v>198</v>
      </c>
      <c r="D17" s="4">
        <v>44000</v>
      </c>
      <c r="E17" s="91" t="s">
        <v>196</v>
      </c>
      <c r="F17" s="236">
        <v>6.0800000000000003E-3</v>
      </c>
      <c r="G17" s="46" t="s">
        <v>195</v>
      </c>
      <c r="H17" s="231">
        <f>ROUND(F17*(1+'Revenue Requirements'!$G$14),5)</f>
        <v>6.6400000000000001E-3</v>
      </c>
      <c r="I17" s="81" t="s">
        <v>195</v>
      </c>
      <c r="J17" s="231">
        <f t="shared" si="2"/>
        <v>5.5999999999999973E-4</v>
      </c>
      <c r="K17" s="65">
        <f t="shared" si="3"/>
        <v>9.210526315789469E-2</v>
      </c>
      <c r="L17" s="245"/>
      <c r="GH17" s="15"/>
    </row>
    <row r="18" spans="2:190" ht="14.25" customHeight="1" x14ac:dyDescent="0.35">
      <c r="B18" s="243"/>
      <c r="C18" s="234" t="s">
        <v>199</v>
      </c>
      <c r="D18" s="95">
        <v>50000</v>
      </c>
      <c r="E18" s="233" t="s">
        <v>196</v>
      </c>
      <c r="F18" s="236">
        <v>5.28E-3</v>
      </c>
      <c r="G18" s="46" t="s">
        <v>195</v>
      </c>
      <c r="H18" s="231">
        <f>ROUND(F18*(1+'Revenue Requirements'!$G$14),5)</f>
        <v>5.77E-3</v>
      </c>
      <c r="I18" s="81" t="s">
        <v>195</v>
      </c>
      <c r="J18" s="231">
        <f t="shared" si="2"/>
        <v>4.8999999999999998E-4</v>
      </c>
      <c r="K18" s="65">
        <f t="shared" si="3"/>
        <v>9.2803030303030304E-2</v>
      </c>
      <c r="L18" s="244"/>
      <c r="GH18" s="15"/>
    </row>
    <row r="19" spans="2:190" ht="14.25" customHeight="1" x14ac:dyDescent="0.35">
      <c r="B19" s="243"/>
      <c r="C19" s="77"/>
      <c r="D19" s="232"/>
      <c r="E19" s="254"/>
      <c r="F19" s="79"/>
      <c r="G19" s="1"/>
      <c r="H19" s="46"/>
      <c r="I19" s="1"/>
      <c r="J19" s="46"/>
      <c r="K19" s="65"/>
      <c r="L19" s="244"/>
      <c r="GH19" s="15"/>
    </row>
    <row r="20" spans="2:190" ht="14.25" customHeight="1" x14ac:dyDescent="0.35">
      <c r="B20" s="243"/>
      <c r="C20" s="77" t="s">
        <v>112</v>
      </c>
      <c r="D20" s="232"/>
      <c r="E20" s="254"/>
      <c r="F20" s="462" t="s">
        <v>190</v>
      </c>
      <c r="G20" s="462"/>
      <c r="H20" s="462" t="s">
        <v>11</v>
      </c>
      <c r="I20" s="462"/>
      <c r="J20" s="462" t="s">
        <v>67</v>
      </c>
      <c r="K20" s="462"/>
      <c r="L20" s="244"/>
      <c r="GH20" s="15"/>
    </row>
    <row r="21" spans="2:190" ht="14.25" customHeight="1" x14ac:dyDescent="0.35">
      <c r="B21" s="243"/>
      <c r="C21" s="90" t="s">
        <v>197</v>
      </c>
      <c r="D21" s="4">
        <v>6000</v>
      </c>
      <c r="E21" s="91" t="s">
        <v>196</v>
      </c>
      <c r="F21" s="235">
        <v>48.36</v>
      </c>
      <c r="G21" s="46" t="s">
        <v>111</v>
      </c>
      <c r="H21" s="46">
        <f>ROUND(F21*(1+'Revenue Requirements'!$G$14),2)</f>
        <v>52.84</v>
      </c>
      <c r="I21" s="81" t="s">
        <v>111</v>
      </c>
      <c r="J21" s="46">
        <f>H21-F21</f>
        <v>4.480000000000004</v>
      </c>
      <c r="K21" s="65">
        <f>J21/F21</f>
        <v>9.263854425144756E-2</v>
      </c>
      <c r="L21" s="244"/>
      <c r="GH21" s="15"/>
    </row>
    <row r="22" spans="2:190" ht="14.25" customHeight="1" x14ac:dyDescent="0.35">
      <c r="B22" s="243"/>
      <c r="C22" s="90" t="s">
        <v>198</v>
      </c>
      <c r="D22" s="4">
        <v>44000</v>
      </c>
      <c r="E22" s="91" t="s">
        <v>196</v>
      </c>
      <c r="F22" s="236">
        <f>F11</f>
        <v>6.0800000000000003E-3</v>
      </c>
      <c r="G22" s="46" t="s">
        <v>195</v>
      </c>
      <c r="H22" s="231">
        <f>ROUND(F22*(1+'Revenue Requirements'!$G$14),5)</f>
        <v>6.6400000000000001E-3</v>
      </c>
      <c r="I22" s="81" t="s">
        <v>195</v>
      </c>
      <c r="J22" s="231">
        <f t="shared" ref="J22:J23" si="4">H22-F22</f>
        <v>5.5999999999999973E-4</v>
      </c>
      <c r="K22" s="65">
        <f t="shared" ref="K22:K23" si="5">J22/F22</f>
        <v>9.210526315789469E-2</v>
      </c>
      <c r="L22" s="244"/>
      <c r="GH22" s="15"/>
    </row>
    <row r="23" spans="2:190" x14ac:dyDescent="0.35">
      <c r="B23" s="243"/>
      <c r="C23" s="234" t="s">
        <v>199</v>
      </c>
      <c r="D23" s="95">
        <v>50000</v>
      </c>
      <c r="E23" s="233" t="s">
        <v>196</v>
      </c>
      <c r="F23" s="236">
        <f>F12</f>
        <v>5.28E-3</v>
      </c>
      <c r="G23" s="46" t="s">
        <v>195</v>
      </c>
      <c r="H23" s="231">
        <f>ROUND(F23*(1+'Revenue Requirements'!$G$14),5)</f>
        <v>5.77E-3</v>
      </c>
      <c r="I23" s="81" t="s">
        <v>195</v>
      </c>
      <c r="J23" s="231">
        <f t="shared" si="4"/>
        <v>4.8999999999999998E-4</v>
      </c>
      <c r="K23" s="65">
        <f t="shared" si="5"/>
        <v>9.2803030303030304E-2</v>
      </c>
      <c r="L23" s="244"/>
    </row>
    <row r="24" spans="2:190" x14ac:dyDescent="0.35">
      <c r="B24" s="243"/>
      <c r="L24" s="244"/>
    </row>
    <row r="25" spans="2:190" x14ac:dyDescent="0.35">
      <c r="B25" s="243"/>
      <c r="C25" s="77" t="s">
        <v>113</v>
      </c>
      <c r="D25" s="232"/>
      <c r="E25" s="254"/>
      <c r="F25" s="462" t="s">
        <v>190</v>
      </c>
      <c r="G25" s="462"/>
      <c r="H25" s="462" t="s">
        <v>11</v>
      </c>
      <c r="I25" s="462"/>
      <c r="J25" s="462" t="s">
        <v>67</v>
      </c>
      <c r="K25" s="462"/>
      <c r="L25" s="244"/>
    </row>
    <row r="26" spans="2:190" x14ac:dyDescent="0.35">
      <c r="B26" s="243"/>
      <c r="C26" s="90" t="s">
        <v>197</v>
      </c>
      <c r="D26" s="4">
        <v>10000</v>
      </c>
      <c r="E26" s="91" t="s">
        <v>196</v>
      </c>
      <c r="F26" s="235">
        <v>72.680000000000007</v>
      </c>
      <c r="G26" s="46" t="s">
        <v>111</v>
      </c>
      <c r="H26" s="46">
        <f>ROUND(F26*(1+'Revenue Requirements'!$G$14),2)</f>
        <v>79.42</v>
      </c>
      <c r="I26" s="81" t="s">
        <v>111</v>
      </c>
      <c r="J26" s="46">
        <f>H26-F26</f>
        <v>6.7399999999999949</v>
      </c>
      <c r="K26" s="65">
        <f>J26/F26</f>
        <v>9.273527793065485E-2</v>
      </c>
      <c r="L26" s="244"/>
    </row>
    <row r="27" spans="2:190" x14ac:dyDescent="0.35">
      <c r="B27" s="243"/>
      <c r="C27" s="90" t="s">
        <v>198</v>
      </c>
      <c r="D27" s="4">
        <v>40000</v>
      </c>
      <c r="E27" s="91" t="s">
        <v>196</v>
      </c>
      <c r="F27" s="236">
        <f>F22</f>
        <v>6.0800000000000003E-3</v>
      </c>
      <c r="G27" s="46" t="s">
        <v>195</v>
      </c>
      <c r="H27" s="231">
        <f>ROUND(F27*(1+'Revenue Requirements'!$G$14),5)</f>
        <v>6.6400000000000001E-3</v>
      </c>
      <c r="I27" s="81" t="s">
        <v>195</v>
      </c>
      <c r="J27" s="231">
        <f t="shared" ref="J27:J28" si="6">H27-F27</f>
        <v>5.5999999999999973E-4</v>
      </c>
      <c r="K27" s="65">
        <f t="shared" ref="K27:K28" si="7">J27/F27</f>
        <v>9.210526315789469E-2</v>
      </c>
      <c r="L27" s="244"/>
    </row>
    <row r="28" spans="2:190" x14ac:dyDescent="0.35">
      <c r="B28" s="243"/>
      <c r="C28" s="234" t="s">
        <v>199</v>
      </c>
      <c r="D28" s="95">
        <v>50000</v>
      </c>
      <c r="E28" s="233" t="s">
        <v>196</v>
      </c>
      <c r="F28" s="236">
        <f>F18</f>
        <v>5.28E-3</v>
      </c>
      <c r="G28" s="46" t="s">
        <v>195</v>
      </c>
      <c r="H28" s="231">
        <f>ROUND(F28*(1+'Revenue Requirements'!$G$14),5)</f>
        <v>5.77E-3</v>
      </c>
      <c r="I28" s="81" t="s">
        <v>195</v>
      </c>
      <c r="J28" s="231">
        <f t="shared" si="6"/>
        <v>4.8999999999999998E-4</v>
      </c>
      <c r="K28" s="65">
        <f t="shared" si="7"/>
        <v>9.2803030303030304E-2</v>
      </c>
      <c r="L28" s="244"/>
    </row>
    <row r="29" spans="2:190" x14ac:dyDescent="0.35">
      <c r="B29" s="243"/>
      <c r="L29" s="244"/>
    </row>
    <row r="30" spans="2:190" x14ac:dyDescent="0.35">
      <c r="B30" s="243"/>
      <c r="C30" s="77" t="s">
        <v>114</v>
      </c>
      <c r="D30" s="232"/>
      <c r="E30" s="254"/>
      <c r="F30" s="462" t="s">
        <v>190</v>
      </c>
      <c r="G30" s="462"/>
      <c r="H30" s="462" t="s">
        <v>11</v>
      </c>
      <c r="I30" s="462"/>
      <c r="J30" s="462" t="s">
        <v>67</v>
      </c>
      <c r="K30" s="462"/>
      <c r="L30" s="244"/>
    </row>
    <row r="31" spans="2:190" x14ac:dyDescent="0.35">
      <c r="B31" s="243"/>
      <c r="C31" s="90" t="s">
        <v>197</v>
      </c>
      <c r="D31" s="4">
        <v>20000</v>
      </c>
      <c r="E31" s="91" t="s">
        <v>196</v>
      </c>
      <c r="F31" s="235">
        <v>133.47999999999999</v>
      </c>
      <c r="G31" s="46" t="s">
        <v>111</v>
      </c>
      <c r="H31" s="46">
        <f>ROUND(F31*(1+'Revenue Requirements'!$G$14),2)</f>
        <v>145.86000000000001</v>
      </c>
      <c r="I31" s="81" t="s">
        <v>111</v>
      </c>
      <c r="J31" s="46">
        <f>H31-F31</f>
        <v>12.380000000000024</v>
      </c>
      <c r="K31" s="65">
        <f>J31/F31</f>
        <v>9.2747977225052625E-2</v>
      </c>
      <c r="L31" s="244"/>
    </row>
    <row r="32" spans="2:190" x14ac:dyDescent="0.35">
      <c r="B32" s="243"/>
      <c r="C32" s="90" t="s">
        <v>198</v>
      </c>
      <c r="D32" s="4">
        <v>30000</v>
      </c>
      <c r="E32" s="91" t="s">
        <v>196</v>
      </c>
      <c r="F32" s="236">
        <f>F27</f>
        <v>6.0800000000000003E-3</v>
      </c>
      <c r="G32" s="46" t="s">
        <v>195</v>
      </c>
      <c r="H32" s="231">
        <f>ROUND(F32*(1+'Revenue Requirements'!$G$14),5)</f>
        <v>6.6400000000000001E-3</v>
      </c>
      <c r="I32" s="81" t="s">
        <v>195</v>
      </c>
      <c r="J32" s="231">
        <f t="shared" ref="J32:J33" si="8">H32-F32</f>
        <v>5.5999999999999973E-4</v>
      </c>
      <c r="K32" s="65">
        <f t="shared" ref="K32:K33" si="9">J32/F32</f>
        <v>9.210526315789469E-2</v>
      </c>
      <c r="L32" s="244"/>
    </row>
    <row r="33" spans="2:12" x14ac:dyDescent="0.35">
      <c r="B33" s="243"/>
      <c r="C33" s="234" t="s">
        <v>199</v>
      </c>
      <c r="D33" s="95">
        <v>50000</v>
      </c>
      <c r="E33" s="233" t="s">
        <v>196</v>
      </c>
      <c r="F33" s="236">
        <f>F28</f>
        <v>5.28E-3</v>
      </c>
      <c r="G33" s="46" t="s">
        <v>195</v>
      </c>
      <c r="H33" s="231">
        <f>ROUND(F33*(1+'Revenue Requirements'!$G$14),5)</f>
        <v>5.77E-3</v>
      </c>
      <c r="I33" s="81" t="s">
        <v>195</v>
      </c>
      <c r="J33" s="231">
        <f t="shared" si="8"/>
        <v>4.8999999999999998E-4</v>
      </c>
      <c r="K33" s="65">
        <f t="shared" si="9"/>
        <v>9.2803030303030304E-2</v>
      </c>
      <c r="L33" s="244"/>
    </row>
    <row r="34" spans="2:12" x14ac:dyDescent="0.35">
      <c r="B34" s="243"/>
      <c r="C34" s="234"/>
      <c r="D34" s="95"/>
      <c r="F34" s="236"/>
      <c r="G34" s="46"/>
      <c r="H34" s="231"/>
      <c r="J34" s="231"/>
      <c r="K34" s="65"/>
      <c r="L34" s="244"/>
    </row>
    <row r="35" spans="2:12" x14ac:dyDescent="0.35">
      <c r="B35" s="243"/>
      <c r="C35" s="77" t="s">
        <v>251</v>
      </c>
      <c r="D35" s="232"/>
      <c r="E35" s="254"/>
      <c r="F35" s="462" t="s">
        <v>190</v>
      </c>
      <c r="G35" s="462"/>
      <c r="H35" s="462" t="s">
        <v>11</v>
      </c>
      <c r="I35" s="462"/>
      <c r="J35" s="462" t="s">
        <v>67</v>
      </c>
      <c r="K35" s="462"/>
      <c r="L35" s="244"/>
    </row>
    <row r="36" spans="2:12" x14ac:dyDescent="0.35">
      <c r="B36" s="243"/>
      <c r="C36" s="90"/>
      <c r="D36" s="4"/>
      <c r="E36" s="91"/>
      <c r="F36" s="236">
        <v>4.1799999999999997E-3</v>
      </c>
      <c r="G36" s="46" t="s">
        <v>195</v>
      </c>
      <c r="H36" s="231">
        <f>ROUNDUP(F36*(1+'Revenue Requirements'!$G$14),5)</f>
        <v>4.5699999999999994E-3</v>
      </c>
      <c r="I36" s="46" t="s">
        <v>195</v>
      </c>
      <c r="J36" s="231">
        <f>H36-F36</f>
        <v>3.8999999999999972E-4</v>
      </c>
      <c r="K36" s="65">
        <f>J36/F36</f>
        <v>9.330143540669851E-2</v>
      </c>
      <c r="L36" s="244"/>
    </row>
    <row r="37" spans="2:12" ht="3" customHeight="1" x14ac:dyDescent="0.35">
      <c r="B37" s="243"/>
      <c r="L37" s="244"/>
    </row>
    <row r="38" spans="2:12" ht="3" customHeight="1" x14ac:dyDescent="0.35">
      <c r="B38" s="243"/>
      <c r="L38" s="244"/>
    </row>
    <row r="39" spans="2:12" x14ac:dyDescent="0.35">
      <c r="B39" s="243"/>
      <c r="C39" s="77" t="s">
        <v>239</v>
      </c>
      <c r="D39" s="232"/>
      <c r="E39" s="254"/>
      <c r="F39" s="462" t="s">
        <v>190</v>
      </c>
      <c r="G39" s="462"/>
      <c r="H39" s="462" t="s">
        <v>11</v>
      </c>
      <c r="I39" s="462"/>
      <c r="J39" s="462" t="s">
        <v>67</v>
      </c>
      <c r="K39" s="462"/>
      <c r="L39" s="244"/>
    </row>
    <row r="40" spans="2:12" x14ac:dyDescent="0.35">
      <c r="B40" s="243"/>
      <c r="C40" s="90"/>
      <c r="D40" s="4"/>
      <c r="E40" s="91"/>
      <c r="F40" s="236">
        <v>3.48E-3</v>
      </c>
      <c r="G40" s="46" t="s">
        <v>195</v>
      </c>
      <c r="H40" s="331">
        <f>ROUND(F40*(1+'Revenue Requirements'!$G$14),5)</f>
        <v>3.8E-3</v>
      </c>
      <c r="I40" s="46" t="s">
        <v>195</v>
      </c>
      <c r="J40" s="231">
        <f>H40-F40</f>
        <v>3.1999999999999997E-4</v>
      </c>
      <c r="K40" s="65">
        <f>J40/F40</f>
        <v>9.1954022988505732E-2</v>
      </c>
      <c r="L40" s="244"/>
    </row>
    <row r="41" spans="2:12" ht="15" thickBot="1" x14ac:dyDescent="0.4">
      <c r="B41" s="247"/>
      <c r="C41" s="248"/>
      <c r="D41" s="249"/>
      <c r="E41" s="255"/>
      <c r="F41" s="248"/>
      <c r="G41" s="248"/>
      <c r="H41" s="248"/>
      <c r="I41" s="250"/>
      <c r="J41" s="248"/>
      <c r="K41" s="251"/>
      <c r="L41" s="252"/>
    </row>
  </sheetData>
  <mergeCells count="24">
    <mergeCell ref="C5:J5"/>
    <mergeCell ref="C6:J6"/>
    <mergeCell ref="C3:J3"/>
    <mergeCell ref="F8:G8"/>
    <mergeCell ref="H8:I8"/>
    <mergeCell ref="J8:K8"/>
    <mergeCell ref="F14:G14"/>
    <mergeCell ref="H14:I14"/>
    <mergeCell ref="J14:K14"/>
    <mergeCell ref="F20:G20"/>
    <mergeCell ref="H20:I20"/>
    <mergeCell ref="J20:K20"/>
    <mergeCell ref="F25:G25"/>
    <mergeCell ref="H25:I25"/>
    <mergeCell ref="J25:K25"/>
    <mergeCell ref="F30:G30"/>
    <mergeCell ref="H30:I30"/>
    <mergeCell ref="J30:K30"/>
    <mergeCell ref="F35:G35"/>
    <mergeCell ref="H35:I35"/>
    <mergeCell ref="J35:K35"/>
    <mergeCell ref="F39:G39"/>
    <mergeCell ref="H39:I39"/>
    <mergeCell ref="J39:K39"/>
  </mergeCells>
  <printOptions horizontalCentered="1" verticalCentered="1"/>
  <pageMargins left="0.5" right="0.5" top="0.75" bottom="0.75" header="0" footer="0"/>
  <pageSetup scale="6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9B43C-08DA-4F35-AF2D-4D6BA18A1447}">
  <sheetPr>
    <tabColor rgb="FF00B050"/>
    <pageSetUpPr fitToPage="1"/>
  </sheetPr>
  <dimension ref="A1:M392"/>
  <sheetViews>
    <sheetView showGridLines="0" topLeftCell="A3" zoomScaleNormal="100" workbookViewId="0">
      <selection activeCell="A19" sqref="A19:XFD19"/>
    </sheetView>
  </sheetViews>
  <sheetFormatPr defaultColWidth="8.84375" defaultRowHeight="15.5" x14ac:dyDescent="0.35"/>
  <cols>
    <col min="1" max="1" width="7.765625" customWidth="1"/>
    <col min="2" max="2" width="8" style="96" customWidth="1"/>
    <col min="3" max="4" width="10.53515625" customWidth="1"/>
    <col min="5" max="6" width="12.61328125" customWidth="1"/>
    <col min="7" max="7" width="12.61328125" style="103" customWidth="1"/>
    <col min="8" max="8" width="12.61328125" customWidth="1"/>
    <col min="9" max="9" width="11.23046875"/>
    <col min="10" max="11" width="8.765625" customWidth="1"/>
    <col min="13" max="13" width="10.69140625" bestFit="1" customWidth="1"/>
  </cols>
  <sheetData>
    <row r="1" spans="1:13" ht="21" x14ac:dyDescent="0.5">
      <c r="A1" s="468" t="s">
        <v>233</v>
      </c>
      <c r="B1" s="468"/>
      <c r="C1" s="468"/>
      <c r="D1" s="468"/>
      <c r="E1" s="468"/>
      <c r="F1" s="468"/>
      <c r="G1" s="468"/>
      <c r="H1" s="1"/>
      <c r="I1" s="1"/>
      <c r="J1" s="1"/>
      <c r="K1" s="1"/>
      <c r="L1" s="1"/>
      <c r="M1" s="1"/>
    </row>
    <row r="2" spans="1:13" ht="21" x14ac:dyDescent="0.35">
      <c r="A2" s="444" t="s">
        <v>237</v>
      </c>
      <c r="B2" s="444"/>
      <c r="C2" s="444"/>
      <c r="D2" s="444"/>
      <c r="E2" s="444"/>
      <c r="F2" s="444"/>
      <c r="G2" s="444"/>
      <c r="H2" s="1"/>
      <c r="I2" s="1"/>
      <c r="J2" s="1"/>
      <c r="K2" s="1"/>
      <c r="L2" s="1"/>
      <c r="M2" s="1"/>
    </row>
    <row r="3" spans="1:13" ht="18.5" x14ac:dyDescent="0.35">
      <c r="A3" s="28"/>
      <c r="B3" s="93"/>
      <c r="C3" s="28"/>
      <c r="D3" s="28"/>
      <c r="E3" s="28"/>
      <c r="F3" s="28"/>
      <c r="G3" s="98"/>
      <c r="H3" s="1"/>
      <c r="I3" s="1"/>
      <c r="J3" s="1"/>
      <c r="K3" s="1"/>
      <c r="L3" s="1"/>
      <c r="M3" s="1"/>
    </row>
    <row r="4" spans="1:13" x14ac:dyDescent="0.35">
      <c r="A4" s="87"/>
      <c r="B4" s="94"/>
      <c r="C4" s="88"/>
      <c r="D4" s="88"/>
      <c r="E4" s="88"/>
      <c r="F4" s="88"/>
      <c r="G4" s="99"/>
      <c r="H4" s="1"/>
      <c r="I4" s="1"/>
      <c r="J4" s="1"/>
      <c r="K4" s="1"/>
      <c r="L4" s="1"/>
      <c r="M4" s="1"/>
    </row>
    <row r="5" spans="1:13" x14ac:dyDescent="0.35">
      <c r="A5" s="1"/>
      <c r="B5" s="469" t="s">
        <v>49</v>
      </c>
      <c r="C5" s="469"/>
      <c r="D5" s="469"/>
      <c r="E5" s="469"/>
      <c r="F5" s="469"/>
      <c r="G5" s="469"/>
      <c r="H5" s="1"/>
      <c r="I5" s="1"/>
      <c r="J5" s="1"/>
      <c r="K5" s="1"/>
      <c r="L5" s="1"/>
      <c r="M5" s="1"/>
    </row>
    <row r="6" spans="1:13" s="1" customFormat="1" ht="14.5" x14ac:dyDescent="0.35">
      <c r="B6" s="4" t="s">
        <v>115</v>
      </c>
      <c r="C6" s="91"/>
      <c r="D6" s="295" t="s">
        <v>51</v>
      </c>
      <c r="E6" s="295" t="s">
        <v>52</v>
      </c>
      <c r="F6" s="84"/>
      <c r="G6" s="100" t="s">
        <v>55</v>
      </c>
    </row>
    <row r="7" spans="1:13" s="1" customFormat="1" ht="14.5" x14ac:dyDescent="0.35">
      <c r="B7" s="4" t="s">
        <v>209</v>
      </c>
      <c r="D7" s="123">
        <f>C34+C51+C67+C82+C97</f>
        <v>56964</v>
      </c>
      <c r="E7" s="123">
        <f>D29+D55+D70+D85+D100</f>
        <v>243563069</v>
      </c>
      <c r="F7" s="85"/>
      <c r="G7" s="21">
        <f>G38+G55+G70+G85+G100</f>
        <v>2123394</v>
      </c>
    </row>
    <row r="8" spans="1:13" s="1" customFormat="1" ht="16" x14ac:dyDescent="0.5">
      <c r="B8" s="4" t="s">
        <v>119</v>
      </c>
      <c r="C8" s="89"/>
      <c r="D8" s="97"/>
      <c r="E8" s="40"/>
      <c r="F8" s="40"/>
      <c r="G8" s="417">
        <v>-16537.240000000002</v>
      </c>
      <c r="H8" s="1" t="s">
        <v>248</v>
      </c>
    </row>
    <row r="9" spans="1:13" s="1" customFormat="1" ht="14.5" x14ac:dyDescent="0.35">
      <c r="B9" s="4" t="s">
        <v>120</v>
      </c>
      <c r="C9" s="89"/>
      <c r="D9" s="37"/>
      <c r="E9" s="85"/>
      <c r="F9" s="85"/>
      <c r="G9" s="21">
        <f>G7+G8</f>
        <v>2106856.7599999998</v>
      </c>
    </row>
    <row r="10" spans="1:13" s="1" customFormat="1" ht="16" hidden="1" x14ac:dyDescent="0.5">
      <c r="B10" s="340" t="s">
        <v>256</v>
      </c>
      <c r="C10" s="341"/>
      <c r="D10" s="342"/>
      <c r="E10" s="343"/>
      <c r="F10" s="343"/>
      <c r="G10" s="344">
        <f>SAO!D6</f>
        <v>1924243</v>
      </c>
      <c r="H10" s="345"/>
      <c r="I10" s="345"/>
      <c r="J10" s="345"/>
      <c r="K10" s="345"/>
    </row>
    <row r="11" spans="1:13" s="1" customFormat="1" ht="14.5" hidden="1" x14ac:dyDescent="0.35">
      <c r="B11" s="340"/>
      <c r="C11" s="341"/>
      <c r="D11" s="345"/>
      <c r="E11" s="346"/>
      <c r="F11" s="346"/>
      <c r="G11" s="351">
        <f>G9-G10</f>
        <v>182613.75999999978</v>
      </c>
      <c r="H11" s="345" t="s">
        <v>247</v>
      </c>
      <c r="I11" s="345"/>
      <c r="J11" s="345"/>
      <c r="K11" s="345"/>
    </row>
    <row r="12" spans="1:13" s="1" customFormat="1" ht="14.5" x14ac:dyDescent="0.35">
      <c r="B12" s="352"/>
      <c r="C12" s="353"/>
      <c r="D12" s="354"/>
      <c r="E12" s="355"/>
      <c r="F12" s="355"/>
      <c r="G12" s="356"/>
      <c r="H12" s="357"/>
      <c r="I12" s="357"/>
      <c r="J12" s="357"/>
      <c r="K12" s="357"/>
    </row>
    <row r="13" spans="1:13" s="1" customFormat="1" ht="14.5" x14ac:dyDescent="0.35">
      <c r="B13" s="4"/>
      <c r="C13" s="89"/>
      <c r="D13" s="295" t="s">
        <v>51</v>
      </c>
      <c r="E13" s="295" t="s">
        <v>52</v>
      </c>
      <c r="F13" s="85"/>
      <c r="G13" s="66"/>
    </row>
    <row r="14" spans="1:13" s="1" customFormat="1" ht="14.5" x14ac:dyDescent="0.35">
      <c r="B14" s="4" t="s">
        <v>210</v>
      </c>
      <c r="D14" s="123">
        <f>C110</f>
        <v>12</v>
      </c>
      <c r="E14" s="123">
        <f>D110</f>
        <v>6450941</v>
      </c>
      <c r="F14" s="85"/>
      <c r="G14" s="21">
        <f>G110</f>
        <v>22449</v>
      </c>
    </row>
    <row r="15" spans="1:13" s="1" customFormat="1" ht="16" hidden="1" x14ac:dyDescent="0.5">
      <c r="B15" s="340" t="s">
        <v>256</v>
      </c>
      <c r="C15" s="341"/>
      <c r="D15" s="342"/>
      <c r="E15" s="343"/>
      <c r="F15" s="343"/>
      <c r="G15" s="344">
        <f>SAO!D8</f>
        <v>17843</v>
      </c>
      <c r="H15" s="345"/>
      <c r="I15" s="345"/>
      <c r="J15" s="345"/>
      <c r="K15" s="345"/>
    </row>
    <row r="16" spans="1:13" s="1" customFormat="1" ht="14.5" hidden="1" x14ac:dyDescent="0.35">
      <c r="B16" s="340"/>
      <c r="C16" s="341"/>
      <c r="D16" s="345"/>
      <c r="E16" s="346"/>
      <c r="F16" s="346"/>
      <c r="G16" s="351">
        <f>G14-G15</f>
        <v>4606</v>
      </c>
      <c r="H16" s="345" t="s">
        <v>247</v>
      </c>
      <c r="I16" s="345"/>
      <c r="J16" s="345"/>
      <c r="K16" s="345"/>
    </row>
    <row r="17" spans="1:13" s="1" customFormat="1" ht="14.5" hidden="1" x14ac:dyDescent="0.35">
      <c r="B17" s="340"/>
      <c r="C17" s="341"/>
      <c r="D17" s="340"/>
      <c r="E17" s="346"/>
      <c r="F17" s="346"/>
      <c r="G17" s="347"/>
      <c r="H17" s="345"/>
      <c r="I17" s="345"/>
      <c r="J17" s="345"/>
      <c r="K17" s="345"/>
    </row>
    <row r="18" spans="1:13" s="1" customFormat="1" ht="14.5" x14ac:dyDescent="0.35">
      <c r="B18" s="4" t="s">
        <v>53</v>
      </c>
      <c r="C18" s="89"/>
      <c r="D18" s="4">
        <f>D7+D14</f>
        <v>56976</v>
      </c>
      <c r="E18" s="4">
        <f>E7+E14</f>
        <v>250014010</v>
      </c>
      <c r="F18" s="85"/>
      <c r="G18" s="4">
        <f>G9+G14</f>
        <v>2129305.7599999998</v>
      </c>
    </row>
    <row r="19" spans="1:13" s="1" customFormat="1" ht="14.5" hidden="1" x14ac:dyDescent="0.35">
      <c r="B19" s="340" t="s">
        <v>300</v>
      </c>
      <c r="C19" s="341"/>
      <c r="D19" s="340"/>
      <c r="E19" s="340"/>
      <c r="F19" s="346"/>
      <c r="G19" s="349">
        <f>G11+G16</f>
        <v>187219.75999999978</v>
      </c>
      <c r="M19" s="348" t="s">
        <v>254</v>
      </c>
    </row>
    <row r="20" spans="1:13" s="1" customFormat="1" ht="14.5" x14ac:dyDescent="0.35">
      <c r="B20" s="352"/>
      <c r="C20" s="353"/>
      <c r="D20" s="354"/>
      <c r="E20" s="355"/>
      <c r="F20" s="355"/>
      <c r="G20" s="356"/>
      <c r="H20" s="357"/>
      <c r="I20" s="357"/>
      <c r="J20" s="357"/>
      <c r="K20" s="357"/>
      <c r="M20" s="345">
        <v>234532</v>
      </c>
    </row>
    <row r="21" spans="1:13" s="1" customFormat="1" ht="15" thickBot="1" x14ac:dyDescent="0.4">
      <c r="B21" s="4"/>
      <c r="C21" s="89"/>
      <c r="D21" s="37"/>
      <c r="E21" s="85"/>
      <c r="F21" s="85"/>
      <c r="G21" s="44"/>
      <c r="M21" s="345">
        <v>6187</v>
      </c>
    </row>
    <row r="22" spans="1:13" s="1" customFormat="1" ht="14.5" x14ac:dyDescent="0.35">
      <c r="A22" s="267" t="s">
        <v>207</v>
      </c>
      <c r="B22" s="268"/>
      <c r="C22" s="269"/>
      <c r="D22" s="467" t="s">
        <v>203</v>
      </c>
      <c r="E22" s="467"/>
      <c r="F22" s="270"/>
      <c r="G22" s="282"/>
      <c r="H22" s="285"/>
      <c r="I22" s="283"/>
      <c r="M22" s="345">
        <v>5935</v>
      </c>
    </row>
    <row r="23" spans="1:13" s="1" customFormat="1" ht="14.5" x14ac:dyDescent="0.35">
      <c r="A23" s="271"/>
      <c r="B23" s="4"/>
      <c r="C23" s="89"/>
      <c r="D23" s="262"/>
      <c r="E23" s="90" t="s">
        <v>197</v>
      </c>
      <c r="F23" s="90" t="s">
        <v>198</v>
      </c>
      <c r="G23" s="90" t="s">
        <v>198</v>
      </c>
      <c r="H23" s="234" t="s">
        <v>199</v>
      </c>
      <c r="I23" s="272"/>
      <c r="M23" s="345">
        <v>6451</v>
      </c>
    </row>
    <row r="24" spans="1:13" s="1" customFormat="1" ht="14.5" x14ac:dyDescent="0.35">
      <c r="A24" s="246"/>
      <c r="B24" s="95" t="s">
        <v>50</v>
      </c>
      <c r="C24" s="84" t="s">
        <v>51</v>
      </c>
      <c r="D24" s="84" t="s">
        <v>52</v>
      </c>
      <c r="E24" s="263">
        <f>B25</f>
        <v>2000</v>
      </c>
      <c r="F24" s="263">
        <f>B26</f>
        <v>4000</v>
      </c>
      <c r="G24" s="263">
        <f>B27</f>
        <v>44000</v>
      </c>
      <c r="H24" s="264">
        <f>B28</f>
        <v>50000</v>
      </c>
      <c r="I24" s="273" t="s">
        <v>12</v>
      </c>
      <c r="M24" s="345">
        <f>SUM(M20:M23)</f>
        <v>253105</v>
      </c>
    </row>
    <row r="25" spans="1:13" s="1" customFormat="1" ht="14.4" customHeight="1" x14ac:dyDescent="0.35">
      <c r="A25" s="274" t="s">
        <v>197</v>
      </c>
      <c r="B25" s="4">
        <f>Rates!D9</f>
        <v>2000</v>
      </c>
      <c r="C25" s="20">
        <v>16816</v>
      </c>
      <c r="D25" s="4">
        <v>15726179</v>
      </c>
      <c r="E25" s="264">
        <f>D25</f>
        <v>15726179</v>
      </c>
      <c r="F25" s="264"/>
      <c r="G25" s="264"/>
      <c r="H25" s="264"/>
      <c r="I25" s="275">
        <f>SUM(E25:H25)</f>
        <v>15726179</v>
      </c>
      <c r="M25" s="345" t="s">
        <v>67</v>
      </c>
    </row>
    <row r="26" spans="1:13" s="1" customFormat="1" ht="14.4" customHeight="1" x14ac:dyDescent="0.35">
      <c r="A26" s="274" t="s">
        <v>198</v>
      </c>
      <c r="B26" s="4">
        <f>Rates!D10</f>
        <v>4000</v>
      </c>
      <c r="C26" s="20">
        <v>29926</v>
      </c>
      <c r="D26" s="4">
        <v>110066443</v>
      </c>
      <c r="E26" s="264">
        <f>C26*E24</f>
        <v>59852000</v>
      </c>
      <c r="F26" s="264">
        <f>D26-E26</f>
        <v>50214443</v>
      </c>
      <c r="G26" s="264"/>
      <c r="H26" s="264"/>
      <c r="I26" s="275">
        <f>SUM(E26:H26)</f>
        <v>110066443</v>
      </c>
      <c r="M26" s="346">
        <f>(M24*1000)-E19</f>
        <v>253105000</v>
      </c>
    </row>
    <row r="27" spans="1:13" s="1" customFormat="1" ht="14.4" customHeight="1" x14ac:dyDescent="0.35">
      <c r="A27" s="274" t="s">
        <v>198</v>
      </c>
      <c r="B27" s="4">
        <f>Rates!D11</f>
        <v>44000</v>
      </c>
      <c r="C27" s="20">
        <v>9542</v>
      </c>
      <c r="D27" s="4">
        <v>92377578</v>
      </c>
      <c r="E27" s="264">
        <f>C27*E24</f>
        <v>19084000</v>
      </c>
      <c r="F27" s="264">
        <f>C27*F24</f>
        <v>38168000</v>
      </c>
      <c r="G27" s="264">
        <f>D27-E27-F27</f>
        <v>35125578</v>
      </c>
      <c r="H27" s="264"/>
      <c r="I27" s="275">
        <f>SUM(E27:H27)</f>
        <v>92377578</v>
      </c>
    </row>
    <row r="28" spans="1:13" s="1" customFormat="1" ht="14.4" customHeight="1" x14ac:dyDescent="0.5">
      <c r="A28" s="277" t="s">
        <v>199</v>
      </c>
      <c r="B28" s="4">
        <f>Rates!D12</f>
        <v>50000</v>
      </c>
      <c r="C28" s="86">
        <v>61</v>
      </c>
      <c r="D28" s="40">
        <v>4958210</v>
      </c>
      <c r="E28" s="40">
        <f>C28*E24</f>
        <v>122000</v>
      </c>
      <c r="F28" s="40">
        <f>C28*F24</f>
        <v>244000</v>
      </c>
      <c r="G28" s="40">
        <f>C28*G24</f>
        <v>2684000</v>
      </c>
      <c r="H28" s="40">
        <f>D28-E28-F28-G28</f>
        <v>1908210</v>
      </c>
      <c r="I28" s="276">
        <f>SUM(E28:H28)</f>
        <v>4958210</v>
      </c>
    </row>
    <row r="29" spans="1:13" s="1" customFormat="1" ht="14.4" customHeight="1" x14ac:dyDescent="0.35">
      <c r="A29" s="274"/>
      <c r="B29" s="4"/>
      <c r="C29" s="20">
        <f t="shared" ref="C29:I29" si="0">SUM(C25:C28)</f>
        <v>56345</v>
      </c>
      <c r="D29" s="4">
        <f t="shared" si="0"/>
        <v>223128410</v>
      </c>
      <c r="E29" s="4">
        <f t="shared" si="0"/>
        <v>94784179</v>
      </c>
      <c r="F29" s="4">
        <f t="shared" si="0"/>
        <v>88626443</v>
      </c>
      <c r="G29" s="4">
        <f t="shared" si="0"/>
        <v>37809578</v>
      </c>
      <c r="H29" s="4">
        <f t="shared" si="0"/>
        <v>1908210</v>
      </c>
      <c r="I29" s="275">
        <f t="shared" si="0"/>
        <v>223128410</v>
      </c>
    </row>
    <row r="30" spans="1:13" s="1" customFormat="1" ht="14.4" customHeight="1" x14ac:dyDescent="0.35">
      <c r="A30" s="246"/>
      <c r="B30" s="4"/>
      <c r="C30" s="89"/>
      <c r="D30" s="37"/>
      <c r="E30" s="85"/>
      <c r="F30" s="85"/>
      <c r="G30" s="44"/>
      <c r="I30" s="272"/>
    </row>
    <row r="31" spans="1:13" s="1" customFormat="1" ht="14.4" customHeight="1" x14ac:dyDescent="0.35">
      <c r="A31" s="271" t="s">
        <v>206</v>
      </c>
      <c r="D31" s="465" t="s">
        <v>203</v>
      </c>
      <c r="E31" s="465"/>
      <c r="F31" s="115"/>
      <c r="G31" s="115"/>
      <c r="H31" s="4"/>
      <c r="I31" s="291"/>
    </row>
    <row r="32" spans="1:13" s="1" customFormat="1" ht="14.4" customHeight="1" x14ac:dyDescent="0.35">
      <c r="A32" s="271"/>
      <c r="D32" s="262"/>
      <c r="E32" s="262"/>
      <c r="F32" s="115"/>
      <c r="G32" s="115"/>
      <c r="H32" s="4"/>
      <c r="I32" s="291"/>
    </row>
    <row r="33" spans="1:9" s="1" customFormat="1" ht="14.4" customHeight="1" x14ac:dyDescent="0.35">
      <c r="A33" s="246"/>
      <c r="B33" s="95" t="s">
        <v>50</v>
      </c>
      <c r="C33" s="84" t="s">
        <v>51</v>
      </c>
      <c r="D33" s="84" t="s">
        <v>52</v>
      </c>
      <c r="E33" s="464" t="s">
        <v>54</v>
      </c>
      <c r="F33" s="464"/>
      <c r="G33" s="100" t="s">
        <v>55</v>
      </c>
      <c r="I33" s="272"/>
    </row>
    <row r="34" spans="1:9" s="1" customFormat="1" ht="14.4" customHeight="1" x14ac:dyDescent="0.35">
      <c r="A34" s="274" t="s">
        <v>197</v>
      </c>
      <c r="B34" s="4">
        <f>Rates!D9</f>
        <v>2000</v>
      </c>
      <c r="C34" s="20">
        <f>C29</f>
        <v>56345</v>
      </c>
      <c r="D34" s="20">
        <f>E29</f>
        <v>94784179</v>
      </c>
      <c r="E34" s="235">
        <f>Rates!F9</f>
        <v>19.68</v>
      </c>
      <c r="F34" s="46" t="s">
        <v>111</v>
      </c>
      <c r="G34" s="101">
        <f>ROUND(C34*E34,0)</f>
        <v>1108870</v>
      </c>
      <c r="I34" s="272"/>
    </row>
    <row r="35" spans="1:9" s="1" customFormat="1" ht="14.4" customHeight="1" x14ac:dyDescent="0.35">
      <c r="A35" s="274" t="s">
        <v>198</v>
      </c>
      <c r="B35" s="4">
        <f>Rates!D10</f>
        <v>4000</v>
      </c>
      <c r="C35" s="20"/>
      <c r="D35" s="20">
        <f>F29</f>
        <v>88626443</v>
      </c>
      <c r="E35" s="236">
        <f>Rates!F10</f>
        <v>7.1700000000000002E-3</v>
      </c>
      <c r="F35" s="46" t="s">
        <v>195</v>
      </c>
      <c r="G35" s="101">
        <f>ROUND(D35*E35,0)</f>
        <v>635452</v>
      </c>
      <c r="I35" s="272"/>
    </row>
    <row r="36" spans="1:9" s="1" customFormat="1" ht="14.4" customHeight="1" x14ac:dyDescent="0.35">
      <c r="A36" s="274" t="s">
        <v>198</v>
      </c>
      <c r="B36" s="4">
        <f>Rates!D11</f>
        <v>44000</v>
      </c>
      <c r="C36" s="20"/>
      <c r="D36" s="20">
        <f>G29</f>
        <v>37809578</v>
      </c>
      <c r="E36" s="236">
        <f>Rates!F11</f>
        <v>6.0800000000000003E-3</v>
      </c>
      <c r="F36" s="46" t="s">
        <v>195</v>
      </c>
      <c r="G36" s="101">
        <f t="shared" ref="G36:G37" si="1">ROUND(D36*E36,0)</f>
        <v>229882</v>
      </c>
      <c r="I36" s="272"/>
    </row>
    <row r="37" spans="1:9" s="1" customFormat="1" ht="14.4" customHeight="1" x14ac:dyDescent="0.5">
      <c r="A37" s="277" t="s">
        <v>199</v>
      </c>
      <c r="B37" s="4">
        <f>Rates!D12</f>
        <v>50000</v>
      </c>
      <c r="C37" s="86"/>
      <c r="D37" s="86">
        <f>H29</f>
        <v>1908210</v>
      </c>
      <c r="E37" s="236">
        <f>Rates!F12</f>
        <v>5.28E-3</v>
      </c>
      <c r="F37" s="46" t="s">
        <v>195</v>
      </c>
      <c r="G37" s="102">
        <f t="shared" si="1"/>
        <v>10075</v>
      </c>
      <c r="I37" s="272"/>
    </row>
    <row r="38" spans="1:9" s="1" customFormat="1" ht="14.4" customHeight="1" thickBot="1" x14ac:dyDescent="0.4">
      <c r="A38" s="289"/>
      <c r="B38" s="279"/>
      <c r="C38" s="290"/>
      <c r="D38" s="292">
        <f>SUM(D34:D37)</f>
        <v>223128410</v>
      </c>
      <c r="E38" s="290"/>
      <c r="F38" s="290"/>
      <c r="G38" s="288">
        <f>SUM(G34:G37)</f>
        <v>1984279</v>
      </c>
      <c r="H38" s="281"/>
      <c r="I38" s="284"/>
    </row>
    <row r="39" spans="1:9" s="1" customFormat="1" ht="14.5" x14ac:dyDescent="0.35">
      <c r="A39" s="90"/>
      <c r="B39" s="4"/>
      <c r="C39" s="20"/>
      <c r="D39" s="258"/>
      <c r="E39" s="20"/>
      <c r="F39" s="20"/>
      <c r="G39" s="101"/>
    </row>
    <row r="40" spans="1:9" s="1" customFormat="1" ht="14.4" customHeight="1" x14ac:dyDescent="0.35">
      <c r="A40" s="312" t="s">
        <v>207</v>
      </c>
      <c r="B40" s="7"/>
      <c r="C40" s="313"/>
      <c r="D40" s="466" t="s">
        <v>204</v>
      </c>
      <c r="E40" s="466"/>
      <c r="F40" s="314"/>
      <c r="G40" s="315"/>
      <c r="H40" s="316"/>
      <c r="I40" s="317"/>
    </row>
    <row r="41" spans="1:9" s="1" customFormat="1" ht="14.4" customHeight="1" x14ac:dyDescent="0.35">
      <c r="A41" s="318"/>
      <c r="B41" s="4"/>
      <c r="C41" s="89"/>
      <c r="D41" s="262"/>
      <c r="E41" s="90" t="s">
        <v>197</v>
      </c>
      <c r="F41" s="90" t="s">
        <v>198</v>
      </c>
      <c r="G41" s="90" t="s">
        <v>198</v>
      </c>
      <c r="H41" s="234" t="s">
        <v>199</v>
      </c>
      <c r="I41" s="319"/>
    </row>
    <row r="42" spans="1:9" s="1" customFormat="1" ht="14.4" customHeight="1" x14ac:dyDescent="0.35">
      <c r="A42" s="47"/>
      <c r="B42" s="95" t="s">
        <v>50</v>
      </c>
      <c r="C42" s="84" t="s">
        <v>51</v>
      </c>
      <c r="D42" s="84" t="s">
        <v>52</v>
      </c>
      <c r="E42" s="263">
        <f>B43</f>
        <v>3000</v>
      </c>
      <c r="F42" s="263">
        <f>B44</f>
        <v>3000</v>
      </c>
      <c r="G42" s="263">
        <f>B45</f>
        <v>44000</v>
      </c>
      <c r="H42" s="264">
        <f>B46</f>
        <v>50000</v>
      </c>
      <c r="I42" s="320" t="s">
        <v>12</v>
      </c>
    </row>
    <row r="43" spans="1:9" s="1" customFormat="1" ht="14.4" customHeight="1" x14ac:dyDescent="0.35">
      <c r="A43" s="321" t="s">
        <v>197</v>
      </c>
      <c r="B43" s="4">
        <f>Rates!D15</f>
        <v>3000</v>
      </c>
      <c r="C43" s="20"/>
      <c r="D43" s="4"/>
      <c r="E43" s="264">
        <f>D43</f>
        <v>0</v>
      </c>
      <c r="F43" s="264"/>
      <c r="G43" s="264"/>
      <c r="H43" s="264"/>
      <c r="I43" s="10">
        <f>SUM(E43:H43)</f>
        <v>0</v>
      </c>
    </row>
    <row r="44" spans="1:9" s="1" customFormat="1" ht="14.4" customHeight="1" x14ac:dyDescent="0.35">
      <c r="A44" s="321" t="s">
        <v>198</v>
      </c>
      <c r="B44" s="4">
        <f>Rates!D16</f>
        <v>3000</v>
      </c>
      <c r="C44" s="20"/>
      <c r="D44" s="4"/>
      <c r="E44" s="264">
        <f>C44*E42</f>
        <v>0</v>
      </c>
      <c r="F44" s="264">
        <f>D44-E44</f>
        <v>0</v>
      </c>
      <c r="G44" s="264"/>
      <c r="H44" s="264"/>
      <c r="I44" s="10">
        <f>SUM(E44:H44)</f>
        <v>0</v>
      </c>
    </row>
    <row r="45" spans="1:9" s="1" customFormat="1" ht="14.4" customHeight="1" x14ac:dyDescent="0.35">
      <c r="A45" s="321" t="s">
        <v>198</v>
      </c>
      <c r="B45" s="4">
        <f>Rates!D17</f>
        <v>44000</v>
      </c>
      <c r="C45" s="20"/>
      <c r="D45" s="4"/>
      <c r="E45" s="264">
        <f>C45*E42</f>
        <v>0</v>
      </c>
      <c r="F45" s="264">
        <f>C45*F42</f>
        <v>0</v>
      </c>
      <c r="G45" s="264">
        <f>D45-E45-F45</f>
        <v>0</v>
      </c>
      <c r="H45" s="264"/>
      <c r="I45" s="10">
        <f>SUM(E45:H45)</f>
        <v>0</v>
      </c>
    </row>
    <row r="46" spans="1:9" s="1" customFormat="1" ht="14.4" customHeight="1" x14ac:dyDescent="0.5">
      <c r="A46" s="321" t="s">
        <v>199</v>
      </c>
      <c r="B46" s="4">
        <f>Rates!D18</f>
        <v>50000</v>
      </c>
      <c r="C46" s="86"/>
      <c r="D46" s="40"/>
      <c r="E46" s="40">
        <f>C46*E42</f>
        <v>0</v>
      </c>
      <c r="F46" s="40">
        <f>C46*F42</f>
        <v>0</v>
      </c>
      <c r="G46" s="40">
        <f>C46*G42</f>
        <v>0</v>
      </c>
      <c r="H46" s="40">
        <f>D46-E46-F46-G46</f>
        <v>0</v>
      </c>
      <c r="I46" s="322">
        <f>SUM(E46:H46)</f>
        <v>0</v>
      </c>
    </row>
    <row r="47" spans="1:9" s="1" customFormat="1" ht="14.4" customHeight="1" x14ac:dyDescent="0.35">
      <c r="A47" s="321"/>
      <c r="B47" s="4"/>
      <c r="C47" s="20">
        <f t="shared" ref="C47:G47" si="2">SUM(C43:C46)</f>
        <v>0</v>
      </c>
      <c r="D47" s="4">
        <f t="shared" si="2"/>
        <v>0</v>
      </c>
      <c r="E47" s="4">
        <f t="shared" si="2"/>
        <v>0</v>
      </c>
      <c r="F47" s="4">
        <f t="shared" si="2"/>
        <v>0</v>
      </c>
      <c r="G47" s="4">
        <f t="shared" si="2"/>
        <v>0</v>
      </c>
      <c r="H47" s="4">
        <f t="shared" ref="H47" si="3">SUM(H43:H46)</f>
        <v>0</v>
      </c>
      <c r="I47" s="10">
        <f t="shared" ref="I47" si="4">SUM(I43:I46)</f>
        <v>0</v>
      </c>
    </row>
    <row r="48" spans="1:9" s="1" customFormat="1" ht="14.4" customHeight="1" x14ac:dyDescent="0.35">
      <c r="A48" s="321"/>
      <c r="B48" s="4" t="s">
        <v>333</v>
      </c>
      <c r="C48" s="20"/>
      <c r="D48" s="20"/>
      <c r="E48" s="20"/>
      <c r="F48" s="20"/>
      <c r="G48" s="101"/>
      <c r="I48" s="319"/>
    </row>
    <row r="49" spans="1:9" s="1" customFormat="1" ht="14.4" customHeight="1" x14ac:dyDescent="0.35">
      <c r="A49" s="318" t="s">
        <v>206</v>
      </c>
      <c r="C49" s="115"/>
      <c r="D49" s="465" t="s">
        <v>204</v>
      </c>
      <c r="E49" s="465"/>
      <c r="F49" s="115"/>
      <c r="G49" s="115"/>
      <c r="H49" s="4"/>
      <c r="I49" s="323"/>
    </row>
    <row r="50" spans="1:9" s="1" customFormat="1" ht="14.4" customHeight="1" x14ac:dyDescent="0.35">
      <c r="A50" s="47"/>
      <c r="B50" s="95" t="s">
        <v>50</v>
      </c>
      <c r="C50" s="84" t="s">
        <v>51</v>
      </c>
      <c r="D50" s="84" t="s">
        <v>52</v>
      </c>
      <c r="E50" s="464" t="s">
        <v>54</v>
      </c>
      <c r="F50" s="464"/>
      <c r="G50" s="100" t="s">
        <v>55</v>
      </c>
      <c r="H50" s="4"/>
      <c r="I50" s="323"/>
    </row>
    <row r="51" spans="1:9" s="1" customFormat="1" ht="14.4" customHeight="1" x14ac:dyDescent="0.35">
      <c r="A51" s="321" t="s">
        <v>197</v>
      </c>
      <c r="B51" s="4">
        <f>Rates!D15</f>
        <v>3000</v>
      </c>
      <c r="C51" s="20">
        <f>C47</f>
        <v>0</v>
      </c>
      <c r="D51" s="20">
        <f>E47</f>
        <v>0</v>
      </c>
      <c r="E51" s="235">
        <f>Rates!F15</f>
        <v>26.85</v>
      </c>
      <c r="F51" s="46" t="s">
        <v>111</v>
      </c>
      <c r="G51" s="101">
        <f>ROUND(C51*E51,0)</f>
        <v>0</v>
      </c>
      <c r="I51" s="319"/>
    </row>
    <row r="52" spans="1:9" s="1" customFormat="1" ht="14.4" customHeight="1" x14ac:dyDescent="0.35">
      <c r="A52" s="321" t="s">
        <v>198</v>
      </c>
      <c r="B52" s="4">
        <f>Rates!D16</f>
        <v>3000</v>
      </c>
      <c r="C52" s="20"/>
      <c r="D52" s="20">
        <f>F47</f>
        <v>0</v>
      </c>
      <c r="E52" s="236">
        <f>Rates!F16</f>
        <v>7.1700000000000002E-3</v>
      </c>
      <c r="F52" s="46" t="s">
        <v>195</v>
      </c>
      <c r="G52" s="101">
        <f t="shared" ref="G52:G54" si="5">ROUND(D52*E52,0)</f>
        <v>0</v>
      </c>
      <c r="I52" s="319"/>
    </row>
    <row r="53" spans="1:9" s="1" customFormat="1" ht="14.4" customHeight="1" x14ac:dyDescent="0.35">
      <c r="A53" s="321" t="s">
        <v>198</v>
      </c>
      <c r="B53" s="4">
        <f>Rates!D17</f>
        <v>44000</v>
      </c>
      <c r="C53" s="20"/>
      <c r="D53" s="20">
        <f>G47</f>
        <v>0</v>
      </c>
      <c r="E53" s="236">
        <f>Rates!F17</f>
        <v>6.0800000000000003E-3</v>
      </c>
      <c r="F53" s="46" t="s">
        <v>195</v>
      </c>
      <c r="G53" s="101">
        <f t="shared" si="5"/>
        <v>0</v>
      </c>
      <c r="I53" s="319"/>
    </row>
    <row r="54" spans="1:9" s="1" customFormat="1" ht="14.4" customHeight="1" x14ac:dyDescent="0.5">
      <c r="A54" s="324" t="s">
        <v>199</v>
      </c>
      <c r="B54" s="4">
        <f>Rates!D18</f>
        <v>50000</v>
      </c>
      <c r="C54" s="86"/>
      <c r="D54" s="86">
        <f>H47</f>
        <v>0</v>
      </c>
      <c r="E54" s="236">
        <f>Rates!F18</f>
        <v>5.28E-3</v>
      </c>
      <c r="F54" s="46" t="s">
        <v>195</v>
      </c>
      <c r="G54" s="102">
        <f t="shared" si="5"/>
        <v>0</v>
      </c>
      <c r="I54" s="319"/>
    </row>
    <row r="55" spans="1:9" s="1" customFormat="1" ht="14.4" customHeight="1" x14ac:dyDescent="0.35">
      <c r="A55" s="325"/>
      <c r="B55" s="3"/>
      <c r="C55" s="210"/>
      <c r="D55" s="3">
        <f>SUM(D51:D54)</f>
        <v>0</v>
      </c>
      <c r="E55" s="210"/>
      <c r="F55" s="210"/>
      <c r="G55" s="326">
        <f>G51+G54</f>
        <v>0</v>
      </c>
      <c r="H55" s="300"/>
      <c r="I55" s="327"/>
    </row>
    <row r="56" spans="1:9" s="1" customFormat="1" ht="14.4" customHeight="1" x14ac:dyDescent="0.35">
      <c r="A56" s="90"/>
      <c r="B56" s="4"/>
      <c r="C56" s="20"/>
      <c r="D56" s="4"/>
      <c r="E56" s="20"/>
      <c r="F56" s="20"/>
      <c r="G56" s="101"/>
      <c r="I56" s="272"/>
    </row>
    <row r="57" spans="1:9" s="1" customFormat="1" ht="14.4" customHeight="1" x14ac:dyDescent="0.35">
      <c r="A57" s="312" t="s">
        <v>207</v>
      </c>
      <c r="B57" s="7"/>
      <c r="C57" s="313"/>
      <c r="D57" s="466" t="s">
        <v>116</v>
      </c>
      <c r="E57" s="466"/>
      <c r="F57" s="314"/>
      <c r="G57" s="315"/>
      <c r="H57" s="316"/>
      <c r="I57" s="317"/>
    </row>
    <row r="58" spans="1:9" s="1" customFormat="1" ht="14.4" customHeight="1" x14ac:dyDescent="0.35">
      <c r="A58" s="318"/>
      <c r="B58" s="4"/>
      <c r="C58" s="89"/>
      <c r="D58" s="262"/>
      <c r="E58" s="90" t="s">
        <v>197</v>
      </c>
      <c r="F58" s="90" t="s">
        <v>198</v>
      </c>
      <c r="G58" s="90" t="s">
        <v>199</v>
      </c>
      <c r="I58" s="319"/>
    </row>
    <row r="59" spans="1:9" s="1" customFormat="1" ht="14.4" customHeight="1" x14ac:dyDescent="0.35">
      <c r="A59" s="47"/>
      <c r="B59" s="95" t="s">
        <v>50</v>
      </c>
      <c r="C59" s="84" t="s">
        <v>51</v>
      </c>
      <c r="D59" s="84" t="s">
        <v>52</v>
      </c>
      <c r="E59" s="263">
        <f>B60</f>
        <v>6000</v>
      </c>
      <c r="F59" s="263">
        <f>B61</f>
        <v>44000</v>
      </c>
      <c r="G59" s="263">
        <f>B62</f>
        <v>50000</v>
      </c>
      <c r="H59" s="90" t="s">
        <v>12</v>
      </c>
      <c r="I59" s="319"/>
    </row>
    <row r="60" spans="1:9" s="1" customFormat="1" ht="14.4" customHeight="1" x14ac:dyDescent="0.35">
      <c r="A60" s="321" t="s">
        <v>197</v>
      </c>
      <c r="B60" s="4">
        <f>Rates!D21</f>
        <v>6000</v>
      </c>
      <c r="C60" s="20">
        <v>202</v>
      </c>
      <c r="D60" s="4">
        <v>385806</v>
      </c>
      <c r="E60" s="264">
        <f>D60</f>
        <v>385806</v>
      </c>
      <c r="F60" s="264"/>
      <c r="G60" s="264"/>
      <c r="H60" s="4">
        <f>SUM(D60:G60)</f>
        <v>771612</v>
      </c>
      <c r="I60" s="319"/>
    </row>
    <row r="61" spans="1:9" s="1" customFormat="1" ht="14.4" customHeight="1" x14ac:dyDescent="0.35">
      <c r="A61" s="321" t="s">
        <v>198</v>
      </c>
      <c r="B61" s="4">
        <f>Rates!D22</f>
        <v>44000</v>
      </c>
      <c r="C61" s="20">
        <v>92</v>
      </c>
      <c r="D61" s="4">
        <v>1936280</v>
      </c>
      <c r="E61" s="264">
        <f>C61*E59</f>
        <v>552000</v>
      </c>
      <c r="F61" s="264">
        <f>D61-E61</f>
        <v>1384280</v>
      </c>
      <c r="G61" s="264"/>
      <c r="H61" s="4">
        <f>SUM(D61:G61)</f>
        <v>3872560</v>
      </c>
      <c r="I61" s="319"/>
    </row>
    <row r="62" spans="1:9" s="1" customFormat="1" ht="14.4" customHeight="1" x14ac:dyDescent="0.5">
      <c r="A62" s="321" t="s">
        <v>199</v>
      </c>
      <c r="B62" s="4">
        <f>Rates!D23</f>
        <v>50000</v>
      </c>
      <c r="C62" s="86">
        <v>37</v>
      </c>
      <c r="D62" s="40">
        <v>4062328</v>
      </c>
      <c r="E62" s="265">
        <f>C62*E59</f>
        <v>222000</v>
      </c>
      <c r="F62" s="265">
        <f>C62*F59</f>
        <v>1628000</v>
      </c>
      <c r="G62" s="265">
        <f>D62-E62-F62</f>
        <v>2212328</v>
      </c>
      <c r="H62" s="40">
        <f>SUM(E62:G62)</f>
        <v>4062328</v>
      </c>
      <c r="I62" s="319"/>
    </row>
    <row r="63" spans="1:9" s="1" customFormat="1" ht="14.4" customHeight="1" x14ac:dyDescent="0.35">
      <c r="A63" s="321"/>
      <c r="B63" s="4"/>
      <c r="C63" s="20">
        <f>SUM(C60:C62)</f>
        <v>331</v>
      </c>
      <c r="D63" s="4">
        <f>SUM(D60:D62)</f>
        <v>6384414</v>
      </c>
      <c r="E63" s="4">
        <f>SUM(E60:E62)</f>
        <v>1159806</v>
      </c>
      <c r="F63" s="4">
        <f>SUM(F60:F62)</f>
        <v>3012280</v>
      </c>
      <c r="G63" s="4">
        <f>SUM(G60:G62)</f>
        <v>2212328</v>
      </c>
      <c r="H63" s="4">
        <f>SUM(E63:G63)</f>
        <v>6384414</v>
      </c>
      <c r="I63" s="319"/>
    </row>
    <row r="64" spans="1:9" s="1" customFormat="1" ht="14.4" customHeight="1" x14ac:dyDescent="0.35">
      <c r="A64" s="321"/>
      <c r="B64" s="4"/>
      <c r="C64" s="20"/>
      <c r="D64" s="4"/>
      <c r="E64" s="4"/>
      <c r="F64" s="4"/>
      <c r="G64" s="4"/>
      <c r="H64" s="4"/>
      <c r="I64" s="319"/>
    </row>
    <row r="65" spans="1:9" s="1" customFormat="1" ht="14.4" customHeight="1" x14ac:dyDescent="0.35">
      <c r="A65" s="318" t="s">
        <v>206</v>
      </c>
      <c r="C65" s="115"/>
      <c r="D65" s="465" t="s">
        <v>116</v>
      </c>
      <c r="E65" s="465"/>
      <c r="F65" s="115"/>
      <c r="G65" s="115"/>
      <c r="I65" s="319"/>
    </row>
    <row r="66" spans="1:9" s="1" customFormat="1" ht="14.4" customHeight="1" x14ac:dyDescent="0.35">
      <c r="A66" s="47"/>
      <c r="B66" s="95" t="s">
        <v>50</v>
      </c>
      <c r="C66" s="84" t="s">
        <v>51</v>
      </c>
      <c r="D66" s="84" t="s">
        <v>52</v>
      </c>
      <c r="E66" s="464" t="s">
        <v>54</v>
      </c>
      <c r="F66" s="464"/>
      <c r="G66" s="100" t="s">
        <v>55</v>
      </c>
      <c r="I66" s="319"/>
    </row>
    <row r="67" spans="1:9" s="1" customFormat="1" ht="14.4" customHeight="1" x14ac:dyDescent="0.35">
      <c r="A67" s="321" t="s">
        <v>197</v>
      </c>
      <c r="B67" s="4">
        <f>Rates!D21</f>
        <v>6000</v>
      </c>
      <c r="C67" s="85">
        <f>C63</f>
        <v>331</v>
      </c>
      <c r="D67" s="85">
        <f>E63</f>
        <v>1159806</v>
      </c>
      <c r="E67" s="235">
        <f>Rates!F21</f>
        <v>48.36</v>
      </c>
      <c r="F67" s="46" t="s">
        <v>111</v>
      </c>
      <c r="G67" s="101">
        <f>ROUND(C67*E67,0)</f>
        <v>16007</v>
      </c>
      <c r="I67" s="319"/>
    </row>
    <row r="68" spans="1:9" s="1" customFormat="1" ht="14.4" customHeight="1" x14ac:dyDescent="0.35">
      <c r="A68" s="321" t="s">
        <v>198</v>
      </c>
      <c r="B68" s="4">
        <f>Rates!D22</f>
        <v>44000</v>
      </c>
      <c r="D68" s="85">
        <f>F63</f>
        <v>3012280</v>
      </c>
      <c r="E68" s="236">
        <f>Rates!F22</f>
        <v>6.0800000000000003E-3</v>
      </c>
      <c r="F68" s="46" t="s">
        <v>195</v>
      </c>
      <c r="G68" s="101">
        <f t="shared" ref="G68:G69" si="6">ROUND(D68*E68,0)</f>
        <v>18315</v>
      </c>
      <c r="I68" s="319"/>
    </row>
    <row r="69" spans="1:9" s="1" customFormat="1" ht="14.4" customHeight="1" x14ac:dyDescent="0.5">
      <c r="A69" s="324" t="s">
        <v>199</v>
      </c>
      <c r="B69" s="4">
        <f>Rates!D23</f>
        <v>50000</v>
      </c>
      <c r="C69" s="77"/>
      <c r="D69" s="266">
        <f>G63</f>
        <v>2212328</v>
      </c>
      <c r="E69" s="236">
        <f>Rates!F23</f>
        <v>5.28E-3</v>
      </c>
      <c r="F69" s="46" t="s">
        <v>195</v>
      </c>
      <c r="G69" s="102">
        <f t="shared" si="6"/>
        <v>11681</v>
      </c>
      <c r="I69" s="319"/>
    </row>
    <row r="70" spans="1:9" s="1" customFormat="1" ht="14.4" customHeight="1" x14ac:dyDescent="0.35">
      <c r="A70" s="80"/>
      <c r="B70" s="3"/>
      <c r="C70" s="328"/>
      <c r="D70" s="3">
        <f>SUM(D67:D69)</f>
        <v>6384414</v>
      </c>
      <c r="E70" s="300"/>
      <c r="F70" s="300"/>
      <c r="G70" s="326">
        <f>SUM(G67:G69)</f>
        <v>46003</v>
      </c>
      <c r="H70" s="300"/>
      <c r="I70" s="327"/>
    </row>
    <row r="71" spans="1:9" s="1" customFormat="1" ht="14.4" customHeight="1" x14ac:dyDescent="0.35">
      <c r="B71" s="4"/>
      <c r="C71" s="15"/>
      <c r="D71" s="4"/>
      <c r="G71" s="101"/>
    </row>
    <row r="72" spans="1:9" s="1" customFormat="1" ht="14.4" customHeight="1" x14ac:dyDescent="0.35">
      <c r="A72" s="312" t="s">
        <v>207</v>
      </c>
      <c r="B72" s="7"/>
      <c r="C72" s="313"/>
      <c r="D72" s="466" t="s">
        <v>117</v>
      </c>
      <c r="E72" s="466"/>
      <c r="F72" s="314"/>
      <c r="G72" s="315"/>
      <c r="H72" s="316"/>
      <c r="I72" s="317"/>
    </row>
    <row r="73" spans="1:9" s="1" customFormat="1" ht="14.4" customHeight="1" x14ac:dyDescent="0.35">
      <c r="A73" s="318"/>
      <c r="B73" s="4"/>
      <c r="C73" s="89"/>
      <c r="D73" s="262"/>
      <c r="E73" s="90" t="s">
        <v>197</v>
      </c>
      <c r="F73" s="90" t="s">
        <v>198</v>
      </c>
      <c r="G73" s="90" t="s">
        <v>199</v>
      </c>
      <c r="I73" s="319"/>
    </row>
    <row r="74" spans="1:9" s="1" customFormat="1" ht="14.4" customHeight="1" x14ac:dyDescent="0.35">
      <c r="A74" s="47"/>
      <c r="B74" s="95" t="s">
        <v>50</v>
      </c>
      <c r="C74" s="84" t="s">
        <v>51</v>
      </c>
      <c r="D74" s="84" t="s">
        <v>52</v>
      </c>
      <c r="E74" s="263">
        <f>B75</f>
        <v>10000</v>
      </c>
      <c r="F74" s="263">
        <f>B76</f>
        <v>40000</v>
      </c>
      <c r="G74" s="263">
        <f>B77</f>
        <v>50000</v>
      </c>
      <c r="H74" s="90" t="s">
        <v>12</v>
      </c>
      <c r="I74" s="319"/>
    </row>
    <row r="75" spans="1:9" s="1" customFormat="1" ht="14.4" customHeight="1" x14ac:dyDescent="0.35">
      <c r="A75" s="321" t="s">
        <v>197</v>
      </c>
      <c r="B75" s="4">
        <f>Rates!D26</f>
        <v>10000</v>
      </c>
      <c r="C75" s="20">
        <v>23</v>
      </c>
      <c r="D75" s="4">
        <v>65910</v>
      </c>
      <c r="E75" s="264">
        <f>D75</f>
        <v>65910</v>
      </c>
      <c r="F75" s="264"/>
      <c r="G75" s="264"/>
      <c r="H75" s="4">
        <f>SUM(D75:G75)</f>
        <v>131820</v>
      </c>
      <c r="I75" s="319"/>
    </row>
    <row r="76" spans="1:9" s="1" customFormat="1" ht="14.4" customHeight="1" x14ac:dyDescent="0.35">
      <c r="A76" s="321" t="s">
        <v>198</v>
      </c>
      <c r="B76" s="4">
        <f>Rates!D27</f>
        <v>40000</v>
      </c>
      <c r="C76" s="20">
        <v>15</v>
      </c>
      <c r="D76" s="4">
        <v>408794</v>
      </c>
      <c r="E76" s="264">
        <f>C76*E74</f>
        <v>150000</v>
      </c>
      <c r="F76" s="264">
        <f>D76-E76</f>
        <v>258794</v>
      </c>
      <c r="G76" s="264"/>
      <c r="H76" s="4">
        <f>SUM(D76:G76)</f>
        <v>817588</v>
      </c>
      <c r="I76" s="319"/>
    </row>
    <row r="77" spans="1:9" s="1" customFormat="1" ht="14.4" customHeight="1" x14ac:dyDescent="0.5">
      <c r="A77" s="321" t="s">
        <v>199</v>
      </c>
      <c r="B77" s="4">
        <f>Rates!D28</f>
        <v>50000</v>
      </c>
      <c r="C77" s="86">
        <v>35</v>
      </c>
      <c r="D77" s="40">
        <v>5891435</v>
      </c>
      <c r="E77" s="265">
        <f>C77*E74</f>
        <v>350000</v>
      </c>
      <c r="F77" s="265">
        <f>C77*F74</f>
        <v>1400000</v>
      </c>
      <c r="G77" s="265">
        <f>D77-E77-F77</f>
        <v>4141435</v>
      </c>
      <c r="H77" s="40">
        <f>SUM(E77:G77)</f>
        <v>5891435</v>
      </c>
      <c r="I77" s="319"/>
    </row>
    <row r="78" spans="1:9" s="1" customFormat="1" ht="14.4" customHeight="1" x14ac:dyDescent="0.35">
      <c r="A78" s="321"/>
      <c r="B78" s="4"/>
      <c r="C78" s="20">
        <f>SUM(C75:C77)</f>
        <v>73</v>
      </c>
      <c r="D78" s="20">
        <f>SUM(D75:D77)</f>
        <v>6366139</v>
      </c>
      <c r="E78" s="4">
        <f>SUM(E75:E77)</f>
        <v>565910</v>
      </c>
      <c r="F78" s="4">
        <f>SUM(F75:F77)</f>
        <v>1658794</v>
      </c>
      <c r="G78" s="4">
        <f>SUM(G75:G77)</f>
        <v>4141435</v>
      </c>
      <c r="H78" s="4">
        <f>SUM(E78:G78)</f>
        <v>6366139</v>
      </c>
      <c r="I78" s="319"/>
    </row>
    <row r="79" spans="1:9" s="1" customFormat="1" ht="14.4" customHeight="1" x14ac:dyDescent="0.35">
      <c r="A79" s="47"/>
      <c r="B79" s="4"/>
      <c r="G79" s="4"/>
      <c r="H79" s="4"/>
      <c r="I79" s="319"/>
    </row>
    <row r="80" spans="1:9" s="1" customFormat="1" ht="14.4" customHeight="1" x14ac:dyDescent="0.35">
      <c r="A80" s="318" t="s">
        <v>206</v>
      </c>
      <c r="B80" s="4"/>
      <c r="C80" s="89"/>
      <c r="D80" s="465" t="s">
        <v>117</v>
      </c>
      <c r="E80" s="465"/>
      <c r="F80" s="115"/>
      <c r="G80" s="115"/>
      <c r="I80" s="319"/>
    </row>
    <row r="81" spans="1:9" s="1" customFormat="1" ht="14.4" customHeight="1" x14ac:dyDescent="0.35">
      <c r="A81" s="47"/>
      <c r="B81" s="95" t="s">
        <v>50</v>
      </c>
      <c r="C81" s="84" t="s">
        <v>51</v>
      </c>
      <c r="D81" s="84" t="s">
        <v>52</v>
      </c>
      <c r="E81" s="464" t="s">
        <v>54</v>
      </c>
      <c r="F81" s="464"/>
      <c r="G81" s="100" t="s">
        <v>55</v>
      </c>
      <c r="I81" s="319"/>
    </row>
    <row r="82" spans="1:9" s="1" customFormat="1" ht="14.4" customHeight="1" x14ac:dyDescent="0.35">
      <c r="A82" s="321" t="s">
        <v>197</v>
      </c>
      <c r="B82" s="4">
        <f>Rates!D26</f>
        <v>10000</v>
      </c>
      <c r="C82" s="85">
        <f>C78</f>
        <v>73</v>
      </c>
      <c r="D82" s="85">
        <f>E78</f>
        <v>565910</v>
      </c>
      <c r="E82" s="76">
        <f>Rates!F26</f>
        <v>72.680000000000007</v>
      </c>
      <c r="F82" s="46" t="s">
        <v>111</v>
      </c>
      <c r="G82" s="101">
        <f>ROUND(C82*E82,0)</f>
        <v>5306</v>
      </c>
      <c r="I82" s="319"/>
    </row>
    <row r="83" spans="1:9" s="1" customFormat="1" ht="14.4" customHeight="1" x14ac:dyDescent="0.35">
      <c r="A83" s="321" t="s">
        <v>198</v>
      </c>
      <c r="B83" s="4">
        <f>Rates!D27</f>
        <v>40000</v>
      </c>
      <c r="D83" s="85">
        <f>F78</f>
        <v>1658794</v>
      </c>
      <c r="E83" s="256">
        <f>Rates!F27</f>
        <v>6.0800000000000003E-3</v>
      </c>
      <c r="F83" s="46" t="s">
        <v>195</v>
      </c>
      <c r="G83" s="101">
        <f t="shared" ref="G83:G84" si="7">ROUND(D83*E83,0)</f>
        <v>10085</v>
      </c>
      <c r="I83" s="319"/>
    </row>
    <row r="84" spans="1:9" s="1" customFormat="1" ht="14.4" customHeight="1" x14ac:dyDescent="0.5">
      <c r="A84" s="324" t="s">
        <v>199</v>
      </c>
      <c r="B84" s="4">
        <f>Rates!D28</f>
        <v>50000</v>
      </c>
      <c r="C84" s="77"/>
      <c r="D84" s="266">
        <f>G78</f>
        <v>4141435</v>
      </c>
      <c r="E84" s="256">
        <f>Rates!F28</f>
        <v>5.28E-3</v>
      </c>
      <c r="F84" s="46" t="s">
        <v>195</v>
      </c>
      <c r="G84" s="102">
        <f t="shared" si="7"/>
        <v>21867</v>
      </c>
      <c r="I84" s="319"/>
    </row>
    <row r="85" spans="1:9" s="1" customFormat="1" ht="14.4" customHeight="1" x14ac:dyDescent="0.35">
      <c r="A85" s="80"/>
      <c r="B85" s="3"/>
      <c r="C85" s="299"/>
      <c r="D85" s="3">
        <f>SUM(D82:D84)</f>
        <v>6366139</v>
      </c>
      <c r="E85" s="300"/>
      <c r="F85" s="300"/>
      <c r="G85" s="326">
        <f>SUM(G82:G84)</f>
        <v>37258</v>
      </c>
      <c r="H85" s="300"/>
      <c r="I85" s="327"/>
    </row>
    <row r="86" spans="1:9" s="1" customFormat="1" ht="14.4" customHeight="1" x14ac:dyDescent="0.35">
      <c r="B86" s="4"/>
      <c r="C86" s="206"/>
      <c r="D86" s="4"/>
      <c r="G86" s="206"/>
    </row>
    <row r="87" spans="1:9" s="1" customFormat="1" ht="14.4" customHeight="1" x14ac:dyDescent="0.35">
      <c r="A87" s="312" t="s">
        <v>207</v>
      </c>
      <c r="B87" s="7"/>
      <c r="C87" s="313"/>
      <c r="D87" s="466" t="s">
        <v>118</v>
      </c>
      <c r="E87" s="466"/>
      <c r="F87" s="314"/>
      <c r="G87" s="315"/>
      <c r="H87" s="316"/>
      <c r="I87" s="317"/>
    </row>
    <row r="88" spans="1:9" s="1" customFormat="1" ht="14.4" customHeight="1" x14ac:dyDescent="0.35">
      <c r="A88" s="318"/>
      <c r="B88" s="4"/>
      <c r="C88" s="89"/>
      <c r="D88" s="262"/>
      <c r="E88" s="90" t="s">
        <v>197</v>
      </c>
      <c r="F88" s="90" t="s">
        <v>198</v>
      </c>
      <c r="G88" s="90" t="s">
        <v>199</v>
      </c>
      <c r="I88" s="319"/>
    </row>
    <row r="89" spans="1:9" s="1" customFormat="1" ht="14.4" customHeight="1" x14ac:dyDescent="0.35">
      <c r="A89" s="47"/>
      <c r="B89" s="95" t="s">
        <v>50</v>
      </c>
      <c r="C89" s="84" t="s">
        <v>51</v>
      </c>
      <c r="D89" s="84" t="s">
        <v>52</v>
      </c>
      <c r="E89" s="263">
        <f>B90</f>
        <v>20000</v>
      </c>
      <c r="F89" s="263">
        <f>B91</f>
        <v>30000</v>
      </c>
      <c r="G89" s="263">
        <f>B92</f>
        <v>50000</v>
      </c>
      <c r="H89" s="90" t="s">
        <v>12</v>
      </c>
      <c r="I89" s="319"/>
    </row>
    <row r="90" spans="1:9" s="1" customFormat="1" ht="14.4" customHeight="1" x14ac:dyDescent="0.35">
      <c r="A90" s="321" t="s">
        <v>197</v>
      </c>
      <c r="B90" s="4">
        <f>Rates!D31</f>
        <v>20000</v>
      </c>
      <c r="C90" s="20">
        <v>114</v>
      </c>
      <c r="D90" s="4">
        <v>816834</v>
      </c>
      <c r="E90" s="264">
        <f>D90</f>
        <v>816834</v>
      </c>
      <c r="F90" s="264"/>
      <c r="G90" s="264"/>
      <c r="H90" s="4">
        <f>SUM(D90:G90)</f>
        <v>1633668</v>
      </c>
      <c r="I90" s="319"/>
    </row>
    <row r="91" spans="1:9" s="1" customFormat="1" ht="14.4" customHeight="1" x14ac:dyDescent="0.35">
      <c r="A91" s="321" t="s">
        <v>198</v>
      </c>
      <c r="B91" s="4">
        <f>Rates!D32</f>
        <v>30000</v>
      </c>
      <c r="C91" s="20">
        <v>63</v>
      </c>
      <c r="D91" s="4">
        <v>2073368</v>
      </c>
      <c r="E91" s="264">
        <f>C91*E89</f>
        <v>1260000</v>
      </c>
      <c r="F91" s="264">
        <f>D91-E91</f>
        <v>813368</v>
      </c>
      <c r="G91" s="264"/>
      <c r="H91" s="4">
        <f>SUM(D91:G91)</f>
        <v>4146736</v>
      </c>
      <c r="I91" s="319"/>
    </row>
    <row r="92" spans="1:9" s="1" customFormat="1" ht="14.4" customHeight="1" x14ac:dyDescent="0.5">
      <c r="A92" s="321" t="s">
        <v>199</v>
      </c>
      <c r="B92" s="4">
        <f>Rates!D33</f>
        <v>50000</v>
      </c>
      <c r="C92" s="86">
        <v>38</v>
      </c>
      <c r="D92" s="40">
        <v>4793904</v>
      </c>
      <c r="E92" s="265">
        <f>C92*E89</f>
        <v>760000</v>
      </c>
      <c r="F92" s="265">
        <f>C92*F89</f>
        <v>1140000</v>
      </c>
      <c r="G92" s="265">
        <f>D92-E92-F92</f>
        <v>2893904</v>
      </c>
      <c r="H92" s="40">
        <f>SUM(E92:G92)</f>
        <v>4793904</v>
      </c>
      <c r="I92" s="319"/>
    </row>
    <row r="93" spans="1:9" s="1" customFormat="1" ht="14.4" customHeight="1" x14ac:dyDescent="0.35">
      <c r="A93" s="321"/>
      <c r="B93" s="4"/>
      <c r="C93" s="20">
        <f>SUM(C90:C92)</f>
        <v>215</v>
      </c>
      <c r="D93" s="4">
        <f>SUM(D90:D92)</f>
        <v>7684106</v>
      </c>
      <c r="E93" s="4">
        <f>SUM(E90:E92)</f>
        <v>2836834</v>
      </c>
      <c r="F93" s="4">
        <f>SUM(F90:F92)</f>
        <v>1953368</v>
      </c>
      <c r="G93" s="4">
        <f>SUM(G90:G92)</f>
        <v>2893904</v>
      </c>
      <c r="H93" s="4">
        <f>SUM(E93:G93)</f>
        <v>7684106</v>
      </c>
      <c r="I93" s="319"/>
    </row>
    <row r="94" spans="1:9" s="1" customFormat="1" ht="14.4" customHeight="1" x14ac:dyDescent="0.35">
      <c r="A94" s="47"/>
      <c r="B94" s="4"/>
      <c r="G94" s="4"/>
      <c r="H94" s="4"/>
      <c r="I94" s="319"/>
    </row>
    <row r="95" spans="1:9" s="1" customFormat="1" ht="14.4" customHeight="1" x14ac:dyDescent="0.35">
      <c r="A95" s="318" t="s">
        <v>206</v>
      </c>
      <c r="B95" s="115"/>
      <c r="C95" s="115"/>
      <c r="D95" s="465" t="s">
        <v>118</v>
      </c>
      <c r="E95" s="465"/>
      <c r="F95" s="115"/>
      <c r="G95" s="115"/>
      <c r="I95" s="319"/>
    </row>
    <row r="96" spans="1:9" s="1" customFormat="1" ht="14.4" customHeight="1" x14ac:dyDescent="0.35">
      <c r="A96" s="47"/>
      <c r="B96" s="95" t="s">
        <v>50</v>
      </c>
      <c r="C96" s="84" t="s">
        <v>51</v>
      </c>
      <c r="D96" s="84" t="s">
        <v>52</v>
      </c>
      <c r="E96" s="464" t="s">
        <v>54</v>
      </c>
      <c r="F96" s="464"/>
      <c r="G96" s="100" t="s">
        <v>55</v>
      </c>
      <c r="I96" s="319"/>
    </row>
    <row r="97" spans="1:9" s="1" customFormat="1" ht="14.4" customHeight="1" x14ac:dyDescent="0.35">
      <c r="A97" s="321" t="s">
        <v>197</v>
      </c>
      <c r="B97" s="4">
        <f>Rates!D31</f>
        <v>20000</v>
      </c>
      <c r="C97" s="85">
        <f>C93</f>
        <v>215</v>
      </c>
      <c r="D97" s="85">
        <f>E93</f>
        <v>2836834</v>
      </c>
      <c r="E97" s="76">
        <f>Rates!F31</f>
        <v>133.47999999999999</v>
      </c>
      <c r="F97" s="46" t="s">
        <v>111</v>
      </c>
      <c r="G97" s="101">
        <f>ROUND(C97*E97,0)</f>
        <v>28698</v>
      </c>
      <c r="I97" s="319"/>
    </row>
    <row r="98" spans="1:9" s="1" customFormat="1" ht="14.4" customHeight="1" x14ac:dyDescent="0.35">
      <c r="A98" s="321" t="s">
        <v>198</v>
      </c>
      <c r="B98" s="4">
        <f>Rates!D32</f>
        <v>30000</v>
      </c>
      <c r="D98" s="85">
        <f>F93</f>
        <v>1953368</v>
      </c>
      <c r="E98" s="256">
        <f>Rates!F32</f>
        <v>6.0800000000000003E-3</v>
      </c>
      <c r="F98" s="46" t="s">
        <v>195</v>
      </c>
      <c r="G98" s="101">
        <f t="shared" ref="G98:G99" si="8">ROUND(D98*E98,0)</f>
        <v>11876</v>
      </c>
      <c r="I98" s="319"/>
    </row>
    <row r="99" spans="1:9" s="1" customFormat="1" ht="14.4" customHeight="1" x14ac:dyDescent="0.5">
      <c r="A99" s="324" t="s">
        <v>199</v>
      </c>
      <c r="B99" s="4">
        <f>Rates!D33</f>
        <v>50000</v>
      </c>
      <c r="C99" s="77"/>
      <c r="D99" s="266">
        <f>G93</f>
        <v>2893904</v>
      </c>
      <c r="E99" s="256">
        <f>Rates!F33</f>
        <v>5.28E-3</v>
      </c>
      <c r="F99" s="46" t="s">
        <v>195</v>
      </c>
      <c r="G99" s="102">
        <f t="shared" si="8"/>
        <v>15280</v>
      </c>
      <c r="I99" s="319"/>
    </row>
    <row r="100" spans="1:9" s="1" customFormat="1" ht="14.4" customHeight="1" x14ac:dyDescent="0.35">
      <c r="A100" s="80"/>
      <c r="B100" s="3"/>
      <c r="C100" s="299"/>
      <c r="D100" s="3">
        <f>SUM(D97:D99)</f>
        <v>7684106</v>
      </c>
      <c r="E100" s="300"/>
      <c r="F100" s="300"/>
      <c r="G100" s="326">
        <f>SUM(G97:G99)</f>
        <v>55854</v>
      </c>
      <c r="H100" s="300"/>
      <c r="I100" s="327"/>
    </row>
    <row r="101" spans="1:9" s="1" customFormat="1" ht="14.4" customHeight="1" thickBot="1" x14ac:dyDescent="0.4">
      <c r="B101" s="4"/>
      <c r="C101" s="206"/>
      <c r="D101" s="4"/>
      <c r="G101" s="206"/>
    </row>
    <row r="102" spans="1:9" s="1" customFormat="1" ht="14.4" customHeight="1" x14ac:dyDescent="0.35">
      <c r="A102" s="267" t="s">
        <v>207</v>
      </c>
      <c r="B102" s="268"/>
      <c r="C102" s="269"/>
      <c r="D102" s="467" t="s">
        <v>238</v>
      </c>
      <c r="E102" s="467"/>
      <c r="F102" s="270"/>
      <c r="G102" s="282"/>
    </row>
    <row r="103" spans="1:9" s="1" customFormat="1" ht="14.4" customHeight="1" x14ac:dyDescent="0.35">
      <c r="A103" s="271"/>
      <c r="B103" s="4"/>
      <c r="C103" s="89"/>
      <c r="D103" s="262"/>
      <c r="E103" s="90"/>
      <c r="F103" s="90"/>
      <c r="G103" s="90"/>
    </row>
    <row r="104" spans="1:9" s="1" customFormat="1" ht="14.4" customHeight="1" x14ac:dyDescent="0.35">
      <c r="A104" s="246"/>
      <c r="B104" s="95"/>
      <c r="C104" s="84" t="s">
        <v>51</v>
      </c>
      <c r="D104" s="84" t="s">
        <v>52</v>
      </c>
      <c r="E104" s="263"/>
      <c r="F104" s="263"/>
      <c r="G104" s="263"/>
    </row>
    <row r="105" spans="1:9" s="1" customFormat="1" ht="14.4" customHeight="1" x14ac:dyDescent="0.35">
      <c r="A105" s="274"/>
      <c r="B105" s="4"/>
      <c r="C105" s="20">
        <v>12</v>
      </c>
      <c r="D105" s="4">
        <v>6450941</v>
      </c>
      <c r="E105" s="264">
        <f>D105</f>
        <v>6450941</v>
      </c>
      <c r="F105" s="264"/>
      <c r="G105" s="264"/>
    </row>
    <row r="106" spans="1:9" s="1" customFormat="1" ht="14.4" customHeight="1" x14ac:dyDescent="0.35">
      <c r="A106" s="274"/>
      <c r="B106" s="4"/>
      <c r="C106" s="20"/>
      <c r="D106" s="20"/>
      <c r="E106" s="4"/>
      <c r="F106" s="4"/>
      <c r="G106" s="4"/>
    </row>
    <row r="107" spans="1:9" s="1" customFormat="1" ht="14.4" customHeight="1" thickBot="1" x14ac:dyDescent="0.4">
      <c r="A107" s="246"/>
      <c r="B107" s="4"/>
      <c r="G107" s="44"/>
    </row>
    <row r="108" spans="1:9" s="1" customFormat="1" ht="14.4" customHeight="1" x14ac:dyDescent="0.35">
      <c r="A108" s="271" t="s">
        <v>206</v>
      </c>
      <c r="B108" s="115"/>
      <c r="C108" s="115"/>
      <c r="D108" s="467" t="s">
        <v>238</v>
      </c>
      <c r="E108" s="467"/>
      <c r="F108" s="115"/>
      <c r="G108" s="115"/>
    </row>
    <row r="109" spans="1:9" s="1" customFormat="1" ht="14.4" customHeight="1" x14ac:dyDescent="0.35">
      <c r="A109" s="246"/>
      <c r="B109" s="95"/>
      <c r="C109" s="84" t="s">
        <v>51</v>
      </c>
      <c r="D109" s="84" t="s">
        <v>52</v>
      </c>
      <c r="E109" s="464" t="s">
        <v>54</v>
      </c>
      <c r="F109" s="464"/>
      <c r="G109" s="100" t="s">
        <v>55</v>
      </c>
    </row>
    <row r="110" spans="1:9" s="1" customFormat="1" ht="14.4" customHeight="1" x14ac:dyDescent="0.35">
      <c r="A110" s="274"/>
      <c r="B110" s="4"/>
      <c r="C110" s="85">
        <f>C105</f>
        <v>12</v>
      </c>
      <c r="D110" s="85">
        <f>D105</f>
        <v>6450941</v>
      </c>
      <c r="E110" s="257">
        <f>Rates!F40</f>
        <v>3.48E-3</v>
      </c>
      <c r="F110" s="46" t="s">
        <v>195</v>
      </c>
      <c r="G110" s="205">
        <f>ROUND(D110*E110,0)</f>
        <v>22449</v>
      </c>
    </row>
    <row r="111" spans="1:9" s="1" customFormat="1" ht="14.4" customHeight="1" thickBot="1" x14ac:dyDescent="0.4">
      <c r="A111" s="278"/>
      <c r="B111" s="279"/>
      <c r="C111" s="280"/>
      <c r="D111" s="279"/>
      <c r="E111" s="281"/>
      <c r="F111" s="281"/>
      <c r="G111" s="280"/>
    </row>
    <row r="112" spans="1:9" s="1" customFormat="1" ht="14.4" customHeight="1" x14ac:dyDescent="0.35">
      <c r="B112" s="4"/>
      <c r="C112" s="206"/>
      <c r="D112" s="4"/>
      <c r="G112" s="206"/>
    </row>
    <row r="113" spans="2:7" s="1" customFormat="1" ht="14.4" customHeight="1" x14ac:dyDescent="0.35">
      <c r="B113" s="4"/>
      <c r="D113" s="85"/>
      <c r="G113" s="44"/>
    </row>
    <row r="114" spans="2:7" s="1" customFormat="1" ht="14.4" customHeight="1" x14ac:dyDescent="0.35">
      <c r="B114" s="4"/>
      <c r="G114" s="44"/>
    </row>
    <row r="115" spans="2:7" s="1" customFormat="1" ht="14.4" customHeight="1" x14ac:dyDescent="0.35">
      <c r="B115" s="4"/>
      <c r="G115" s="44"/>
    </row>
    <row r="116" spans="2:7" s="1" customFormat="1" ht="14.4" customHeight="1" x14ac:dyDescent="0.35">
      <c r="B116" s="4"/>
      <c r="G116" s="44"/>
    </row>
    <row r="117" spans="2:7" s="1" customFormat="1" ht="14.4" customHeight="1" x14ac:dyDescent="0.35">
      <c r="B117" s="4"/>
      <c r="G117" s="44"/>
    </row>
    <row r="118" spans="2:7" s="1" customFormat="1" ht="14.4" customHeight="1" x14ac:dyDescent="0.35">
      <c r="B118" s="4"/>
      <c r="G118" s="44"/>
    </row>
    <row r="119" spans="2:7" s="1" customFormat="1" ht="14.4" customHeight="1" x14ac:dyDescent="0.35">
      <c r="B119" s="4"/>
      <c r="G119" s="44"/>
    </row>
    <row r="120" spans="2:7" s="1" customFormat="1" ht="14.4" customHeight="1" x14ac:dyDescent="0.35">
      <c r="B120" s="4"/>
      <c r="G120" s="44"/>
    </row>
    <row r="121" spans="2:7" s="1" customFormat="1" ht="14.4" customHeight="1" x14ac:dyDescent="0.35">
      <c r="B121" s="4"/>
      <c r="G121" s="44"/>
    </row>
    <row r="122" spans="2:7" s="1" customFormat="1" ht="14.4" customHeight="1" x14ac:dyDescent="0.35">
      <c r="B122" s="4"/>
      <c r="G122" s="44"/>
    </row>
    <row r="123" spans="2:7" s="1" customFormat="1" ht="14.4" customHeight="1" x14ac:dyDescent="0.35">
      <c r="B123" s="4"/>
      <c r="G123" s="44"/>
    </row>
    <row r="124" spans="2:7" s="1" customFormat="1" ht="14.4" customHeight="1" x14ac:dyDescent="0.35">
      <c r="B124" s="4"/>
      <c r="G124" s="44"/>
    </row>
    <row r="125" spans="2:7" s="1" customFormat="1" ht="14.4" customHeight="1" x14ac:dyDescent="0.35">
      <c r="B125" s="4"/>
      <c r="G125" s="44"/>
    </row>
    <row r="126" spans="2:7" s="1" customFormat="1" ht="14.4" customHeight="1" x14ac:dyDescent="0.35">
      <c r="B126" s="4"/>
      <c r="G126" s="44"/>
    </row>
    <row r="127" spans="2:7" s="1" customFormat="1" ht="14.4" customHeight="1" x14ac:dyDescent="0.35">
      <c r="B127" s="4"/>
      <c r="G127" s="44"/>
    </row>
    <row r="128" spans="2:7" s="1" customFormat="1" ht="14.4" customHeight="1" x14ac:dyDescent="0.35">
      <c r="B128" s="4"/>
      <c r="G128" s="44"/>
    </row>
    <row r="129" spans="2:7" s="1" customFormat="1" ht="14.4" customHeight="1" x14ac:dyDescent="0.35">
      <c r="B129" s="4"/>
      <c r="G129" s="44"/>
    </row>
    <row r="130" spans="2:7" s="1" customFormat="1" ht="14.4" customHeight="1" x14ac:dyDescent="0.35">
      <c r="B130" s="4"/>
      <c r="G130" s="44"/>
    </row>
    <row r="131" spans="2:7" s="1" customFormat="1" ht="14.4" customHeight="1" x14ac:dyDescent="0.35">
      <c r="B131" s="4"/>
      <c r="G131" s="44"/>
    </row>
    <row r="132" spans="2:7" s="1" customFormat="1" ht="14.4" customHeight="1" x14ac:dyDescent="0.35">
      <c r="B132" s="4"/>
      <c r="G132" s="44"/>
    </row>
    <row r="133" spans="2:7" s="1" customFormat="1" ht="14.4" customHeight="1" x14ac:dyDescent="0.35">
      <c r="B133" s="4"/>
      <c r="G133" s="44"/>
    </row>
    <row r="134" spans="2:7" s="1" customFormat="1" ht="14.4" customHeight="1" x14ac:dyDescent="0.35">
      <c r="B134" s="4"/>
      <c r="G134" s="44"/>
    </row>
    <row r="135" spans="2:7" s="1" customFormat="1" ht="14.4" customHeight="1" x14ac:dyDescent="0.35">
      <c r="B135" s="4"/>
      <c r="G135" s="44"/>
    </row>
    <row r="136" spans="2:7" s="1" customFormat="1" ht="14.4" customHeight="1" x14ac:dyDescent="0.35">
      <c r="B136" s="4"/>
      <c r="G136" s="44"/>
    </row>
    <row r="137" spans="2:7" s="1" customFormat="1" ht="14.4" customHeight="1" x14ac:dyDescent="0.35">
      <c r="B137" s="4"/>
      <c r="G137" s="44"/>
    </row>
    <row r="138" spans="2:7" s="1" customFormat="1" ht="14.4" customHeight="1" x14ac:dyDescent="0.35">
      <c r="B138" s="4"/>
      <c r="G138" s="44"/>
    </row>
    <row r="139" spans="2:7" s="1" customFormat="1" ht="14.4" customHeight="1" x14ac:dyDescent="0.35">
      <c r="B139" s="4"/>
      <c r="G139" s="44"/>
    </row>
    <row r="140" spans="2:7" s="1" customFormat="1" ht="14.4" customHeight="1" x14ac:dyDescent="0.35">
      <c r="B140" s="4"/>
      <c r="G140" s="44"/>
    </row>
    <row r="141" spans="2:7" s="1" customFormat="1" ht="14.4" customHeight="1" x14ac:dyDescent="0.35">
      <c r="B141" s="4"/>
      <c r="G141" s="44"/>
    </row>
    <row r="142" spans="2:7" s="1" customFormat="1" ht="14.4" customHeight="1" x14ac:dyDescent="0.35">
      <c r="B142" s="4"/>
      <c r="G142" s="44"/>
    </row>
    <row r="143" spans="2:7" s="1" customFormat="1" ht="14.4" customHeight="1" x14ac:dyDescent="0.35">
      <c r="B143" s="4"/>
      <c r="G143" s="44"/>
    </row>
    <row r="144" spans="2:7" s="1" customFormat="1" ht="14.4" customHeight="1" x14ac:dyDescent="0.35">
      <c r="B144" s="4"/>
      <c r="G144" s="44"/>
    </row>
    <row r="145" spans="2:7" s="1" customFormat="1" ht="14.4" customHeight="1" x14ac:dyDescent="0.35">
      <c r="B145" s="4"/>
      <c r="G145" s="44"/>
    </row>
    <row r="146" spans="2:7" s="1" customFormat="1" ht="14.4" customHeight="1" x14ac:dyDescent="0.35">
      <c r="B146" s="4"/>
      <c r="G146" s="44"/>
    </row>
    <row r="147" spans="2:7" s="1" customFormat="1" ht="14.4" customHeight="1" x14ac:dyDescent="0.35">
      <c r="B147" s="4"/>
      <c r="G147" s="44"/>
    </row>
    <row r="148" spans="2:7" s="1" customFormat="1" ht="14.4" customHeight="1" x14ac:dyDescent="0.35">
      <c r="B148" s="4"/>
      <c r="G148" s="44"/>
    </row>
    <row r="149" spans="2:7" s="1" customFormat="1" ht="14.4" customHeight="1" x14ac:dyDescent="0.35">
      <c r="B149" s="4"/>
      <c r="G149" s="44"/>
    </row>
    <row r="150" spans="2:7" s="1" customFormat="1" ht="14.4" customHeight="1" x14ac:dyDescent="0.35">
      <c r="B150" s="4"/>
      <c r="G150" s="44"/>
    </row>
    <row r="151" spans="2:7" s="1" customFormat="1" ht="14.4" customHeight="1" x14ac:dyDescent="0.35">
      <c r="B151" s="4"/>
      <c r="G151" s="44"/>
    </row>
    <row r="152" spans="2:7" s="1" customFormat="1" ht="14.4" customHeight="1" x14ac:dyDescent="0.35">
      <c r="B152" s="4"/>
      <c r="G152" s="44"/>
    </row>
    <row r="153" spans="2:7" s="1" customFormat="1" ht="14.4" customHeight="1" x14ac:dyDescent="0.35">
      <c r="B153" s="4"/>
      <c r="G153" s="44"/>
    </row>
    <row r="154" spans="2:7" s="1" customFormat="1" ht="14.4" customHeight="1" x14ac:dyDescent="0.35">
      <c r="B154" s="4"/>
      <c r="G154" s="44"/>
    </row>
    <row r="155" spans="2:7" s="1" customFormat="1" ht="14.4" customHeight="1" x14ac:dyDescent="0.35">
      <c r="B155" s="4"/>
      <c r="G155" s="44"/>
    </row>
    <row r="156" spans="2:7" s="1" customFormat="1" ht="14.4" customHeight="1" x14ac:dyDescent="0.35">
      <c r="B156" s="4"/>
      <c r="G156" s="44"/>
    </row>
    <row r="157" spans="2:7" s="1" customFormat="1" ht="14.4" customHeight="1" x14ac:dyDescent="0.35">
      <c r="B157" s="4"/>
      <c r="G157" s="44"/>
    </row>
    <row r="158" spans="2:7" s="1" customFormat="1" ht="14.4" customHeight="1" x14ac:dyDescent="0.35">
      <c r="B158" s="4"/>
      <c r="G158" s="44"/>
    </row>
    <row r="159" spans="2:7" s="1" customFormat="1" ht="14.4" customHeight="1" x14ac:dyDescent="0.35">
      <c r="B159" s="4"/>
      <c r="G159" s="44"/>
    </row>
    <row r="160" spans="2:7" s="1" customFormat="1" ht="14.4" customHeight="1" x14ac:dyDescent="0.35">
      <c r="B160" s="4"/>
      <c r="G160" s="44"/>
    </row>
    <row r="161" spans="2:7" s="1" customFormat="1" ht="14.4" customHeight="1" x14ac:dyDescent="0.35">
      <c r="B161" s="4"/>
      <c r="G161" s="44"/>
    </row>
    <row r="162" spans="2:7" s="1" customFormat="1" ht="14.4" customHeight="1" x14ac:dyDescent="0.35">
      <c r="B162" s="4"/>
      <c r="G162" s="44"/>
    </row>
    <row r="163" spans="2:7" s="1" customFormat="1" ht="14.4" customHeight="1" x14ac:dyDescent="0.35">
      <c r="B163" s="4"/>
      <c r="G163" s="44"/>
    </row>
    <row r="164" spans="2:7" s="1" customFormat="1" ht="14.4" customHeight="1" x14ac:dyDescent="0.35">
      <c r="B164" s="4"/>
      <c r="G164" s="44"/>
    </row>
    <row r="165" spans="2:7" s="1" customFormat="1" ht="14.4" customHeight="1" x14ac:dyDescent="0.35">
      <c r="B165" s="4"/>
      <c r="G165" s="44"/>
    </row>
    <row r="166" spans="2:7" s="1" customFormat="1" ht="14.4" customHeight="1" x14ac:dyDescent="0.35">
      <c r="B166" s="4"/>
      <c r="G166" s="44"/>
    </row>
    <row r="167" spans="2:7" s="1" customFormat="1" ht="14.4" customHeight="1" x14ac:dyDescent="0.35">
      <c r="B167" s="4"/>
      <c r="G167" s="44"/>
    </row>
    <row r="168" spans="2:7" s="1" customFormat="1" ht="14.4" customHeight="1" x14ac:dyDescent="0.35">
      <c r="B168" s="4"/>
      <c r="G168" s="44"/>
    </row>
    <row r="169" spans="2:7" s="1" customFormat="1" ht="14.4" customHeight="1" x14ac:dyDescent="0.35">
      <c r="B169" s="4"/>
      <c r="G169" s="44"/>
    </row>
    <row r="170" spans="2:7" s="1" customFormat="1" ht="14.4" customHeight="1" x14ac:dyDescent="0.35">
      <c r="B170" s="4"/>
      <c r="G170" s="44"/>
    </row>
    <row r="171" spans="2:7" s="1" customFormat="1" ht="14.4" customHeight="1" x14ac:dyDescent="0.35">
      <c r="B171" s="4"/>
      <c r="G171" s="44"/>
    </row>
    <row r="172" spans="2:7" s="1" customFormat="1" ht="14.4" customHeight="1" x14ac:dyDescent="0.35">
      <c r="B172" s="4"/>
      <c r="G172" s="44"/>
    </row>
    <row r="173" spans="2:7" s="1" customFormat="1" ht="14.4" customHeight="1" x14ac:dyDescent="0.35">
      <c r="B173" s="4"/>
      <c r="G173" s="44"/>
    </row>
    <row r="174" spans="2:7" s="1" customFormat="1" ht="14.4" customHeight="1" x14ac:dyDescent="0.35">
      <c r="B174" s="4"/>
      <c r="G174" s="44"/>
    </row>
    <row r="175" spans="2:7" s="1" customFormat="1" ht="14.4" customHeight="1" x14ac:dyDescent="0.35">
      <c r="B175" s="4"/>
      <c r="G175" s="44"/>
    </row>
    <row r="176" spans="2:7" s="1" customFormat="1" ht="14.4" customHeight="1" x14ac:dyDescent="0.35">
      <c r="B176" s="4"/>
      <c r="G176" s="44"/>
    </row>
    <row r="177" spans="2:7" s="1" customFormat="1" ht="14.4" customHeight="1" x14ac:dyDescent="0.35">
      <c r="B177" s="4"/>
      <c r="G177" s="44"/>
    </row>
    <row r="178" spans="2:7" s="1" customFormat="1" ht="14.4" customHeight="1" x14ac:dyDescent="0.35">
      <c r="B178" s="4"/>
      <c r="G178" s="44"/>
    </row>
    <row r="179" spans="2:7" s="1" customFormat="1" ht="14.4" customHeight="1" x14ac:dyDescent="0.35">
      <c r="B179" s="4"/>
      <c r="G179" s="44"/>
    </row>
    <row r="180" spans="2:7" s="1" customFormat="1" ht="14.4" customHeight="1" x14ac:dyDescent="0.35">
      <c r="B180" s="4"/>
      <c r="G180" s="44"/>
    </row>
    <row r="181" spans="2:7" s="1" customFormat="1" ht="14.4" customHeight="1" x14ac:dyDescent="0.35">
      <c r="B181" s="4"/>
      <c r="G181" s="44"/>
    </row>
    <row r="182" spans="2:7" s="1" customFormat="1" ht="14.4" customHeight="1" x14ac:dyDescent="0.35">
      <c r="B182" s="4"/>
      <c r="G182" s="44"/>
    </row>
    <row r="183" spans="2:7" s="1" customFormat="1" ht="14.4" customHeight="1" x14ac:dyDescent="0.35">
      <c r="B183" s="4"/>
      <c r="G183" s="44"/>
    </row>
    <row r="184" spans="2:7" s="1" customFormat="1" ht="14.4" customHeight="1" x14ac:dyDescent="0.35">
      <c r="B184" s="4"/>
      <c r="G184" s="44"/>
    </row>
    <row r="185" spans="2:7" s="1" customFormat="1" ht="14.4" customHeight="1" x14ac:dyDescent="0.35">
      <c r="B185" s="4"/>
      <c r="G185" s="44"/>
    </row>
    <row r="186" spans="2:7" s="1" customFormat="1" ht="14.4" customHeight="1" x14ac:dyDescent="0.35">
      <c r="B186" s="4"/>
      <c r="G186" s="44"/>
    </row>
    <row r="187" spans="2:7" s="1" customFormat="1" ht="14.4" customHeight="1" x14ac:dyDescent="0.35">
      <c r="B187" s="4"/>
      <c r="G187" s="44"/>
    </row>
    <row r="188" spans="2:7" s="1" customFormat="1" ht="14.4" customHeight="1" x14ac:dyDescent="0.35">
      <c r="B188" s="4"/>
      <c r="G188" s="44"/>
    </row>
    <row r="189" spans="2:7" s="1" customFormat="1" ht="14.4" customHeight="1" x14ac:dyDescent="0.35">
      <c r="B189" s="4"/>
      <c r="G189" s="44"/>
    </row>
    <row r="190" spans="2:7" s="1" customFormat="1" ht="14.4" customHeight="1" x14ac:dyDescent="0.35">
      <c r="B190" s="4"/>
      <c r="G190" s="44"/>
    </row>
    <row r="191" spans="2:7" s="1" customFormat="1" ht="14.4" customHeight="1" x14ac:dyDescent="0.35">
      <c r="B191" s="4"/>
      <c r="G191" s="44"/>
    </row>
    <row r="192" spans="2:7" s="1" customFormat="1" ht="14.4" customHeight="1" x14ac:dyDescent="0.35">
      <c r="B192" s="4"/>
      <c r="G192" s="44"/>
    </row>
    <row r="193" spans="2:7" s="1" customFormat="1" ht="14.4" customHeight="1" x14ac:dyDescent="0.35">
      <c r="B193" s="4"/>
      <c r="G193" s="44"/>
    </row>
    <row r="194" spans="2:7" s="1" customFormat="1" ht="14.4" customHeight="1" x14ac:dyDescent="0.35">
      <c r="B194" s="4"/>
      <c r="G194" s="44"/>
    </row>
    <row r="195" spans="2:7" s="1" customFormat="1" ht="14.4" customHeight="1" x14ac:dyDescent="0.35">
      <c r="B195" s="4"/>
      <c r="G195" s="44"/>
    </row>
    <row r="196" spans="2:7" s="1" customFormat="1" ht="14.4" customHeight="1" x14ac:dyDescent="0.35">
      <c r="B196" s="4"/>
      <c r="G196" s="44"/>
    </row>
    <row r="197" spans="2:7" s="1" customFormat="1" ht="14.4" customHeight="1" x14ac:dyDescent="0.35">
      <c r="B197" s="4"/>
      <c r="G197" s="44"/>
    </row>
    <row r="198" spans="2:7" s="1" customFormat="1" ht="14.4" customHeight="1" x14ac:dyDescent="0.35">
      <c r="B198" s="4"/>
      <c r="G198" s="44"/>
    </row>
    <row r="199" spans="2:7" s="1" customFormat="1" ht="14.4" customHeight="1" x14ac:dyDescent="0.35">
      <c r="B199" s="4"/>
      <c r="G199" s="44"/>
    </row>
    <row r="200" spans="2:7" s="1" customFormat="1" ht="14.4" customHeight="1" x14ac:dyDescent="0.35">
      <c r="B200" s="4"/>
      <c r="G200" s="44"/>
    </row>
    <row r="201" spans="2:7" s="1" customFormat="1" ht="14.4" customHeight="1" x14ac:dyDescent="0.35">
      <c r="B201" s="4"/>
      <c r="G201" s="44"/>
    </row>
    <row r="202" spans="2:7" s="1" customFormat="1" ht="14.5" x14ac:dyDescent="0.35">
      <c r="B202" s="4"/>
      <c r="G202" s="44"/>
    </row>
    <row r="203" spans="2:7" s="1" customFormat="1" ht="14.5" x14ac:dyDescent="0.35">
      <c r="B203" s="4"/>
      <c r="G203" s="44"/>
    </row>
    <row r="204" spans="2:7" s="1" customFormat="1" ht="14.5" x14ac:dyDescent="0.35">
      <c r="B204" s="4"/>
      <c r="G204" s="44"/>
    </row>
    <row r="205" spans="2:7" s="1" customFormat="1" ht="14.5" x14ac:dyDescent="0.35">
      <c r="B205" s="4"/>
      <c r="G205" s="44"/>
    </row>
    <row r="206" spans="2:7" s="1" customFormat="1" ht="14.5" x14ac:dyDescent="0.35">
      <c r="B206" s="4"/>
      <c r="G206" s="44"/>
    </row>
    <row r="207" spans="2:7" s="1" customFormat="1" ht="14.5" x14ac:dyDescent="0.35">
      <c r="B207" s="4"/>
      <c r="G207" s="44"/>
    </row>
    <row r="208" spans="2:7" s="1" customFormat="1" ht="14.5" x14ac:dyDescent="0.35">
      <c r="B208" s="4"/>
      <c r="G208" s="44"/>
    </row>
    <row r="209" spans="2:7" s="1" customFormat="1" ht="14.5" x14ac:dyDescent="0.35">
      <c r="B209" s="4"/>
      <c r="G209" s="44"/>
    </row>
    <row r="210" spans="2:7" s="1" customFormat="1" ht="14.5" x14ac:dyDescent="0.35">
      <c r="B210" s="4"/>
      <c r="G210" s="44"/>
    </row>
    <row r="211" spans="2:7" s="1" customFormat="1" ht="14.5" x14ac:dyDescent="0.35">
      <c r="B211" s="4"/>
      <c r="G211" s="44"/>
    </row>
    <row r="212" spans="2:7" s="1" customFormat="1" ht="14.5" x14ac:dyDescent="0.35">
      <c r="B212" s="4"/>
      <c r="G212" s="44"/>
    </row>
    <row r="213" spans="2:7" s="1" customFormat="1" ht="14.5" x14ac:dyDescent="0.35">
      <c r="B213" s="4"/>
      <c r="G213" s="44"/>
    </row>
    <row r="214" spans="2:7" s="1" customFormat="1" ht="14.5" x14ac:dyDescent="0.35">
      <c r="B214" s="4"/>
      <c r="G214" s="44"/>
    </row>
    <row r="215" spans="2:7" s="1" customFormat="1" ht="14.5" x14ac:dyDescent="0.35">
      <c r="B215" s="4"/>
      <c r="G215" s="44"/>
    </row>
    <row r="216" spans="2:7" s="1" customFormat="1" ht="14.5" x14ac:dyDescent="0.35">
      <c r="B216" s="4"/>
      <c r="G216" s="44"/>
    </row>
    <row r="217" spans="2:7" s="1" customFormat="1" ht="14.5" x14ac:dyDescent="0.35">
      <c r="B217" s="4"/>
      <c r="G217" s="44"/>
    </row>
    <row r="218" spans="2:7" s="1" customFormat="1" ht="14.5" x14ac:dyDescent="0.35">
      <c r="B218" s="4"/>
      <c r="G218" s="44"/>
    </row>
    <row r="219" spans="2:7" s="1" customFormat="1" ht="14.5" x14ac:dyDescent="0.35">
      <c r="B219" s="4"/>
      <c r="G219" s="44"/>
    </row>
    <row r="220" spans="2:7" s="1" customFormat="1" ht="14.5" x14ac:dyDescent="0.35">
      <c r="B220" s="4"/>
      <c r="G220" s="44"/>
    </row>
    <row r="221" spans="2:7" s="1" customFormat="1" ht="14.5" x14ac:dyDescent="0.35">
      <c r="B221" s="4"/>
      <c r="G221" s="44"/>
    </row>
    <row r="222" spans="2:7" s="1" customFormat="1" ht="14.5" x14ac:dyDescent="0.35">
      <c r="B222" s="4"/>
      <c r="G222" s="44"/>
    </row>
    <row r="223" spans="2:7" s="1" customFormat="1" ht="14.5" x14ac:dyDescent="0.35">
      <c r="B223" s="4"/>
      <c r="G223" s="44"/>
    </row>
    <row r="224" spans="2:7" s="1" customFormat="1" ht="14.5" x14ac:dyDescent="0.35">
      <c r="B224" s="4"/>
      <c r="G224" s="44"/>
    </row>
    <row r="225" spans="2:7" s="1" customFormat="1" ht="14.5" x14ac:dyDescent="0.35">
      <c r="B225" s="4"/>
      <c r="G225" s="44"/>
    </row>
    <row r="226" spans="2:7" s="1" customFormat="1" ht="14.5" x14ac:dyDescent="0.35">
      <c r="B226" s="4"/>
      <c r="G226" s="44"/>
    </row>
    <row r="227" spans="2:7" s="1" customFormat="1" ht="14.5" x14ac:dyDescent="0.35">
      <c r="B227" s="4"/>
      <c r="G227" s="44"/>
    </row>
    <row r="228" spans="2:7" s="1" customFormat="1" ht="14.5" x14ac:dyDescent="0.35">
      <c r="B228" s="4"/>
      <c r="G228" s="44"/>
    </row>
    <row r="229" spans="2:7" s="1" customFormat="1" ht="14.5" x14ac:dyDescent="0.35">
      <c r="B229" s="4"/>
      <c r="G229" s="44"/>
    </row>
    <row r="230" spans="2:7" s="1" customFormat="1" ht="14.5" x14ac:dyDescent="0.35">
      <c r="B230" s="4"/>
      <c r="G230" s="44"/>
    </row>
    <row r="231" spans="2:7" s="1" customFormat="1" ht="14.5" x14ac:dyDescent="0.35">
      <c r="B231" s="4"/>
      <c r="G231" s="44"/>
    </row>
    <row r="232" spans="2:7" s="1" customFormat="1" ht="14.5" x14ac:dyDescent="0.35">
      <c r="B232" s="4"/>
      <c r="G232" s="44"/>
    </row>
    <row r="233" spans="2:7" s="1" customFormat="1" ht="14.5" x14ac:dyDescent="0.35">
      <c r="B233" s="4"/>
      <c r="G233" s="44"/>
    </row>
    <row r="234" spans="2:7" s="1" customFormat="1" ht="14.5" x14ac:dyDescent="0.35">
      <c r="B234" s="4"/>
      <c r="G234" s="44"/>
    </row>
    <row r="235" spans="2:7" s="1" customFormat="1" ht="14.5" x14ac:dyDescent="0.35">
      <c r="B235" s="4"/>
      <c r="G235" s="44"/>
    </row>
    <row r="236" spans="2:7" s="1" customFormat="1" ht="14.5" x14ac:dyDescent="0.35">
      <c r="B236" s="4"/>
      <c r="G236" s="44"/>
    </row>
    <row r="237" spans="2:7" s="1" customFormat="1" ht="14.5" x14ac:dyDescent="0.35">
      <c r="B237" s="4"/>
      <c r="G237" s="44"/>
    </row>
    <row r="238" spans="2:7" s="1" customFormat="1" ht="14.5" x14ac:dyDescent="0.35">
      <c r="B238" s="4"/>
      <c r="G238" s="44"/>
    </row>
    <row r="239" spans="2:7" s="1" customFormat="1" ht="14.5" x14ac:dyDescent="0.35">
      <c r="B239" s="4"/>
      <c r="G239" s="44"/>
    </row>
    <row r="240" spans="2:7" s="1" customFormat="1" ht="14.5" x14ac:dyDescent="0.35">
      <c r="B240" s="4"/>
      <c r="G240" s="44"/>
    </row>
    <row r="241" spans="2:7" s="1" customFormat="1" ht="14.5" x14ac:dyDescent="0.35">
      <c r="B241" s="4"/>
      <c r="G241" s="44"/>
    </row>
    <row r="242" spans="2:7" s="1" customFormat="1" ht="14.5" x14ac:dyDescent="0.35">
      <c r="B242" s="4"/>
      <c r="G242" s="44"/>
    </row>
    <row r="243" spans="2:7" s="1" customFormat="1" ht="14.5" x14ac:dyDescent="0.35">
      <c r="B243" s="4"/>
      <c r="G243" s="44"/>
    </row>
    <row r="244" spans="2:7" s="1" customFormat="1" ht="14.5" x14ac:dyDescent="0.35">
      <c r="B244" s="4"/>
      <c r="G244" s="44"/>
    </row>
    <row r="245" spans="2:7" s="1" customFormat="1" ht="14.5" x14ac:dyDescent="0.35">
      <c r="B245" s="4"/>
      <c r="G245" s="44"/>
    </row>
    <row r="246" spans="2:7" s="1" customFormat="1" ht="14.5" x14ac:dyDescent="0.35">
      <c r="B246" s="4"/>
      <c r="G246" s="44"/>
    </row>
    <row r="247" spans="2:7" s="1" customFormat="1" ht="14.5" x14ac:dyDescent="0.35">
      <c r="B247" s="4"/>
      <c r="G247" s="44"/>
    </row>
    <row r="248" spans="2:7" s="1" customFormat="1" ht="14.5" x14ac:dyDescent="0.35">
      <c r="B248" s="4"/>
      <c r="G248" s="44"/>
    </row>
    <row r="249" spans="2:7" s="1" customFormat="1" ht="14.5" x14ac:dyDescent="0.35">
      <c r="B249" s="4"/>
      <c r="G249" s="44"/>
    </row>
    <row r="250" spans="2:7" s="1" customFormat="1" ht="14.5" x14ac:dyDescent="0.35">
      <c r="B250" s="4"/>
      <c r="G250" s="44"/>
    </row>
    <row r="251" spans="2:7" s="1" customFormat="1" ht="14.5" x14ac:dyDescent="0.35">
      <c r="B251" s="4"/>
      <c r="G251" s="44"/>
    </row>
    <row r="252" spans="2:7" s="1" customFormat="1" ht="14.5" x14ac:dyDescent="0.35">
      <c r="B252" s="4"/>
      <c r="G252" s="44"/>
    </row>
    <row r="253" spans="2:7" s="1" customFormat="1" ht="14.5" x14ac:dyDescent="0.35">
      <c r="B253" s="4"/>
      <c r="G253" s="44"/>
    </row>
    <row r="254" spans="2:7" s="1" customFormat="1" ht="14.5" x14ac:dyDescent="0.35">
      <c r="B254" s="4"/>
      <c r="G254" s="44"/>
    </row>
    <row r="255" spans="2:7" s="1" customFormat="1" ht="14.5" x14ac:dyDescent="0.35">
      <c r="B255" s="4"/>
      <c r="G255" s="44"/>
    </row>
    <row r="256" spans="2:7" s="1" customFormat="1" ht="14.5" x14ac:dyDescent="0.35">
      <c r="B256" s="4"/>
      <c r="G256" s="44"/>
    </row>
    <row r="257" spans="2:7" s="1" customFormat="1" ht="14.5" x14ac:dyDescent="0.35">
      <c r="B257" s="4"/>
      <c r="G257" s="44"/>
    </row>
    <row r="258" spans="2:7" s="1" customFormat="1" ht="14.5" x14ac:dyDescent="0.35">
      <c r="B258" s="4"/>
      <c r="G258" s="44"/>
    </row>
    <row r="259" spans="2:7" s="1" customFormat="1" ht="14.5" x14ac:dyDescent="0.35">
      <c r="B259" s="4"/>
      <c r="G259" s="44"/>
    </row>
    <row r="260" spans="2:7" s="1" customFormat="1" ht="14.5" x14ac:dyDescent="0.35">
      <c r="B260" s="4"/>
      <c r="G260" s="44"/>
    </row>
    <row r="261" spans="2:7" s="1" customFormat="1" ht="14.5" x14ac:dyDescent="0.35">
      <c r="B261" s="4"/>
      <c r="G261" s="44"/>
    </row>
    <row r="262" spans="2:7" s="1" customFormat="1" ht="14.5" x14ac:dyDescent="0.35">
      <c r="B262" s="4"/>
      <c r="G262" s="44"/>
    </row>
    <row r="263" spans="2:7" s="1" customFormat="1" ht="14.5" x14ac:dyDescent="0.35">
      <c r="B263" s="4"/>
      <c r="G263" s="44"/>
    </row>
    <row r="264" spans="2:7" s="1" customFormat="1" ht="14.5" x14ac:dyDescent="0.35">
      <c r="B264" s="4"/>
      <c r="G264" s="44"/>
    </row>
    <row r="265" spans="2:7" s="1" customFormat="1" ht="14.5" x14ac:dyDescent="0.35">
      <c r="B265" s="4"/>
      <c r="G265" s="44"/>
    </row>
    <row r="266" spans="2:7" s="1" customFormat="1" ht="14.5" x14ac:dyDescent="0.35">
      <c r="B266" s="4"/>
      <c r="G266" s="44"/>
    </row>
    <row r="267" spans="2:7" s="1" customFormat="1" ht="14.5" x14ac:dyDescent="0.35">
      <c r="B267" s="4"/>
      <c r="G267" s="44"/>
    </row>
    <row r="268" spans="2:7" s="1" customFormat="1" ht="14.5" x14ac:dyDescent="0.35">
      <c r="B268" s="4"/>
      <c r="G268" s="44"/>
    </row>
    <row r="269" spans="2:7" s="1" customFormat="1" ht="14.5" x14ac:dyDescent="0.35">
      <c r="B269" s="4"/>
      <c r="G269" s="44"/>
    </row>
    <row r="270" spans="2:7" s="1" customFormat="1" ht="14.5" x14ac:dyDescent="0.35">
      <c r="B270" s="4"/>
      <c r="G270" s="44"/>
    </row>
    <row r="271" spans="2:7" s="1" customFormat="1" ht="14.5" x14ac:dyDescent="0.35">
      <c r="B271" s="4"/>
      <c r="G271" s="44"/>
    </row>
    <row r="272" spans="2:7" s="1" customFormat="1" ht="14.5" x14ac:dyDescent="0.35">
      <c r="B272" s="4"/>
      <c r="G272" s="44"/>
    </row>
    <row r="273" spans="2:7" s="1" customFormat="1" ht="14.5" x14ac:dyDescent="0.35">
      <c r="B273" s="4"/>
      <c r="G273" s="44"/>
    </row>
    <row r="274" spans="2:7" s="1" customFormat="1" ht="14.5" x14ac:dyDescent="0.35">
      <c r="B274" s="4"/>
      <c r="G274" s="44"/>
    </row>
    <row r="275" spans="2:7" s="1" customFormat="1" ht="14.5" x14ac:dyDescent="0.35">
      <c r="B275" s="4"/>
      <c r="G275" s="44"/>
    </row>
    <row r="276" spans="2:7" s="1" customFormat="1" ht="14.5" x14ac:dyDescent="0.35">
      <c r="B276" s="4"/>
      <c r="G276" s="44"/>
    </row>
    <row r="277" spans="2:7" s="1" customFormat="1" ht="14.5" x14ac:dyDescent="0.35">
      <c r="B277" s="4"/>
      <c r="G277" s="44"/>
    </row>
    <row r="278" spans="2:7" s="1" customFormat="1" ht="14.5" x14ac:dyDescent="0.35">
      <c r="B278" s="4"/>
      <c r="G278" s="44"/>
    </row>
    <row r="279" spans="2:7" s="1" customFormat="1" ht="14.5" x14ac:dyDescent="0.35">
      <c r="B279" s="4"/>
      <c r="G279" s="44"/>
    </row>
    <row r="280" spans="2:7" s="1" customFormat="1" ht="14.5" x14ac:dyDescent="0.35">
      <c r="B280" s="4"/>
      <c r="G280" s="44"/>
    </row>
    <row r="281" spans="2:7" s="1" customFormat="1" ht="14.5" x14ac:dyDescent="0.35">
      <c r="B281" s="4"/>
      <c r="G281" s="44"/>
    </row>
    <row r="282" spans="2:7" s="1" customFormat="1" ht="14.5" x14ac:dyDescent="0.35">
      <c r="B282" s="4"/>
      <c r="G282" s="44"/>
    </row>
    <row r="283" spans="2:7" s="1" customFormat="1" ht="14.5" x14ac:dyDescent="0.35">
      <c r="B283" s="4"/>
      <c r="G283" s="44"/>
    </row>
    <row r="284" spans="2:7" s="1" customFormat="1" ht="14.5" x14ac:dyDescent="0.35">
      <c r="B284" s="4"/>
      <c r="G284" s="44"/>
    </row>
    <row r="285" spans="2:7" s="1" customFormat="1" ht="14.5" x14ac:dyDescent="0.35">
      <c r="B285" s="4"/>
      <c r="G285" s="44"/>
    </row>
    <row r="286" spans="2:7" s="1" customFormat="1" ht="14.5" x14ac:dyDescent="0.35">
      <c r="B286" s="4"/>
      <c r="G286" s="44"/>
    </row>
    <row r="287" spans="2:7" s="1" customFormat="1" ht="14.5" x14ac:dyDescent="0.35">
      <c r="B287" s="4"/>
      <c r="G287" s="44"/>
    </row>
    <row r="288" spans="2:7" s="1" customFormat="1" ht="14.5" x14ac:dyDescent="0.35">
      <c r="B288" s="4"/>
      <c r="G288" s="44"/>
    </row>
    <row r="289" spans="2:7" s="1" customFormat="1" ht="14.5" x14ac:dyDescent="0.35">
      <c r="B289" s="4"/>
      <c r="G289" s="44"/>
    </row>
    <row r="290" spans="2:7" s="1" customFormat="1" ht="14.5" x14ac:dyDescent="0.35">
      <c r="B290" s="4"/>
      <c r="G290" s="44"/>
    </row>
    <row r="291" spans="2:7" s="1" customFormat="1" ht="14.5" x14ac:dyDescent="0.35">
      <c r="B291" s="4"/>
      <c r="G291" s="44"/>
    </row>
    <row r="292" spans="2:7" s="1" customFormat="1" ht="14.5" x14ac:dyDescent="0.35">
      <c r="B292" s="4"/>
      <c r="G292" s="44"/>
    </row>
    <row r="293" spans="2:7" s="1" customFormat="1" ht="14.5" x14ac:dyDescent="0.35">
      <c r="B293" s="4"/>
      <c r="G293" s="44"/>
    </row>
    <row r="294" spans="2:7" s="1" customFormat="1" ht="14.5" x14ac:dyDescent="0.35">
      <c r="B294" s="4"/>
      <c r="G294" s="44"/>
    </row>
    <row r="295" spans="2:7" s="1" customFormat="1" ht="14.5" x14ac:dyDescent="0.35">
      <c r="B295" s="4"/>
      <c r="G295" s="44"/>
    </row>
    <row r="296" spans="2:7" s="1" customFormat="1" ht="14.5" x14ac:dyDescent="0.35">
      <c r="B296" s="4"/>
      <c r="G296" s="44"/>
    </row>
    <row r="297" spans="2:7" s="1" customFormat="1" ht="14.5" x14ac:dyDescent="0.35">
      <c r="B297" s="4"/>
      <c r="G297" s="44"/>
    </row>
    <row r="298" spans="2:7" s="1" customFormat="1" ht="14.5" x14ac:dyDescent="0.35">
      <c r="B298" s="4"/>
      <c r="G298" s="44"/>
    </row>
    <row r="299" spans="2:7" s="1" customFormat="1" ht="14.5" x14ac:dyDescent="0.35">
      <c r="B299" s="4"/>
      <c r="G299" s="44"/>
    </row>
    <row r="300" spans="2:7" s="1" customFormat="1" ht="14.5" x14ac:dyDescent="0.35">
      <c r="B300" s="4"/>
      <c r="G300" s="44"/>
    </row>
    <row r="301" spans="2:7" s="1" customFormat="1" ht="14.5" x14ac:dyDescent="0.35">
      <c r="B301" s="4"/>
      <c r="G301" s="44"/>
    </row>
    <row r="302" spans="2:7" s="1" customFormat="1" ht="14.5" x14ac:dyDescent="0.35">
      <c r="B302" s="4"/>
      <c r="G302" s="44"/>
    </row>
    <row r="303" spans="2:7" s="1" customFormat="1" ht="14.5" x14ac:dyDescent="0.35">
      <c r="B303" s="4"/>
      <c r="G303" s="44"/>
    </row>
    <row r="304" spans="2:7" s="1" customFormat="1" ht="14.5" x14ac:dyDescent="0.35">
      <c r="B304" s="4"/>
      <c r="G304" s="44"/>
    </row>
    <row r="305" spans="2:7" s="1" customFormat="1" ht="14.5" x14ac:dyDescent="0.35">
      <c r="B305" s="4"/>
      <c r="G305" s="44"/>
    </row>
    <row r="306" spans="2:7" s="1" customFormat="1" ht="14.5" x14ac:dyDescent="0.35">
      <c r="B306" s="4"/>
      <c r="G306" s="44"/>
    </row>
    <row r="307" spans="2:7" s="1" customFormat="1" ht="14.5" x14ac:dyDescent="0.35">
      <c r="B307" s="4"/>
      <c r="G307" s="44"/>
    </row>
    <row r="308" spans="2:7" s="1" customFormat="1" ht="14.5" x14ac:dyDescent="0.35">
      <c r="B308" s="4"/>
      <c r="G308" s="44"/>
    </row>
    <row r="309" spans="2:7" s="1" customFormat="1" ht="14.5" x14ac:dyDescent="0.35">
      <c r="B309" s="4"/>
      <c r="G309" s="44"/>
    </row>
    <row r="310" spans="2:7" s="1" customFormat="1" ht="14.5" x14ac:dyDescent="0.35">
      <c r="B310" s="4"/>
      <c r="G310" s="44"/>
    </row>
    <row r="311" spans="2:7" s="1" customFormat="1" ht="14.5" x14ac:dyDescent="0.35">
      <c r="B311" s="4"/>
      <c r="G311" s="44"/>
    </row>
    <row r="312" spans="2:7" s="1" customFormat="1" ht="14.5" x14ac:dyDescent="0.35">
      <c r="B312" s="4"/>
      <c r="G312" s="44"/>
    </row>
    <row r="313" spans="2:7" s="1" customFormat="1" ht="14.5" x14ac:dyDescent="0.35">
      <c r="B313" s="4"/>
      <c r="G313" s="44"/>
    </row>
    <row r="314" spans="2:7" s="1" customFormat="1" ht="14.5" x14ac:dyDescent="0.35">
      <c r="B314" s="4"/>
      <c r="G314" s="44"/>
    </row>
    <row r="315" spans="2:7" s="1" customFormat="1" ht="14.5" x14ac:dyDescent="0.35">
      <c r="B315" s="4"/>
      <c r="G315" s="44"/>
    </row>
    <row r="316" spans="2:7" s="1" customFormat="1" ht="14.5" x14ac:dyDescent="0.35">
      <c r="B316" s="4"/>
      <c r="G316" s="44"/>
    </row>
    <row r="317" spans="2:7" s="1" customFormat="1" ht="14.5" x14ac:dyDescent="0.35">
      <c r="B317" s="4"/>
      <c r="G317" s="44"/>
    </row>
    <row r="318" spans="2:7" s="1" customFormat="1" ht="14.5" x14ac:dyDescent="0.35">
      <c r="B318" s="4"/>
      <c r="G318" s="44"/>
    </row>
    <row r="319" spans="2:7" s="1" customFormat="1" ht="14.5" x14ac:dyDescent="0.35">
      <c r="B319" s="4"/>
      <c r="G319" s="44"/>
    </row>
    <row r="320" spans="2:7" s="1" customFormat="1" ht="14.5" x14ac:dyDescent="0.35">
      <c r="B320" s="4"/>
      <c r="G320" s="44"/>
    </row>
    <row r="321" spans="2:7" s="1" customFormat="1" ht="14.5" x14ac:dyDescent="0.35">
      <c r="B321" s="4"/>
      <c r="G321" s="44"/>
    </row>
    <row r="322" spans="2:7" s="1" customFormat="1" ht="14.5" x14ac:dyDescent="0.35">
      <c r="B322" s="4"/>
      <c r="G322" s="44"/>
    </row>
    <row r="323" spans="2:7" s="1" customFormat="1" ht="14.5" x14ac:dyDescent="0.35">
      <c r="B323" s="4"/>
      <c r="G323" s="44"/>
    </row>
    <row r="324" spans="2:7" s="1" customFormat="1" ht="14.5" x14ac:dyDescent="0.35">
      <c r="B324" s="4"/>
      <c r="G324" s="44"/>
    </row>
    <row r="325" spans="2:7" s="1" customFormat="1" ht="14.5" x14ac:dyDescent="0.35">
      <c r="B325" s="4"/>
      <c r="G325" s="44"/>
    </row>
    <row r="326" spans="2:7" s="1" customFormat="1" ht="14.5" x14ac:dyDescent="0.35">
      <c r="B326" s="4"/>
      <c r="G326" s="44"/>
    </row>
    <row r="327" spans="2:7" s="1" customFormat="1" ht="14.5" x14ac:dyDescent="0.35">
      <c r="B327" s="4"/>
      <c r="G327" s="44"/>
    </row>
    <row r="328" spans="2:7" s="1" customFormat="1" ht="14.5" x14ac:dyDescent="0.35">
      <c r="B328" s="4"/>
      <c r="G328" s="44"/>
    </row>
    <row r="329" spans="2:7" s="1" customFormat="1" ht="14.5" x14ac:dyDescent="0.35">
      <c r="B329" s="4"/>
      <c r="G329" s="44"/>
    </row>
    <row r="330" spans="2:7" s="1" customFormat="1" ht="14.5" x14ac:dyDescent="0.35">
      <c r="B330" s="4"/>
      <c r="G330" s="44"/>
    </row>
    <row r="331" spans="2:7" s="1" customFormat="1" ht="14.5" x14ac:dyDescent="0.35">
      <c r="B331" s="4"/>
      <c r="G331" s="44"/>
    </row>
    <row r="332" spans="2:7" s="1" customFormat="1" ht="14.5" x14ac:dyDescent="0.35">
      <c r="B332" s="4"/>
      <c r="G332" s="44"/>
    </row>
    <row r="333" spans="2:7" s="1" customFormat="1" ht="14.5" x14ac:dyDescent="0.35">
      <c r="B333" s="4"/>
      <c r="G333" s="44"/>
    </row>
    <row r="334" spans="2:7" s="1" customFormat="1" ht="14.5" x14ac:dyDescent="0.35">
      <c r="B334" s="4"/>
      <c r="G334" s="44"/>
    </row>
    <row r="335" spans="2:7" s="1" customFormat="1" ht="14.5" x14ac:dyDescent="0.35">
      <c r="B335" s="4"/>
      <c r="G335" s="44"/>
    </row>
    <row r="336" spans="2:7" s="1" customFormat="1" ht="14.5" x14ac:dyDescent="0.35">
      <c r="B336" s="4"/>
      <c r="G336" s="44"/>
    </row>
    <row r="337" spans="2:7" s="1" customFormat="1" ht="14.5" x14ac:dyDescent="0.35">
      <c r="B337" s="4"/>
      <c r="G337" s="44"/>
    </row>
    <row r="338" spans="2:7" s="1" customFormat="1" ht="14.5" x14ac:dyDescent="0.35">
      <c r="B338" s="4"/>
      <c r="G338" s="44"/>
    </row>
    <row r="339" spans="2:7" s="1" customFormat="1" ht="14.5" x14ac:dyDescent="0.35">
      <c r="B339" s="4"/>
      <c r="G339" s="44"/>
    </row>
    <row r="340" spans="2:7" s="1" customFormat="1" ht="14.5" x14ac:dyDescent="0.35">
      <c r="B340" s="4"/>
      <c r="G340" s="44"/>
    </row>
    <row r="341" spans="2:7" s="1" customFormat="1" ht="14.5" x14ac:dyDescent="0.35">
      <c r="B341" s="4"/>
      <c r="G341" s="44"/>
    </row>
    <row r="342" spans="2:7" s="1" customFormat="1" ht="14.5" x14ac:dyDescent="0.35">
      <c r="B342" s="4"/>
      <c r="G342" s="44"/>
    </row>
    <row r="343" spans="2:7" s="1" customFormat="1" ht="14.5" x14ac:dyDescent="0.35">
      <c r="B343" s="4"/>
      <c r="G343" s="44"/>
    </row>
    <row r="344" spans="2:7" s="1" customFormat="1" ht="14.5" x14ac:dyDescent="0.35">
      <c r="B344" s="4"/>
      <c r="G344" s="44"/>
    </row>
    <row r="345" spans="2:7" s="1" customFormat="1" ht="14.5" x14ac:dyDescent="0.35">
      <c r="B345" s="4"/>
      <c r="G345" s="44"/>
    </row>
    <row r="346" spans="2:7" s="1" customFormat="1" ht="14.5" x14ac:dyDescent="0.35">
      <c r="B346" s="4"/>
      <c r="G346" s="44"/>
    </row>
    <row r="347" spans="2:7" s="1" customFormat="1" ht="14.5" x14ac:dyDescent="0.35">
      <c r="B347" s="4"/>
      <c r="G347" s="44"/>
    </row>
    <row r="348" spans="2:7" s="1" customFormat="1" ht="14.5" x14ac:dyDescent="0.35">
      <c r="B348" s="4"/>
      <c r="G348" s="44"/>
    </row>
    <row r="349" spans="2:7" s="1" customFormat="1" ht="14.5" x14ac:dyDescent="0.35">
      <c r="B349" s="4"/>
      <c r="G349" s="44"/>
    </row>
    <row r="350" spans="2:7" s="1" customFormat="1" ht="14.5" x14ac:dyDescent="0.35">
      <c r="B350" s="4"/>
      <c r="G350" s="44"/>
    </row>
    <row r="351" spans="2:7" s="1" customFormat="1" ht="14.5" x14ac:dyDescent="0.35">
      <c r="B351" s="4"/>
      <c r="G351" s="44"/>
    </row>
    <row r="352" spans="2:7" s="1" customFormat="1" ht="14.5" x14ac:dyDescent="0.35">
      <c r="B352" s="4"/>
      <c r="G352" s="44"/>
    </row>
    <row r="353" spans="2:7" s="1" customFormat="1" ht="14.5" x14ac:dyDescent="0.35">
      <c r="B353" s="4"/>
      <c r="G353" s="44"/>
    </row>
    <row r="354" spans="2:7" s="1" customFormat="1" ht="14.5" x14ac:dyDescent="0.35">
      <c r="B354" s="4"/>
      <c r="G354" s="44"/>
    </row>
    <row r="355" spans="2:7" s="1" customFormat="1" ht="14.5" x14ac:dyDescent="0.35">
      <c r="B355" s="4"/>
      <c r="G355" s="44"/>
    </row>
    <row r="356" spans="2:7" s="1" customFormat="1" ht="14.5" x14ac:dyDescent="0.35">
      <c r="B356" s="4"/>
      <c r="G356" s="44"/>
    </row>
    <row r="357" spans="2:7" s="1" customFormat="1" ht="14.5" x14ac:dyDescent="0.35">
      <c r="B357" s="4"/>
      <c r="G357" s="44"/>
    </row>
    <row r="358" spans="2:7" s="1" customFormat="1" ht="14.5" x14ac:dyDescent="0.35">
      <c r="B358" s="4"/>
      <c r="G358" s="44"/>
    </row>
    <row r="359" spans="2:7" s="1" customFormat="1" ht="14.5" x14ac:dyDescent="0.35">
      <c r="B359" s="4"/>
      <c r="G359" s="44"/>
    </row>
    <row r="360" spans="2:7" s="1" customFormat="1" ht="14.5" x14ac:dyDescent="0.35">
      <c r="B360" s="4"/>
      <c r="G360" s="44"/>
    </row>
    <row r="361" spans="2:7" s="1" customFormat="1" ht="14.5" x14ac:dyDescent="0.35">
      <c r="B361" s="4"/>
      <c r="G361" s="44"/>
    </row>
    <row r="362" spans="2:7" s="1" customFormat="1" ht="14.5" x14ac:dyDescent="0.35">
      <c r="B362" s="4"/>
      <c r="G362" s="44"/>
    </row>
    <row r="363" spans="2:7" s="1" customFormat="1" ht="14.5" x14ac:dyDescent="0.35">
      <c r="B363" s="4"/>
      <c r="G363" s="44"/>
    </row>
    <row r="364" spans="2:7" s="1" customFormat="1" ht="14.5" x14ac:dyDescent="0.35">
      <c r="B364" s="4"/>
      <c r="G364" s="44"/>
    </row>
    <row r="365" spans="2:7" s="1" customFormat="1" ht="14.5" x14ac:dyDescent="0.35">
      <c r="B365" s="4"/>
      <c r="G365" s="44"/>
    </row>
    <row r="366" spans="2:7" s="1" customFormat="1" ht="14.5" x14ac:dyDescent="0.35">
      <c r="B366" s="4"/>
      <c r="G366" s="44"/>
    </row>
    <row r="367" spans="2:7" s="1" customFormat="1" ht="14.5" x14ac:dyDescent="0.35">
      <c r="B367" s="4"/>
      <c r="G367" s="44"/>
    </row>
    <row r="368" spans="2:7" s="1" customFormat="1" ht="14.5" x14ac:dyDescent="0.35">
      <c r="B368" s="4"/>
      <c r="G368" s="44"/>
    </row>
    <row r="369" spans="1:9" s="1" customFormat="1" ht="14.5" x14ac:dyDescent="0.35">
      <c r="B369" s="4"/>
      <c r="G369" s="44"/>
    </row>
    <row r="370" spans="1:9" s="1" customFormat="1" ht="14.5" x14ac:dyDescent="0.35">
      <c r="B370" s="4"/>
      <c r="G370" s="44"/>
    </row>
    <row r="371" spans="1:9" s="1" customFormat="1" ht="14.5" x14ac:dyDescent="0.35">
      <c r="B371" s="4"/>
      <c r="G371" s="44"/>
    </row>
    <row r="372" spans="1:9" s="1" customFormat="1" ht="14.5" x14ac:dyDescent="0.35">
      <c r="B372" s="4"/>
      <c r="G372" s="44"/>
    </row>
    <row r="373" spans="1:9" s="1" customFormat="1" ht="14.5" x14ac:dyDescent="0.35">
      <c r="B373" s="4"/>
      <c r="G373" s="44"/>
    </row>
    <row r="374" spans="1:9" s="1" customFormat="1" ht="14.5" x14ac:dyDescent="0.35">
      <c r="B374" s="4"/>
      <c r="G374" s="44"/>
    </row>
    <row r="375" spans="1:9" s="1" customFormat="1" ht="14.5" x14ac:dyDescent="0.35">
      <c r="B375" s="4"/>
      <c r="G375" s="44"/>
    </row>
    <row r="376" spans="1:9" s="1" customFormat="1" ht="14.5" x14ac:dyDescent="0.35">
      <c r="B376" s="4"/>
      <c r="G376" s="44"/>
    </row>
    <row r="377" spans="1:9" s="1" customFormat="1" ht="14.5" x14ac:dyDescent="0.35">
      <c r="B377" s="4"/>
      <c r="G377" s="44"/>
    </row>
    <row r="378" spans="1:9" s="1" customFormat="1" ht="14.5" x14ac:dyDescent="0.35">
      <c r="B378" s="4"/>
      <c r="G378" s="44"/>
    </row>
    <row r="379" spans="1:9" s="1" customFormat="1" ht="14.5" x14ac:dyDescent="0.35">
      <c r="B379" s="4"/>
      <c r="G379" s="44"/>
    </row>
    <row r="380" spans="1:9" x14ac:dyDescent="0.35">
      <c r="A380" s="1"/>
      <c r="B380" s="4"/>
      <c r="C380" s="1"/>
      <c r="D380" s="1"/>
      <c r="E380" s="1"/>
      <c r="F380" s="1"/>
      <c r="G380" s="44"/>
      <c r="H380" s="1"/>
      <c r="I380" s="1"/>
    </row>
    <row r="381" spans="1:9" x14ac:dyDescent="0.35">
      <c r="A381" s="1"/>
      <c r="B381" s="4"/>
      <c r="C381" s="1"/>
      <c r="D381" s="1"/>
      <c r="E381" s="1"/>
      <c r="F381" s="1"/>
      <c r="G381" s="44"/>
      <c r="H381" s="1"/>
      <c r="I381" s="1"/>
    </row>
    <row r="382" spans="1:9" x14ac:dyDescent="0.35">
      <c r="A382" s="1"/>
      <c r="B382" s="4"/>
      <c r="C382" s="1"/>
      <c r="D382" s="1"/>
      <c r="E382" s="1"/>
      <c r="F382" s="1"/>
      <c r="G382" s="44"/>
      <c r="H382" s="1"/>
      <c r="I382" s="1"/>
    </row>
    <row r="383" spans="1:9" x14ac:dyDescent="0.35">
      <c r="A383" s="1"/>
      <c r="B383" s="4"/>
      <c r="C383" s="1"/>
      <c r="D383" s="1"/>
      <c r="E383" s="1"/>
      <c r="F383" s="1"/>
      <c r="G383" s="44"/>
      <c r="H383" s="1"/>
      <c r="I383" s="1"/>
    </row>
    <row r="384" spans="1:9" x14ac:dyDescent="0.35">
      <c r="A384" s="1"/>
      <c r="B384" s="4"/>
      <c r="C384" s="1"/>
      <c r="D384" s="1"/>
      <c r="E384" s="1"/>
      <c r="F384" s="1"/>
      <c r="G384" s="44"/>
      <c r="H384" s="1"/>
      <c r="I384" s="1"/>
    </row>
    <row r="385" spans="1:9" x14ac:dyDescent="0.35">
      <c r="A385" s="1"/>
      <c r="B385" s="4"/>
      <c r="C385" s="1"/>
      <c r="D385" s="1"/>
      <c r="E385" s="1"/>
      <c r="F385" s="1"/>
      <c r="G385" s="44"/>
      <c r="H385" s="1"/>
      <c r="I385" s="1"/>
    </row>
    <row r="386" spans="1:9" x14ac:dyDescent="0.35">
      <c r="A386" s="1"/>
      <c r="B386" s="4"/>
      <c r="C386" s="1"/>
      <c r="D386" s="1"/>
      <c r="E386" s="1"/>
      <c r="F386" s="1"/>
      <c r="G386" s="44"/>
      <c r="H386" s="1"/>
      <c r="I386" s="1"/>
    </row>
    <row r="387" spans="1:9" x14ac:dyDescent="0.35">
      <c r="A387" s="1"/>
      <c r="B387" s="4"/>
      <c r="C387" s="1"/>
      <c r="D387" s="1"/>
      <c r="E387" s="1"/>
      <c r="F387" s="1"/>
      <c r="G387" s="44"/>
      <c r="H387" s="1"/>
      <c r="I387" s="1"/>
    </row>
    <row r="388" spans="1:9" x14ac:dyDescent="0.35">
      <c r="A388" s="1"/>
      <c r="B388" s="4"/>
      <c r="C388" s="1"/>
      <c r="D388" s="1"/>
      <c r="E388" s="1"/>
      <c r="F388" s="1"/>
      <c r="G388" s="44"/>
      <c r="H388" s="1"/>
      <c r="I388" s="1"/>
    </row>
    <row r="389" spans="1:9" x14ac:dyDescent="0.35">
      <c r="A389" s="1"/>
      <c r="B389" s="4"/>
      <c r="C389" s="1"/>
      <c r="D389" s="1"/>
      <c r="E389" s="1"/>
      <c r="F389" s="1"/>
      <c r="G389" s="44"/>
      <c r="H389" s="1"/>
      <c r="I389" s="1"/>
    </row>
    <row r="390" spans="1:9" x14ac:dyDescent="0.35">
      <c r="A390" s="1"/>
      <c r="B390" s="4"/>
      <c r="C390" s="1"/>
      <c r="D390" s="1"/>
      <c r="E390" s="1"/>
      <c r="F390" s="1"/>
      <c r="G390" s="44"/>
      <c r="H390" s="1"/>
      <c r="I390" s="1"/>
    </row>
    <row r="391" spans="1:9" x14ac:dyDescent="0.35">
      <c r="A391" s="1"/>
      <c r="B391" s="4"/>
      <c r="C391" s="1"/>
      <c r="D391" s="1"/>
      <c r="E391" s="1"/>
      <c r="F391" s="1"/>
      <c r="G391" s="44"/>
      <c r="H391" s="1"/>
      <c r="I391" s="1"/>
    </row>
    <row r="392" spans="1:9" x14ac:dyDescent="0.35">
      <c r="A392" s="1"/>
      <c r="B392" s="4"/>
      <c r="C392" s="1"/>
      <c r="D392" s="1"/>
      <c r="E392" s="1"/>
      <c r="F392" s="1"/>
      <c r="G392" s="44"/>
      <c r="H392" s="1"/>
      <c r="I392" s="1"/>
    </row>
  </sheetData>
  <mergeCells count="21">
    <mergeCell ref="D102:E102"/>
    <mergeCell ref="D108:E108"/>
    <mergeCell ref="E109:F109"/>
    <mergeCell ref="E50:F50"/>
    <mergeCell ref="A1:G1"/>
    <mergeCell ref="A2:G2"/>
    <mergeCell ref="B5:G5"/>
    <mergeCell ref="E33:F33"/>
    <mergeCell ref="D31:E31"/>
    <mergeCell ref="D22:E22"/>
    <mergeCell ref="D49:E49"/>
    <mergeCell ref="D40:E40"/>
    <mergeCell ref="D65:E65"/>
    <mergeCell ref="D57:E57"/>
    <mergeCell ref="D72:E72"/>
    <mergeCell ref="E66:F66"/>
    <mergeCell ref="E81:F81"/>
    <mergeCell ref="E96:F96"/>
    <mergeCell ref="D80:E80"/>
    <mergeCell ref="D87:E87"/>
    <mergeCell ref="D95:E95"/>
  </mergeCells>
  <pageMargins left="0.7" right="0.7" top="0.75" bottom="0.75" header="0.3" footer="0.3"/>
  <pageSetup scale="63" fitToHeight="8" orientation="landscape" horizontalDpi="4294967293" r:id="rId1"/>
  <rowBreaks count="3" manualBreakCount="3">
    <brk id="38" max="13" man="1"/>
    <brk id="70" max="13" man="1"/>
    <brk id="100"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N281"/>
  <sheetViews>
    <sheetView showGridLines="0" topLeftCell="A59" zoomScaleNormal="100" workbookViewId="0">
      <selection activeCell="A70" sqref="A70:I109"/>
    </sheetView>
  </sheetViews>
  <sheetFormatPr defaultColWidth="8.84375" defaultRowHeight="15.5" x14ac:dyDescent="0.35"/>
  <cols>
    <col min="1" max="1" width="7.765625" customWidth="1"/>
    <col min="2" max="2" width="8" style="96" customWidth="1"/>
    <col min="3" max="4" width="10.53515625" customWidth="1"/>
    <col min="5" max="6" width="12.61328125" customWidth="1"/>
    <col min="7" max="7" width="12.61328125" style="103" customWidth="1"/>
    <col min="8" max="8" width="12.61328125" customWidth="1"/>
    <col min="9" max="9" width="12.61328125" style="222" customWidth="1"/>
    <col min="10" max="10" width="12.61328125" style="221" customWidth="1"/>
    <col min="11" max="11" width="8.765625" customWidth="1"/>
    <col min="12" max="12" width="11.4609375" bestFit="1" customWidth="1"/>
  </cols>
  <sheetData>
    <row r="1" spans="1:14" ht="21" x14ac:dyDescent="0.5">
      <c r="A1" s="468" t="s">
        <v>232</v>
      </c>
      <c r="B1" s="468"/>
      <c r="C1" s="468"/>
      <c r="D1" s="468"/>
      <c r="E1" s="468"/>
      <c r="F1" s="468"/>
      <c r="G1" s="468"/>
      <c r="H1" s="468"/>
      <c r="I1" s="15"/>
      <c r="J1" s="220"/>
      <c r="K1" s="1"/>
      <c r="L1" s="1"/>
      <c r="M1" s="1"/>
      <c r="N1" s="1"/>
    </row>
    <row r="2" spans="1:14" ht="18.5" x14ac:dyDescent="0.35">
      <c r="A2" s="470" t="str">
        <f>SAO!A2</f>
        <v>East Daviess County Water Association</v>
      </c>
      <c r="B2" s="470"/>
      <c r="C2" s="470"/>
      <c r="D2" s="470"/>
      <c r="E2" s="470"/>
      <c r="F2" s="470"/>
      <c r="G2" s="470"/>
      <c r="H2" s="470"/>
      <c r="I2" s="15"/>
      <c r="J2" s="220"/>
      <c r="K2" s="1"/>
      <c r="L2" s="1"/>
      <c r="M2" s="1"/>
      <c r="N2" s="1"/>
    </row>
    <row r="3" spans="1:14" ht="18.5" x14ac:dyDescent="0.35">
      <c r="A3" s="28"/>
      <c r="B3" s="28"/>
      <c r="C3" s="28"/>
      <c r="D3" s="28"/>
      <c r="E3" s="28"/>
      <c r="F3" s="28"/>
      <c r="G3" s="28"/>
      <c r="H3" s="28"/>
      <c r="I3" s="15"/>
      <c r="J3" s="220"/>
      <c r="K3" s="1"/>
      <c r="L3" s="1"/>
      <c r="M3" s="1"/>
      <c r="N3" s="1"/>
    </row>
    <row r="4" spans="1:14" ht="18.5" x14ac:dyDescent="0.35">
      <c r="A4" s="28"/>
      <c r="B4" s="469" t="s">
        <v>49</v>
      </c>
      <c r="C4" s="469"/>
      <c r="D4" s="469"/>
      <c r="E4" s="469"/>
      <c r="F4" s="469"/>
      <c r="G4" s="469"/>
      <c r="H4" s="1"/>
      <c r="I4" s="1"/>
      <c r="J4" s="1"/>
      <c r="K4" s="1"/>
      <c r="L4" s="1"/>
      <c r="M4" s="1"/>
      <c r="N4" s="1"/>
    </row>
    <row r="5" spans="1:14" ht="18.5" x14ac:dyDescent="0.35">
      <c r="A5" s="28"/>
      <c r="B5" s="4" t="s">
        <v>115</v>
      </c>
      <c r="C5" s="91"/>
      <c r="D5" s="295" t="s">
        <v>51</v>
      </c>
      <c r="E5" s="295" t="s">
        <v>52</v>
      </c>
      <c r="F5" s="84"/>
      <c r="G5" s="100" t="s">
        <v>55</v>
      </c>
      <c r="H5" s="1"/>
      <c r="I5" s="1"/>
      <c r="J5" s="1"/>
      <c r="K5" s="1"/>
      <c r="L5" s="1"/>
      <c r="M5" s="1"/>
      <c r="N5" s="1"/>
    </row>
    <row r="6" spans="1:14" x14ac:dyDescent="0.35">
      <c r="A6" s="87"/>
      <c r="B6" s="4" t="s">
        <v>209</v>
      </c>
      <c r="C6" s="1"/>
      <c r="D6" s="123">
        <f>C33+C50+C66+C81+C96</f>
        <v>56964</v>
      </c>
      <c r="E6" s="123">
        <f>D28+D54+D69+D84+D99</f>
        <v>243563069</v>
      </c>
      <c r="F6" s="85"/>
      <c r="G6" s="21">
        <f>G37+G54+G69+G84+G99</f>
        <v>2319422</v>
      </c>
      <c r="H6" s="1"/>
      <c r="I6" s="1"/>
      <c r="J6" s="1"/>
      <c r="K6" s="1"/>
      <c r="L6" s="379">
        <f>ExBA!G7</f>
        <v>2123394</v>
      </c>
      <c r="M6" s="393">
        <f>(G6-L6)/L6</f>
        <v>9.2318241456837494E-2</v>
      </c>
      <c r="N6" s="1"/>
    </row>
    <row r="7" spans="1:14" ht="17" x14ac:dyDescent="0.5">
      <c r="A7" s="1"/>
      <c r="B7" s="4" t="s">
        <v>119</v>
      </c>
      <c r="C7" s="89"/>
      <c r="D7" s="97"/>
      <c r="E7" s="40"/>
      <c r="F7" s="40"/>
      <c r="G7" s="417">
        <v>-16537.240000000002</v>
      </c>
      <c r="H7" s="1" t="s">
        <v>248</v>
      </c>
      <c r="I7" s="1"/>
      <c r="J7" s="1"/>
      <c r="K7" s="1"/>
      <c r="L7" s="1"/>
      <c r="M7" s="393"/>
      <c r="N7" s="1"/>
    </row>
    <row r="8" spans="1:14" s="1" customFormat="1" ht="14.5" x14ac:dyDescent="0.35">
      <c r="B8" s="4" t="s">
        <v>120</v>
      </c>
      <c r="C8" s="89"/>
      <c r="D8" s="37"/>
      <c r="E8" s="85"/>
      <c r="F8" s="85"/>
      <c r="G8" s="21">
        <f>G6+G7</f>
        <v>2302884.7599999998</v>
      </c>
      <c r="L8" s="379">
        <f>ExBA!G9</f>
        <v>2106856.7599999998</v>
      </c>
      <c r="M8" s="393">
        <f>(G8-L8)/L8</f>
        <v>9.3042870175948755E-2</v>
      </c>
    </row>
    <row r="9" spans="1:14" s="1" customFormat="1" ht="14.5" x14ac:dyDescent="0.35">
      <c r="B9" s="352"/>
      <c r="C9" s="353"/>
      <c r="D9" s="354"/>
      <c r="E9" s="355"/>
      <c r="F9" s="355"/>
      <c r="G9" s="356"/>
      <c r="H9" s="357"/>
      <c r="I9" s="357"/>
      <c r="J9" s="357"/>
      <c r="M9" s="393"/>
    </row>
    <row r="10" spans="1:14" s="1" customFormat="1" ht="14.5" x14ac:dyDescent="0.35">
      <c r="B10" s="4"/>
      <c r="C10" s="89"/>
      <c r="D10" s="295" t="s">
        <v>51</v>
      </c>
      <c r="E10" s="295" t="s">
        <v>52</v>
      </c>
      <c r="F10" s="85"/>
      <c r="G10" s="66"/>
      <c r="M10" s="393"/>
    </row>
    <row r="11" spans="1:14" s="1" customFormat="1" ht="14.5" x14ac:dyDescent="0.35">
      <c r="B11" s="4" t="s">
        <v>210</v>
      </c>
      <c r="D11" s="145">
        <f>C109</f>
        <v>12</v>
      </c>
      <c r="E11" s="145">
        <f>D109</f>
        <v>6450941</v>
      </c>
      <c r="F11" s="390"/>
      <c r="G11" s="391">
        <f>G109</f>
        <v>24514</v>
      </c>
      <c r="L11" s="379">
        <f>ExBA!G14</f>
        <v>22449</v>
      </c>
      <c r="M11" s="393">
        <f>(G11-L11)/L11</f>
        <v>9.1986280012472721E-2</v>
      </c>
    </row>
    <row r="12" spans="1:14" s="1" customFormat="1" ht="14.5" x14ac:dyDescent="0.35">
      <c r="B12" s="4"/>
      <c r="D12" s="123"/>
      <c r="E12" s="123"/>
      <c r="F12" s="85"/>
      <c r="G12" s="21"/>
      <c r="M12" s="393"/>
    </row>
    <row r="13" spans="1:14" s="1" customFormat="1" ht="14.5" x14ac:dyDescent="0.35">
      <c r="B13" s="4" t="s">
        <v>53</v>
      </c>
      <c r="C13" s="89"/>
      <c r="D13" s="4">
        <f>D6+D11</f>
        <v>56976</v>
      </c>
      <c r="E13" s="4">
        <f>E6+E11</f>
        <v>250014010</v>
      </c>
      <c r="F13" s="85"/>
      <c r="G13" s="206">
        <f>G8+G11</f>
        <v>2327398.7599999998</v>
      </c>
      <c r="H13" s="393"/>
      <c r="L13" s="379">
        <f>ExBA!G18</f>
        <v>2129305.7599999998</v>
      </c>
      <c r="M13" s="393">
        <f>(G13-L13)/L13</f>
        <v>9.3031730680144323E-2</v>
      </c>
    </row>
    <row r="14" spans="1:14" s="1" customFormat="1" ht="14.5" x14ac:dyDescent="0.35">
      <c r="B14" s="4"/>
      <c r="C14" s="89"/>
      <c r="D14" s="4"/>
      <c r="E14" s="4"/>
      <c r="F14" s="85"/>
      <c r="G14" s="206"/>
      <c r="H14" s="393"/>
      <c r="L14" s="379"/>
      <c r="M14" s="393"/>
    </row>
    <row r="15" spans="1:14" s="1" customFormat="1" ht="16" x14ac:dyDescent="0.5">
      <c r="B15" s="4"/>
      <c r="C15" s="89"/>
      <c r="D15" s="4"/>
      <c r="E15" s="4"/>
      <c r="F15" s="85"/>
      <c r="G15" s="424">
        <f>'Revenue Requirements'!G10</f>
        <v>2326737.2692610398</v>
      </c>
      <c r="H15" s="302" t="s">
        <v>60</v>
      </c>
      <c r="L15" s="379"/>
      <c r="M15" s="393"/>
    </row>
    <row r="16" spans="1:14" s="1" customFormat="1" ht="14.5" x14ac:dyDescent="0.35">
      <c r="B16" s="4"/>
      <c r="C16" s="89"/>
      <c r="D16" s="4"/>
      <c r="E16" s="4"/>
      <c r="F16" s="85"/>
      <c r="G16" s="206">
        <f>G13-G15</f>
        <v>661.49073895998299</v>
      </c>
      <c r="H16" s="393" t="s">
        <v>67</v>
      </c>
      <c r="L16" s="379"/>
      <c r="M16" s="393"/>
    </row>
    <row r="17" spans="1:13" s="1" customFormat="1" ht="14.5" x14ac:dyDescent="0.35">
      <c r="B17" s="4"/>
      <c r="C17" s="89"/>
      <c r="D17" s="4"/>
      <c r="E17" s="4"/>
      <c r="F17" s="85"/>
      <c r="G17" s="206"/>
      <c r="H17" s="393"/>
      <c r="L17" s="379"/>
      <c r="M17" s="393"/>
    </row>
    <row r="18" spans="1:13" s="1" customFormat="1" ht="15" thickBot="1" x14ac:dyDescent="0.4">
      <c r="B18" s="4"/>
      <c r="C18" s="89"/>
      <c r="D18" s="37"/>
      <c r="E18" s="85"/>
      <c r="F18" s="85"/>
      <c r="G18" s="44"/>
      <c r="I18" s="15"/>
      <c r="J18" s="228"/>
    </row>
    <row r="19" spans="1:13" s="1" customFormat="1" ht="14.5" x14ac:dyDescent="0.35">
      <c r="A19" s="267"/>
      <c r="B19" s="268"/>
      <c r="C19" s="269"/>
      <c r="D19" s="467"/>
      <c r="E19" s="467"/>
      <c r="F19" s="270"/>
      <c r="G19" s="282"/>
      <c r="H19" s="285"/>
      <c r="I19" s="286"/>
      <c r="J19" s="287"/>
    </row>
    <row r="20" spans="1:13" s="1" customFormat="1" ht="15" thickBot="1" x14ac:dyDescent="0.4">
      <c r="A20" s="271"/>
      <c r="B20" s="4"/>
      <c r="C20" s="89"/>
      <c r="D20" s="262"/>
      <c r="E20" s="90"/>
      <c r="F20" s="90"/>
      <c r="G20" s="90"/>
      <c r="H20" s="90"/>
      <c r="I20" s="90"/>
      <c r="J20" s="90"/>
    </row>
    <row r="21" spans="1:13" s="1" customFormat="1" ht="14.5" x14ac:dyDescent="0.35">
      <c r="A21" s="267" t="s">
        <v>207</v>
      </c>
      <c r="B21" s="268"/>
      <c r="C21" s="269"/>
      <c r="D21" s="467" t="s">
        <v>203</v>
      </c>
      <c r="E21" s="467"/>
      <c r="F21" s="270"/>
      <c r="G21" s="282"/>
      <c r="H21" s="285"/>
      <c r="I21" s="283"/>
    </row>
    <row r="22" spans="1:13" s="1" customFormat="1" ht="14.4" customHeight="1" x14ac:dyDescent="0.35">
      <c r="A22" s="271"/>
      <c r="B22" s="4"/>
      <c r="C22" s="89"/>
      <c r="D22" s="262"/>
      <c r="E22" s="90" t="s">
        <v>197</v>
      </c>
      <c r="F22" s="90" t="s">
        <v>198</v>
      </c>
      <c r="G22" s="90" t="s">
        <v>198</v>
      </c>
      <c r="H22" s="234" t="s">
        <v>199</v>
      </c>
      <c r="I22" s="272"/>
    </row>
    <row r="23" spans="1:13" s="1" customFormat="1" ht="14.4" customHeight="1" x14ac:dyDescent="0.35">
      <c r="A23" s="246"/>
      <c r="B23" s="95" t="s">
        <v>50</v>
      </c>
      <c r="C23" s="84" t="s">
        <v>51</v>
      </c>
      <c r="D23" s="84" t="s">
        <v>52</v>
      </c>
      <c r="E23" s="263">
        <f>B24</f>
        <v>2000</v>
      </c>
      <c r="F23" s="263">
        <f>B25</f>
        <v>4000</v>
      </c>
      <c r="G23" s="263">
        <f>B26</f>
        <v>44000</v>
      </c>
      <c r="H23" s="264">
        <f>B27</f>
        <v>50000</v>
      </c>
      <c r="I23" s="273" t="s">
        <v>12</v>
      </c>
    </row>
    <row r="24" spans="1:13" s="1" customFormat="1" ht="14.4" customHeight="1" x14ac:dyDescent="0.35">
      <c r="A24" s="274" t="s">
        <v>197</v>
      </c>
      <c r="B24" s="4">
        <f>Rates!D9</f>
        <v>2000</v>
      </c>
      <c r="C24" s="20">
        <v>16816</v>
      </c>
      <c r="D24" s="4">
        <v>15726179</v>
      </c>
      <c r="E24" s="264">
        <f>D24</f>
        <v>15726179</v>
      </c>
      <c r="F24" s="264"/>
      <c r="G24" s="264"/>
      <c r="H24" s="264"/>
      <c r="I24" s="275">
        <f>SUM(E24:H24)</f>
        <v>15726179</v>
      </c>
    </row>
    <row r="25" spans="1:13" s="1" customFormat="1" ht="14.4" customHeight="1" x14ac:dyDescent="0.35">
      <c r="A25" s="274" t="s">
        <v>198</v>
      </c>
      <c r="B25" s="4">
        <f>Rates!D10</f>
        <v>4000</v>
      </c>
      <c r="C25" s="20">
        <v>29926</v>
      </c>
      <c r="D25" s="4">
        <v>110066443</v>
      </c>
      <c r="E25" s="264">
        <f>C25*E23</f>
        <v>59852000</v>
      </c>
      <c r="F25" s="264">
        <f>D25-E25</f>
        <v>50214443</v>
      </c>
      <c r="G25" s="264"/>
      <c r="H25" s="264"/>
      <c r="I25" s="275">
        <f>SUM(E25:H25)</f>
        <v>110066443</v>
      </c>
    </row>
    <row r="26" spans="1:13" s="1" customFormat="1" ht="14.4" customHeight="1" x14ac:dyDescent="0.35">
      <c r="A26" s="274" t="s">
        <v>198</v>
      </c>
      <c r="B26" s="4">
        <f>Rates!D11</f>
        <v>44000</v>
      </c>
      <c r="C26" s="20">
        <v>9542</v>
      </c>
      <c r="D26" s="4">
        <v>92377578</v>
      </c>
      <c r="E26" s="264">
        <f>C26*E23</f>
        <v>19084000</v>
      </c>
      <c r="F26" s="264">
        <f>C26*F23</f>
        <v>38168000</v>
      </c>
      <c r="G26" s="264">
        <f>D26-E26-F26</f>
        <v>35125578</v>
      </c>
      <c r="H26" s="264"/>
      <c r="I26" s="275">
        <f>SUM(E26:H26)</f>
        <v>92377578</v>
      </c>
    </row>
    <row r="27" spans="1:13" s="1" customFormat="1" ht="14.4" customHeight="1" x14ac:dyDescent="0.5">
      <c r="A27" s="277" t="s">
        <v>199</v>
      </c>
      <c r="B27" s="4">
        <f>Rates!D12</f>
        <v>50000</v>
      </c>
      <c r="C27" s="86">
        <v>61</v>
      </c>
      <c r="D27" s="40">
        <v>4958210</v>
      </c>
      <c r="E27" s="40">
        <f>C27*E23</f>
        <v>122000</v>
      </c>
      <c r="F27" s="40">
        <f>C27*F23</f>
        <v>244000</v>
      </c>
      <c r="G27" s="40">
        <f>C27*G23</f>
        <v>2684000</v>
      </c>
      <c r="H27" s="40">
        <f>D27-E27-F27-G27</f>
        <v>1908210</v>
      </c>
      <c r="I27" s="276">
        <f>SUM(E27:H27)</f>
        <v>4958210</v>
      </c>
    </row>
    <row r="28" spans="1:13" s="1" customFormat="1" ht="14.4" customHeight="1" x14ac:dyDescent="0.35">
      <c r="A28" s="274"/>
      <c r="B28" s="4"/>
      <c r="C28" s="20">
        <f t="shared" ref="C28:I28" si="0">SUM(C24:C27)</f>
        <v>56345</v>
      </c>
      <c r="D28" s="4">
        <f t="shared" si="0"/>
        <v>223128410</v>
      </c>
      <c r="E28" s="4">
        <f t="shared" si="0"/>
        <v>94784179</v>
      </c>
      <c r="F28" s="4">
        <f t="shared" si="0"/>
        <v>88626443</v>
      </c>
      <c r="G28" s="4">
        <f t="shared" si="0"/>
        <v>37809578</v>
      </c>
      <c r="H28" s="4">
        <f t="shared" si="0"/>
        <v>1908210</v>
      </c>
      <c r="I28" s="275">
        <f t="shared" si="0"/>
        <v>223128410</v>
      </c>
    </row>
    <row r="29" spans="1:13" s="1" customFormat="1" ht="14.4" customHeight="1" x14ac:dyDescent="0.35">
      <c r="A29" s="246"/>
      <c r="B29" s="4"/>
      <c r="C29" s="89"/>
      <c r="D29" s="37"/>
      <c r="E29" s="85"/>
      <c r="F29" s="85"/>
      <c r="G29" s="44"/>
      <c r="I29" s="272"/>
    </row>
    <row r="30" spans="1:13" s="1" customFormat="1" ht="14.4" customHeight="1" x14ac:dyDescent="0.35">
      <c r="A30" s="271" t="s">
        <v>206</v>
      </c>
      <c r="D30" s="465" t="s">
        <v>203</v>
      </c>
      <c r="E30" s="465"/>
      <c r="F30" s="115"/>
      <c r="G30" s="115"/>
      <c r="H30" s="4"/>
      <c r="I30" s="291"/>
    </row>
    <row r="31" spans="1:13" s="1" customFormat="1" ht="14.4" customHeight="1" x14ac:dyDescent="0.35">
      <c r="A31" s="271"/>
      <c r="D31" s="262"/>
      <c r="E31" s="262"/>
      <c r="F31" s="115"/>
      <c r="G31" s="115"/>
      <c r="H31" s="4"/>
      <c r="I31" s="291"/>
    </row>
    <row r="32" spans="1:13" s="1" customFormat="1" ht="14.4" customHeight="1" x14ac:dyDescent="0.35">
      <c r="A32" s="246"/>
      <c r="B32" s="95" t="s">
        <v>50</v>
      </c>
      <c r="C32" s="84" t="s">
        <v>51</v>
      </c>
      <c r="D32" s="84" t="s">
        <v>52</v>
      </c>
      <c r="E32" s="464" t="s">
        <v>301</v>
      </c>
      <c r="F32" s="464"/>
      <c r="G32" s="100" t="s">
        <v>55</v>
      </c>
      <c r="I32" s="272"/>
    </row>
    <row r="33" spans="1:13" s="1" customFormat="1" ht="14.4" customHeight="1" x14ac:dyDescent="0.35">
      <c r="A33" s="274" t="s">
        <v>197</v>
      </c>
      <c r="B33" s="4">
        <f>Rates!D9</f>
        <v>2000</v>
      </c>
      <c r="C33" s="20">
        <f>C28</f>
        <v>56345</v>
      </c>
      <c r="D33" s="20">
        <f>E28</f>
        <v>94784179</v>
      </c>
      <c r="E33" s="235">
        <f>Rates!H9</f>
        <v>21.5</v>
      </c>
      <c r="F33" s="46" t="s">
        <v>111</v>
      </c>
      <c r="G33" s="101">
        <f>ROUND(C33*E33,0)</f>
        <v>1211418</v>
      </c>
      <c r="I33" s="272"/>
    </row>
    <row r="34" spans="1:13" s="1" customFormat="1" ht="14.4" customHeight="1" x14ac:dyDescent="0.35">
      <c r="A34" s="274" t="s">
        <v>198</v>
      </c>
      <c r="B34" s="4">
        <f>Rates!D10</f>
        <v>4000</v>
      </c>
      <c r="C34" s="20"/>
      <c r="D34" s="20">
        <f>F28</f>
        <v>88626443</v>
      </c>
      <c r="E34" s="236">
        <f>Rates!H10</f>
        <v>7.8300000000000002E-3</v>
      </c>
      <c r="F34" s="46" t="s">
        <v>195</v>
      </c>
      <c r="G34" s="101">
        <f>ROUND(D34*E34,0)</f>
        <v>693945</v>
      </c>
      <c r="I34" s="272"/>
    </row>
    <row r="35" spans="1:13" s="1" customFormat="1" ht="14.4" customHeight="1" x14ac:dyDescent="0.35">
      <c r="A35" s="274" t="s">
        <v>198</v>
      </c>
      <c r="B35" s="4">
        <f>Rates!D11</f>
        <v>44000</v>
      </c>
      <c r="C35" s="20"/>
      <c r="D35" s="20">
        <f>G28</f>
        <v>37809578</v>
      </c>
      <c r="E35" s="236">
        <f>Rates!H11</f>
        <v>6.6400000000000001E-3</v>
      </c>
      <c r="F35" s="46" t="s">
        <v>195</v>
      </c>
      <c r="G35" s="101">
        <f t="shared" ref="G35:G36" si="1">ROUND(D35*E35,0)</f>
        <v>251056</v>
      </c>
      <c r="I35" s="272"/>
    </row>
    <row r="36" spans="1:13" s="1" customFormat="1" ht="14.4" customHeight="1" x14ac:dyDescent="0.5">
      <c r="A36" s="277" t="s">
        <v>199</v>
      </c>
      <c r="B36" s="4">
        <f>Rates!D12</f>
        <v>50000</v>
      </c>
      <c r="C36" s="86"/>
      <c r="D36" s="86">
        <f>H28</f>
        <v>1908210</v>
      </c>
      <c r="E36" s="236">
        <f>Rates!H12</f>
        <v>5.77E-3</v>
      </c>
      <c r="F36" s="46" t="s">
        <v>195</v>
      </c>
      <c r="G36" s="102">
        <f t="shared" si="1"/>
        <v>11010</v>
      </c>
      <c r="I36" s="272"/>
    </row>
    <row r="37" spans="1:13" s="1" customFormat="1" ht="14.4" customHeight="1" thickBot="1" x14ac:dyDescent="0.4">
      <c r="A37" s="289"/>
      <c r="B37" s="279"/>
      <c r="C37" s="290"/>
      <c r="D37" s="292">
        <f>SUM(D33:D36)</f>
        <v>223128410</v>
      </c>
      <c r="E37" s="290"/>
      <c r="F37" s="290"/>
      <c r="G37" s="288">
        <f>SUM(G33:G36)</f>
        <v>2167429</v>
      </c>
      <c r="H37" s="281"/>
      <c r="I37" s="284"/>
      <c r="L37" s="44">
        <f>ExBA!G38</f>
        <v>1984279</v>
      </c>
      <c r="M37" s="392">
        <f>(L37-G37)/G37</f>
        <v>-8.4501037865600218E-2</v>
      </c>
    </row>
    <row r="38" spans="1:13" s="1" customFormat="1" ht="14.4" customHeight="1" x14ac:dyDescent="0.35">
      <c r="A38" s="90"/>
      <c r="B38" s="433" t="s">
        <v>333</v>
      </c>
      <c r="C38" s="20"/>
      <c r="D38" s="258"/>
      <c r="E38" s="20"/>
      <c r="F38" s="20"/>
      <c r="G38" s="101"/>
    </row>
    <row r="39" spans="1:13" s="1" customFormat="1" ht="14.4" customHeight="1" x14ac:dyDescent="0.35">
      <c r="A39" s="312" t="s">
        <v>207</v>
      </c>
      <c r="B39" s="7"/>
      <c r="C39" s="313"/>
      <c r="D39" s="466" t="s">
        <v>204</v>
      </c>
      <c r="E39" s="466"/>
      <c r="F39" s="314"/>
      <c r="G39" s="315"/>
      <c r="H39" s="316"/>
      <c r="I39" s="317"/>
    </row>
    <row r="40" spans="1:13" s="1" customFormat="1" ht="14.4" customHeight="1" x14ac:dyDescent="0.35">
      <c r="A40" s="318"/>
      <c r="B40" s="4"/>
      <c r="C40" s="89"/>
      <c r="D40" s="262"/>
      <c r="E40" s="90" t="s">
        <v>197</v>
      </c>
      <c r="F40" s="90" t="s">
        <v>198</v>
      </c>
      <c r="G40" s="90" t="s">
        <v>198</v>
      </c>
      <c r="H40" s="234" t="s">
        <v>199</v>
      </c>
      <c r="I40" s="319"/>
    </row>
    <row r="41" spans="1:13" s="1" customFormat="1" ht="14.4" customHeight="1" x14ac:dyDescent="0.35">
      <c r="A41" s="47"/>
      <c r="B41" s="95" t="s">
        <v>50</v>
      </c>
      <c r="C41" s="84" t="s">
        <v>51</v>
      </c>
      <c r="D41" s="84" t="s">
        <v>52</v>
      </c>
      <c r="E41" s="263">
        <f>B42</f>
        <v>3000</v>
      </c>
      <c r="F41" s="263">
        <f>B43</f>
        <v>3000</v>
      </c>
      <c r="G41" s="263">
        <f>B44</f>
        <v>44000</v>
      </c>
      <c r="H41" s="264">
        <f>B45</f>
        <v>50000</v>
      </c>
      <c r="I41" s="320" t="s">
        <v>12</v>
      </c>
    </row>
    <row r="42" spans="1:13" s="1" customFormat="1" ht="14.4" customHeight="1" x14ac:dyDescent="0.35">
      <c r="A42" s="321" t="s">
        <v>197</v>
      </c>
      <c r="B42" s="4">
        <f>Rates!D15</f>
        <v>3000</v>
      </c>
      <c r="C42" s="20"/>
      <c r="D42" s="4"/>
      <c r="E42" s="264">
        <f>D42</f>
        <v>0</v>
      </c>
      <c r="F42" s="264"/>
      <c r="G42" s="264"/>
      <c r="H42" s="264"/>
      <c r="I42" s="10">
        <f>SUM(E42:H42)</f>
        <v>0</v>
      </c>
    </row>
    <row r="43" spans="1:13" s="1" customFormat="1" ht="14.4" customHeight="1" x14ac:dyDescent="0.35">
      <c r="A43" s="321" t="s">
        <v>198</v>
      </c>
      <c r="B43" s="4">
        <f>Rates!D16</f>
        <v>3000</v>
      </c>
      <c r="C43" s="20"/>
      <c r="D43" s="4"/>
      <c r="E43" s="264">
        <f>C43*E41</f>
        <v>0</v>
      </c>
      <c r="F43" s="264">
        <f>D43-E43</f>
        <v>0</v>
      </c>
      <c r="G43" s="264"/>
      <c r="H43" s="264"/>
      <c r="I43" s="10">
        <f>SUM(E43:H43)</f>
        <v>0</v>
      </c>
    </row>
    <row r="44" spans="1:13" s="1" customFormat="1" ht="14.4" customHeight="1" x14ac:dyDescent="0.35">
      <c r="A44" s="321" t="s">
        <v>198</v>
      </c>
      <c r="B44" s="4">
        <f>Rates!D17</f>
        <v>44000</v>
      </c>
      <c r="C44" s="20"/>
      <c r="D44" s="4"/>
      <c r="E44" s="264">
        <f>C44*E41</f>
        <v>0</v>
      </c>
      <c r="F44" s="264">
        <f>C44*F41</f>
        <v>0</v>
      </c>
      <c r="G44" s="264">
        <f>D44-E44-F44</f>
        <v>0</v>
      </c>
      <c r="H44" s="264"/>
      <c r="I44" s="10">
        <f>SUM(E44:H44)</f>
        <v>0</v>
      </c>
    </row>
    <row r="45" spans="1:13" s="1" customFormat="1" ht="14.4" customHeight="1" x14ac:dyDescent="0.5">
      <c r="A45" s="321" t="s">
        <v>199</v>
      </c>
      <c r="B45" s="4">
        <f>Rates!D18</f>
        <v>50000</v>
      </c>
      <c r="C45" s="86"/>
      <c r="D45" s="40"/>
      <c r="E45" s="40">
        <f>C45*E41</f>
        <v>0</v>
      </c>
      <c r="F45" s="40">
        <f>C45*F41</f>
        <v>0</v>
      </c>
      <c r="G45" s="40">
        <f>C45*G41</f>
        <v>0</v>
      </c>
      <c r="H45" s="40">
        <f>D45-E45-F45-G45</f>
        <v>0</v>
      </c>
      <c r="I45" s="322">
        <f>SUM(E45:H45)</f>
        <v>0</v>
      </c>
    </row>
    <row r="46" spans="1:13" s="1" customFormat="1" ht="14.5" x14ac:dyDescent="0.35">
      <c r="A46" s="321"/>
      <c r="B46" s="4"/>
      <c r="C46" s="20">
        <f t="shared" ref="C46:I46" si="2">SUM(C42:C45)</f>
        <v>0</v>
      </c>
      <c r="D46" s="4">
        <f t="shared" si="2"/>
        <v>0</v>
      </c>
      <c r="E46" s="4">
        <f t="shared" si="2"/>
        <v>0</v>
      </c>
      <c r="F46" s="4">
        <f t="shared" si="2"/>
        <v>0</v>
      </c>
      <c r="G46" s="4">
        <f t="shared" si="2"/>
        <v>0</v>
      </c>
      <c r="H46" s="4">
        <f t="shared" si="2"/>
        <v>0</v>
      </c>
      <c r="I46" s="10">
        <f t="shared" si="2"/>
        <v>0</v>
      </c>
    </row>
    <row r="47" spans="1:13" s="1" customFormat="1" ht="14.4" customHeight="1" x14ac:dyDescent="0.35">
      <c r="A47" s="321"/>
      <c r="C47" s="20"/>
      <c r="D47" s="20"/>
      <c r="E47" s="20"/>
      <c r="F47" s="20"/>
      <c r="G47" s="101"/>
      <c r="I47" s="319"/>
    </row>
    <row r="48" spans="1:13" s="1" customFormat="1" ht="14.4" customHeight="1" x14ac:dyDescent="0.35">
      <c r="A48" s="318" t="s">
        <v>206</v>
      </c>
      <c r="C48" s="115"/>
      <c r="D48" s="465" t="s">
        <v>204</v>
      </c>
      <c r="E48" s="465"/>
      <c r="F48" s="115"/>
      <c r="G48" s="115"/>
      <c r="H48" s="4"/>
      <c r="I48" s="323"/>
    </row>
    <row r="49" spans="1:9" s="1" customFormat="1" ht="14.4" customHeight="1" x14ac:dyDescent="0.35">
      <c r="A49" s="47"/>
      <c r="B49" s="95" t="s">
        <v>50</v>
      </c>
      <c r="C49" s="84" t="s">
        <v>51</v>
      </c>
      <c r="D49" s="84" t="s">
        <v>52</v>
      </c>
      <c r="E49" s="464" t="s">
        <v>301</v>
      </c>
      <c r="F49" s="464"/>
      <c r="G49" s="100" t="s">
        <v>55</v>
      </c>
      <c r="H49" s="4"/>
      <c r="I49" s="323"/>
    </row>
    <row r="50" spans="1:9" s="1" customFormat="1" ht="14.4" customHeight="1" x14ac:dyDescent="0.35">
      <c r="A50" s="321" t="s">
        <v>197</v>
      </c>
      <c r="B50" s="4">
        <f>Rates!D15</f>
        <v>3000</v>
      </c>
      <c r="C50" s="20">
        <f>C46</f>
        <v>0</v>
      </c>
      <c r="D50" s="20">
        <f>E46</f>
        <v>0</v>
      </c>
      <c r="E50" s="235">
        <f>Rates!H15</f>
        <v>29.34</v>
      </c>
      <c r="F50" s="46" t="s">
        <v>111</v>
      </c>
      <c r="G50" s="101">
        <f>ROUND(C50*E50,0)</f>
        <v>0</v>
      </c>
      <c r="I50" s="319"/>
    </row>
    <row r="51" spans="1:9" s="1" customFormat="1" ht="14.4" customHeight="1" x14ac:dyDescent="0.35">
      <c r="A51" s="321" t="s">
        <v>198</v>
      </c>
      <c r="B51" s="4">
        <f>Rates!D16</f>
        <v>3000</v>
      </c>
      <c r="C51" s="20"/>
      <c r="D51" s="20">
        <f>F46</f>
        <v>0</v>
      </c>
      <c r="E51" s="236">
        <f>Rates!H16</f>
        <v>7.8300000000000002E-3</v>
      </c>
      <c r="F51" s="46" t="s">
        <v>195</v>
      </c>
      <c r="G51" s="101">
        <f t="shared" ref="G51:G53" si="3">ROUND(D51*E51,0)</f>
        <v>0</v>
      </c>
      <c r="I51" s="319"/>
    </row>
    <row r="52" spans="1:9" s="1" customFormat="1" ht="14.4" customHeight="1" x14ac:dyDescent="0.35">
      <c r="A52" s="321" t="s">
        <v>198</v>
      </c>
      <c r="B52" s="4">
        <f>Rates!D17</f>
        <v>44000</v>
      </c>
      <c r="C52" s="20"/>
      <c r="D52" s="20">
        <f>G46</f>
        <v>0</v>
      </c>
      <c r="E52" s="236">
        <f>Rates!H17</f>
        <v>6.6400000000000001E-3</v>
      </c>
      <c r="F52" s="46" t="s">
        <v>195</v>
      </c>
      <c r="G52" s="101">
        <f t="shared" si="3"/>
        <v>0</v>
      </c>
      <c r="I52" s="319"/>
    </row>
    <row r="53" spans="1:9" s="1" customFormat="1" ht="14.4" customHeight="1" x14ac:dyDescent="0.5">
      <c r="A53" s="324" t="s">
        <v>199</v>
      </c>
      <c r="B53" s="4">
        <f>Rates!D18</f>
        <v>50000</v>
      </c>
      <c r="C53" s="86"/>
      <c r="D53" s="86">
        <f>H46</f>
        <v>0</v>
      </c>
      <c r="E53" s="236">
        <f>Rates!H18</f>
        <v>5.77E-3</v>
      </c>
      <c r="F53" s="46" t="s">
        <v>195</v>
      </c>
      <c r="G53" s="102">
        <f t="shared" si="3"/>
        <v>0</v>
      </c>
      <c r="I53" s="319"/>
    </row>
    <row r="54" spans="1:9" s="1" customFormat="1" ht="14.4" customHeight="1" x14ac:dyDescent="0.35">
      <c r="A54" s="325"/>
      <c r="B54" s="3"/>
      <c r="C54" s="210"/>
      <c r="D54" s="3">
        <f>SUM(D50:D53)</f>
        <v>0</v>
      </c>
      <c r="E54" s="210"/>
      <c r="F54" s="210"/>
      <c r="G54" s="326">
        <f>G50+G53</f>
        <v>0</v>
      </c>
      <c r="H54" s="300"/>
      <c r="I54" s="327"/>
    </row>
    <row r="55" spans="1:9" s="1" customFormat="1" ht="14.4" customHeight="1" x14ac:dyDescent="0.35">
      <c r="A55" s="90"/>
      <c r="B55" s="4"/>
      <c r="C55" s="20"/>
      <c r="D55" s="4"/>
      <c r="E55" s="20"/>
      <c r="F55" s="20"/>
      <c r="G55" s="101"/>
      <c r="I55" s="272"/>
    </row>
    <row r="56" spans="1:9" s="1" customFormat="1" ht="14.4" customHeight="1" x14ac:dyDescent="0.35">
      <c r="A56" s="312" t="s">
        <v>207</v>
      </c>
      <c r="B56" s="7"/>
      <c r="C56" s="313"/>
      <c r="D56" s="466" t="s">
        <v>116</v>
      </c>
      <c r="E56" s="466"/>
      <c r="F56" s="314"/>
      <c r="G56" s="315"/>
      <c r="H56" s="316"/>
      <c r="I56" s="317"/>
    </row>
    <row r="57" spans="1:9" s="1" customFormat="1" ht="14.4" customHeight="1" x14ac:dyDescent="0.35">
      <c r="A57" s="318"/>
      <c r="B57" s="4"/>
      <c r="C57" s="89"/>
      <c r="D57" s="262"/>
      <c r="E57" s="90" t="s">
        <v>197</v>
      </c>
      <c r="F57" s="90" t="s">
        <v>198</v>
      </c>
      <c r="G57" s="90" t="s">
        <v>199</v>
      </c>
      <c r="I57" s="319"/>
    </row>
    <row r="58" spans="1:9" s="1" customFormat="1" ht="14.4" customHeight="1" x14ac:dyDescent="0.35">
      <c r="A58" s="47"/>
      <c r="B58" s="95" t="s">
        <v>50</v>
      </c>
      <c r="C58" s="84" t="s">
        <v>51</v>
      </c>
      <c r="D58" s="84" t="s">
        <v>52</v>
      </c>
      <c r="E58" s="263">
        <f>B59</f>
        <v>6000</v>
      </c>
      <c r="F58" s="263">
        <f>B60</f>
        <v>44000</v>
      </c>
      <c r="G58" s="263">
        <f>B61</f>
        <v>50000</v>
      </c>
      <c r="H58" s="90" t="s">
        <v>12</v>
      </c>
      <c r="I58" s="319"/>
    </row>
    <row r="59" spans="1:9" s="1" customFormat="1" ht="14.4" customHeight="1" x14ac:dyDescent="0.35">
      <c r="A59" s="321" t="s">
        <v>197</v>
      </c>
      <c r="B59" s="4">
        <f>Rates!D21</f>
        <v>6000</v>
      </c>
      <c r="C59" s="20">
        <v>202</v>
      </c>
      <c r="D59" s="4">
        <v>385806</v>
      </c>
      <c r="E59" s="264">
        <f>D59</f>
        <v>385806</v>
      </c>
      <c r="F59" s="264"/>
      <c r="G59" s="264"/>
      <c r="H59" s="4">
        <f>SUM(D59:G59)</f>
        <v>771612</v>
      </c>
      <c r="I59" s="319"/>
    </row>
    <row r="60" spans="1:9" s="1" customFormat="1" ht="14.4" customHeight="1" x14ac:dyDescent="0.35">
      <c r="A60" s="321" t="s">
        <v>198</v>
      </c>
      <c r="B60" s="4">
        <f>Rates!D22</f>
        <v>44000</v>
      </c>
      <c r="C60" s="20">
        <v>92</v>
      </c>
      <c r="D60" s="4">
        <v>1936280</v>
      </c>
      <c r="E60" s="264">
        <f>C60*E58</f>
        <v>552000</v>
      </c>
      <c r="F60" s="264">
        <f>D60-E60</f>
        <v>1384280</v>
      </c>
      <c r="G60" s="264"/>
      <c r="H60" s="4">
        <f>SUM(D60:G60)</f>
        <v>3872560</v>
      </c>
      <c r="I60" s="319"/>
    </row>
    <row r="61" spans="1:9" s="1" customFormat="1" ht="14.4" customHeight="1" x14ac:dyDescent="0.5">
      <c r="A61" s="321" t="s">
        <v>199</v>
      </c>
      <c r="B61" s="4">
        <f>Rates!D23</f>
        <v>50000</v>
      </c>
      <c r="C61" s="86">
        <v>37</v>
      </c>
      <c r="D61" s="40">
        <v>4062328</v>
      </c>
      <c r="E61" s="265">
        <f>C61*E58</f>
        <v>222000</v>
      </c>
      <c r="F61" s="265">
        <f>C61*F58</f>
        <v>1628000</v>
      </c>
      <c r="G61" s="265">
        <f>D61-E61-F61</f>
        <v>2212328</v>
      </c>
      <c r="H61" s="40">
        <f>SUM(E61:G61)</f>
        <v>4062328</v>
      </c>
      <c r="I61" s="319"/>
    </row>
    <row r="62" spans="1:9" s="1" customFormat="1" ht="14.4" customHeight="1" x14ac:dyDescent="0.35">
      <c r="A62" s="321"/>
      <c r="B62" s="4"/>
      <c r="C62" s="20">
        <f>SUM(C59:C61)</f>
        <v>331</v>
      </c>
      <c r="D62" s="4">
        <f>SUM(D59:D61)</f>
        <v>6384414</v>
      </c>
      <c r="E62" s="4">
        <f>SUM(E59:E61)</f>
        <v>1159806</v>
      </c>
      <c r="F62" s="4">
        <f>SUM(F59:F61)</f>
        <v>3012280</v>
      </c>
      <c r="G62" s="4">
        <f>SUM(G59:G61)</f>
        <v>2212328</v>
      </c>
      <c r="H62" s="4">
        <f>SUM(E62:G62)</f>
        <v>6384414</v>
      </c>
      <c r="I62" s="319"/>
    </row>
    <row r="63" spans="1:9" s="1" customFormat="1" ht="14.4" customHeight="1" x14ac:dyDescent="0.35">
      <c r="A63" s="321"/>
      <c r="B63" s="4"/>
      <c r="C63" s="20"/>
      <c r="D63" s="4"/>
      <c r="E63" s="4"/>
      <c r="F63" s="4"/>
      <c r="G63" s="4"/>
      <c r="H63" s="4"/>
      <c r="I63" s="319"/>
    </row>
    <row r="64" spans="1:9" s="1" customFormat="1" ht="14.4" customHeight="1" x14ac:dyDescent="0.35">
      <c r="A64" s="318" t="s">
        <v>206</v>
      </c>
      <c r="C64" s="115"/>
      <c r="D64" s="465" t="s">
        <v>116</v>
      </c>
      <c r="E64" s="465"/>
      <c r="F64" s="115"/>
      <c r="G64" s="115"/>
      <c r="I64" s="319"/>
    </row>
    <row r="65" spans="1:13" s="1" customFormat="1" ht="14.4" customHeight="1" x14ac:dyDescent="0.35">
      <c r="A65" s="47"/>
      <c r="B65" s="95" t="s">
        <v>50</v>
      </c>
      <c r="C65" s="84" t="s">
        <v>51</v>
      </c>
      <c r="D65" s="84" t="s">
        <v>52</v>
      </c>
      <c r="E65" s="464" t="s">
        <v>301</v>
      </c>
      <c r="F65" s="464"/>
      <c r="G65" s="100" t="s">
        <v>55</v>
      </c>
      <c r="I65" s="319"/>
    </row>
    <row r="66" spans="1:13" s="1" customFormat="1" ht="14.4" customHeight="1" x14ac:dyDescent="0.35">
      <c r="A66" s="321" t="s">
        <v>197</v>
      </c>
      <c r="B66" s="4">
        <f>Rates!D21</f>
        <v>6000</v>
      </c>
      <c r="C66" s="85">
        <f>C62</f>
        <v>331</v>
      </c>
      <c r="D66" s="85">
        <f>E62</f>
        <v>1159806</v>
      </c>
      <c r="E66" s="235">
        <f>Rates!H21</f>
        <v>52.84</v>
      </c>
      <c r="F66" s="46" t="s">
        <v>111</v>
      </c>
      <c r="G66" s="101">
        <f>ROUND(C66*E66,0)</f>
        <v>17490</v>
      </c>
      <c r="I66" s="319"/>
    </row>
    <row r="67" spans="1:13" s="1" customFormat="1" ht="14.4" customHeight="1" x14ac:dyDescent="0.35">
      <c r="A67" s="321" t="s">
        <v>198</v>
      </c>
      <c r="B67" s="4">
        <f>Rates!D22</f>
        <v>44000</v>
      </c>
      <c r="D67" s="85">
        <f>F62</f>
        <v>3012280</v>
      </c>
      <c r="E67" s="236">
        <f>Rates!H22</f>
        <v>6.6400000000000001E-3</v>
      </c>
      <c r="F67" s="46" t="s">
        <v>195</v>
      </c>
      <c r="G67" s="101">
        <f t="shared" ref="G67:G68" si="4">ROUND(D67*E67,0)</f>
        <v>20002</v>
      </c>
      <c r="I67" s="319"/>
    </row>
    <row r="68" spans="1:13" s="1" customFormat="1" ht="14.4" customHeight="1" x14ac:dyDescent="0.5">
      <c r="A68" s="324" t="s">
        <v>199</v>
      </c>
      <c r="B68" s="4">
        <f>Rates!D23</f>
        <v>50000</v>
      </c>
      <c r="C68" s="77"/>
      <c r="D68" s="266">
        <f>G62</f>
        <v>2212328</v>
      </c>
      <c r="E68" s="236">
        <f>Rates!H23</f>
        <v>5.77E-3</v>
      </c>
      <c r="F68" s="46" t="s">
        <v>195</v>
      </c>
      <c r="G68" s="102">
        <f t="shared" si="4"/>
        <v>12765</v>
      </c>
      <c r="I68" s="319"/>
    </row>
    <row r="69" spans="1:13" s="1" customFormat="1" ht="14.4" customHeight="1" x14ac:dyDescent="0.35">
      <c r="A69" s="80"/>
      <c r="B69" s="3"/>
      <c r="C69" s="328"/>
      <c r="D69" s="3">
        <f>SUM(D66:D68)</f>
        <v>6384414</v>
      </c>
      <c r="E69" s="300"/>
      <c r="F69" s="300"/>
      <c r="G69" s="326">
        <f>SUM(G66:G68)</f>
        <v>50257</v>
      </c>
      <c r="H69" s="300"/>
      <c r="I69" s="327"/>
      <c r="L69" s="44">
        <f>ExBA!G70</f>
        <v>46003</v>
      </c>
      <c r="M69" s="392">
        <f>(L69-G69)/G69</f>
        <v>-8.4644925085062772E-2</v>
      </c>
    </row>
    <row r="70" spans="1:13" s="1" customFormat="1" ht="14.4" customHeight="1" x14ac:dyDescent="0.35">
      <c r="B70" s="4"/>
      <c r="C70" s="15"/>
      <c r="D70" s="4"/>
      <c r="G70" s="101"/>
    </row>
    <row r="71" spans="1:13" s="1" customFormat="1" ht="14.4" customHeight="1" x14ac:dyDescent="0.35">
      <c r="A71" s="312" t="s">
        <v>207</v>
      </c>
      <c r="B71" s="7"/>
      <c r="C71" s="313"/>
      <c r="D71" s="466" t="s">
        <v>117</v>
      </c>
      <c r="E71" s="466"/>
      <c r="F71" s="314"/>
      <c r="G71" s="315"/>
      <c r="H71" s="316"/>
      <c r="I71" s="317"/>
    </row>
    <row r="72" spans="1:13" s="1" customFormat="1" ht="14.4" customHeight="1" x14ac:dyDescent="0.35">
      <c r="A72" s="318"/>
      <c r="B72" s="4"/>
      <c r="C72" s="89"/>
      <c r="D72" s="262"/>
      <c r="E72" s="90" t="s">
        <v>197</v>
      </c>
      <c r="F72" s="90" t="s">
        <v>198</v>
      </c>
      <c r="G72" s="90" t="s">
        <v>199</v>
      </c>
      <c r="I72" s="319"/>
    </row>
    <row r="73" spans="1:13" s="1" customFormat="1" ht="14.4" customHeight="1" x14ac:dyDescent="0.35">
      <c r="A73" s="47"/>
      <c r="B73" s="95" t="s">
        <v>50</v>
      </c>
      <c r="C73" s="84" t="s">
        <v>51</v>
      </c>
      <c r="D73" s="84" t="s">
        <v>52</v>
      </c>
      <c r="E73" s="263">
        <f>B74</f>
        <v>10000</v>
      </c>
      <c r="F73" s="263">
        <f>B75</f>
        <v>40000</v>
      </c>
      <c r="G73" s="263">
        <f>B76</f>
        <v>50000</v>
      </c>
      <c r="H73" s="90" t="s">
        <v>12</v>
      </c>
      <c r="I73" s="319"/>
    </row>
    <row r="74" spans="1:13" s="1" customFormat="1" ht="14.4" customHeight="1" x14ac:dyDescent="0.35">
      <c r="A74" s="321" t="s">
        <v>197</v>
      </c>
      <c r="B74" s="4">
        <f>Rates!D26</f>
        <v>10000</v>
      </c>
      <c r="C74" s="20">
        <v>23</v>
      </c>
      <c r="D74" s="4">
        <v>65910</v>
      </c>
      <c r="E74" s="264">
        <f>D74</f>
        <v>65910</v>
      </c>
      <c r="F74" s="264"/>
      <c r="G74" s="264"/>
      <c r="H74" s="4">
        <f>SUM(D74:G74)</f>
        <v>131820</v>
      </c>
      <c r="I74" s="319"/>
    </row>
    <row r="75" spans="1:13" s="1" customFormat="1" ht="14.4" customHeight="1" x14ac:dyDescent="0.35">
      <c r="A75" s="321" t="s">
        <v>198</v>
      </c>
      <c r="B75" s="4">
        <f>Rates!D27</f>
        <v>40000</v>
      </c>
      <c r="C75" s="20">
        <v>15</v>
      </c>
      <c r="D75" s="4">
        <v>408794</v>
      </c>
      <c r="E75" s="264">
        <f>C75*E73</f>
        <v>150000</v>
      </c>
      <c r="F75" s="264">
        <f>D75-E75</f>
        <v>258794</v>
      </c>
      <c r="G75" s="264"/>
      <c r="H75" s="4">
        <f>SUM(D75:G75)</f>
        <v>817588</v>
      </c>
      <c r="I75" s="319"/>
    </row>
    <row r="76" spans="1:13" s="1" customFormat="1" ht="14.4" customHeight="1" x14ac:dyDescent="0.5">
      <c r="A76" s="321" t="s">
        <v>199</v>
      </c>
      <c r="B76" s="4">
        <f>Rates!D28</f>
        <v>50000</v>
      </c>
      <c r="C76" s="86">
        <v>35</v>
      </c>
      <c r="D76" s="40">
        <v>5891435</v>
      </c>
      <c r="E76" s="265">
        <f>C76*E73</f>
        <v>350000</v>
      </c>
      <c r="F76" s="265">
        <f>C76*F73</f>
        <v>1400000</v>
      </c>
      <c r="G76" s="265">
        <f>D76-E76-F76</f>
        <v>4141435</v>
      </c>
      <c r="H76" s="40">
        <f>SUM(E76:G76)</f>
        <v>5891435</v>
      </c>
      <c r="I76" s="319"/>
    </row>
    <row r="77" spans="1:13" s="1" customFormat="1" ht="14.4" customHeight="1" x14ac:dyDescent="0.35">
      <c r="A77" s="321"/>
      <c r="B77" s="4"/>
      <c r="C77" s="20">
        <f>SUM(C74:C76)</f>
        <v>73</v>
      </c>
      <c r="D77" s="20">
        <f>SUM(D74:D76)</f>
        <v>6366139</v>
      </c>
      <c r="E77" s="4">
        <f>SUM(E74:E76)</f>
        <v>565910</v>
      </c>
      <c r="F77" s="4">
        <f>SUM(F74:F76)</f>
        <v>1658794</v>
      </c>
      <c r="G77" s="4">
        <f>SUM(G74:G76)</f>
        <v>4141435</v>
      </c>
      <c r="H77" s="4">
        <f>SUM(E77:G77)</f>
        <v>6366139</v>
      </c>
      <c r="I77" s="319"/>
    </row>
    <row r="78" spans="1:13" s="1" customFormat="1" ht="14.4" customHeight="1" x14ac:dyDescent="0.35">
      <c r="A78" s="47"/>
      <c r="B78" s="4"/>
      <c r="G78" s="4"/>
      <c r="H78" s="4"/>
      <c r="I78" s="319"/>
    </row>
    <row r="79" spans="1:13" s="1" customFormat="1" ht="14.4" customHeight="1" x14ac:dyDescent="0.35">
      <c r="A79" s="318" t="s">
        <v>206</v>
      </c>
      <c r="B79" s="4"/>
      <c r="C79" s="89"/>
      <c r="D79" s="465" t="s">
        <v>117</v>
      </c>
      <c r="E79" s="465"/>
      <c r="F79" s="115"/>
      <c r="G79" s="115"/>
      <c r="I79" s="319"/>
    </row>
    <row r="80" spans="1:13" s="1" customFormat="1" ht="14.4" customHeight="1" x14ac:dyDescent="0.35">
      <c r="A80" s="47"/>
      <c r="B80" s="95" t="s">
        <v>50</v>
      </c>
      <c r="C80" s="84" t="s">
        <v>51</v>
      </c>
      <c r="D80" s="84" t="s">
        <v>52</v>
      </c>
      <c r="E80" s="464" t="s">
        <v>301</v>
      </c>
      <c r="F80" s="464"/>
      <c r="G80" s="100" t="s">
        <v>55</v>
      </c>
      <c r="I80" s="319"/>
    </row>
    <row r="81" spans="1:13" s="1" customFormat="1" ht="14.4" customHeight="1" x14ac:dyDescent="0.35">
      <c r="A81" s="321" t="s">
        <v>197</v>
      </c>
      <c r="B81" s="4">
        <f>Rates!D26</f>
        <v>10000</v>
      </c>
      <c r="C81" s="85">
        <f>C77</f>
        <v>73</v>
      </c>
      <c r="D81" s="85">
        <f>E77</f>
        <v>565910</v>
      </c>
      <c r="E81" s="76">
        <f>Rates!H26</f>
        <v>79.42</v>
      </c>
      <c r="F81" s="46" t="s">
        <v>111</v>
      </c>
      <c r="G81" s="101">
        <f>ROUND(C81*E81,0)</f>
        <v>5798</v>
      </c>
      <c r="I81" s="319"/>
    </row>
    <row r="82" spans="1:13" s="1" customFormat="1" ht="14.4" customHeight="1" x14ac:dyDescent="0.35">
      <c r="A82" s="321" t="s">
        <v>198</v>
      </c>
      <c r="B82" s="4">
        <f>Rates!D27</f>
        <v>40000</v>
      </c>
      <c r="D82" s="85">
        <f>F77</f>
        <v>1658794</v>
      </c>
      <c r="E82" s="256">
        <f>Rates!H27</f>
        <v>6.6400000000000001E-3</v>
      </c>
      <c r="F82" s="46" t="s">
        <v>195</v>
      </c>
      <c r="G82" s="101">
        <f t="shared" ref="G82:G83" si="5">ROUND(D82*E82,0)</f>
        <v>11014</v>
      </c>
      <c r="I82" s="319"/>
    </row>
    <row r="83" spans="1:13" s="1" customFormat="1" ht="14.4" customHeight="1" x14ac:dyDescent="0.5">
      <c r="A83" s="324" t="s">
        <v>199</v>
      </c>
      <c r="B83" s="4">
        <f>Rates!D28</f>
        <v>50000</v>
      </c>
      <c r="C83" s="77"/>
      <c r="D83" s="266">
        <f>G77</f>
        <v>4141435</v>
      </c>
      <c r="E83" s="256">
        <f>Rates!H28</f>
        <v>5.77E-3</v>
      </c>
      <c r="F83" s="46" t="s">
        <v>195</v>
      </c>
      <c r="G83" s="102">
        <f t="shared" si="5"/>
        <v>23896</v>
      </c>
      <c r="I83" s="319"/>
    </row>
    <row r="84" spans="1:13" s="1" customFormat="1" ht="14.4" customHeight="1" x14ac:dyDescent="0.35">
      <c r="A84" s="80"/>
      <c r="B84" s="3"/>
      <c r="C84" s="299"/>
      <c r="D84" s="3">
        <f>SUM(D81:D83)</f>
        <v>6366139</v>
      </c>
      <c r="E84" s="300"/>
      <c r="F84" s="300"/>
      <c r="G84" s="326">
        <f>SUM(G81:G83)</f>
        <v>40708</v>
      </c>
      <c r="H84" s="300"/>
      <c r="I84" s="327"/>
      <c r="L84" s="44">
        <f>ExBA!G85</f>
        <v>37258</v>
      </c>
      <c r="M84" s="392">
        <f>(L84-G84)/G84</f>
        <v>-8.4749926304411916E-2</v>
      </c>
    </row>
    <row r="85" spans="1:13" s="1" customFormat="1" ht="14.4" customHeight="1" x14ac:dyDescent="0.35">
      <c r="B85" s="4"/>
      <c r="C85" s="206"/>
      <c r="D85" s="4"/>
      <c r="G85" s="206"/>
    </row>
    <row r="86" spans="1:13" s="1" customFormat="1" ht="14.4" customHeight="1" x14ac:dyDescent="0.35">
      <c r="A86" s="312" t="s">
        <v>207</v>
      </c>
      <c r="B86" s="7"/>
      <c r="C86" s="313"/>
      <c r="D86" s="466" t="s">
        <v>118</v>
      </c>
      <c r="E86" s="466"/>
      <c r="F86" s="314"/>
      <c r="G86" s="315"/>
      <c r="H86" s="316"/>
      <c r="I86" s="317"/>
    </row>
    <row r="87" spans="1:13" s="1" customFormat="1" ht="14.4" customHeight="1" x14ac:dyDescent="0.35">
      <c r="A87" s="318"/>
      <c r="B87" s="4"/>
      <c r="C87" s="89"/>
      <c r="D87" s="262"/>
      <c r="E87" s="90" t="s">
        <v>197</v>
      </c>
      <c r="F87" s="90" t="s">
        <v>198</v>
      </c>
      <c r="G87" s="90" t="s">
        <v>199</v>
      </c>
      <c r="I87" s="319"/>
    </row>
    <row r="88" spans="1:13" s="1" customFormat="1" ht="14.4" customHeight="1" x14ac:dyDescent="0.35">
      <c r="A88" s="47"/>
      <c r="B88" s="95" t="s">
        <v>50</v>
      </c>
      <c r="C88" s="84" t="s">
        <v>51</v>
      </c>
      <c r="D88" s="84" t="s">
        <v>52</v>
      </c>
      <c r="E88" s="263">
        <f>B89</f>
        <v>20000</v>
      </c>
      <c r="F88" s="263">
        <f>B90</f>
        <v>30000</v>
      </c>
      <c r="G88" s="263">
        <f>B91</f>
        <v>50000</v>
      </c>
      <c r="H88" s="90" t="s">
        <v>12</v>
      </c>
      <c r="I88" s="319"/>
    </row>
    <row r="89" spans="1:13" s="1" customFormat="1" ht="14.4" customHeight="1" x14ac:dyDescent="0.35">
      <c r="A89" s="321" t="s">
        <v>197</v>
      </c>
      <c r="B89" s="4">
        <f>Rates!D31</f>
        <v>20000</v>
      </c>
      <c r="C89" s="20">
        <v>114</v>
      </c>
      <c r="D89" s="4">
        <v>816834</v>
      </c>
      <c r="E89" s="264">
        <f>D89</f>
        <v>816834</v>
      </c>
      <c r="F89" s="264"/>
      <c r="G89" s="264"/>
      <c r="H89" s="4">
        <f>SUM(D89:G89)</f>
        <v>1633668</v>
      </c>
      <c r="I89" s="319"/>
    </row>
    <row r="90" spans="1:13" s="1" customFormat="1" ht="14.4" customHeight="1" x14ac:dyDescent="0.35">
      <c r="A90" s="321" t="s">
        <v>198</v>
      </c>
      <c r="B90" s="4">
        <f>Rates!D32</f>
        <v>30000</v>
      </c>
      <c r="C90" s="20">
        <v>63</v>
      </c>
      <c r="D90" s="4">
        <v>2073368</v>
      </c>
      <c r="E90" s="264">
        <f>C90*E88</f>
        <v>1260000</v>
      </c>
      <c r="F90" s="264">
        <f>D90-E90</f>
        <v>813368</v>
      </c>
      <c r="G90" s="264"/>
      <c r="H90" s="4">
        <f>SUM(D90:G90)</f>
        <v>4146736</v>
      </c>
      <c r="I90" s="319"/>
    </row>
    <row r="91" spans="1:13" s="1" customFormat="1" ht="14.4" customHeight="1" x14ac:dyDescent="0.5">
      <c r="A91" s="321" t="s">
        <v>199</v>
      </c>
      <c r="B91" s="4">
        <f>Rates!D33</f>
        <v>50000</v>
      </c>
      <c r="C91" s="86">
        <v>38</v>
      </c>
      <c r="D91" s="40">
        <v>4793904</v>
      </c>
      <c r="E91" s="265">
        <f>C91*E88</f>
        <v>760000</v>
      </c>
      <c r="F91" s="265">
        <f>C91*F88</f>
        <v>1140000</v>
      </c>
      <c r="G91" s="265">
        <f>D91-E91-F91</f>
        <v>2893904</v>
      </c>
      <c r="H91" s="40">
        <f>SUM(E91:G91)</f>
        <v>4793904</v>
      </c>
      <c r="I91" s="319"/>
    </row>
    <row r="92" spans="1:13" s="1" customFormat="1" ht="14.4" customHeight="1" x14ac:dyDescent="0.35">
      <c r="A92" s="321"/>
      <c r="B92" s="4"/>
      <c r="C92" s="20">
        <f>SUM(C89:C91)</f>
        <v>215</v>
      </c>
      <c r="D92" s="4">
        <f>SUM(D89:D91)</f>
        <v>7684106</v>
      </c>
      <c r="E92" s="4">
        <f>SUM(E89:E91)</f>
        <v>2836834</v>
      </c>
      <c r="F92" s="4">
        <f>SUM(F89:F91)</f>
        <v>1953368</v>
      </c>
      <c r="G92" s="4">
        <f>SUM(G89:G91)</f>
        <v>2893904</v>
      </c>
      <c r="H92" s="4">
        <f>SUM(E92:G92)</f>
        <v>7684106</v>
      </c>
      <c r="I92" s="319"/>
    </row>
    <row r="93" spans="1:13" s="1" customFormat="1" ht="14.4" customHeight="1" x14ac:dyDescent="0.35">
      <c r="A93" s="47"/>
      <c r="B93" s="4"/>
      <c r="G93" s="4"/>
      <c r="H93" s="4"/>
      <c r="I93" s="319"/>
    </row>
    <row r="94" spans="1:13" s="1" customFormat="1" ht="14.4" customHeight="1" x14ac:dyDescent="0.35">
      <c r="A94" s="318" t="s">
        <v>206</v>
      </c>
      <c r="B94" s="115"/>
      <c r="C94" s="115"/>
      <c r="D94" s="465" t="s">
        <v>118</v>
      </c>
      <c r="E94" s="465"/>
      <c r="F94" s="115"/>
      <c r="G94" s="115"/>
      <c r="I94" s="319"/>
    </row>
    <row r="95" spans="1:13" s="1" customFormat="1" ht="14.4" customHeight="1" x14ac:dyDescent="0.35">
      <c r="A95" s="47"/>
      <c r="B95" s="95" t="s">
        <v>50</v>
      </c>
      <c r="C95" s="84" t="s">
        <v>51</v>
      </c>
      <c r="D95" s="84" t="s">
        <v>52</v>
      </c>
      <c r="E95" s="464" t="s">
        <v>301</v>
      </c>
      <c r="F95" s="464"/>
      <c r="G95" s="100" t="s">
        <v>55</v>
      </c>
      <c r="I95" s="319"/>
    </row>
    <row r="96" spans="1:13" s="1" customFormat="1" ht="14.4" customHeight="1" x14ac:dyDescent="0.35">
      <c r="A96" s="321" t="s">
        <v>197</v>
      </c>
      <c r="B96" s="4">
        <f>Rates!D31</f>
        <v>20000</v>
      </c>
      <c r="C96" s="85">
        <f>C92</f>
        <v>215</v>
      </c>
      <c r="D96" s="85">
        <f>E92</f>
        <v>2836834</v>
      </c>
      <c r="E96" s="76">
        <f>Rates!H31</f>
        <v>145.86000000000001</v>
      </c>
      <c r="F96" s="46" t="s">
        <v>111</v>
      </c>
      <c r="G96" s="101">
        <f>ROUND(C96*E96,0)</f>
        <v>31360</v>
      </c>
      <c r="I96" s="319"/>
    </row>
    <row r="97" spans="1:13" s="1" customFormat="1" ht="14.4" customHeight="1" x14ac:dyDescent="0.35">
      <c r="A97" s="321" t="s">
        <v>198</v>
      </c>
      <c r="B97" s="4">
        <f>Rates!D32</f>
        <v>30000</v>
      </c>
      <c r="D97" s="85">
        <f>F92</f>
        <v>1953368</v>
      </c>
      <c r="E97" s="256">
        <f>Rates!H32</f>
        <v>6.6400000000000001E-3</v>
      </c>
      <c r="F97" s="46" t="s">
        <v>195</v>
      </c>
      <c r="G97" s="101">
        <f t="shared" ref="G97:G98" si="6">ROUND(D97*E97,0)</f>
        <v>12970</v>
      </c>
      <c r="I97" s="319"/>
    </row>
    <row r="98" spans="1:13" s="1" customFormat="1" ht="14.4" customHeight="1" x14ac:dyDescent="0.5">
      <c r="A98" s="324" t="s">
        <v>199</v>
      </c>
      <c r="B98" s="4">
        <f>Rates!D33</f>
        <v>50000</v>
      </c>
      <c r="C98" s="77"/>
      <c r="D98" s="266">
        <f>G92</f>
        <v>2893904</v>
      </c>
      <c r="E98" s="256">
        <f>Rates!H33</f>
        <v>5.77E-3</v>
      </c>
      <c r="F98" s="46" t="s">
        <v>195</v>
      </c>
      <c r="G98" s="102">
        <f t="shared" si="6"/>
        <v>16698</v>
      </c>
      <c r="I98" s="319"/>
    </row>
    <row r="99" spans="1:13" s="1" customFormat="1" ht="14.4" customHeight="1" x14ac:dyDescent="0.35">
      <c r="A99" s="80"/>
      <c r="B99" s="3"/>
      <c r="C99" s="299"/>
      <c r="D99" s="3">
        <f>SUM(D96:D98)</f>
        <v>7684106</v>
      </c>
      <c r="E99" s="300"/>
      <c r="F99" s="300"/>
      <c r="G99" s="326">
        <f>SUM(G96:G98)</f>
        <v>61028</v>
      </c>
      <c r="H99" s="300"/>
      <c r="I99" s="327"/>
      <c r="L99" s="44">
        <f>ExBA!G100</f>
        <v>55854</v>
      </c>
      <c r="M99" s="392">
        <f>(L99-G99)/G99</f>
        <v>-8.4780756374123356E-2</v>
      </c>
    </row>
    <row r="100" spans="1:13" s="1" customFormat="1" ht="14.4" customHeight="1" x14ac:dyDescent="0.35">
      <c r="B100" s="4"/>
      <c r="C100" s="206"/>
      <c r="D100" s="4"/>
      <c r="G100" s="206"/>
    </row>
    <row r="101" spans="1:13" s="1" customFormat="1" ht="14.4" customHeight="1" x14ac:dyDescent="0.35">
      <c r="A101" s="312" t="s">
        <v>207</v>
      </c>
      <c r="B101" s="7"/>
      <c r="C101" s="313"/>
      <c r="D101" s="466" t="s">
        <v>238</v>
      </c>
      <c r="E101" s="466"/>
      <c r="F101" s="314"/>
      <c r="G101" s="434"/>
    </row>
    <row r="102" spans="1:13" s="1" customFormat="1" ht="14.4" customHeight="1" x14ac:dyDescent="0.35">
      <c r="A102" s="318"/>
      <c r="B102" s="4"/>
      <c r="C102" s="89"/>
      <c r="D102" s="262"/>
      <c r="E102" s="90"/>
      <c r="F102" s="90"/>
      <c r="G102" s="320"/>
    </row>
    <row r="103" spans="1:13" s="1" customFormat="1" ht="14.4" customHeight="1" x14ac:dyDescent="0.35">
      <c r="A103" s="47"/>
      <c r="B103" s="95"/>
      <c r="C103" s="84" t="s">
        <v>51</v>
      </c>
      <c r="D103" s="84" t="s">
        <v>52</v>
      </c>
      <c r="E103" s="263"/>
      <c r="F103" s="263"/>
      <c r="G103" s="435"/>
    </row>
    <row r="104" spans="1:13" s="1" customFormat="1" ht="14.4" customHeight="1" x14ac:dyDescent="0.35">
      <c r="A104" s="321"/>
      <c r="B104" s="4"/>
      <c r="C104" s="20">
        <v>12</v>
      </c>
      <c r="D104" s="4">
        <v>6450941</v>
      </c>
      <c r="E104" s="264">
        <f>D104</f>
        <v>6450941</v>
      </c>
      <c r="F104" s="264"/>
      <c r="G104" s="436"/>
    </row>
    <row r="105" spans="1:13" s="1" customFormat="1" ht="14.4" customHeight="1" x14ac:dyDescent="0.35">
      <c r="A105" s="321"/>
      <c r="B105" s="4"/>
      <c r="C105" s="20"/>
      <c r="D105" s="20"/>
      <c r="E105" s="4"/>
      <c r="F105" s="4"/>
      <c r="G105" s="10"/>
    </row>
    <row r="106" spans="1:13" s="1" customFormat="1" ht="14.4" customHeight="1" thickBot="1" x14ac:dyDescent="0.4">
      <c r="A106" s="47"/>
      <c r="B106" s="4"/>
      <c r="G106" s="437"/>
    </row>
    <row r="107" spans="1:13" s="1" customFormat="1" ht="14.4" customHeight="1" x14ac:dyDescent="0.35">
      <c r="A107" s="318" t="s">
        <v>206</v>
      </c>
      <c r="B107" s="115"/>
      <c r="C107" s="115"/>
      <c r="D107" s="467" t="s">
        <v>238</v>
      </c>
      <c r="E107" s="467"/>
      <c r="F107" s="115"/>
      <c r="G107" s="438"/>
    </row>
    <row r="108" spans="1:13" s="1" customFormat="1" ht="14.4" customHeight="1" x14ac:dyDescent="0.35">
      <c r="A108" s="47"/>
      <c r="B108" s="95"/>
      <c r="C108" s="84" t="s">
        <v>51</v>
      </c>
      <c r="D108" s="84" t="s">
        <v>52</v>
      </c>
      <c r="E108" s="464" t="s">
        <v>301</v>
      </c>
      <c r="F108" s="464"/>
      <c r="G108" s="439" t="s">
        <v>55</v>
      </c>
    </row>
    <row r="109" spans="1:13" s="1" customFormat="1" ht="14.4" customHeight="1" x14ac:dyDescent="0.35">
      <c r="A109" s="325"/>
      <c r="B109" s="3"/>
      <c r="C109" s="390">
        <f>C104</f>
        <v>12</v>
      </c>
      <c r="D109" s="390">
        <f>D104</f>
        <v>6450941</v>
      </c>
      <c r="E109" s="440">
        <f>Rates!H40</f>
        <v>3.8E-3</v>
      </c>
      <c r="F109" s="441" t="s">
        <v>195</v>
      </c>
      <c r="G109" s="442">
        <f>ROUND(D109*E109,0)</f>
        <v>24514</v>
      </c>
      <c r="L109" s="379">
        <f>ExBA!G110</f>
        <v>22449</v>
      </c>
      <c r="M109" s="392">
        <f>(L109-G109)/G109</f>
        <v>-8.423757852655625E-2</v>
      </c>
    </row>
    <row r="110" spans="1:13" s="1" customFormat="1" ht="14.4" customHeight="1" thickBot="1" x14ac:dyDescent="0.4">
      <c r="A110" s="278"/>
      <c r="B110" s="279"/>
      <c r="C110" s="280"/>
      <c r="D110" s="279"/>
      <c r="E110" s="281"/>
      <c r="F110" s="281"/>
      <c r="G110" s="280"/>
    </row>
    <row r="111" spans="1:13" s="1" customFormat="1" ht="14.4" customHeight="1" x14ac:dyDescent="0.35">
      <c r="B111" s="4"/>
      <c r="C111" s="206"/>
      <c r="D111" s="4"/>
      <c r="G111" s="206"/>
    </row>
    <row r="112" spans="1:13" s="1" customFormat="1" ht="14.4" customHeight="1" x14ac:dyDescent="0.35">
      <c r="A112" s="274"/>
      <c r="B112" s="4"/>
      <c r="D112" s="85"/>
      <c r="E112" s="256"/>
      <c r="F112" s="46"/>
      <c r="G112" s="101"/>
      <c r="I112" s="15"/>
      <c r="J112" s="220"/>
    </row>
    <row r="113" spans="1:10" s="1" customFormat="1" ht="14.4" customHeight="1" x14ac:dyDescent="0.5">
      <c r="A113" s="277"/>
      <c r="B113" s="4"/>
      <c r="C113" s="77"/>
      <c r="D113" s="266"/>
      <c r="E113" s="256"/>
      <c r="F113" s="46"/>
      <c r="G113" s="102"/>
      <c r="I113" s="15"/>
      <c r="J113" s="220"/>
    </row>
    <row r="114" spans="1:10" s="1" customFormat="1" ht="14.5" x14ac:dyDescent="0.35">
      <c r="B114" s="4"/>
      <c r="G114" s="44"/>
      <c r="I114" s="15"/>
      <c r="J114" s="220"/>
    </row>
    <row r="115" spans="1:10" s="1" customFormat="1" ht="14.5" x14ac:dyDescent="0.35">
      <c r="B115" s="4"/>
      <c r="G115" s="44"/>
      <c r="I115" s="15"/>
      <c r="J115" s="220"/>
    </row>
    <row r="116" spans="1:10" s="1" customFormat="1" ht="14.5" x14ac:dyDescent="0.35">
      <c r="B116" s="4"/>
      <c r="G116" s="44"/>
      <c r="I116" s="15"/>
      <c r="J116" s="220"/>
    </row>
    <row r="117" spans="1:10" s="1" customFormat="1" ht="14.5" x14ac:dyDescent="0.35">
      <c r="B117" s="4"/>
      <c r="G117" s="44"/>
      <c r="I117" s="15"/>
      <c r="J117" s="220"/>
    </row>
    <row r="118" spans="1:10" s="1" customFormat="1" ht="14.5" x14ac:dyDescent="0.35">
      <c r="B118" s="4"/>
      <c r="G118" s="44"/>
      <c r="I118" s="15"/>
      <c r="J118" s="220"/>
    </row>
    <row r="119" spans="1:10" s="1" customFormat="1" ht="14.5" x14ac:dyDescent="0.35">
      <c r="B119" s="4"/>
      <c r="G119" s="44"/>
      <c r="I119" s="15"/>
      <c r="J119" s="220"/>
    </row>
    <row r="120" spans="1:10" s="1" customFormat="1" ht="14.5" x14ac:dyDescent="0.35">
      <c r="B120" s="4"/>
      <c r="G120" s="44"/>
      <c r="I120" s="15"/>
      <c r="J120" s="220"/>
    </row>
    <row r="121" spans="1:10" s="1" customFormat="1" ht="14.5" x14ac:dyDescent="0.35">
      <c r="B121" s="4"/>
      <c r="G121" s="44"/>
      <c r="I121" s="15"/>
      <c r="J121" s="220"/>
    </row>
    <row r="122" spans="1:10" s="1" customFormat="1" ht="14.5" x14ac:dyDescent="0.35">
      <c r="B122" s="4"/>
      <c r="G122" s="44"/>
      <c r="I122" s="15"/>
      <c r="J122" s="220"/>
    </row>
    <row r="123" spans="1:10" s="1" customFormat="1" ht="14.5" x14ac:dyDescent="0.35">
      <c r="B123" s="4"/>
      <c r="G123" s="44"/>
      <c r="I123" s="15"/>
      <c r="J123" s="220"/>
    </row>
    <row r="124" spans="1:10" s="1" customFormat="1" ht="14.5" x14ac:dyDescent="0.35">
      <c r="B124" s="4"/>
      <c r="G124" s="44"/>
      <c r="I124" s="15"/>
      <c r="J124" s="220"/>
    </row>
    <row r="125" spans="1:10" s="1" customFormat="1" ht="14.5" x14ac:dyDescent="0.35">
      <c r="B125" s="4"/>
      <c r="G125" s="44"/>
      <c r="I125" s="15"/>
      <c r="J125" s="220"/>
    </row>
    <row r="126" spans="1:10" s="1" customFormat="1" ht="14.5" x14ac:dyDescent="0.35">
      <c r="B126" s="4"/>
      <c r="G126" s="44"/>
      <c r="I126" s="15"/>
      <c r="J126" s="220"/>
    </row>
    <row r="127" spans="1:10" s="1" customFormat="1" ht="14.5" x14ac:dyDescent="0.35">
      <c r="B127" s="4"/>
      <c r="G127" s="44"/>
      <c r="I127" s="15"/>
      <c r="J127" s="220"/>
    </row>
    <row r="128" spans="1:10" s="1" customFormat="1" ht="14.5" x14ac:dyDescent="0.35">
      <c r="B128" s="4"/>
      <c r="G128" s="44"/>
      <c r="I128" s="15"/>
      <c r="J128" s="220"/>
    </row>
    <row r="129" spans="2:10" s="1" customFormat="1" ht="14.5" x14ac:dyDescent="0.35">
      <c r="B129" s="4"/>
      <c r="G129" s="44"/>
      <c r="I129" s="15"/>
      <c r="J129" s="220"/>
    </row>
    <row r="130" spans="2:10" s="1" customFormat="1" ht="14.5" x14ac:dyDescent="0.35">
      <c r="B130" s="4"/>
      <c r="G130" s="44"/>
      <c r="I130" s="15"/>
      <c r="J130" s="220"/>
    </row>
    <row r="131" spans="2:10" s="1" customFormat="1" ht="14.5" x14ac:dyDescent="0.35">
      <c r="B131" s="4"/>
      <c r="G131" s="44"/>
      <c r="I131" s="15"/>
      <c r="J131" s="220"/>
    </row>
    <row r="132" spans="2:10" s="1" customFormat="1" ht="14.5" x14ac:dyDescent="0.35">
      <c r="B132" s="4"/>
      <c r="G132" s="44"/>
      <c r="I132" s="15"/>
      <c r="J132" s="220"/>
    </row>
    <row r="133" spans="2:10" s="1" customFormat="1" ht="14.5" x14ac:dyDescent="0.35">
      <c r="B133" s="4"/>
      <c r="G133" s="44"/>
      <c r="I133" s="15"/>
      <c r="J133" s="220"/>
    </row>
    <row r="134" spans="2:10" s="1" customFormat="1" ht="14.5" x14ac:dyDescent="0.35">
      <c r="B134" s="4"/>
      <c r="G134" s="44"/>
      <c r="I134" s="15"/>
      <c r="J134" s="220"/>
    </row>
    <row r="135" spans="2:10" s="1" customFormat="1" ht="14.5" x14ac:dyDescent="0.35">
      <c r="B135" s="4"/>
      <c r="G135" s="44"/>
      <c r="I135" s="15"/>
      <c r="J135" s="220"/>
    </row>
    <row r="136" spans="2:10" s="1" customFormat="1" ht="14.5" x14ac:dyDescent="0.35">
      <c r="B136" s="4"/>
      <c r="G136" s="44"/>
      <c r="I136" s="15"/>
      <c r="J136" s="220"/>
    </row>
    <row r="137" spans="2:10" s="1" customFormat="1" ht="14.5" x14ac:dyDescent="0.35">
      <c r="B137" s="4"/>
      <c r="G137" s="44"/>
      <c r="I137" s="15"/>
      <c r="J137" s="220"/>
    </row>
    <row r="138" spans="2:10" s="1" customFormat="1" ht="14.5" x14ac:dyDescent="0.35">
      <c r="B138" s="4"/>
      <c r="G138" s="44"/>
      <c r="I138" s="15"/>
      <c r="J138" s="220"/>
    </row>
    <row r="139" spans="2:10" s="1" customFormat="1" ht="14.5" x14ac:dyDescent="0.35">
      <c r="B139" s="4"/>
      <c r="G139" s="44"/>
      <c r="I139" s="15"/>
      <c r="J139" s="220"/>
    </row>
    <row r="140" spans="2:10" s="1" customFormat="1" ht="14.5" x14ac:dyDescent="0.35">
      <c r="B140" s="4"/>
      <c r="G140" s="44"/>
      <c r="I140" s="15"/>
      <c r="J140" s="220"/>
    </row>
    <row r="141" spans="2:10" s="1" customFormat="1" ht="14.5" x14ac:dyDescent="0.35">
      <c r="B141" s="4"/>
      <c r="G141" s="44"/>
      <c r="I141" s="15"/>
      <c r="J141" s="220"/>
    </row>
    <row r="142" spans="2:10" s="1" customFormat="1" ht="14.5" x14ac:dyDescent="0.35">
      <c r="B142" s="4"/>
      <c r="G142" s="44"/>
      <c r="I142" s="15"/>
      <c r="J142" s="220"/>
    </row>
    <row r="143" spans="2:10" s="1" customFormat="1" ht="14.5" x14ac:dyDescent="0.35">
      <c r="B143" s="4"/>
      <c r="G143" s="44"/>
      <c r="I143" s="15"/>
      <c r="J143" s="220"/>
    </row>
    <row r="144" spans="2:10" s="1" customFormat="1" ht="14.5" x14ac:dyDescent="0.35">
      <c r="B144" s="4"/>
      <c r="G144" s="44"/>
      <c r="I144" s="15"/>
      <c r="J144" s="220"/>
    </row>
    <row r="145" spans="2:10" s="1" customFormat="1" ht="14.5" x14ac:dyDescent="0.35">
      <c r="B145" s="4"/>
      <c r="G145" s="44"/>
      <c r="I145" s="15"/>
      <c r="J145" s="220"/>
    </row>
    <row r="146" spans="2:10" s="1" customFormat="1" ht="14.5" x14ac:dyDescent="0.35">
      <c r="B146" s="4"/>
      <c r="G146" s="44"/>
      <c r="I146" s="15"/>
      <c r="J146" s="220"/>
    </row>
    <row r="147" spans="2:10" s="1" customFormat="1" ht="14.5" x14ac:dyDescent="0.35">
      <c r="B147" s="4"/>
      <c r="G147" s="44"/>
      <c r="I147" s="15"/>
      <c r="J147" s="220"/>
    </row>
    <row r="148" spans="2:10" s="1" customFormat="1" ht="14.5" x14ac:dyDescent="0.35">
      <c r="B148" s="4"/>
      <c r="G148" s="44"/>
      <c r="I148" s="15"/>
      <c r="J148" s="220"/>
    </row>
    <row r="149" spans="2:10" s="1" customFormat="1" ht="14.5" x14ac:dyDescent="0.35">
      <c r="B149" s="4"/>
      <c r="G149" s="44"/>
      <c r="I149" s="15"/>
      <c r="J149" s="220"/>
    </row>
    <row r="150" spans="2:10" s="1" customFormat="1" ht="14.5" x14ac:dyDescent="0.35">
      <c r="B150" s="4"/>
      <c r="G150" s="44"/>
      <c r="I150" s="15"/>
      <c r="J150" s="220"/>
    </row>
    <row r="151" spans="2:10" s="1" customFormat="1" ht="14.5" x14ac:dyDescent="0.35">
      <c r="B151" s="4"/>
      <c r="G151" s="44"/>
      <c r="I151" s="15"/>
      <c r="J151" s="220"/>
    </row>
    <row r="152" spans="2:10" s="1" customFormat="1" ht="14.5" x14ac:dyDescent="0.35">
      <c r="B152" s="4"/>
      <c r="G152" s="44"/>
      <c r="I152" s="15"/>
      <c r="J152" s="220"/>
    </row>
    <row r="153" spans="2:10" s="1" customFormat="1" ht="14.5" x14ac:dyDescent="0.35">
      <c r="B153" s="4"/>
      <c r="G153" s="44"/>
      <c r="I153" s="15"/>
      <c r="J153" s="220"/>
    </row>
    <row r="154" spans="2:10" s="1" customFormat="1" ht="14.5" x14ac:dyDescent="0.35">
      <c r="B154" s="4"/>
      <c r="G154" s="44"/>
      <c r="I154" s="15"/>
      <c r="J154" s="220"/>
    </row>
    <row r="155" spans="2:10" s="1" customFormat="1" ht="14.5" x14ac:dyDescent="0.35">
      <c r="B155" s="4"/>
      <c r="G155" s="44"/>
      <c r="I155" s="15"/>
      <c r="J155" s="220"/>
    </row>
    <row r="156" spans="2:10" s="1" customFormat="1" ht="14.5" x14ac:dyDescent="0.35">
      <c r="B156" s="4"/>
      <c r="G156" s="44"/>
      <c r="I156" s="15"/>
      <c r="J156" s="220"/>
    </row>
    <row r="157" spans="2:10" s="1" customFormat="1" ht="14.5" x14ac:dyDescent="0.35">
      <c r="B157" s="4"/>
      <c r="G157" s="44"/>
      <c r="I157" s="15"/>
      <c r="J157" s="220"/>
    </row>
    <row r="158" spans="2:10" s="1" customFormat="1" ht="14.5" x14ac:dyDescent="0.35">
      <c r="B158" s="4"/>
      <c r="G158" s="44"/>
      <c r="I158" s="15"/>
      <c r="J158" s="220"/>
    </row>
    <row r="159" spans="2:10" s="1" customFormat="1" ht="14.5" x14ac:dyDescent="0.35">
      <c r="B159" s="4"/>
      <c r="G159" s="44"/>
      <c r="I159" s="15"/>
      <c r="J159" s="220"/>
    </row>
    <row r="160" spans="2:10" s="1" customFormat="1" ht="14.5" x14ac:dyDescent="0.35">
      <c r="B160" s="4"/>
      <c r="G160" s="44"/>
      <c r="I160" s="15"/>
      <c r="J160" s="220"/>
    </row>
    <row r="161" spans="2:10" s="1" customFormat="1" ht="14.5" x14ac:dyDescent="0.35">
      <c r="B161" s="4"/>
      <c r="G161" s="44"/>
      <c r="I161" s="15"/>
      <c r="J161" s="220"/>
    </row>
    <row r="162" spans="2:10" s="1" customFormat="1" ht="14.5" x14ac:dyDescent="0.35">
      <c r="B162" s="4"/>
      <c r="G162" s="44"/>
      <c r="I162" s="15"/>
      <c r="J162" s="220"/>
    </row>
    <row r="163" spans="2:10" s="1" customFormat="1" ht="14.5" x14ac:dyDescent="0.35">
      <c r="B163" s="4"/>
      <c r="G163" s="44"/>
      <c r="I163" s="15"/>
      <c r="J163" s="220"/>
    </row>
    <row r="164" spans="2:10" s="1" customFormat="1" ht="14.5" x14ac:dyDescent="0.35">
      <c r="B164" s="4"/>
      <c r="G164" s="44"/>
      <c r="I164" s="15"/>
      <c r="J164" s="220"/>
    </row>
    <row r="165" spans="2:10" s="1" customFormat="1" ht="14.5" x14ac:dyDescent="0.35">
      <c r="B165" s="4"/>
      <c r="G165" s="44"/>
      <c r="I165" s="15"/>
      <c r="J165" s="220"/>
    </row>
    <row r="166" spans="2:10" s="1" customFormat="1" ht="14.5" x14ac:dyDescent="0.35">
      <c r="B166" s="4"/>
      <c r="G166" s="44"/>
      <c r="I166" s="15"/>
      <c r="J166" s="220"/>
    </row>
    <row r="167" spans="2:10" s="1" customFormat="1" ht="14.5" x14ac:dyDescent="0.35">
      <c r="B167" s="4"/>
      <c r="G167" s="44"/>
      <c r="I167" s="15"/>
      <c r="J167" s="220"/>
    </row>
    <row r="168" spans="2:10" s="1" customFormat="1" ht="14.5" x14ac:dyDescent="0.35">
      <c r="B168" s="4"/>
      <c r="G168" s="44"/>
      <c r="I168" s="15"/>
      <c r="J168" s="220"/>
    </row>
    <row r="169" spans="2:10" s="1" customFormat="1" ht="14.5" x14ac:dyDescent="0.35">
      <c r="B169" s="4"/>
      <c r="G169" s="44"/>
      <c r="I169" s="15"/>
      <c r="J169" s="220"/>
    </row>
    <row r="170" spans="2:10" s="1" customFormat="1" ht="14.5" x14ac:dyDescent="0.35">
      <c r="B170" s="4"/>
      <c r="G170" s="44"/>
      <c r="I170" s="15"/>
      <c r="J170" s="220"/>
    </row>
    <row r="171" spans="2:10" s="1" customFormat="1" ht="14.5" x14ac:dyDescent="0.35">
      <c r="B171" s="4"/>
      <c r="G171" s="44"/>
      <c r="I171" s="15"/>
      <c r="J171" s="220"/>
    </row>
    <row r="172" spans="2:10" s="1" customFormat="1" ht="14.5" x14ac:dyDescent="0.35">
      <c r="B172" s="4"/>
      <c r="G172" s="44"/>
      <c r="I172" s="15"/>
      <c r="J172" s="220"/>
    </row>
    <row r="173" spans="2:10" s="1" customFormat="1" ht="14.5" x14ac:dyDescent="0.35">
      <c r="B173" s="4"/>
      <c r="G173" s="44"/>
      <c r="I173" s="15"/>
      <c r="J173" s="220"/>
    </row>
    <row r="174" spans="2:10" s="1" customFormat="1" ht="14.5" x14ac:dyDescent="0.35">
      <c r="B174" s="4"/>
      <c r="G174" s="44"/>
      <c r="I174" s="15"/>
      <c r="J174" s="220"/>
    </row>
    <row r="175" spans="2:10" s="1" customFormat="1" ht="14.5" x14ac:dyDescent="0.35">
      <c r="B175" s="4"/>
      <c r="G175" s="44"/>
      <c r="I175" s="15"/>
      <c r="J175" s="220"/>
    </row>
    <row r="176" spans="2:10" s="1" customFormat="1" ht="14.5" x14ac:dyDescent="0.35">
      <c r="B176" s="4"/>
      <c r="G176" s="44"/>
      <c r="I176" s="15"/>
      <c r="J176" s="220"/>
    </row>
    <row r="177" spans="2:10" s="1" customFormat="1" ht="14.5" x14ac:dyDescent="0.35">
      <c r="B177" s="4"/>
      <c r="G177" s="44"/>
      <c r="I177" s="15"/>
      <c r="J177" s="220"/>
    </row>
    <row r="178" spans="2:10" s="1" customFormat="1" ht="14.5" x14ac:dyDescent="0.35">
      <c r="B178" s="4"/>
      <c r="G178" s="44"/>
      <c r="I178" s="15"/>
      <c r="J178" s="220"/>
    </row>
    <row r="179" spans="2:10" s="1" customFormat="1" ht="14.5" x14ac:dyDescent="0.35">
      <c r="B179" s="4"/>
      <c r="G179" s="44"/>
      <c r="I179" s="15"/>
      <c r="J179" s="220"/>
    </row>
    <row r="180" spans="2:10" s="1" customFormat="1" ht="14.5" x14ac:dyDescent="0.35">
      <c r="B180" s="4"/>
      <c r="G180" s="44"/>
      <c r="I180" s="15"/>
      <c r="J180" s="220"/>
    </row>
    <row r="181" spans="2:10" s="1" customFormat="1" ht="14.5" x14ac:dyDescent="0.35">
      <c r="B181" s="4"/>
      <c r="G181" s="44"/>
      <c r="I181" s="15"/>
      <c r="J181" s="220"/>
    </row>
    <row r="182" spans="2:10" s="1" customFormat="1" ht="14.5" x14ac:dyDescent="0.35">
      <c r="B182" s="4"/>
      <c r="G182" s="44"/>
      <c r="I182" s="15"/>
      <c r="J182" s="220"/>
    </row>
    <row r="183" spans="2:10" s="1" customFormat="1" ht="14.5" x14ac:dyDescent="0.35">
      <c r="B183" s="4"/>
      <c r="G183" s="44"/>
      <c r="I183" s="15"/>
      <c r="J183" s="220"/>
    </row>
    <row r="184" spans="2:10" s="1" customFormat="1" ht="14.5" x14ac:dyDescent="0.35">
      <c r="B184" s="4"/>
      <c r="G184" s="44"/>
      <c r="I184" s="15"/>
      <c r="J184" s="220"/>
    </row>
    <row r="185" spans="2:10" s="1" customFormat="1" ht="14.5" x14ac:dyDescent="0.35">
      <c r="B185" s="4"/>
      <c r="G185" s="44"/>
      <c r="I185" s="15"/>
      <c r="J185" s="220"/>
    </row>
    <row r="186" spans="2:10" s="1" customFormat="1" ht="14.5" x14ac:dyDescent="0.35">
      <c r="B186" s="4"/>
      <c r="G186" s="44"/>
      <c r="I186" s="15"/>
      <c r="J186" s="220"/>
    </row>
    <row r="187" spans="2:10" s="1" customFormat="1" ht="14.5" x14ac:dyDescent="0.35">
      <c r="B187" s="4"/>
      <c r="G187" s="44"/>
      <c r="I187" s="15"/>
      <c r="J187" s="220"/>
    </row>
    <row r="188" spans="2:10" s="1" customFormat="1" ht="14.5" x14ac:dyDescent="0.35">
      <c r="B188" s="4"/>
      <c r="G188" s="44"/>
      <c r="I188" s="15"/>
      <c r="J188" s="220"/>
    </row>
    <row r="189" spans="2:10" s="1" customFormat="1" ht="14.5" x14ac:dyDescent="0.35">
      <c r="B189" s="4"/>
      <c r="G189" s="44"/>
      <c r="I189" s="15"/>
      <c r="J189" s="220"/>
    </row>
    <row r="190" spans="2:10" s="1" customFormat="1" ht="14.5" x14ac:dyDescent="0.35">
      <c r="B190" s="4"/>
      <c r="G190" s="44"/>
      <c r="I190" s="15"/>
      <c r="J190" s="220"/>
    </row>
    <row r="191" spans="2:10" s="1" customFormat="1" ht="14.5" x14ac:dyDescent="0.35">
      <c r="B191" s="4"/>
      <c r="G191" s="44"/>
      <c r="I191" s="15"/>
      <c r="J191" s="220"/>
    </row>
    <row r="192" spans="2:10" s="1" customFormat="1" ht="14.5" x14ac:dyDescent="0.35">
      <c r="B192" s="4"/>
      <c r="G192" s="44"/>
      <c r="I192" s="15"/>
      <c r="J192" s="220"/>
    </row>
    <row r="193" spans="2:10" s="1" customFormat="1" ht="14.5" x14ac:dyDescent="0.35">
      <c r="B193" s="4"/>
      <c r="G193" s="44"/>
      <c r="I193" s="15"/>
      <c r="J193" s="220"/>
    </row>
    <row r="194" spans="2:10" s="1" customFormat="1" ht="14.5" x14ac:dyDescent="0.35">
      <c r="B194" s="4"/>
      <c r="G194" s="44"/>
      <c r="I194" s="15"/>
      <c r="J194" s="220"/>
    </row>
    <row r="195" spans="2:10" s="1" customFormat="1" ht="14.5" x14ac:dyDescent="0.35">
      <c r="B195" s="4"/>
      <c r="G195" s="44"/>
      <c r="I195" s="15"/>
      <c r="J195" s="220"/>
    </row>
    <row r="196" spans="2:10" s="1" customFormat="1" ht="14.5" x14ac:dyDescent="0.35">
      <c r="B196" s="4"/>
      <c r="G196" s="44"/>
      <c r="I196" s="15"/>
      <c r="J196" s="220"/>
    </row>
    <row r="197" spans="2:10" s="1" customFormat="1" ht="14.5" x14ac:dyDescent="0.35">
      <c r="B197" s="4"/>
      <c r="G197" s="44"/>
      <c r="I197" s="15"/>
      <c r="J197" s="220"/>
    </row>
    <row r="198" spans="2:10" s="1" customFormat="1" ht="14.5" x14ac:dyDescent="0.35">
      <c r="B198" s="4"/>
      <c r="G198" s="44"/>
      <c r="I198" s="15"/>
      <c r="J198" s="220"/>
    </row>
    <row r="199" spans="2:10" s="1" customFormat="1" ht="14.5" x14ac:dyDescent="0.35">
      <c r="B199" s="4"/>
      <c r="G199" s="44"/>
      <c r="I199" s="15"/>
      <c r="J199" s="220"/>
    </row>
    <row r="200" spans="2:10" s="1" customFormat="1" ht="14.5" x14ac:dyDescent="0.35">
      <c r="B200" s="4"/>
      <c r="G200" s="44"/>
      <c r="I200" s="15"/>
      <c r="J200" s="220"/>
    </row>
    <row r="201" spans="2:10" s="1" customFormat="1" ht="14.5" x14ac:dyDescent="0.35">
      <c r="B201" s="4"/>
      <c r="G201" s="44"/>
      <c r="I201" s="15"/>
      <c r="J201" s="220"/>
    </row>
    <row r="202" spans="2:10" s="1" customFormat="1" ht="14.5" x14ac:dyDescent="0.35">
      <c r="B202" s="4"/>
      <c r="G202" s="44"/>
      <c r="I202" s="15"/>
      <c r="J202" s="220"/>
    </row>
    <row r="203" spans="2:10" s="1" customFormat="1" ht="14.5" x14ac:dyDescent="0.35">
      <c r="B203" s="4"/>
      <c r="G203" s="44"/>
      <c r="I203" s="15"/>
      <c r="J203" s="220"/>
    </row>
    <row r="204" spans="2:10" s="1" customFormat="1" ht="14.5" x14ac:dyDescent="0.35">
      <c r="B204" s="4"/>
      <c r="G204" s="44"/>
      <c r="I204" s="15"/>
      <c r="J204" s="220"/>
    </row>
    <row r="205" spans="2:10" s="1" customFormat="1" ht="14.5" x14ac:dyDescent="0.35">
      <c r="B205" s="4"/>
      <c r="G205" s="44"/>
      <c r="I205" s="15"/>
      <c r="J205" s="220"/>
    </row>
    <row r="206" spans="2:10" s="1" customFormat="1" ht="14.5" x14ac:dyDescent="0.35">
      <c r="B206" s="4"/>
      <c r="G206" s="44"/>
      <c r="I206" s="15"/>
      <c r="J206" s="220"/>
    </row>
    <row r="207" spans="2:10" s="1" customFormat="1" ht="14.5" x14ac:dyDescent="0.35">
      <c r="B207" s="4"/>
      <c r="G207" s="44"/>
      <c r="I207" s="15"/>
      <c r="J207" s="220"/>
    </row>
    <row r="208" spans="2:10" s="1" customFormat="1" ht="14.5" x14ac:dyDescent="0.35">
      <c r="B208" s="4"/>
      <c r="G208" s="44"/>
      <c r="I208" s="15"/>
      <c r="J208" s="220"/>
    </row>
    <row r="209" spans="2:10" s="1" customFormat="1" ht="14.5" x14ac:dyDescent="0.35">
      <c r="B209" s="4"/>
      <c r="G209" s="44"/>
      <c r="I209" s="15"/>
      <c r="J209" s="220"/>
    </row>
    <row r="210" spans="2:10" s="1" customFormat="1" ht="14.5" x14ac:dyDescent="0.35">
      <c r="B210" s="4"/>
      <c r="G210" s="44"/>
      <c r="I210" s="15"/>
      <c r="J210" s="220"/>
    </row>
    <row r="211" spans="2:10" s="1" customFormat="1" ht="14.5" x14ac:dyDescent="0.35">
      <c r="B211" s="4"/>
      <c r="G211" s="44"/>
      <c r="I211" s="15"/>
      <c r="J211" s="220"/>
    </row>
    <row r="212" spans="2:10" s="1" customFormat="1" ht="14.5" x14ac:dyDescent="0.35">
      <c r="B212" s="4"/>
      <c r="G212" s="44"/>
      <c r="I212" s="15"/>
      <c r="J212" s="220"/>
    </row>
    <row r="213" spans="2:10" s="1" customFormat="1" ht="14.5" x14ac:dyDescent="0.35">
      <c r="B213" s="4"/>
      <c r="G213" s="44"/>
      <c r="I213" s="15"/>
      <c r="J213" s="220"/>
    </row>
    <row r="214" spans="2:10" s="1" customFormat="1" ht="14.5" x14ac:dyDescent="0.35">
      <c r="B214" s="4"/>
      <c r="G214" s="44"/>
      <c r="I214" s="15"/>
      <c r="J214" s="220"/>
    </row>
    <row r="215" spans="2:10" s="1" customFormat="1" ht="14.5" x14ac:dyDescent="0.35">
      <c r="B215" s="4"/>
      <c r="G215" s="44"/>
      <c r="I215" s="15"/>
      <c r="J215" s="220"/>
    </row>
    <row r="216" spans="2:10" s="1" customFormat="1" ht="14.5" x14ac:dyDescent="0.35">
      <c r="B216" s="4"/>
      <c r="G216" s="44"/>
      <c r="I216" s="15"/>
      <c r="J216" s="220"/>
    </row>
    <row r="217" spans="2:10" s="1" customFormat="1" ht="14.5" x14ac:dyDescent="0.35">
      <c r="B217" s="4"/>
      <c r="G217" s="44"/>
      <c r="I217" s="15"/>
      <c r="J217" s="220"/>
    </row>
    <row r="218" spans="2:10" s="1" customFormat="1" ht="14.5" x14ac:dyDescent="0.35">
      <c r="B218" s="4"/>
      <c r="G218" s="44"/>
      <c r="I218" s="15"/>
      <c r="J218" s="220"/>
    </row>
    <row r="219" spans="2:10" s="1" customFormat="1" ht="14.5" x14ac:dyDescent="0.35">
      <c r="B219" s="4"/>
      <c r="G219" s="44"/>
      <c r="I219" s="15"/>
      <c r="J219" s="220"/>
    </row>
    <row r="220" spans="2:10" s="1" customFormat="1" ht="14.5" x14ac:dyDescent="0.35">
      <c r="B220" s="4"/>
      <c r="G220" s="44"/>
      <c r="I220" s="15"/>
      <c r="J220" s="220"/>
    </row>
    <row r="221" spans="2:10" s="1" customFormat="1" ht="14.5" x14ac:dyDescent="0.35">
      <c r="B221" s="4"/>
      <c r="G221" s="44"/>
      <c r="I221" s="15"/>
      <c r="J221" s="220"/>
    </row>
    <row r="222" spans="2:10" s="1" customFormat="1" ht="14.5" x14ac:dyDescent="0.35">
      <c r="B222" s="4"/>
      <c r="G222" s="44"/>
      <c r="I222" s="15"/>
      <c r="J222" s="220"/>
    </row>
    <row r="223" spans="2:10" s="1" customFormat="1" ht="14.5" x14ac:dyDescent="0.35">
      <c r="B223" s="4"/>
      <c r="G223" s="44"/>
      <c r="I223" s="15"/>
      <c r="J223" s="220"/>
    </row>
    <row r="224" spans="2:10" s="1" customFormat="1" ht="14.5" x14ac:dyDescent="0.35">
      <c r="B224" s="4"/>
      <c r="G224" s="44"/>
      <c r="I224" s="15"/>
      <c r="J224" s="220"/>
    </row>
    <row r="225" spans="2:10" s="1" customFormat="1" ht="14.5" x14ac:dyDescent="0.35">
      <c r="B225" s="4"/>
      <c r="G225" s="44"/>
      <c r="I225" s="15"/>
      <c r="J225" s="220"/>
    </row>
    <row r="226" spans="2:10" s="1" customFormat="1" ht="14.5" x14ac:dyDescent="0.35">
      <c r="B226" s="4"/>
      <c r="G226" s="44"/>
      <c r="I226" s="15"/>
      <c r="J226" s="220"/>
    </row>
    <row r="227" spans="2:10" s="1" customFormat="1" ht="14.5" x14ac:dyDescent="0.35">
      <c r="B227" s="4"/>
      <c r="G227" s="44"/>
      <c r="I227" s="15"/>
      <c r="J227" s="220"/>
    </row>
    <row r="228" spans="2:10" s="1" customFormat="1" ht="14.5" x14ac:dyDescent="0.35">
      <c r="B228" s="4"/>
      <c r="G228" s="44"/>
      <c r="I228" s="15"/>
      <c r="J228" s="220"/>
    </row>
    <row r="229" spans="2:10" s="1" customFormat="1" ht="14.5" x14ac:dyDescent="0.35">
      <c r="B229" s="4"/>
      <c r="G229" s="44"/>
      <c r="I229" s="15"/>
      <c r="J229" s="220"/>
    </row>
    <row r="230" spans="2:10" s="1" customFormat="1" ht="14.5" x14ac:dyDescent="0.35">
      <c r="B230" s="4"/>
      <c r="G230" s="44"/>
      <c r="I230" s="15"/>
      <c r="J230" s="220"/>
    </row>
    <row r="231" spans="2:10" s="1" customFormat="1" ht="14.5" x14ac:dyDescent="0.35">
      <c r="B231" s="4"/>
      <c r="G231" s="44"/>
      <c r="I231" s="15"/>
      <c r="J231" s="220"/>
    </row>
    <row r="232" spans="2:10" s="1" customFormat="1" ht="14.5" x14ac:dyDescent="0.35">
      <c r="B232" s="4"/>
      <c r="G232" s="44"/>
      <c r="I232" s="15"/>
      <c r="J232" s="220"/>
    </row>
    <row r="233" spans="2:10" s="1" customFormat="1" ht="14.5" x14ac:dyDescent="0.35">
      <c r="B233" s="4"/>
      <c r="G233" s="44"/>
      <c r="I233" s="15"/>
      <c r="J233" s="220"/>
    </row>
    <row r="234" spans="2:10" s="1" customFormat="1" ht="14.5" x14ac:dyDescent="0.35">
      <c r="B234" s="4"/>
      <c r="G234" s="44"/>
      <c r="I234" s="15"/>
      <c r="J234" s="220"/>
    </row>
    <row r="235" spans="2:10" s="1" customFormat="1" ht="14.5" x14ac:dyDescent="0.35">
      <c r="B235" s="4"/>
      <c r="G235" s="44"/>
      <c r="I235" s="15"/>
      <c r="J235" s="220"/>
    </row>
    <row r="236" spans="2:10" s="1" customFormat="1" ht="14.5" x14ac:dyDescent="0.35">
      <c r="B236" s="4"/>
      <c r="G236" s="44"/>
      <c r="I236" s="15"/>
      <c r="J236" s="220"/>
    </row>
    <row r="237" spans="2:10" s="1" customFormat="1" ht="14.5" x14ac:dyDescent="0.35">
      <c r="B237" s="4"/>
      <c r="G237" s="44"/>
      <c r="I237" s="15"/>
      <c r="J237" s="220"/>
    </row>
    <row r="238" spans="2:10" s="1" customFormat="1" ht="14.5" x14ac:dyDescent="0.35">
      <c r="B238" s="4"/>
      <c r="G238" s="44"/>
      <c r="I238" s="15"/>
      <c r="J238" s="220"/>
    </row>
    <row r="239" spans="2:10" s="1" customFormat="1" ht="14.5" x14ac:dyDescent="0.35">
      <c r="B239" s="4"/>
      <c r="G239" s="44"/>
      <c r="I239" s="15"/>
      <c r="J239" s="220"/>
    </row>
    <row r="240" spans="2:10" s="1" customFormat="1" ht="14.5" x14ac:dyDescent="0.35">
      <c r="B240" s="4"/>
      <c r="G240" s="44"/>
      <c r="I240" s="15"/>
      <c r="J240" s="220"/>
    </row>
    <row r="241" spans="2:10" s="1" customFormat="1" ht="14.5" x14ac:dyDescent="0.35">
      <c r="B241" s="4"/>
      <c r="G241" s="44"/>
      <c r="I241" s="15"/>
      <c r="J241" s="220"/>
    </row>
    <row r="242" spans="2:10" s="1" customFormat="1" ht="14.5" x14ac:dyDescent="0.35">
      <c r="B242" s="4"/>
      <c r="G242" s="44"/>
      <c r="I242" s="15"/>
      <c r="J242" s="220"/>
    </row>
    <row r="243" spans="2:10" s="1" customFormat="1" ht="14.5" x14ac:dyDescent="0.35">
      <c r="B243" s="4"/>
      <c r="G243" s="44"/>
      <c r="I243" s="15"/>
      <c r="J243" s="220"/>
    </row>
    <row r="244" spans="2:10" s="1" customFormat="1" ht="14.5" x14ac:dyDescent="0.35">
      <c r="B244" s="4"/>
      <c r="G244" s="44"/>
      <c r="I244" s="15"/>
      <c r="J244" s="220"/>
    </row>
    <row r="245" spans="2:10" s="1" customFormat="1" ht="14.5" x14ac:dyDescent="0.35">
      <c r="B245" s="4"/>
      <c r="G245" s="44"/>
      <c r="I245" s="15"/>
      <c r="J245" s="220"/>
    </row>
    <row r="246" spans="2:10" s="1" customFormat="1" ht="14.5" x14ac:dyDescent="0.35">
      <c r="B246" s="4"/>
      <c r="G246" s="44"/>
      <c r="I246" s="15"/>
      <c r="J246" s="220"/>
    </row>
    <row r="247" spans="2:10" s="1" customFormat="1" ht="14.5" x14ac:dyDescent="0.35">
      <c r="B247" s="4"/>
      <c r="G247" s="44"/>
      <c r="I247" s="15"/>
      <c r="J247" s="220"/>
    </row>
    <row r="248" spans="2:10" s="1" customFormat="1" ht="14.5" x14ac:dyDescent="0.35">
      <c r="B248" s="4"/>
      <c r="G248" s="44"/>
      <c r="I248" s="15"/>
      <c r="J248" s="220"/>
    </row>
    <row r="249" spans="2:10" s="1" customFormat="1" ht="14.5" x14ac:dyDescent="0.35">
      <c r="B249" s="4"/>
      <c r="G249" s="44"/>
      <c r="I249" s="15"/>
      <c r="J249" s="220"/>
    </row>
    <row r="250" spans="2:10" s="1" customFormat="1" ht="14.5" x14ac:dyDescent="0.35">
      <c r="B250" s="4"/>
      <c r="G250" s="44"/>
      <c r="I250" s="15"/>
      <c r="J250" s="220"/>
    </row>
    <row r="251" spans="2:10" s="1" customFormat="1" ht="14.5" x14ac:dyDescent="0.35">
      <c r="B251" s="4"/>
      <c r="G251" s="44"/>
      <c r="I251" s="15"/>
      <c r="J251" s="220"/>
    </row>
    <row r="252" spans="2:10" s="1" customFormat="1" ht="14.5" x14ac:dyDescent="0.35">
      <c r="B252" s="4"/>
      <c r="G252" s="44"/>
      <c r="I252" s="15"/>
      <c r="J252" s="220"/>
    </row>
    <row r="253" spans="2:10" s="1" customFormat="1" ht="14.5" x14ac:dyDescent="0.35">
      <c r="B253" s="4"/>
      <c r="G253" s="44"/>
      <c r="I253" s="15"/>
      <c r="J253" s="220"/>
    </row>
    <row r="254" spans="2:10" s="1" customFormat="1" ht="14.5" x14ac:dyDescent="0.35">
      <c r="B254" s="4"/>
      <c r="G254" s="44"/>
      <c r="I254" s="15"/>
      <c r="J254" s="220"/>
    </row>
    <row r="255" spans="2:10" s="1" customFormat="1" ht="14.5" x14ac:dyDescent="0.35">
      <c r="B255" s="4"/>
      <c r="G255" s="44"/>
      <c r="I255" s="15"/>
      <c r="J255" s="220"/>
    </row>
    <row r="256" spans="2:10" s="1" customFormat="1" ht="14.5" x14ac:dyDescent="0.35">
      <c r="B256" s="4"/>
      <c r="G256" s="44"/>
      <c r="I256" s="15"/>
      <c r="J256" s="220"/>
    </row>
    <row r="257" spans="1:10" s="1" customFormat="1" ht="14.5" x14ac:dyDescent="0.35">
      <c r="B257" s="4"/>
      <c r="G257" s="44"/>
      <c r="I257" s="15"/>
      <c r="J257" s="220"/>
    </row>
    <row r="258" spans="1:10" s="1" customFormat="1" ht="14.5" x14ac:dyDescent="0.35">
      <c r="B258" s="4"/>
      <c r="G258" s="44"/>
      <c r="I258" s="15"/>
      <c r="J258" s="220"/>
    </row>
    <row r="259" spans="1:10" s="1" customFormat="1" ht="14.5" x14ac:dyDescent="0.35">
      <c r="B259" s="4"/>
      <c r="G259" s="44"/>
      <c r="I259" s="15"/>
      <c r="J259" s="220"/>
    </row>
    <row r="260" spans="1:10" s="1" customFormat="1" ht="14.5" x14ac:dyDescent="0.35">
      <c r="B260" s="4"/>
      <c r="G260" s="44"/>
      <c r="I260" s="15"/>
      <c r="J260" s="220"/>
    </row>
    <row r="261" spans="1:10" s="1" customFormat="1" ht="14.5" x14ac:dyDescent="0.35">
      <c r="B261" s="4"/>
      <c r="G261" s="44"/>
      <c r="I261" s="15"/>
      <c r="J261" s="220"/>
    </row>
    <row r="262" spans="1:10" s="1" customFormat="1" ht="14.5" x14ac:dyDescent="0.35">
      <c r="B262" s="4"/>
      <c r="G262" s="44"/>
      <c r="I262" s="15"/>
      <c r="J262" s="220"/>
    </row>
    <row r="263" spans="1:10" s="1" customFormat="1" ht="14.5" x14ac:dyDescent="0.35">
      <c r="B263" s="4"/>
      <c r="G263" s="44"/>
      <c r="I263" s="15"/>
      <c r="J263" s="220"/>
    </row>
    <row r="264" spans="1:10" s="1" customFormat="1" ht="14.5" x14ac:dyDescent="0.35">
      <c r="B264" s="4"/>
      <c r="G264" s="44"/>
      <c r="I264" s="15"/>
      <c r="J264" s="220"/>
    </row>
    <row r="265" spans="1:10" s="1" customFormat="1" ht="14.5" x14ac:dyDescent="0.35">
      <c r="B265" s="4"/>
      <c r="G265" s="44"/>
      <c r="I265" s="15"/>
      <c r="J265" s="220"/>
    </row>
    <row r="266" spans="1:10" s="1" customFormat="1" ht="14.5" x14ac:dyDescent="0.35">
      <c r="B266" s="4"/>
      <c r="G266" s="44"/>
      <c r="I266" s="15"/>
      <c r="J266" s="220"/>
    </row>
    <row r="267" spans="1:10" s="1" customFormat="1" ht="14.5" x14ac:dyDescent="0.35">
      <c r="B267" s="4"/>
      <c r="G267" s="44"/>
      <c r="I267" s="15"/>
      <c r="J267" s="220"/>
    </row>
    <row r="268" spans="1:10" s="1" customFormat="1" ht="14.5" x14ac:dyDescent="0.35">
      <c r="B268" s="4"/>
      <c r="G268" s="44"/>
      <c r="I268" s="15"/>
      <c r="J268" s="220"/>
    </row>
    <row r="269" spans="1:10" x14ac:dyDescent="0.35">
      <c r="A269" s="1"/>
      <c r="B269" s="4"/>
      <c r="C269" s="1"/>
      <c r="D269" s="1"/>
      <c r="E269" s="1"/>
      <c r="F269" s="1"/>
      <c r="G269" s="44"/>
      <c r="H269" s="1"/>
      <c r="I269" s="15"/>
      <c r="J269" s="220"/>
    </row>
    <row r="270" spans="1:10" x14ac:dyDescent="0.35">
      <c r="A270" s="1"/>
      <c r="B270" s="4"/>
      <c r="C270" s="1"/>
      <c r="D270" s="1"/>
      <c r="E270" s="1"/>
      <c r="F270" s="1"/>
      <c r="G270" s="44"/>
      <c r="H270" s="1"/>
      <c r="I270" s="15"/>
      <c r="J270" s="220"/>
    </row>
    <row r="271" spans="1:10" x14ac:dyDescent="0.35">
      <c r="A271" s="1"/>
      <c r="B271" s="4"/>
      <c r="C271" s="1"/>
      <c r="D271" s="1"/>
      <c r="E271" s="1"/>
      <c r="F271" s="1"/>
      <c r="G271" s="44"/>
      <c r="H271" s="1"/>
      <c r="I271" s="15"/>
      <c r="J271" s="220"/>
    </row>
    <row r="272" spans="1:10" x14ac:dyDescent="0.35">
      <c r="A272" s="1"/>
      <c r="B272" s="4"/>
      <c r="C272" s="1"/>
      <c r="D272" s="1"/>
      <c r="E272" s="1"/>
      <c r="F272" s="1"/>
      <c r="G272" s="44"/>
      <c r="H272" s="1"/>
      <c r="I272" s="15"/>
      <c r="J272" s="220"/>
    </row>
    <row r="273" spans="1:10" x14ac:dyDescent="0.35">
      <c r="A273" s="1"/>
      <c r="B273" s="4"/>
      <c r="C273" s="1"/>
      <c r="D273" s="1"/>
      <c r="E273" s="1"/>
      <c r="F273" s="1"/>
      <c r="G273" s="44"/>
      <c r="H273" s="1"/>
      <c r="I273" s="15"/>
      <c r="J273" s="220"/>
    </row>
    <row r="274" spans="1:10" x14ac:dyDescent="0.35">
      <c r="A274" s="1"/>
      <c r="B274" s="4"/>
      <c r="C274" s="1"/>
      <c r="D274" s="1"/>
      <c r="E274" s="1"/>
      <c r="F274" s="1"/>
      <c r="G274" s="44"/>
      <c r="H274" s="1"/>
      <c r="I274" s="15"/>
      <c r="J274" s="220"/>
    </row>
    <row r="275" spans="1:10" x14ac:dyDescent="0.35">
      <c r="A275" s="1"/>
      <c r="B275" s="4"/>
      <c r="C275" s="1"/>
      <c r="D275" s="1"/>
      <c r="E275" s="1"/>
      <c r="F275" s="1"/>
      <c r="G275" s="44"/>
      <c r="H275" s="1"/>
      <c r="I275" s="15"/>
      <c r="J275" s="220"/>
    </row>
    <row r="276" spans="1:10" x14ac:dyDescent="0.35">
      <c r="A276" s="1"/>
      <c r="B276" s="4"/>
      <c r="C276" s="1"/>
      <c r="D276" s="1"/>
      <c r="E276" s="1"/>
      <c r="F276" s="1"/>
      <c r="G276" s="44"/>
      <c r="H276" s="1"/>
      <c r="I276" s="15"/>
      <c r="J276" s="220"/>
    </row>
    <row r="277" spans="1:10" x14ac:dyDescent="0.35">
      <c r="A277" s="1"/>
      <c r="B277" s="4"/>
      <c r="C277" s="1"/>
      <c r="D277" s="1"/>
      <c r="E277" s="1"/>
      <c r="F277" s="1"/>
      <c r="G277" s="44"/>
      <c r="H277" s="1"/>
      <c r="I277" s="15"/>
      <c r="J277" s="220"/>
    </row>
    <row r="278" spans="1:10" x14ac:dyDescent="0.35">
      <c r="A278" s="1"/>
      <c r="B278" s="4"/>
      <c r="C278" s="1"/>
      <c r="D278" s="1"/>
      <c r="E278" s="1"/>
      <c r="F278" s="1"/>
      <c r="G278" s="44"/>
      <c r="H278" s="1"/>
      <c r="I278" s="15"/>
      <c r="J278" s="220"/>
    </row>
    <row r="279" spans="1:10" x14ac:dyDescent="0.35">
      <c r="A279" s="1"/>
      <c r="B279" s="4"/>
      <c r="C279" s="1"/>
      <c r="D279" s="1"/>
      <c r="E279" s="1"/>
      <c r="F279" s="1"/>
      <c r="G279" s="44"/>
      <c r="H279" s="1"/>
      <c r="I279" s="15"/>
      <c r="J279" s="220"/>
    </row>
    <row r="280" spans="1:10" x14ac:dyDescent="0.35">
      <c r="A280" s="1"/>
      <c r="B280" s="4"/>
      <c r="C280" s="1"/>
      <c r="D280" s="1"/>
      <c r="E280" s="1"/>
      <c r="F280" s="1"/>
      <c r="G280" s="44"/>
      <c r="H280" s="1"/>
      <c r="I280" s="15"/>
      <c r="J280" s="220"/>
    </row>
    <row r="281" spans="1:10" x14ac:dyDescent="0.35">
      <c r="A281" s="1"/>
      <c r="B281" s="4"/>
      <c r="C281" s="1"/>
      <c r="D281" s="1"/>
      <c r="E281" s="1"/>
      <c r="F281" s="1"/>
      <c r="G281" s="44"/>
      <c r="H281" s="1"/>
      <c r="I281" s="15"/>
      <c r="J281" s="220"/>
    </row>
  </sheetData>
  <mergeCells count="22">
    <mergeCell ref="D71:E71"/>
    <mergeCell ref="D21:E21"/>
    <mergeCell ref="D30:E30"/>
    <mergeCell ref="E32:F32"/>
    <mergeCell ref="D39:E39"/>
    <mergeCell ref="D48:E48"/>
    <mergeCell ref="D101:E101"/>
    <mergeCell ref="D107:E107"/>
    <mergeCell ref="E108:F108"/>
    <mergeCell ref="A1:H1"/>
    <mergeCell ref="A2:H2"/>
    <mergeCell ref="D19:E19"/>
    <mergeCell ref="B4:G4"/>
    <mergeCell ref="D79:E79"/>
    <mergeCell ref="E80:F80"/>
    <mergeCell ref="D86:E86"/>
    <mergeCell ref="D94:E94"/>
    <mergeCell ref="E95:F95"/>
    <mergeCell ref="E49:F49"/>
    <mergeCell ref="D56:E56"/>
    <mergeCell ref="D64:E64"/>
    <mergeCell ref="E65:F65"/>
  </mergeCells>
  <printOptions horizontalCentered="1"/>
  <pageMargins left="0.7" right="0.7" top="1" bottom="0.75" header="0.3" footer="0.3"/>
  <pageSetup scale="63" fitToHeight="4"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56ECB-1166-4A19-BAC2-1CAB016DEA29}">
  <sheetPr>
    <tabColor rgb="FF00B050"/>
    <pageSetUpPr fitToPage="1"/>
  </sheetPr>
  <dimension ref="A1:M29"/>
  <sheetViews>
    <sheetView workbookViewId="0">
      <selection activeCell="A10" sqref="A10"/>
    </sheetView>
  </sheetViews>
  <sheetFormatPr defaultRowHeight="15.5" x14ac:dyDescent="0.35"/>
  <cols>
    <col min="1" max="1" width="10.15234375" customWidth="1"/>
    <col min="3" max="3" width="11.3828125" customWidth="1"/>
    <col min="4" max="4" width="10.15234375" customWidth="1"/>
    <col min="5" max="5" width="10.23046875" customWidth="1"/>
    <col min="6" max="6" width="11" customWidth="1"/>
    <col min="7" max="7" width="11.4609375" bestFit="1" customWidth="1"/>
    <col min="11" max="11" width="15.23046875" customWidth="1"/>
  </cols>
  <sheetData>
    <row r="1" spans="1:13" x14ac:dyDescent="0.35">
      <c r="A1" s="5"/>
      <c r="B1" s="5"/>
      <c r="C1" s="5"/>
      <c r="D1" s="5"/>
      <c r="E1" s="5"/>
      <c r="F1" s="5"/>
      <c r="G1" s="5"/>
      <c r="H1" s="5"/>
      <c r="I1" s="5"/>
      <c r="J1" s="5"/>
      <c r="K1" s="5"/>
      <c r="L1" s="5"/>
      <c r="M1" s="5"/>
    </row>
    <row r="2" spans="1:13" ht="18.5" x14ac:dyDescent="0.35">
      <c r="A2" s="443" t="s">
        <v>226</v>
      </c>
      <c r="B2" s="443"/>
      <c r="C2" s="443"/>
      <c r="D2" s="443"/>
      <c r="E2" s="443"/>
      <c r="F2" s="443"/>
      <c r="G2" s="443"/>
      <c r="H2" s="5"/>
      <c r="I2" s="5"/>
      <c r="J2" s="5"/>
      <c r="K2" s="5"/>
      <c r="L2" s="5"/>
      <c r="M2" s="5"/>
    </row>
    <row r="3" spans="1:13" x14ac:dyDescent="0.35">
      <c r="A3" s="302" t="s">
        <v>37</v>
      </c>
      <c r="B3" s="303"/>
      <c r="C3" s="303"/>
      <c r="D3" s="62"/>
      <c r="E3" s="50"/>
      <c r="F3" s="58"/>
      <c r="G3" s="5">
        <f>SAO!G51</f>
        <v>2110086.1243097149</v>
      </c>
      <c r="H3" s="5"/>
      <c r="I3" s="5"/>
      <c r="J3" s="5"/>
      <c r="K3" s="5"/>
      <c r="L3" s="5"/>
      <c r="M3" s="5"/>
    </row>
    <row r="4" spans="1:13" x14ac:dyDescent="0.35">
      <c r="A4" s="303" t="s">
        <v>227</v>
      </c>
      <c r="B4" s="303"/>
      <c r="C4" s="303"/>
      <c r="D4" s="62"/>
      <c r="E4" s="50"/>
      <c r="F4" s="58"/>
      <c r="G4" s="207">
        <v>0.88</v>
      </c>
      <c r="H4" s="5"/>
      <c r="I4" s="5"/>
      <c r="J4" s="5"/>
      <c r="K4" s="5"/>
      <c r="L4" s="5"/>
      <c r="M4" s="5"/>
    </row>
    <row r="5" spans="1:13" x14ac:dyDescent="0.35">
      <c r="A5" s="303" t="s">
        <v>228</v>
      </c>
      <c r="B5" s="123"/>
      <c r="C5" s="123"/>
      <c r="D5" s="62"/>
      <c r="E5" s="50"/>
      <c r="F5" s="58"/>
      <c r="G5" s="5">
        <f>G3/G4</f>
        <v>2397825.1412610398</v>
      </c>
      <c r="H5" s="5"/>
      <c r="I5" s="5"/>
      <c r="J5" s="5"/>
      <c r="K5" s="5"/>
      <c r="L5" s="5"/>
      <c r="M5" s="5"/>
    </row>
    <row r="6" spans="1:13" ht="17" x14ac:dyDescent="0.5">
      <c r="A6" s="303" t="s">
        <v>20</v>
      </c>
      <c r="B6" s="303"/>
      <c r="C6" s="303" t="s">
        <v>229</v>
      </c>
      <c r="D6" s="62"/>
      <c r="E6" s="50"/>
      <c r="F6" s="406" t="s">
        <v>218</v>
      </c>
      <c r="G6" s="223">
        <f>'Debt Service'!M29</f>
        <v>13845.128000000001</v>
      </c>
      <c r="H6" s="5"/>
      <c r="I6" s="5" t="s">
        <v>324</v>
      </c>
      <c r="J6" s="50"/>
      <c r="K6" s="50"/>
      <c r="L6" s="5" t="s">
        <v>234</v>
      </c>
      <c r="M6" s="5"/>
    </row>
    <row r="7" spans="1:13" x14ac:dyDescent="0.35">
      <c r="A7" s="302" t="s">
        <v>62</v>
      </c>
      <c r="B7" s="303"/>
      <c r="C7" s="303"/>
      <c r="D7" s="62"/>
      <c r="E7" s="50"/>
      <c r="F7" s="58"/>
      <c r="G7" s="5">
        <f>G5+G6</f>
        <v>2411670.2692610398</v>
      </c>
      <c r="H7" s="5"/>
      <c r="I7" s="5"/>
      <c r="J7" s="5"/>
      <c r="K7" s="5"/>
      <c r="L7" s="5"/>
      <c r="M7" s="5"/>
    </row>
    <row r="8" spans="1:13" x14ac:dyDescent="0.35">
      <c r="A8" s="303" t="s">
        <v>21</v>
      </c>
      <c r="B8" s="303"/>
      <c r="C8" s="308" t="s">
        <v>22</v>
      </c>
      <c r="D8" s="62"/>
      <c r="E8" s="50"/>
      <c r="F8" s="58"/>
      <c r="G8" s="389">
        <f>SUM(SAO!G10:G12)</f>
        <v>84933</v>
      </c>
      <c r="H8" s="5"/>
      <c r="I8" s="5"/>
      <c r="J8" s="5"/>
      <c r="K8" s="5"/>
      <c r="L8" s="5"/>
      <c r="M8" s="5"/>
    </row>
    <row r="9" spans="1:13" ht="17" x14ac:dyDescent="0.5">
      <c r="A9" s="303"/>
      <c r="B9" s="303"/>
      <c r="C9" s="309" t="s">
        <v>193</v>
      </c>
      <c r="D9" s="62"/>
      <c r="E9" s="50"/>
      <c r="F9" s="58"/>
      <c r="G9" s="40"/>
      <c r="H9" s="5"/>
      <c r="I9" s="5"/>
      <c r="J9" s="5"/>
      <c r="K9" s="5"/>
      <c r="L9" s="5"/>
      <c r="M9" s="5"/>
    </row>
    <row r="10" spans="1:13" x14ac:dyDescent="0.35">
      <c r="A10" s="302" t="s">
        <v>60</v>
      </c>
      <c r="B10" s="303"/>
      <c r="C10" s="303"/>
      <c r="D10" s="62"/>
      <c r="E10" s="50"/>
      <c r="F10" s="58"/>
      <c r="G10" s="5">
        <f>G7-G8-G9</f>
        <v>2326737.2692610398</v>
      </c>
      <c r="H10" s="5"/>
      <c r="I10" s="5"/>
      <c r="J10" s="5"/>
      <c r="K10" s="5"/>
      <c r="L10" s="5"/>
      <c r="M10" s="5"/>
    </row>
    <row r="11" spans="1:13" x14ac:dyDescent="0.35">
      <c r="A11" s="303" t="s">
        <v>21</v>
      </c>
      <c r="B11" s="303"/>
      <c r="C11" s="306" t="s">
        <v>61</v>
      </c>
      <c r="D11" s="62"/>
      <c r="E11" s="50"/>
      <c r="F11" s="58"/>
      <c r="G11" s="4">
        <f>SAO!G6</f>
        <v>2106856.7599999998</v>
      </c>
      <c r="H11" s="5"/>
      <c r="I11" s="5"/>
      <c r="J11" s="5"/>
      <c r="K11" s="5"/>
      <c r="L11" s="5"/>
      <c r="M11" s="5"/>
    </row>
    <row r="12" spans="1:13" ht="17" x14ac:dyDescent="0.5">
      <c r="A12" s="303"/>
      <c r="B12" s="303"/>
      <c r="C12" s="307" t="s">
        <v>15</v>
      </c>
      <c r="D12" s="62"/>
      <c r="E12" s="50"/>
      <c r="F12" s="58"/>
      <c r="G12" s="40">
        <f>SAO!G8</f>
        <v>22449</v>
      </c>
      <c r="H12" s="5"/>
      <c r="I12" s="5"/>
      <c r="J12" s="5"/>
      <c r="K12" s="5"/>
      <c r="L12" s="5"/>
      <c r="M12" s="5"/>
    </row>
    <row r="13" spans="1:13" x14ac:dyDescent="0.35">
      <c r="A13" s="302" t="s">
        <v>63</v>
      </c>
      <c r="B13" s="303"/>
      <c r="C13" s="303"/>
      <c r="D13" s="62"/>
      <c r="E13" s="50"/>
      <c r="F13" s="58"/>
      <c r="G13" s="4">
        <f>G10-G11-G12</f>
        <v>197431.50926104002</v>
      </c>
      <c r="H13" s="5"/>
      <c r="I13" s="5"/>
      <c r="J13" s="5"/>
      <c r="K13" s="5"/>
      <c r="L13" s="5"/>
      <c r="M13" s="5"/>
    </row>
    <row r="14" spans="1:13" x14ac:dyDescent="0.35">
      <c r="A14" s="302" t="s">
        <v>64</v>
      </c>
      <c r="B14" s="303"/>
      <c r="C14" s="303"/>
      <c r="D14" s="5"/>
      <c r="E14" s="5"/>
      <c r="F14" s="5"/>
      <c r="G14" s="63">
        <f>G13/(G11+G12)</f>
        <v>9.2721070392934105E-2</v>
      </c>
      <c r="H14" s="5"/>
      <c r="I14" s="207"/>
      <c r="J14" s="5"/>
      <c r="K14" s="5"/>
      <c r="L14" s="5"/>
      <c r="M14" s="5"/>
    </row>
    <row r="17" spans="1:13" x14ac:dyDescent="0.35">
      <c r="A17" s="445" t="s">
        <v>316</v>
      </c>
      <c r="B17" s="445"/>
      <c r="C17" s="445"/>
      <c r="D17" s="445"/>
      <c r="E17" s="445"/>
      <c r="F17" s="445"/>
      <c r="G17" s="445"/>
    </row>
    <row r="18" spans="1:13" x14ac:dyDescent="0.35">
      <c r="A18" s="397" t="s">
        <v>225</v>
      </c>
      <c r="B18" s="397"/>
      <c r="C18" s="397"/>
      <c r="D18" s="397"/>
      <c r="E18" s="397"/>
      <c r="F18" s="397"/>
      <c r="G18" s="397"/>
      <c r="H18" s="397"/>
      <c r="I18" s="397"/>
      <c r="J18" s="397"/>
      <c r="K18" s="397"/>
      <c r="L18" s="397"/>
      <c r="M18" s="397"/>
    </row>
    <row r="19" spans="1:13" x14ac:dyDescent="0.35">
      <c r="A19" s="397" t="s">
        <v>37</v>
      </c>
      <c r="B19" s="397"/>
      <c r="C19" s="397"/>
      <c r="D19" s="397"/>
      <c r="E19" s="397"/>
      <c r="F19" s="397"/>
      <c r="G19" s="365">
        <f>SAO!G51</f>
        <v>2110086.1243097149</v>
      </c>
      <c r="H19" s="397"/>
      <c r="I19" s="397"/>
      <c r="J19" s="397"/>
      <c r="K19" s="397"/>
      <c r="L19" s="397"/>
      <c r="M19" s="397"/>
    </row>
    <row r="20" spans="1:13" x14ac:dyDescent="0.35">
      <c r="A20" s="397" t="s">
        <v>20</v>
      </c>
      <c r="B20" s="397"/>
      <c r="C20" s="397" t="s">
        <v>161</v>
      </c>
      <c r="D20" s="397"/>
      <c r="E20" s="397"/>
      <c r="F20" s="397"/>
      <c r="G20" s="365">
        <v>31228</v>
      </c>
      <c r="H20" s="397"/>
      <c r="I20" s="397" t="s">
        <v>208</v>
      </c>
      <c r="J20" s="397"/>
      <c r="K20" s="397"/>
      <c r="L20" s="397" t="s">
        <v>214</v>
      </c>
      <c r="M20" s="397"/>
    </row>
    <row r="21" spans="1:13" x14ac:dyDescent="0.35">
      <c r="A21" s="397"/>
      <c r="B21" s="397"/>
      <c r="C21" s="397" t="s">
        <v>162</v>
      </c>
      <c r="D21" s="397"/>
      <c r="E21" s="397"/>
      <c r="F21" s="397"/>
      <c r="G21" s="365">
        <v>3122.8</v>
      </c>
      <c r="H21" s="397"/>
      <c r="I21" s="397" t="s">
        <v>235</v>
      </c>
      <c r="J21" s="397"/>
      <c r="K21" s="397"/>
      <c r="L21" s="397" t="s">
        <v>215</v>
      </c>
      <c r="M21" s="397"/>
    </row>
    <row r="22" spans="1:13" x14ac:dyDescent="0.35">
      <c r="A22" s="397" t="s">
        <v>62</v>
      </c>
      <c r="B22" s="397"/>
      <c r="C22" s="397"/>
      <c r="D22" s="397"/>
      <c r="E22" s="397"/>
      <c r="F22" s="397"/>
      <c r="G22" s="365">
        <f>SUM(G19:G21)</f>
        <v>2144436.9243097147</v>
      </c>
      <c r="H22" s="397"/>
      <c r="I22" s="397"/>
      <c r="J22" s="397"/>
      <c r="K22" s="397"/>
      <c r="L22" s="397"/>
      <c r="M22" s="397"/>
    </row>
    <row r="23" spans="1:13" x14ac:dyDescent="0.35">
      <c r="A23" s="397" t="s">
        <v>21</v>
      </c>
      <c r="B23" s="397"/>
      <c r="C23" s="397" t="s">
        <v>22</v>
      </c>
      <c r="D23" s="397"/>
      <c r="E23" s="397"/>
      <c r="F23" s="397"/>
      <c r="G23" s="365">
        <v>84933</v>
      </c>
      <c r="H23" s="397"/>
      <c r="I23" s="397"/>
      <c r="J23" s="397"/>
      <c r="K23" s="397"/>
      <c r="L23" s="397"/>
      <c r="M23" s="397"/>
    </row>
    <row r="24" spans="1:13" x14ac:dyDescent="0.35">
      <c r="A24" s="397"/>
      <c r="B24" s="397"/>
      <c r="C24" s="397" t="s">
        <v>193</v>
      </c>
      <c r="D24" s="397"/>
      <c r="E24" s="397"/>
      <c r="F24" s="397"/>
      <c r="G24" s="365"/>
      <c r="H24" s="397"/>
      <c r="I24" s="397"/>
      <c r="J24" s="397"/>
      <c r="K24" s="397"/>
      <c r="L24" s="397"/>
      <c r="M24" s="397"/>
    </row>
    <row r="25" spans="1:13" x14ac:dyDescent="0.35">
      <c r="A25" s="397" t="s">
        <v>60</v>
      </c>
      <c r="B25" s="397"/>
      <c r="C25" s="397"/>
      <c r="D25" s="397"/>
      <c r="E25" s="397"/>
      <c r="F25" s="397"/>
      <c r="G25" s="365">
        <f>G22-G23-G24</f>
        <v>2059503.9243097147</v>
      </c>
      <c r="H25" s="397"/>
      <c r="I25" s="397"/>
      <c r="J25" s="397"/>
      <c r="K25" s="397"/>
      <c r="L25" s="397"/>
      <c r="M25" s="397"/>
    </row>
    <row r="26" spans="1:13" x14ac:dyDescent="0.35">
      <c r="A26" s="397" t="s">
        <v>21</v>
      </c>
      <c r="B26" s="397"/>
      <c r="C26" s="397" t="s">
        <v>61</v>
      </c>
      <c r="D26" s="397"/>
      <c r="E26" s="397"/>
      <c r="F26" s="397"/>
      <c r="G26" s="365">
        <v>2106856.7599999998</v>
      </c>
      <c r="H26" s="397"/>
      <c r="I26" s="397"/>
      <c r="J26" s="397"/>
      <c r="K26" s="397"/>
      <c r="L26" s="397"/>
      <c r="M26" s="397"/>
    </row>
    <row r="27" spans="1:13" x14ac:dyDescent="0.35">
      <c r="A27" s="397"/>
      <c r="B27" s="397"/>
      <c r="C27" s="397" t="s">
        <v>15</v>
      </c>
      <c r="D27" s="397"/>
      <c r="E27" s="397"/>
      <c r="F27" s="397"/>
      <c r="G27" s="365">
        <v>22449</v>
      </c>
      <c r="H27" s="397"/>
      <c r="I27" s="397"/>
      <c r="J27" s="397"/>
      <c r="K27" s="397"/>
      <c r="L27" s="397"/>
      <c r="M27" s="397"/>
    </row>
    <row r="28" spans="1:13" x14ac:dyDescent="0.35">
      <c r="A28" s="397" t="s">
        <v>63</v>
      </c>
      <c r="B28" s="397"/>
      <c r="C28" s="397"/>
      <c r="D28" s="397"/>
      <c r="E28" s="397"/>
      <c r="F28" s="397"/>
      <c r="G28" s="365">
        <v>-99062.355956952088</v>
      </c>
      <c r="H28" s="397"/>
      <c r="I28" s="397"/>
      <c r="J28" s="397"/>
      <c r="K28" s="397"/>
      <c r="L28" s="397"/>
      <c r="M28" s="397"/>
    </row>
    <row r="29" spans="1:13" x14ac:dyDescent="0.35">
      <c r="A29" s="397" t="s">
        <v>64</v>
      </c>
      <c r="B29" s="397"/>
      <c r="C29" s="397"/>
      <c r="D29" s="397"/>
      <c r="E29" s="397"/>
      <c r="F29" s="397"/>
      <c r="G29" s="398">
        <v>-4.7E-2</v>
      </c>
      <c r="H29" s="397"/>
      <c r="I29" s="397"/>
      <c r="J29" s="397"/>
      <c r="K29" s="397"/>
      <c r="L29" s="397"/>
      <c r="M29" s="397"/>
    </row>
  </sheetData>
  <mergeCells count="2">
    <mergeCell ref="A2:G2"/>
    <mergeCell ref="A17:G17"/>
  </mergeCells>
  <printOptions horizontalCentered="1" verticalCentered="1"/>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A0393-D2CF-4D21-9B7A-5D1DCEEBF31D}">
  <sheetPr>
    <tabColor rgb="FF00B050"/>
  </sheetPr>
  <dimension ref="B2:D35"/>
  <sheetViews>
    <sheetView showGridLines="0" workbookViewId="0">
      <selection activeCell="C4" sqref="C4"/>
    </sheetView>
  </sheetViews>
  <sheetFormatPr defaultRowHeight="15.5" x14ac:dyDescent="0.35"/>
  <cols>
    <col min="2" max="2" width="2.3046875" bestFit="1" customWidth="1"/>
    <col min="3" max="3" width="78.15234375" customWidth="1"/>
    <col min="4" max="4" width="2" bestFit="1" customWidth="1"/>
  </cols>
  <sheetData>
    <row r="2" spans="2:4" x14ac:dyDescent="0.35">
      <c r="B2" s="334"/>
      <c r="C2" s="335" t="s">
        <v>255</v>
      </c>
    </row>
    <row r="3" spans="2:4" x14ac:dyDescent="0.35">
      <c r="B3" s="336" t="s">
        <v>216</v>
      </c>
      <c r="C3" s="337" t="s">
        <v>302</v>
      </c>
      <c r="D3" s="338"/>
    </row>
    <row r="4" spans="2:4" x14ac:dyDescent="0.35">
      <c r="B4" s="336"/>
      <c r="C4" s="337"/>
      <c r="D4" s="338"/>
    </row>
    <row r="5" spans="2:4" ht="62" x14ac:dyDescent="0.35">
      <c r="B5" s="336" t="s">
        <v>217</v>
      </c>
      <c r="C5" s="337" t="s">
        <v>306</v>
      </c>
    </row>
    <row r="6" spans="2:4" x14ac:dyDescent="0.35">
      <c r="B6" s="336"/>
      <c r="C6" s="337"/>
    </row>
    <row r="7" spans="2:4" ht="31" x14ac:dyDescent="0.35">
      <c r="B7" s="336" t="s">
        <v>307</v>
      </c>
      <c r="C7" s="337" t="s">
        <v>308</v>
      </c>
    </row>
    <row r="8" spans="2:4" x14ac:dyDescent="0.35">
      <c r="B8" s="334"/>
      <c r="C8" s="339"/>
    </row>
    <row r="9" spans="2:4" x14ac:dyDescent="0.35">
      <c r="B9" s="336" t="s">
        <v>309</v>
      </c>
      <c r="C9" s="337" t="s">
        <v>328</v>
      </c>
    </row>
    <row r="10" spans="2:4" x14ac:dyDescent="0.35">
      <c r="B10" s="334"/>
      <c r="C10" s="339"/>
    </row>
    <row r="11" spans="2:4" x14ac:dyDescent="0.35">
      <c r="B11" s="336" t="s">
        <v>310</v>
      </c>
      <c r="C11" s="337" t="s">
        <v>311</v>
      </c>
    </row>
    <row r="12" spans="2:4" x14ac:dyDescent="0.35">
      <c r="B12" s="334"/>
      <c r="C12" s="339"/>
    </row>
    <row r="13" spans="2:4" ht="77.5" x14ac:dyDescent="0.35">
      <c r="B13" s="336" t="s">
        <v>312</v>
      </c>
      <c r="C13" s="337" t="s">
        <v>370</v>
      </c>
    </row>
    <row r="14" spans="2:4" x14ac:dyDescent="0.35">
      <c r="B14" s="334"/>
      <c r="C14" s="339"/>
    </row>
    <row r="15" spans="2:4" ht="31" x14ac:dyDescent="0.35">
      <c r="B15" s="336" t="s">
        <v>313</v>
      </c>
      <c r="C15" s="337" t="s">
        <v>314</v>
      </c>
    </row>
    <row r="16" spans="2:4" x14ac:dyDescent="0.35">
      <c r="B16" s="334"/>
      <c r="C16" s="339"/>
    </row>
    <row r="17" spans="2:3" ht="62" x14ac:dyDescent="0.35">
      <c r="B17" s="336" t="s">
        <v>315</v>
      </c>
      <c r="C17" s="337" t="s">
        <v>355</v>
      </c>
    </row>
    <row r="18" spans="2:3" x14ac:dyDescent="0.35">
      <c r="B18" s="334"/>
      <c r="C18" s="339"/>
    </row>
    <row r="19" spans="2:3" x14ac:dyDescent="0.35">
      <c r="B19" s="336" t="s">
        <v>319</v>
      </c>
      <c r="C19" s="338" t="s">
        <v>395</v>
      </c>
    </row>
    <row r="20" spans="2:3" x14ac:dyDescent="0.35">
      <c r="B20" s="334"/>
      <c r="C20" s="339"/>
    </row>
    <row r="21" spans="2:3" x14ac:dyDescent="0.35">
      <c r="B21" s="336" t="s">
        <v>320</v>
      </c>
      <c r="C21" s="338" t="s">
        <v>323</v>
      </c>
    </row>
    <row r="22" spans="2:3" x14ac:dyDescent="0.35">
      <c r="B22" s="334"/>
      <c r="C22" s="339"/>
    </row>
    <row r="23" spans="2:3" ht="93" x14ac:dyDescent="0.35">
      <c r="B23" s="336" t="s">
        <v>321</v>
      </c>
      <c r="C23" s="337" t="s">
        <v>326</v>
      </c>
    </row>
    <row r="24" spans="2:3" x14ac:dyDescent="0.35">
      <c r="B24" s="334"/>
      <c r="C24" s="339"/>
    </row>
    <row r="25" spans="2:3" x14ac:dyDescent="0.35">
      <c r="B25" s="336" t="s">
        <v>219</v>
      </c>
      <c r="C25" t="s">
        <v>322</v>
      </c>
    </row>
    <row r="26" spans="2:3" x14ac:dyDescent="0.35">
      <c r="B26" s="334"/>
      <c r="C26" s="339"/>
    </row>
    <row r="27" spans="2:3" ht="46.5" x14ac:dyDescent="0.35">
      <c r="B27" s="336" t="s">
        <v>218</v>
      </c>
      <c r="C27" s="337" t="s">
        <v>327</v>
      </c>
    </row>
    <row r="28" spans="2:3" x14ac:dyDescent="0.35">
      <c r="B28" s="334"/>
      <c r="C28" s="339"/>
    </row>
    <row r="29" spans="2:3" x14ac:dyDescent="0.35">
      <c r="B29" s="336"/>
      <c r="C29" s="337"/>
    </row>
    <row r="30" spans="2:3" x14ac:dyDescent="0.35">
      <c r="B30" s="334"/>
      <c r="C30" s="339"/>
    </row>
    <row r="31" spans="2:3" x14ac:dyDescent="0.35">
      <c r="B31" s="336"/>
      <c r="C31" s="337"/>
    </row>
    <row r="34" spans="3:3" x14ac:dyDescent="0.35">
      <c r="C34" s="337"/>
    </row>
    <row r="35" spans="3:3" x14ac:dyDescent="0.35">
      <c r="C35" s="33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93153-D18D-47C6-A731-B4659C25EE06}">
  <sheetPr>
    <tabColor rgb="FF00B050"/>
  </sheetPr>
  <dimension ref="A1:O43"/>
  <sheetViews>
    <sheetView tabSelected="1" workbookViewId="0">
      <selection activeCell="B3" sqref="B3"/>
    </sheetView>
  </sheetViews>
  <sheetFormatPr defaultColWidth="8.84375" defaultRowHeight="14.5" x14ac:dyDescent="0.35"/>
  <cols>
    <col min="1" max="1" width="3.3046875" style="1" customWidth="1"/>
    <col min="2" max="2" width="34.53515625" style="1" customWidth="1"/>
    <col min="3" max="4" width="8.84375" style="1"/>
    <col min="5" max="5" width="9.84375" style="1" bestFit="1" customWidth="1"/>
    <col min="6" max="8" width="8.84375" style="1"/>
    <col min="9" max="9" width="9.84375" style="1" bestFit="1" customWidth="1"/>
    <col min="10" max="10" width="8.84375" style="91"/>
    <col min="11" max="13" width="8.84375" style="1"/>
    <col min="14" max="14" width="11.921875" style="1" bestFit="1" customWidth="1"/>
    <col min="15" max="16384" width="8.84375" style="1"/>
  </cols>
  <sheetData>
    <row r="1" spans="1:15" x14ac:dyDescent="0.35">
      <c r="B1" s="142" t="s">
        <v>88</v>
      </c>
    </row>
    <row r="2" spans="1:15" x14ac:dyDescent="0.35">
      <c r="E2" s="18">
        <v>2023</v>
      </c>
      <c r="I2" s="18" t="s">
        <v>12</v>
      </c>
    </row>
    <row r="3" spans="1:15" x14ac:dyDescent="0.35">
      <c r="C3" s="18" t="s">
        <v>89</v>
      </c>
      <c r="D3" s="18" t="s">
        <v>89</v>
      </c>
      <c r="E3" s="18" t="s">
        <v>90</v>
      </c>
      <c r="F3" s="18" t="s">
        <v>89</v>
      </c>
      <c r="G3" s="18" t="s">
        <v>89</v>
      </c>
      <c r="H3" s="18"/>
      <c r="I3" s="18" t="s">
        <v>89</v>
      </c>
    </row>
    <row r="4" spans="1:15" x14ac:dyDescent="0.35">
      <c r="B4" s="19" t="s">
        <v>91</v>
      </c>
      <c r="C4" s="19" t="s">
        <v>92</v>
      </c>
      <c r="D4" s="19" t="s">
        <v>93</v>
      </c>
      <c r="E4" s="19" t="s">
        <v>94</v>
      </c>
      <c r="F4" s="19" t="s">
        <v>95</v>
      </c>
      <c r="G4" s="19" t="s">
        <v>96</v>
      </c>
      <c r="H4" s="19" t="s">
        <v>257</v>
      </c>
      <c r="I4" s="19" t="s">
        <v>97</v>
      </c>
      <c r="J4" s="91" t="s">
        <v>258</v>
      </c>
    </row>
    <row r="5" spans="1:15" x14ac:dyDescent="0.35">
      <c r="A5" s="115"/>
      <c r="B5" s="18">
        <v>1</v>
      </c>
      <c r="C5" s="310">
        <v>2080</v>
      </c>
      <c r="D5" s="311">
        <f>44.5+8+54</f>
        <v>106.5</v>
      </c>
      <c r="E5" s="83">
        <v>24</v>
      </c>
      <c r="F5" s="16">
        <f>C5*E5</f>
        <v>49920</v>
      </c>
      <c r="G5" s="16">
        <f>D5*E5*1.5</f>
        <v>3834</v>
      </c>
      <c r="H5" s="16">
        <v>150</v>
      </c>
      <c r="I5" s="16">
        <f>F5+G5+H5</f>
        <v>53904</v>
      </c>
      <c r="J5" s="358">
        <f>I5*0.1</f>
        <v>5390.4000000000005</v>
      </c>
      <c r="O5" s="18"/>
    </row>
    <row r="6" spans="1:15" x14ac:dyDescent="0.35">
      <c r="A6" s="115"/>
      <c r="B6" s="18">
        <v>2</v>
      </c>
      <c r="C6" s="310">
        <f>88+1848+8+136</f>
        <v>2080</v>
      </c>
      <c r="D6" s="311"/>
      <c r="E6" s="83">
        <v>24.48</v>
      </c>
      <c r="F6" s="16">
        <f>C6*E6</f>
        <v>50918.400000000001</v>
      </c>
      <c r="G6" s="16">
        <f>D6*E6*1.5</f>
        <v>0</v>
      </c>
      <c r="H6" s="16">
        <v>150</v>
      </c>
      <c r="I6" s="16">
        <f t="shared" ref="I6:I10" si="0">F6+G6</f>
        <v>50918.400000000001</v>
      </c>
      <c r="J6" s="358">
        <f t="shared" ref="J6:J10" si="1">I6*0.1</f>
        <v>5091.84</v>
      </c>
      <c r="O6" s="18"/>
    </row>
    <row r="7" spans="1:15" x14ac:dyDescent="0.35">
      <c r="A7" s="115"/>
      <c r="B7" s="18">
        <v>3</v>
      </c>
      <c r="C7" s="310">
        <v>2080</v>
      </c>
      <c r="D7" s="311"/>
      <c r="E7" s="83">
        <v>37.909999999999997</v>
      </c>
      <c r="F7" s="16">
        <f>C7*E7</f>
        <v>78852.799999999988</v>
      </c>
      <c r="G7" s="16">
        <f>D7*E7*1.5</f>
        <v>0</v>
      </c>
      <c r="H7" s="16">
        <v>150</v>
      </c>
      <c r="I7" s="16">
        <f t="shared" si="0"/>
        <v>78852.799999999988</v>
      </c>
      <c r="J7" s="358">
        <f t="shared" si="1"/>
        <v>7885.2799999999988</v>
      </c>
      <c r="O7" s="18"/>
    </row>
    <row r="8" spans="1:15" x14ac:dyDescent="0.35">
      <c r="A8" s="115"/>
      <c r="B8" s="18">
        <v>4</v>
      </c>
      <c r="C8" s="310">
        <v>2080</v>
      </c>
      <c r="D8" s="311"/>
      <c r="E8" s="83">
        <v>28.46</v>
      </c>
      <c r="F8" s="16">
        <f>C8*E8</f>
        <v>59196.800000000003</v>
      </c>
      <c r="G8" s="16">
        <f>D8*E8*1.5</f>
        <v>0</v>
      </c>
      <c r="H8" s="16">
        <v>150</v>
      </c>
      <c r="I8" s="16">
        <f t="shared" si="0"/>
        <v>59196.800000000003</v>
      </c>
      <c r="J8" s="358">
        <f t="shared" si="1"/>
        <v>5919.68</v>
      </c>
      <c r="O8" s="18"/>
    </row>
    <row r="9" spans="1:15" x14ac:dyDescent="0.35">
      <c r="A9" s="115"/>
      <c r="B9" s="18">
        <v>5</v>
      </c>
      <c r="C9" s="310">
        <f>345+48+66+271+14</f>
        <v>744</v>
      </c>
      <c r="D9" s="359">
        <f>12.5+13.75</f>
        <v>26.25</v>
      </c>
      <c r="E9" s="83">
        <v>22</v>
      </c>
      <c r="F9" s="16">
        <f t="shared" ref="F9:F16" si="2">C9*E9</f>
        <v>16368</v>
      </c>
      <c r="G9" s="20">
        <f t="shared" ref="G9:G16" si="3">D9*E9*1.5</f>
        <v>866.25</v>
      </c>
      <c r="H9" s="20">
        <v>150</v>
      </c>
      <c r="I9" s="20">
        <f t="shared" si="0"/>
        <v>17234.25</v>
      </c>
      <c r="J9" s="358">
        <f t="shared" si="1"/>
        <v>1723.4250000000002</v>
      </c>
      <c r="O9" s="18"/>
    </row>
    <row r="10" spans="1:15" x14ac:dyDescent="0.35">
      <c r="A10" s="115"/>
      <c r="B10" s="18">
        <v>6</v>
      </c>
      <c r="C10" s="310">
        <f>466+64+68+746+16</f>
        <v>1360</v>
      </c>
      <c r="D10" s="359">
        <f>41.5+7.5+30</f>
        <v>79</v>
      </c>
      <c r="E10" s="83">
        <v>24</v>
      </c>
      <c r="F10" s="16">
        <f t="shared" si="2"/>
        <v>32640</v>
      </c>
      <c r="G10" s="20">
        <f t="shared" si="3"/>
        <v>2844</v>
      </c>
      <c r="H10" s="20">
        <v>150</v>
      </c>
      <c r="I10" s="20">
        <f t="shared" si="0"/>
        <v>35484</v>
      </c>
      <c r="J10" s="358">
        <f t="shared" si="1"/>
        <v>3548.4</v>
      </c>
      <c r="O10" s="18"/>
    </row>
    <row r="11" spans="1:15" x14ac:dyDescent="0.35">
      <c r="A11" s="115"/>
      <c r="B11" s="18">
        <v>7</v>
      </c>
      <c r="C11" s="310">
        <f>461+88+77+1266+52+136</f>
        <v>2080</v>
      </c>
      <c r="D11" s="359">
        <f>60.5+1+64</f>
        <v>125.5</v>
      </c>
      <c r="E11" s="83">
        <v>27.8</v>
      </c>
      <c r="F11" s="16">
        <f>C11*E11</f>
        <v>57824</v>
      </c>
      <c r="G11" s="20">
        <f t="shared" ref="G11" si="4">D11*E11*1.5</f>
        <v>5233.3500000000004</v>
      </c>
      <c r="H11" s="20">
        <v>150</v>
      </c>
      <c r="I11" s="16">
        <f t="shared" ref="I11" si="5">F11+G11</f>
        <v>63057.35</v>
      </c>
      <c r="J11" s="358">
        <f>I11*0.1</f>
        <v>6305.7350000000006</v>
      </c>
      <c r="O11" s="18"/>
    </row>
    <row r="12" spans="1:15" x14ac:dyDescent="0.35">
      <c r="A12" s="115"/>
      <c r="B12" s="18">
        <v>8</v>
      </c>
      <c r="C12" s="375">
        <v>684</v>
      </c>
      <c r="D12" s="359"/>
      <c r="E12" s="83">
        <v>20</v>
      </c>
      <c r="F12" s="16">
        <f t="shared" ref="F12:F13" si="6">C12*E12</f>
        <v>13680</v>
      </c>
      <c r="G12" s="20">
        <f t="shared" ref="G12:G13" si="7">D12*E12*1.5</f>
        <v>0</v>
      </c>
      <c r="H12" s="20"/>
      <c r="I12" s="16">
        <f t="shared" ref="I12:I13" si="8">F12+G12</f>
        <v>13680</v>
      </c>
      <c r="O12" s="18"/>
    </row>
    <row r="13" spans="1:15" x14ac:dyDescent="0.35">
      <c r="A13" s="115"/>
      <c r="B13" s="18">
        <v>9</v>
      </c>
      <c r="C13" s="375">
        <v>2080</v>
      </c>
      <c r="D13" s="359">
        <v>8.5</v>
      </c>
      <c r="E13" s="83">
        <v>19.5</v>
      </c>
      <c r="F13" s="16">
        <f t="shared" si="6"/>
        <v>40560</v>
      </c>
      <c r="G13" s="20">
        <f t="shared" si="7"/>
        <v>248.625</v>
      </c>
      <c r="H13" s="20"/>
      <c r="I13" s="16">
        <f t="shared" si="8"/>
        <v>40808.625</v>
      </c>
      <c r="J13" s="358">
        <f>I13*0.1</f>
        <v>4080.8625000000002</v>
      </c>
      <c r="O13" s="18"/>
    </row>
    <row r="14" spans="1:15" x14ac:dyDescent="0.35">
      <c r="A14" s="115"/>
      <c r="D14" s="329"/>
      <c r="J14" s="1"/>
    </row>
    <row r="15" spans="1:15" x14ac:dyDescent="0.35">
      <c r="A15" s="115"/>
      <c r="C15" s="310"/>
      <c r="D15" s="359"/>
      <c r="E15" s="83"/>
      <c r="F15" s="16">
        <f>C15*E15</f>
        <v>0</v>
      </c>
      <c r="G15" s="20">
        <f>D15*E15*1.5</f>
        <v>0</v>
      </c>
      <c r="H15" s="20"/>
      <c r="I15" s="16"/>
    </row>
    <row r="16" spans="1:15" ht="16" x14ac:dyDescent="0.5">
      <c r="A16" s="115"/>
      <c r="C16" s="332"/>
      <c r="D16" s="360"/>
      <c r="E16" s="311"/>
      <c r="F16" s="86">
        <f t="shared" si="2"/>
        <v>0</v>
      </c>
      <c r="G16" s="86">
        <f t="shared" si="3"/>
        <v>0</v>
      </c>
      <c r="H16" s="86"/>
      <c r="I16" s="86"/>
    </row>
    <row r="17" spans="1:10" x14ac:dyDescent="0.35">
      <c r="A17" s="115"/>
      <c r="C17" s="20"/>
      <c r="D17" s="361"/>
      <c r="E17" s="83"/>
      <c r="F17" s="16"/>
      <c r="G17" s="20"/>
      <c r="H17" s="20"/>
      <c r="I17" s="20"/>
    </row>
    <row r="18" spans="1:10" x14ac:dyDescent="0.35">
      <c r="B18" s="1" t="s">
        <v>167</v>
      </c>
      <c r="C18" s="20">
        <f>SUM(C5:C16)</f>
        <v>15268</v>
      </c>
      <c r="D18" s="361">
        <f>SUM(D5:D16)</f>
        <v>345.75</v>
      </c>
      <c r="E18" s="20"/>
      <c r="F18" s="20">
        <f>SUM(F5:F16)</f>
        <v>399960</v>
      </c>
      <c r="G18" s="20">
        <f>SUM(G5:G16)</f>
        <v>13026.225</v>
      </c>
      <c r="H18" s="20">
        <f>SUM(H5:H16)</f>
        <v>1050</v>
      </c>
      <c r="I18" s="205">
        <f>SUM(I5:I16)</f>
        <v>413136.22499999998</v>
      </c>
      <c r="J18" s="205">
        <f>SUM(J5:J16)</f>
        <v>39945.622500000005</v>
      </c>
    </row>
    <row r="19" spans="1:10" x14ac:dyDescent="0.35">
      <c r="C19" s="16"/>
      <c r="D19" s="16"/>
      <c r="E19" s="67"/>
      <c r="F19" s="20"/>
      <c r="G19" s="20"/>
      <c r="H19" s="20"/>
      <c r="I19" s="20"/>
    </row>
    <row r="20" spans="1:10" x14ac:dyDescent="0.35">
      <c r="B20" s="1" t="s">
        <v>168</v>
      </c>
      <c r="C20" s="16"/>
      <c r="D20" s="16"/>
      <c r="E20" s="67"/>
      <c r="F20" s="20"/>
      <c r="G20" s="20"/>
      <c r="H20" s="20"/>
      <c r="I20" s="206">
        <f>I5+I6+I7+I8+I9+I10+I11+I13</f>
        <v>399456.22499999998</v>
      </c>
    </row>
    <row r="21" spans="1:10" x14ac:dyDescent="0.35">
      <c r="B21" s="16"/>
      <c r="C21" s="16"/>
      <c r="D21" s="16"/>
      <c r="I21" s="69"/>
    </row>
    <row r="22" spans="1:10" x14ac:dyDescent="0.35">
      <c r="B22" s="70"/>
      <c r="C22" s="16"/>
      <c r="D22" s="16"/>
      <c r="I22" s="69" t="s">
        <v>30</v>
      </c>
    </row>
    <row r="23" spans="1:10" x14ac:dyDescent="0.35">
      <c r="B23" s="16"/>
      <c r="C23" s="16"/>
      <c r="D23" s="16"/>
      <c r="E23" s="1" t="s">
        <v>98</v>
      </c>
      <c r="I23" s="71">
        <f>I18</f>
        <v>413136.22499999998</v>
      </c>
    </row>
    <row r="24" spans="1:10" ht="16" x14ac:dyDescent="0.5">
      <c r="B24" s="16"/>
      <c r="C24" s="16"/>
      <c r="D24" s="16"/>
      <c r="E24" s="1" t="s">
        <v>99</v>
      </c>
      <c r="I24" s="25">
        <f>-SAO!D17</f>
        <v>-388386</v>
      </c>
    </row>
    <row r="25" spans="1:10" ht="15" thickBot="1" x14ac:dyDescent="0.4">
      <c r="B25" s="16"/>
      <c r="C25" s="16"/>
      <c r="D25" s="16"/>
      <c r="E25" s="41" t="s">
        <v>100</v>
      </c>
      <c r="F25" s="41"/>
      <c r="G25" s="41"/>
      <c r="H25" s="41"/>
      <c r="I25" s="72">
        <f>I23+I24</f>
        <v>24750.224999999977</v>
      </c>
      <c r="J25" s="18"/>
    </row>
    <row r="26" spans="1:10" ht="15" thickTop="1" x14ac:dyDescent="0.35">
      <c r="B26" s="16"/>
      <c r="C26" s="16"/>
      <c r="D26" s="16"/>
      <c r="I26" s="1" t="s">
        <v>101</v>
      </c>
      <c r="J26" s="18"/>
    </row>
    <row r="27" spans="1:10" x14ac:dyDescent="0.35">
      <c r="B27" s="16"/>
      <c r="C27" s="16"/>
      <c r="D27" s="16"/>
      <c r="E27" s="1" t="s">
        <v>102</v>
      </c>
      <c r="I27" s="26">
        <f>I18</f>
        <v>413136.22499999998</v>
      </c>
      <c r="J27" s="18"/>
    </row>
    <row r="28" spans="1:10" x14ac:dyDescent="0.35">
      <c r="B28" s="16"/>
      <c r="C28" s="16"/>
      <c r="D28" s="16"/>
      <c r="E28" s="1" t="s">
        <v>103</v>
      </c>
      <c r="I28" s="362">
        <v>7.6499999999999999E-2</v>
      </c>
      <c r="J28" s="18"/>
    </row>
    <row r="29" spans="1:10" x14ac:dyDescent="0.35">
      <c r="B29" s="16"/>
      <c r="C29" s="16"/>
      <c r="D29" s="16"/>
      <c r="E29" s="1" t="s">
        <v>104</v>
      </c>
      <c r="I29" s="16">
        <f>+I27*I28</f>
        <v>31604.921212499998</v>
      </c>
      <c r="J29" s="18"/>
    </row>
    <row r="30" spans="1:10" x14ac:dyDescent="0.35">
      <c r="B30" s="16"/>
      <c r="C30" s="16"/>
      <c r="D30" s="16"/>
      <c r="E30" s="1" t="s">
        <v>105</v>
      </c>
      <c r="I30" s="73">
        <f>-SAO!D50</f>
        <v>-31062</v>
      </c>
      <c r="J30" s="18"/>
    </row>
    <row r="31" spans="1:10" ht="15" thickBot="1" x14ac:dyDescent="0.4">
      <c r="B31" s="16"/>
      <c r="C31" s="16"/>
      <c r="D31" s="16"/>
      <c r="E31" s="41" t="s">
        <v>106</v>
      </c>
      <c r="F31" s="41"/>
      <c r="G31" s="41"/>
      <c r="H31" s="41"/>
      <c r="I31" s="72">
        <f>I29+I30</f>
        <v>542.92121249999764</v>
      </c>
      <c r="J31" s="18"/>
    </row>
    <row r="32" spans="1:10" ht="15" thickTop="1" x14ac:dyDescent="0.35">
      <c r="B32" s="16"/>
      <c r="C32" s="16"/>
      <c r="D32" s="16"/>
      <c r="J32" s="18"/>
    </row>
    <row r="33" spans="2:11" x14ac:dyDescent="0.35">
      <c r="B33" s="16"/>
      <c r="C33" s="16"/>
      <c r="D33" s="16"/>
      <c r="E33" s="357" t="s">
        <v>272</v>
      </c>
      <c r="I33" s="26">
        <f>I5+I6+I7+I8+I9+I10+I11+I13</f>
        <v>399456.22499999998</v>
      </c>
      <c r="J33" s="18"/>
    </row>
    <row r="34" spans="2:11" x14ac:dyDescent="0.35">
      <c r="B34" s="16"/>
      <c r="C34" s="16"/>
      <c r="D34" s="16"/>
      <c r="E34" s="1" t="s">
        <v>107</v>
      </c>
      <c r="I34" s="362">
        <v>0.1</v>
      </c>
      <c r="J34" s="18"/>
    </row>
    <row r="35" spans="2:11" x14ac:dyDescent="0.35">
      <c r="B35" s="16"/>
      <c r="C35" s="16"/>
      <c r="D35" s="16"/>
      <c r="E35" s="1" t="s">
        <v>108</v>
      </c>
      <c r="I35" s="16">
        <f>+I33*I34</f>
        <v>39945.622499999998</v>
      </c>
      <c r="J35" s="18"/>
    </row>
    <row r="36" spans="2:11" x14ac:dyDescent="0.35">
      <c r="B36" s="16"/>
      <c r="C36" s="16"/>
      <c r="D36" s="16"/>
      <c r="E36" s="1" t="s">
        <v>109</v>
      </c>
      <c r="I36" s="376">
        <v>11716.1</v>
      </c>
      <c r="J36" s="18"/>
      <c r="K36" s="1" t="s">
        <v>287</v>
      </c>
    </row>
    <row r="37" spans="2:11" x14ac:dyDescent="0.35">
      <c r="B37" s="16"/>
      <c r="C37" s="16"/>
      <c r="D37" s="16"/>
      <c r="E37" s="115" t="s">
        <v>110</v>
      </c>
      <c r="F37" s="115"/>
      <c r="G37" s="115"/>
      <c r="H37" s="115"/>
      <c r="I37" s="197">
        <f>+I35-I36</f>
        <v>28229.522499999999</v>
      </c>
      <c r="J37" s="18"/>
    </row>
    <row r="38" spans="2:11" x14ac:dyDescent="0.35">
      <c r="B38" s="16"/>
      <c r="C38" s="16"/>
      <c r="D38" s="16"/>
      <c r="E38" s="399"/>
      <c r="F38" s="399"/>
      <c r="G38" s="399"/>
      <c r="H38" s="399"/>
      <c r="I38" s="400"/>
      <c r="J38" s="18"/>
    </row>
    <row r="39" spans="2:11" ht="15.5" x14ac:dyDescent="0.35">
      <c r="B39"/>
      <c r="C39" s="16"/>
      <c r="D39" s="16"/>
      <c r="E39" s="401"/>
      <c r="F39" s="402"/>
      <c r="G39" s="402"/>
      <c r="H39" s="402"/>
      <c r="I39" s="403"/>
      <c r="J39" s="18"/>
    </row>
    <row r="40" spans="2:11" x14ac:dyDescent="0.35">
      <c r="B40" s="16"/>
      <c r="C40" s="16"/>
      <c r="D40" s="16"/>
      <c r="E40" s="401"/>
      <c r="F40" s="402"/>
      <c r="G40" s="402"/>
      <c r="H40" s="402"/>
      <c r="I40" s="403"/>
      <c r="J40" s="18"/>
    </row>
    <row r="41" spans="2:11" x14ac:dyDescent="0.35">
      <c r="B41" s="16"/>
      <c r="C41" s="16"/>
      <c r="D41" s="16"/>
      <c r="E41" s="401"/>
      <c r="F41" s="402"/>
      <c r="G41" s="402"/>
      <c r="H41" s="402"/>
      <c r="I41" s="403"/>
      <c r="J41" s="18"/>
    </row>
    <row r="42" spans="2:11" x14ac:dyDescent="0.35">
      <c r="E42" s="402"/>
      <c r="F42" s="401"/>
      <c r="G42" s="401"/>
      <c r="H42" s="401"/>
      <c r="I42" s="404"/>
    </row>
    <row r="43" spans="2:11" x14ac:dyDescent="0.35">
      <c r="E43" s="405"/>
      <c r="F43" s="405"/>
      <c r="G43" s="405"/>
      <c r="H43" s="405"/>
      <c r="I43" s="405"/>
    </row>
  </sheetData>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L39"/>
  <sheetViews>
    <sheetView topLeftCell="A16" workbookViewId="0">
      <selection activeCell="H19" sqref="H19"/>
    </sheetView>
  </sheetViews>
  <sheetFormatPr defaultColWidth="8.84375" defaultRowHeight="14.5" x14ac:dyDescent="0.35"/>
  <cols>
    <col min="1" max="1" width="11.53515625" style="1" bestFit="1" customWidth="1"/>
    <col min="2" max="2" width="10.23046875" style="1" bestFit="1" customWidth="1"/>
    <col min="3" max="3" width="12.4609375" style="1" customWidth="1"/>
    <col min="4" max="5" width="9.765625" style="1" customWidth="1"/>
    <col min="6" max="6" width="10.69140625" style="1" customWidth="1"/>
    <col min="7" max="7" width="10.07421875" style="202" customWidth="1"/>
    <col min="8" max="8" width="10.53515625" style="1" customWidth="1"/>
    <col min="9" max="10" width="8.84375" style="1"/>
    <col min="11" max="11" width="11.921875" style="1" bestFit="1" customWidth="1"/>
    <col min="12" max="12" width="9" style="1" bestFit="1" customWidth="1"/>
    <col min="13" max="13" width="9.765625" style="1" bestFit="1" customWidth="1"/>
    <col min="14" max="16384" width="8.84375" style="1"/>
  </cols>
  <sheetData>
    <row r="1" spans="1:12" x14ac:dyDescent="0.35">
      <c r="A1" s="115" t="s">
        <v>80</v>
      </c>
    </row>
    <row r="3" spans="1:12" x14ac:dyDescent="0.35">
      <c r="C3" s="18" t="s">
        <v>72</v>
      </c>
      <c r="F3" s="18" t="s">
        <v>163</v>
      </c>
      <c r="G3" s="202" t="s">
        <v>164</v>
      </c>
      <c r="H3" s="18" t="s">
        <v>164</v>
      </c>
      <c r="J3" s="21"/>
      <c r="K3" s="21"/>
    </row>
    <row r="4" spans="1:12" x14ac:dyDescent="0.35">
      <c r="B4" s="18" t="s">
        <v>72</v>
      </c>
      <c r="C4" s="18" t="s">
        <v>73</v>
      </c>
      <c r="D4" s="18" t="s">
        <v>73</v>
      </c>
      <c r="E4" s="18" t="s">
        <v>74</v>
      </c>
      <c r="F4" s="18" t="s">
        <v>76</v>
      </c>
      <c r="G4" s="202" t="s">
        <v>77</v>
      </c>
      <c r="H4" s="18" t="s">
        <v>77</v>
      </c>
    </row>
    <row r="5" spans="1:12" x14ac:dyDescent="0.35">
      <c r="A5" s="260" t="s">
        <v>205</v>
      </c>
      <c r="B5" s="19" t="s">
        <v>75</v>
      </c>
      <c r="C5" s="19" t="s">
        <v>81</v>
      </c>
      <c r="D5" s="19" t="s">
        <v>82</v>
      </c>
      <c r="E5" s="19" t="s">
        <v>82</v>
      </c>
      <c r="F5" s="42" t="s">
        <v>75</v>
      </c>
      <c r="G5" s="203" t="s">
        <v>78</v>
      </c>
      <c r="H5" s="42" t="s">
        <v>79</v>
      </c>
    </row>
    <row r="6" spans="1:12" x14ac:dyDescent="0.35">
      <c r="A6" s="18">
        <v>1</v>
      </c>
      <c r="B6" s="39">
        <v>1656.6</v>
      </c>
      <c r="C6" s="39">
        <v>0</v>
      </c>
      <c r="D6" s="43">
        <f>IF(B6&gt;0,C6/B6,0)</f>
        <v>0</v>
      </c>
      <c r="E6" s="43">
        <f>1-D6</f>
        <v>1</v>
      </c>
      <c r="F6" s="44">
        <f>B6*E6*12</f>
        <v>19879.199999999997</v>
      </c>
      <c r="G6" s="204">
        <v>0.66</v>
      </c>
      <c r="H6" s="44">
        <f>B6*G6*12</f>
        <v>13120.272000000001</v>
      </c>
      <c r="L6" s="18"/>
    </row>
    <row r="7" spans="1:12" x14ac:dyDescent="0.35">
      <c r="A7" s="18">
        <v>2</v>
      </c>
      <c r="B7" s="39">
        <v>571.24</v>
      </c>
      <c r="C7" s="39">
        <v>0</v>
      </c>
      <c r="D7" s="43">
        <f t="shared" ref="D7:D13" si="0">IF(B7&gt;0,C7/B7,0)</f>
        <v>0</v>
      </c>
      <c r="E7" s="43">
        <f t="shared" ref="E7:E13" si="1">1-D7</f>
        <v>1</v>
      </c>
      <c r="F7" s="44">
        <f t="shared" ref="F7:F14" si="2">B7*E7*12</f>
        <v>6854.88</v>
      </c>
      <c r="G7" s="204">
        <v>0.79</v>
      </c>
      <c r="H7" s="44">
        <f t="shared" ref="H7:H14" si="3">B7*G7*12</f>
        <v>5415.3552</v>
      </c>
      <c r="L7" s="18"/>
    </row>
    <row r="8" spans="1:12" x14ac:dyDescent="0.35">
      <c r="A8" s="18">
        <v>3</v>
      </c>
      <c r="B8" s="39">
        <v>1656.6</v>
      </c>
      <c r="C8" s="39">
        <v>0</v>
      </c>
      <c r="D8" s="43">
        <f t="shared" si="0"/>
        <v>0</v>
      </c>
      <c r="E8" s="43">
        <f t="shared" si="1"/>
        <v>1</v>
      </c>
      <c r="F8" s="44">
        <f t="shared" si="2"/>
        <v>19879.199999999997</v>
      </c>
      <c r="G8" s="204">
        <v>0.66</v>
      </c>
      <c r="H8" s="44">
        <f t="shared" si="3"/>
        <v>13120.272000000001</v>
      </c>
      <c r="L8" s="18"/>
    </row>
    <row r="9" spans="1:12" x14ac:dyDescent="0.35">
      <c r="A9" s="18">
        <v>4</v>
      </c>
      <c r="B9" s="39">
        <v>571.24</v>
      </c>
      <c r="C9" s="39">
        <v>0</v>
      </c>
      <c r="D9" s="43">
        <f t="shared" si="0"/>
        <v>0</v>
      </c>
      <c r="E9" s="43">
        <f t="shared" si="1"/>
        <v>1</v>
      </c>
      <c r="F9" s="44">
        <f t="shared" si="2"/>
        <v>6854.88</v>
      </c>
      <c r="G9" s="204">
        <v>0.79</v>
      </c>
      <c r="H9" s="44">
        <f t="shared" si="3"/>
        <v>5415.3552</v>
      </c>
      <c r="L9" s="18"/>
    </row>
    <row r="10" spans="1:12" x14ac:dyDescent="0.35">
      <c r="A10" s="18">
        <v>5</v>
      </c>
      <c r="B10" s="39">
        <v>1199.5999999999999</v>
      </c>
      <c r="C10" s="39">
        <v>0</v>
      </c>
      <c r="D10" s="43">
        <f t="shared" si="0"/>
        <v>0</v>
      </c>
      <c r="E10" s="43">
        <f t="shared" si="1"/>
        <v>1</v>
      </c>
      <c r="F10" s="44">
        <f t="shared" si="2"/>
        <v>14395.199999999999</v>
      </c>
      <c r="G10" s="204">
        <v>0.66</v>
      </c>
      <c r="H10" s="44">
        <f t="shared" si="3"/>
        <v>9500.8320000000003</v>
      </c>
      <c r="L10" s="18"/>
    </row>
    <row r="11" spans="1:12" x14ac:dyDescent="0.35">
      <c r="A11" s="18">
        <v>6</v>
      </c>
      <c r="B11" s="39">
        <v>571.24</v>
      </c>
      <c r="C11" s="39">
        <v>0</v>
      </c>
      <c r="D11" s="43">
        <f t="shared" si="0"/>
        <v>0</v>
      </c>
      <c r="E11" s="43">
        <f t="shared" si="1"/>
        <v>1</v>
      </c>
      <c r="F11" s="44">
        <f t="shared" si="2"/>
        <v>6854.88</v>
      </c>
      <c r="G11" s="204">
        <v>0.79</v>
      </c>
      <c r="H11" s="44">
        <f t="shared" si="3"/>
        <v>5415.3552</v>
      </c>
      <c r="L11" s="18"/>
    </row>
    <row r="12" spans="1:12" x14ac:dyDescent="0.35">
      <c r="A12" s="18">
        <v>7</v>
      </c>
      <c r="B12" s="39">
        <v>1656.8</v>
      </c>
      <c r="C12" s="39">
        <v>0</v>
      </c>
      <c r="D12" s="43">
        <f t="shared" si="0"/>
        <v>0</v>
      </c>
      <c r="E12" s="43">
        <f t="shared" si="1"/>
        <v>1</v>
      </c>
      <c r="F12" s="44">
        <f t="shared" si="2"/>
        <v>19881.599999999999</v>
      </c>
      <c r="G12" s="204">
        <v>0.66</v>
      </c>
      <c r="H12" s="44">
        <f t="shared" si="3"/>
        <v>13121.856</v>
      </c>
      <c r="L12" s="18"/>
    </row>
    <row r="13" spans="1:12" x14ac:dyDescent="0.35">
      <c r="A13" s="18">
        <v>8</v>
      </c>
      <c r="B13" s="39"/>
      <c r="C13" s="39">
        <v>0</v>
      </c>
      <c r="D13" s="43">
        <f t="shared" si="0"/>
        <v>0</v>
      </c>
      <c r="E13" s="43">
        <f t="shared" si="1"/>
        <v>1</v>
      </c>
      <c r="F13" s="44">
        <f t="shared" si="2"/>
        <v>0</v>
      </c>
      <c r="G13" s="204">
        <v>0</v>
      </c>
      <c r="H13" s="44">
        <f t="shared" si="3"/>
        <v>0</v>
      </c>
      <c r="L13" s="18"/>
    </row>
    <row r="14" spans="1:12" x14ac:dyDescent="0.35">
      <c r="A14" s="18">
        <v>9</v>
      </c>
      <c r="B14" s="261">
        <v>571.24</v>
      </c>
      <c r="C14" s="110">
        <v>0</v>
      </c>
      <c r="D14" s="43">
        <f t="shared" ref="D14" si="4">IF(B14&gt;0,C14/B14,0)</f>
        <v>0</v>
      </c>
      <c r="E14" s="43">
        <f t="shared" ref="E14" si="5">1-D14</f>
        <v>1</v>
      </c>
      <c r="F14" s="259">
        <f t="shared" si="2"/>
        <v>6854.88</v>
      </c>
      <c r="G14" s="204">
        <v>0.79</v>
      </c>
      <c r="H14" s="259">
        <f t="shared" si="3"/>
        <v>5415.3552</v>
      </c>
      <c r="L14" s="18"/>
    </row>
    <row r="15" spans="1:12" x14ac:dyDescent="0.35">
      <c r="A15" s="1" t="s">
        <v>53</v>
      </c>
      <c r="B15" s="44">
        <f>SUM(B6:B14)</f>
        <v>8454.5600000000013</v>
      </c>
      <c r="C15" s="13"/>
      <c r="D15" s="43"/>
      <c r="E15" s="43"/>
      <c r="F15" s="44">
        <f>SUM(F6:F14)</f>
        <v>101454.72</v>
      </c>
      <c r="H15" s="44">
        <f>SUM(H6:H14)</f>
        <v>70524.652800000011</v>
      </c>
    </row>
    <row r="16" spans="1:12" x14ac:dyDescent="0.35">
      <c r="B16" s="44"/>
      <c r="C16" s="13"/>
      <c r="D16" s="43"/>
      <c r="E16" s="43"/>
      <c r="F16" s="44"/>
      <c r="H16" s="44"/>
    </row>
    <row r="17" spans="1:11" x14ac:dyDescent="0.35">
      <c r="F17" s="44"/>
      <c r="H17" s="44"/>
    </row>
    <row r="18" spans="1:11" x14ac:dyDescent="0.35">
      <c r="A18" s="115" t="s">
        <v>165</v>
      </c>
      <c r="F18" s="44">
        <f>F15</f>
        <v>101454.72</v>
      </c>
      <c r="H18" s="44">
        <f>H15</f>
        <v>70524.652800000011</v>
      </c>
    </row>
    <row r="19" spans="1:11" x14ac:dyDescent="0.35">
      <c r="H19" s="44"/>
    </row>
    <row r="20" spans="1:11" x14ac:dyDescent="0.35">
      <c r="A20" s="1" t="s">
        <v>166</v>
      </c>
      <c r="C20" s="213">
        <f>H18</f>
        <v>70524.652800000011</v>
      </c>
      <c r="H20" s="44"/>
    </row>
    <row r="21" spans="1:11" x14ac:dyDescent="0.35">
      <c r="A21" s="1" t="s">
        <v>288</v>
      </c>
      <c r="C21" s="407">
        <f>-B39</f>
        <v>-104093.29999999999</v>
      </c>
      <c r="D21" s="119"/>
      <c r="E21" s="119"/>
      <c r="G21" s="203"/>
      <c r="H21" s="42"/>
      <c r="J21" s="120"/>
      <c r="K21" s="120"/>
    </row>
    <row r="22" spans="1:11" x14ac:dyDescent="0.35">
      <c r="A22" s="1" t="s">
        <v>121</v>
      </c>
      <c r="C22" s="214">
        <f>C20+C21</f>
        <v>-33568.647199999978</v>
      </c>
      <c r="D22" s="121"/>
      <c r="E22" s="116"/>
      <c r="F22" s="90"/>
      <c r="G22" s="211"/>
      <c r="H22" s="116"/>
      <c r="J22" s="85"/>
    </row>
    <row r="23" spans="1:11" ht="17" x14ac:dyDescent="0.5">
      <c r="C23" s="118"/>
      <c r="D23" s="117"/>
      <c r="E23" s="117"/>
      <c r="F23" s="200"/>
      <c r="G23" s="212"/>
      <c r="H23" s="117"/>
    </row>
    <row r="24" spans="1:11" ht="15.5" x14ac:dyDescent="0.35">
      <c r="C24" s="118"/>
      <c r="D24" s="116"/>
      <c r="E24" s="116"/>
      <c r="F24" s="200"/>
      <c r="G24" s="211"/>
      <c r="H24" s="116"/>
    </row>
    <row r="25" spans="1:11" x14ac:dyDescent="0.35">
      <c r="A25" s="1" t="s">
        <v>273</v>
      </c>
    </row>
    <row r="26" spans="1:11" x14ac:dyDescent="0.35">
      <c r="B26" s="366">
        <v>2021</v>
      </c>
      <c r="C26" s="18">
        <v>2022</v>
      </c>
    </row>
    <row r="27" spans="1:11" x14ac:dyDescent="0.35">
      <c r="A27" s="1" t="s">
        <v>274</v>
      </c>
      <c r="B27" s="1">
        <v>9883.2800000000007</v>
      </c>
      <c r="C27" s="1">
        <v>8448.6200000000008</v>
      </c>
    </row>
    <row r="28" spans="1:11" x14ac:dyDescent="0.35">
      <c r="A28" s="1" t="s">
        <v>275</v>
      </c>
      <c r="B28" s="1">
        <v>9883.2800000000007</v>
      </c>
      <c r="C28" s="1">
        <v>8448.6200000000008</v>
      </c>
    </row>
    <row r="29" spans="1:11" x14ac:dyDescent="0.35">
      <c r="A29" s="1" t="s">
        <v>276</v>
      </c>
      <c r="B29" s="1">
        <v>9883.2800000000007</v>
      </c>
      <c r="C29" s="1">
        <v>8448.6200000000008</v>
      </c>
      <c r="G29" s="202" t="s">
        <v>173</v>
      </c>
    </row>
    <row r="30" spans="1:11" x14ac:dyDescent="0.35">
      <c r="A30" s="1" t="s">
        <v>277</v>
      </c>
      <c r="B30" s="1">
        <v>8448.6200000000008</v>
      </c>
      <c r="C30" s="1">
        <v>9284.6200000000008</v>
      </c>
    </row>
    <row r="31" spans="1:11" x14ac:dyDescent="0.35">
      <c r="A31" s="1" t="s">
        <v>278</v>
      </c>
      <c r="B31" s="1">
        <v>7864.12</v>
      </c>
      <c r="C31" s="1">
        <v>8873.7000000000007</v>
      </c>
    </row>
    <row r="32" spans="1:11" x14ac:dyDescent="0.35">
      <c r="A32" s="1" t="s">
        <v>279</v>
      </c>
      <c r="B32" s="1">
        <v>10414.64</v>
      </c>
      <c r="C32" s="1">
        <v>7883.12</v>
      </c>
    </row>
    <row r="33" spans="1:3" x14ac:dyDescent="0.35">
      <c r="A33" s="1" t="s">
        <v>280</v>
      </c>
      <c r="B33" s="1">
        <v>7332.76</v>
      </c>
      <c r="C33" s="1">
        <v>9432.98</v>
      </c>
    </row>
    <row r="34" spans="1:3" x14ac:dyDescent="0.35">
      <c r="A34" s="1" t="s">
        <v>281</v>
      </c>
      <c r="B34" s="1">
        <v>8873.7000000000007</v>
      </c>
      <c r="C34" s="1">
        <v>8454.36</v>
      </c>
    </row>
    <row r="35" spans="1:3" x14ac:dyDescent="0.35">
      <c r="A35" s="1" t="s">
        <v>282</v>
      </c>
      <c r="B35" s="1">
        <v>7332.76</v>
      </c>
      <c r="C35" s="1">
        <v>8454.36</v>
      </c>
    </row>
    <row r="36" spans="1:3" x14ac:dyDescent="0.35">
      <c r="A36" s="1" t="s">
        <v>283</v>
      </c>
      <c r="B36" s="1">
        <v>7864.12</v>
      </c>
      <c r="C36" s="1">
        <v>8454.36</v>
      </c>
    </row>
    <row r="37" spans="1:3" x14ac:dyDescent="0.35">
      <c r="A37" s="1" t="s">
        <v>284</v>
      </c>
      <c r="B37" s="1">
        <v>7864.12</v>
      </c>
      <c r="C37" s="1">
        <v>8454.36</v>
      </c>
    </row>
    <row r="38" spans="1:3" x14ac:dyDescent="0.35">
      <c r="A38" s="1" t="s">
        <v>285</v>
      </c>
      <c r="B38" s="300">
        <v>8448.6200000000008</v>
      </c>
      <c r="C38" s="300">
        <v>8454.36</v>
      </c>
    </row>
    <row r="39" spans="1:3" x14ac:dyDescent="0.35">
      <c r="B39" s="379">
        <f>SUM(B27:B38)</f>
        <v>104093.29999999999</v>
      </c>
      <c r="C39" s="379">
        <f>SUM(C27:C38)</f>
        <v>103092.08000000002</v>
      </c>
    </row>
  </sheetData>
  <phoneticPr fontId="26"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003B9-59C5-4DF9-BA7B-F1E3EC2BAAEC}">
  <sheetPr>
    <tabColor rgb="FF00B050"/>
  </sheetPr>
  <dimension ref="A1:H69"/>
  <sheetViews>
    <sheetView topLeftCell="A16" workbookViewId="0">
      <selection activeCell="G36" sqref="G36"/>
    </sheetView>
  </sheetViews>
  <sheetFormatPr defaultColWidth="8.84375" defaultRowHeight="14.5" x14ac:dyDescent="0.35"/>
  <cols>
    <col min="1" max="1" width="25.61328125" style="1" customWidth="1"/>
    <col min="2" max="2" width="11.15234375" style="207" bestFit="1" customWidth="1"/>
    <col min="3" max="3" width="14.53515625" style="208" customWidth="1"/>
    <col min="4" max="4" width="10.23046875" style="18" bestFit="1" customWidth="1"/>
    <col min="5" max="5" width="10.23046875" style="1" bestFit="1" customWidth="1"/>
    <col min="6" max="6" width="10.23046875" style="1" customWidth="1"/>
    <col min="7" max="7" width="10.3046875" style="1" customWidth="1"/>
    <col min="8" max="8" width="9.3828125" style="1" bestFit="1" customWidth="1"/>
    <col min="9" max="16384" width="8.84375" style="1"/>
  </cols>
  <sheetData>
    <row r="1" spans="1:6" x14ac:dyDescent="0.35">
      <c r="A1" s="1" t="s">
        <v>169</v>
      </c>
    </row>
    <row r="2" spans="1:6" x14ac:dyDescent="0.35">
      <c r="C2" s="367">
        <v>2021</v>
      </c>
      <c r="D2" s="366">
        <v>2022</v>
      </c>
      <c r="E2" s="366" t="s">
        <v>249</v>
      </c>
    </row>
    <row r="3" spans="1:6" x14ac:dyDescent="0.35">
      <c r="A3" s="1" t="s">
        <v>170</v>
      </c>
      <c r="C3" s="208">
        <f>E19</f>
        <v>48385.65</v>
      </c>
      <c r="D3" s="368">
        <f>H19</f>
        <v>53785.65</v>
      </c>
      <c r="E3" s="208">
        <f>D3-C3</f>
        <v>5400</v>
      </c>
    </row>
    <row r="5" spans="1:6" x14ac:dyDescent="0.35">
      <c r="A5" s="1" t="s">
        <v>171</v>
      </c>
      <c r="B5" s="207">
        <v>0.3</v>
      </c>
      <c r="C5" s="208">
        <f>C3*B5</f>
        <v>14515.695</v>
      </c>
      <c r="D5" s="208">
        <f>D3*B5</f>
        <v>16135.695</v>
      </c>
      <c r="E5" s="208">
        <f>D5-C5</f>
        <v>1620</v>
      </c>
      <c r="F5" s="1" t="s">
        <v>331</v>
      </c>
    </row>
    <row r="6" spans="1:6" x14ac:dyDescent="0.35">
      <c r="A6" s="1" t="s">
        <v>172</v>
      </c>
      <c r="B6" s="207">
        <v>0.7</v>
      </c>
      <c r="C6" s="208">
        <f>C3*B6</f>
        <v>33869.955000000002</v>
      </c>
      <c r="D6" s="208">
        <f>D3*B6</f>
        <v>37649.955000000002</v>
      </c>
      <c r="E6" s="208">
        <f>D6-C6</f>
        <v>3780</v>
      </c>
    </row>
    <row r="15" spans="1:6" x14ac:dyDescent="0.35">
      <c r="C15" s="366" t="s">
        <v>266</v>
      </c>
      <c r="D15" s="207"/>
      <c r="E15" s="369">
        <v>2021</v>
      </c>
      <c r="F15" s="19">
        <v>2022</v>
      </c>
    </row>
    <row r="16" spans="1:6" x14ac:dyDescent="0.35">
      <c r="C16" s="1">
        <v>36</v>
      </c>
      <c r="D16" s="207" t="s">
        <v>267</v>
      </c>
      <c r="E16" s="208">
        <f>36*850</f>
        <v>30600</v>
      </c>
    </row>
    <row r="17" spans="1:8" x14ac:dyDescent="0.35">
      <c r="C17" s="1">
        <v>11</v>
      </c>
      <c r="D17" s="207" t="s">
        <v>268</v>
      </c>
      <c r="E17" s="208">
        <f>11*1000</f>
        <v>11000</v>
      </c>
      <c r="F17" s="1">
        <v>47</v>
      </c>
      <c r="G17" s="1" t="s">
        <v>261</v>
      </c>
      <c r="H17" s="298">
        <f>47*1000</f>
        <v>47000</v>
      </c>
    </row>
    <row r="18" spans="1:8" ht="16" x14ac:dyDescent="0.5">
      <c r="C18" s="428">
        <v>2</v>
      </c>
      <c r="D18" s="429"/>
      <c r="E18" s="430">
        <f>1721.32+5064.33</f>
        <v>6785.65</v>
      </c>
      <c r="F18" s="300">
        <v>2</v>
      </c>
      <c r="G18" s="300"/>
      <c r="H18" s="430">
        <f>E18</f>
        <v>6785.65</v>
      </c>
    </row>
    <row r="19" spans="1:8" x14ac:dyDescent="0.35">
      <c r="B19" s="207" t="s">
        <v>299</v>
      </c>
      <c r="C19" s="1">
        <f>SUM(C16:C18)</f>
        <v>49</v>
      </c>
      <c r="D19" s="207"/>
      <c r="E19" s="208">
        <f>SUM(E16:E18)</f>
        <v>48385.65</v>
      </c>
      <c r="H19" s="208">
        <f>SUM(H16:H18)</f>
        <v>53785.65</v>
      </c>
    </row>
    <row r="21" spans="1:8" x14ac:dyDescent="0.35">
      <c r="A21" s="115" t="s">
        <v>286</v>
      </c>
    </row>
    <row r="22" spans="1:8" x14ac:dyDescent="0.35">
      <c r="B22" s="446" t="s">
        <v>390</v>
      </c>
      <c r="C22" s="446"/>
      <c r="E22" s="369">
        <v>2021</v>
      </c>
      <c r="F22" s="18">
        <v>2023</v>
      </c>
    </row>
    <row r="23" spans="1:8" x14ac:dyDescent="0.35">
      <c r="B23" s="431">
        <v>2021</v>
      </c>
      <c r="C23" s="432">
        <v>2023</v>
      </c>
      <c r="D23" s="18" t="s">
        <v>249</v>
      </c>
      <c r="E23" s="366" t="s">
        <v>298</v>
      </c>
      <c r="F23" s="388"/>
      <c r="G23" s="366" t="s">
        <v>249</v>
      </c>
    </row>
    <row r="24" spans="1:8" x14ac:dyDescent="0.35">
      <c r="A24" s="1" t="s">
        <v>391</v>
      </c>
      <c r="B24" s="298">
        <v>250</v>
      </c>
      <c r="C24" s="298">
        <v>400</v>
      </c>
      <c r="D24" s="204">
        <f>(C24-B24)/B24</f>
        <v>0.6</v>
      </c>
      <c r="E24" s="379">
        <f>49*250</f>
        <v>12250</v>
      </c>
      <c r="F24" s="379">
        <f>49*400</f>
        <v>19600</v>
      </c>
      <c r="G24" s="380">
        <f>F24-E24</f>
        <v>7350</v>
      </c>
    </row>
    <row r="25" spans="1:8" x14ac:dyDescent="0.35">
      <c r="A25" s="1" t="s">
        <v>392</v>
      </c>
      <c r="B25" s="378">
        <v>200</v>
      </c>
      <c r="C25" s="123">
        <v>400</v>
      </c>
      <c r="D25" s="204">
        <f>(C25-B25)/B25</f>
        <v>1</v>
      </c>
      <c r="E25" s="44">
        <f>B56</f>
        <v>58001.94</v>
      </c>
      <c r="F25" s="44">
        <f>E25*(1+D25)</f>
        <v>116003.88</v>
      </c>
      <c r="G25" s="380">
        <f>F25-E25</f>
        <v>58001.94</v>
      </c>
    </row>
    <row r="26" spans="1:8" x14ac:dyDescent="0.35">
      <c r="B26" s="378"/>
      <c r="C26" s="123"/>
      <c r="D26" s="204"/>
    </row>
    <row r="27" spans="1:8" x14ac:dyDescent="0.35">
      <c r="A27" s="77" t="s">
        <v>293</v>
      </c>
      <c r="B27" s="378"/>
      <c r="C27" s="123"/>
      <c r="D27" s="204"/>
    </row>
    <row r="28" spans="1:8" x14ac:dyDescent="0.35">
      <c r="A28" s="1" t="s">
        <v>294</v>
      </c>
      <c r="B28" s="378">
        <v>40</v>
      </c>
      <c r="C28" s="123">
        <v>60</v>
      </c>
      <c r="D28" s="204">
        <f t="shared" ref="D28:D30" si="0">(C28-B28)/B28</f>
        <v>0.5</v>
      </c>
    </row>
    <row r="29" spans="1:8" x14ac:dyDescent="0.35">
      <c r="A29" s="1" t="s">
        <v>295</v>
      </c>
      <c r="B29" s="378">
        <v>40</v>
      </c>
      <c r="C29" s="123">
        <v>60</v>
      </c>
      <c r="D29" s="204">
        <f t="shared" si="0"/>
        <v>0.5</v>
      </c>
    </row>
    <row r="30" spans="1:8" x14ac:dyDescent="0.35">
      <c r="A30" s="1" t="s">
        <v>296</v>
      </c>
      <c r="B30" s="378">
        <v>40</v>
      </c>
      <c r="C30" s="123">
        <v>40</v>
      </c>
      <c r="D30" s="204">
        <f t="shared" si="0"/>
        <v>0</v>
      </c>
    </row>
    <row r="31" spans="1:8" x14ac:dyDescent="0.35">
      <c r="A31" s="1" t="s">
        <v>171</v>
      </c>
      <c r="B31" s="378"/>
      <c r="C31" s="123"/>
      <c r="D31" s="204"/>
    </row>
    <row r="32" spans="1:8" x14ac:dyDescent="0.35">
      <c r="A32" s="1" t="s">
        <v>297</v>
      </c>
      <c r="B32" s="378"/>
      <c r="C32" s="123"/>
      <c r="D32" s="204"/>
    </row>
    <row r="33" spans="1:4" x14ac:dyDescent="0.35">
      <c r="B33" s="378"/>
      <c r="C33" s="123"/>
      <c r="D33" s="204"/>
    </row>
    <row r="34" spans="1:4" ht="15.5" x14ac:dyDescent="0.35">
      <c r="A34" s="426" t="s">
        <v>393</v>
      </c>
      <c r="B34" s="378"/>
      <c r="C34" s="123"/>
      <c r="D34" s="204"/>
    </row>
    <row r="35" spans="1:4" x14ac:dyDescent="0.35">
      <c r="A35" s="366"/>
      <c r="B35" s="395"/>
      <c r="C35" s="364"/>
    </row>
    <row r="36" spans="1:4" ht="15.5" x14ac:dyDescent="0.35">
      <c r="A36" s="338" t="s">
        <v>388</v>
      </c>
      <c r="B36" s="416" t="s">
        <v>389</v>
      </c>
      <c r="C36" s="381"/>
      <c r="D36" s="366"/>
    </row>
    <row r="37" spans="1:4" ht="15.5" x14ac:dyDescent="0.35">
      <c r="A37"/>
      <c r="B37"/>
      <c r="C37" s="379"/>
      <c r="D37" s="382"/>
    </row>
    <row r="38" spans="1:4" ht="15.5" x14ac:dyDescent="0.35">
      <c r="A38" t="s">
        <v>371</v>
      </c>
      <c r="B38" s="409">
        <v>8644.44</v>
      </c>
      <c r="C38" s="383"/>
      <c r="D38" s="384"/>
    </row>
    <row r="39" spans="1:4" ht="15.5" x14ac:dyDescent="0.35">
      <c r="A39" t="s">
        <v>372</v>
      </c>
      <c r="B39" s="425">
        <v>12600</v>
      </c>
      <c r="C39" s="383"/>
      <c r="D39" s="384"/>
    </row>
    <row r="40" spans="1:4" ht="15.5" x14ac:dyDescent="0.35">
      <c r="A40" t="s">
        <v>373</v>
      </c>
      <c r="B40" s="425">
        <v>850</v>
      </c>
      <c r="C40" s="383"/>
      <c r="D40" s="384"/>
    </row>
    <row r="41" spans="1:4" ht="15.5" x14ac:dyDescent="0.35">
      <c r="A41" t="s">
        <v>374</v>
      </c>
      <c r="B41" s="425">
        <v>1437.5</v>
      </c>
      <c r="C41" s="383"/>
      <c r="D41" s="384"/>
    </row>
    <row r="42" spans="1:4" ht="15.5" x14ac:dyDescent="0.35">
      <c r="A42" t="s">
        <v>375</v>
      </c>
      <c r="B42" s="425">
        <v>600</v>
      </c>
      <c r="C42" s="383"/>
      <c r="D42" s="384"/>
    </row>
    <row r="43" spans="1:4" ht="15.5" x14ac:dyDescent="0.35">
      <c r="A43" t="s">
        <v>376</v>
      </c>
      <c r="B43" s="425">
        <v>400</v>
      </c>
      <c r="C43" s="383"/>
      <c r="D43" s="384"/>
    </row>
    <row r="44" spans="1:4" ht="15.5" x14ac:dyDescent="0.35">
      <c r="A44" t="s">
        <v>377</v>
      </c>
      <c r="B44" s="425">
        <v>1560</v>
      </c>
      <c r="C44" s="383"/>
      <c r="D44" s="384"/>
    </row>
    <row r="45" spans="1:4" ht="15.5" x14ac:dyDescent="0.35">
      <c r="A45" t="s">
        <v>378</v>
      </c>
      <c r="B45" s="425">
        <v>1900</v>
      </c>
      <c r="C45" s="383"/>
      <c r="D45" s="384"/>
    </row>
    <row r="46" spans="1:4" ht="15.5" x14ac:dyDescent="0.35">
      <c r="A46" t="s">
        <v>379</v>
      </c>
      <c r="B46" s="425">
        <v>1000</v>
      </c>
      <c r="C46" s="383"/>
      <c r="D46" s="384"/>
    </row>
    <row r="47" spans="1:4" ht="15.5" x14ac:dyDescent="0.35">
      <c r="A47" t="s">
        <v>380</v>
      </c>
      <c r="B47" s="425">
        <v>660</v>
      </c>
      <c r="C47" s="383"/>
      <c r="D47" s="384"/>
    </row>
    <row r="48" spans="1:4" ht="15.5" x14ac:dyDescent="0.35">
      <c r="A48" t="s">
        <v>381</v>
      </c>
      <c r="B48" s="425">
        <v>815</v>
      </c>
      <c r="C48" s="383"/>
      <c r="D48" s="384"/>
    </row>
    <row r="49" spans="1:5" ht="15.5" x14ac:dyDescent="0.35">
      <c r="A49" t="s">
        <v>382</v>
      </c>
      <c r="B49" s="425">
        <v>2310</v>
      </c>
      <c r="C49" s="385"/>
      <c r="D49" s="386"/>
    </row>
    <row r="50" spans="1:5" ht="15.5" x14ac:dyDescent="0.35">
      <c r="A50" t="s">
        <v>383</v>
      </c>
      <c r="B50" s="425">
        <v>3350</v>
      </c>
      <c r="C50" s="385"/>
      <c r="D50" s="386"/>
    </row>
    <row r="51" spans="1:5" ht="15.5" x14ac:dyDescent="0.35">
      <c r="A51" t="s">
        <v>384</v>
      </c>
      <c r="B51" s="425">
        <v>4585</v>
      </c>
      <c r="C51" s="385"/>
      <c r="D51" s="386"/>
    </row>
    <row r="52" spans="1:5" ht="15.5" x14ac:dyDescent="0.35">
      <c r="A52" t="s">
        <v>385</v>
      </c>
      <c r="B52" s="425">
        <v>7240</v>
      </c>
      <c r="C52" s="385"/>
      <c r="D52" s="386"/>
    </row>
    <row r="53" spans="1:5" ht="15.5" x14ac:dyDescent="0.35">
      <c r="A53" t="s">
        <v>386</v>
      </c>
      <c r="B53" s="425">
        <v>7200</v>
      </c>
      <c r="C53" s="385"/>
      <c r="D53" s="386"/>
    </row>
    <row r="54" spans="1:5" ht="15.5" x14ac:dyDescent="0.35">
      <c r="A54" t="s">
        <v>387</v>
      </c>
      <c r="B54" s="425">
        <v>1150</v>
      </c>
      <c r="C54" s="385"/>
      <c r="D54" s="386"/>
    </row>
    <row r="55" spans="1:5" ht="15.5" x14ac:dyDescent="0.35">
      <c r="A55" t="s">
        <v>387</v>
      </c>
      <c r="B55" s="427">
        <v>1700</v>
      </c>
      <c r="C55" s="1"/>
      <c r="D55" s="1"/>
    </row>
    <row r="56" spans="1:5" ht="15.5" x14ac:dyDescent="0.35">
      <c r="A56" s="416" t="s">
        <v>12</v>
      </c>
      <c r="B56" s="409">
        <f>SUM(B38:B55)</f>
        <v>58001.94</v>
      </c>
      <c r="C56" s="387"/>
      <c r="D56" s="387"/>
      <c r="E56" s="44"/>
    </row>
    <row r="58" spans="1:5" x14ac:dyDescent="0.35">
      <c r="C58" s="207"/>
      <c r="D58" s="204"/>
    </row>
    <row r="59" spans="1:5" x14ac:dyDescent="0.35">
      <c r="B59" s="379"/>
      <c r="C59" s="379"/>
      <c r="D59" s="382"/>
      <c r="E59" s="379"/>
    </row>
    <row r="60" spans="1:5" x14ac:dyDescent="0.35">
      <c r="E60" s="44"/>
    </row>
    <row r="64" spans="1:5" x14ac:dyDescent="0.35">
      <c r="B64" s="396"/>
      <c r="C64" s="44"/>
      <c r="D64" s="100"/>
      <c r="E64" s="44"/>
    </row>
    <row r="65" spans="5:7" x14ac:dyDescent="0.35">
      <c r="E65" s="44"/>
      <c r="G65" s="44"/>
    </row>
    <row r="66" spans="5:7" x14ac:dyDescent="0.35">
      <c r="E66" s="44"/>
      <c r="G66" s="44"/>
    </row>
    <row r="67" spans="5:7" x14ac:dyDescent="0.35">
      <c r="G67" s="44"/>
    </row>
    <row r="68" spans="5:7" x14ac:dyDescent="0.35">
      <c r="G68" s="44"/>
    </row>
    <row r="69" spans="5:7" x14ac:dyDescent="0.35">
      <c r="G69" s="44"/>
    </row>
  </sheetData>
  <mergeCells count="1">
    <mergeCell ref="B22:C2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F79D7-904A-4459-BE1D-7B851BA70A31}">
  <sheetPr>
    <tabColor rgb="FF00B050"/>
  </sheetPr>
  <dimension ref="B2:F14"/>
  <sheetViews>
    <sheetView workbookViewId="0">
      <selection activeCell="C17" sqref="C17"/>
    </sheetView>
  </sheetViews>
  <sheetFormatPr defaultRowHeight="15.5" x14ac:dyDescent="0.35"/>
  <cols>
    <col min="2" max="2" width="17.69140625" customWidth="1"/>
    <col min="3" max="3" width="25.07421875" customWidth="1"/>
    <col min="4" max="4" width="15.765625" customWidth="1"/>
    <col min="6" max="6" width="11.15234375" bestFit="1" customWidth="1"/>
  </cols>
  <sheetData>
    <row r="2" spans="2:6" x14ac:dyDescent="0.35">
      <c r="B2" s="447" t="s">
        <v>348</v>
      </c>
      <c r="C2" s="447"/>
      <c r="D2" s="447"/>
      <c r="E2" s="447"/>
      <c r="F2" s="447"/>
    </row>
    <row r="3" spans="2:6" x14ac:dyDescent="0.35">
      <c r="B3" s="447" t="s">
        <v>349</v>
      </c>
      <c r="C3" s="447"/>
      <c r="D3" s="447"/>
      <c r="E3" s="447"/>
      <c r="F3" s="447"/>
    </row>
    <row r="4" spans="2:6" x14ac:dyDescent="0.35">
      <c r="B4" s="416"/>
      <c r="C4" s="416"/>
      <c r="D4" s="416"/>
      <c r="E4" s="416"/>
      <c r="F4" s="416"/>
    </row>
    <row r="5" spans="2:6" x14ac:dyDescent="0.35">
      <c r="B5" s="416">
        <v>2021</v>
      </c>
      <c r="D5" s="411">
        <v>2023</v>
      </c>
    </row>
    <row r="6" spans="2:6" x14ac:dyDescent="0.35">
      <c r="B6" s="410" t="s">
        <v>351</v>
      </c>
      <c r="D6" s="410" t="s">
        <v>351</v>
      </c>
      <c r="F6" s="338" t="s">
        <v>338</v>
      </c>
    </row>
    <row r="7" spans="2:6" x14ac:dyDescent="0.35">
      <c r="B7" s="409">
        <v>44353.05</v>
      </c>
      <c r="D7" s="103">
        <f>D14</f>
        <v>96695.040000000008</v>
      </c>
      <c r="F7" s="103">
        <f>D7-B7</f>
        <v>52341.990000000005</v>
      </c>
    </row>
    <row r="10" spans="2:6" x14ac:dyDescent="0.35">
      <c r="B10" s="338"/>
    </row>
    <row r="12" spans="2:6" x14ac:dyDescent="0.35">
      <c r="B12" s="338" t="s">
        <v>334</v>
      </c>
    </row>
    <row r="13" spans="2:6" x14ac:dyDescent="0.35">
      <c r="B13" s="416" t="s">
        <v>352</v>
      </c>
      <c r="D13" s="416" t="s">
        <v>335</v>
      </c>
    </row>
    <row r="14" spans="2:6" x14ac:dyDescent="0.35">
      <c r="B14" s="409">
        <v>8057.92</v>
      </c>
      <c r="D14" s="103">
        <f>B14*12</f>
        <v>96695.040000000008</v>
      </c>
    </row>
  </sheetData>
  <mergeCells count="2">
    <mergeCell ref="B2:F2"/>
    <mergeCell ref="B3:F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58E55-8DC2-4CD5-8872-149491EA390B}">
  <sheetPr>
    <tabColor rgb="FF00B050"/>
    <pageSetUpPr fitToPage="1"/>
  </sheetPr>
  <dimension ref="B1:X35"/>
  <sheetViews>
    <sheetView showGridLines="0" workbookViewId="0">
      <selection activeCell="A2" sqref="A2"/>
    </sheetView>
  </sheetViews>
  <sheetFormatPr defaultRowHeight="15.5" x14ac:dyDescent="0.35"/>
  <cols>
    <col min="1" max="1" width="1.765625" customWidth="1"/>
    <col min="2" max="2" width="17.765625" customWidth="1"/>
    <col min="3" max="12" width="7.765625" customWidth="1"/>
    <col min="13" max="13" width="10.69140625" customWidth="1"/>
    <col min="14" max="14" width="0.765625" customWidth="1"/>
    <col min="15" max="15" width="2.3046875" customWidth="1"/>
    <col min="16" max="16" width="9.69140625" customWidth="1"/>
  </cols>
  <sheetData>
    <row r="1" spans="2:24" x14ac:dyDescent="0.35">
      <c r="B1" s="16"/>
      <c r="C1" s="16"/>
      <c r="D1" s="16"/>
      <c r="E1" s="16"/>
      <c r="F1" s="16"/>
      <c r="G1" s="16"/>
      <c r="H1" s="16"/>
      <c r="I1" s="16"/>
      <c r="J1" s="16"/>
      <c r="K1" s="16"/>
      <c r="L1" s="16"/>
      <c r="M1" s="16"/>
      <c r="N1" s="16"/>
      <c r="O1" s="16"/>
      <c r="P1" s="16"/>
    </row>
    <row r="2" spans="2:24" x14ac:dyDescent="0.35">
      <c r="B2" s="149"/>
      <c r="C2" s="150"/>
      <c r="D2" s="150"/>
      <c r="E2" s="150"/>
      <c r="F2" s="150"/>
      <c r="G2" s="150"/>
      <c r="H2" s="150"/>
      <c r="I2" s="150"/>
      <c r="J2" s="150"/>
      <c r="K2" s="150"/>
      <c r="L2" s="150"/>
      <c r="M2" s="150"/>
      <c r="N2" s="151"/>
      <c r="O2" s="16"/>
      <c r="P2" s="16"/>
    </row>
    <row r="3" spans="2:24" ht="18.5" customHeight="1" x14ac:dyDescent="0.45">
      <c r="B3" s="152" t="s">
        <v>148</v>
      </c>
      <c r="C3" s="153"/>
      <c r="D3" s="153"/>
      <c r="E3" s="153"/>
      <c r="F3" s="153"/>
      <c r="G3" s="153"/>
      <c r="H3" s="153"/>
      <c r="I3" s="153"/>
      <c r="J3" s="153"/>
      <c r="K3" s="153"/>
      <c r="L3" s="153"/>
      <c r="M3" s="153"/>
      <c r="N3" s="68"/>
      <c r="O3" s="16"/>
      <c r="P3" s="16"/>
    </row>
    <row r="4" spans="2:24" ht="18.5" x14ac:dyDescent="0.45">
      <c r="B4" s="154" t="s">
        <v>149</v>
      </c>
      <c r="C4" s="155"/>
      <c r="D4" s="155"/>
      <c r="E4" s="155"/>
      <c r="F4" s="155"/>
      <c r="G4" s="155"/>
      <c r="H4" s="155"/>
      <c r="I4" s="155"/>
      <c r="J4" s="155"/>
      <c r="K4" s="155"/>
      <c r="L4" s="155"/>
      <c r="M4" s="155"/>
      <c r="N4" s="68"/>
      <c r="O4" s="16"/>
      <c r="P4" s="16"/>
    </row>
    <row r="5" spans="2:24" x14ac:dyDescent="0.35">
      <c r="B5" s="156" t="s">
        <v>237</v>
      </c>
      <c r="C5" s="153"/>
      <c r="D5" s="153"/>
      <c r="E5" s="153"/>
      <c r="F5" s="153"/>
      <c r="G5" s="153"/>
      <c r="H5" s="153"/>
      <c r="I5" s="153"/>
      <c r="J5" s="153"/>
      <c r="K5" s="153"/>
      <c r="L5" s="153"/>
      <c r="M5" s="153"/>
      <c r="N5" s="68"/>
      <c r="O5" s="16"/>
      <c r="P5" s="16"/>
    </row>
    <row r="6" spans="2:24" x14ac:dyDescent="0.35">
      <c r="B6" s="157" t="s">
        <v>150</v>
      </c>
      <c r="C6" s="158"/>
      <c r="D6" s="158"/>
      <c r="E6" s="158"/>
      <c r="F6" s="158"/>
      <c r="G6" s="158"/>
      <c r="H6" s="158"/>
      <c r="I6" s="158"/>
      <c r="J6" s="158"/>
      <c r="K6" s="158"/>
      <c r="L6" s="158"/>
      <c r="M6" s="158"/>
      <c r="N6" s="68"/>
      <c r="O6" s="16"/>
      <c r="P6" s="16"/>
    </row>
    <row r="7" spans="2:24" x14ac:dyDescent="0.35">
      <c r="B7" s="159"/>
      <c r="C7" s="158"/>
      <c r="D7" s="158"/>
      <c r="E7" s="158"/>
      <c r="F7" s="158"/>
      <c r="G7" s="158"/>
      <c r="H7" s="158"/>
      <c r="I7" s="158"/>
      <c r="J7" s="158"/>
      <c r="K7" s="158"/>
      <c r="L7" s="158"/>
      <c r="M7" s="158"/>
      <c r="N7" s="68"/>
      <c r="O7" s="16"/>
      <c r="P7" s="16"/>
    </row>
    <row r="8" spans="2:24" x14ac:dyDescent="0.35">
      <c r="B8" s="160"/>
      <c r="C8" s="161"/>
      <c r="D8" s="162"/>
      <c r="E8" s="161"/>
      <c r="F8" s="163"/>
      <c r="G8" s="161"/>
      <c r="H8" s="163"/>
      <c r="I8" s="161"/>
      <c r="J8" s="163"/>
      <c r="K8" s="161"/>
      <c r="L8" s="163"/>
      <c r="M8" s="162"/>
      <c r="N8" s="151"/>
      <c r="O8" s="16"/>
      <c r="P8" s="16"/>
    </row>
    <row r="9" spans="2:24" ht="16" x14ac:dyDescent="0.35">
      <c r="B9" s="164"/>
      <c r="C9" s="448" t="s">
        <v>151</v>
      </c>
      <c r="D9" s="449"/>
      <c r="E9" s="448" t="s">
        <v>152</v>
      </c>
      <c r="F9" s="449"/>
      <c r="G9" s="448" t="s">
        <v>153</v>
      </c>
      <c r="H9" s="449"/>
      <c r="I9" s="448" t="s">
        <v>154</v>
      </c>
      <c r="J9" s="449"/>
      <c r="K9" s="448" t="s">
        <v>155</v>
      </c>
      <c r="L9" s="449"/>
      <c r="M9" s="16"/>
      <c r="N9" s="68"/>
      <c r="O9" s="16"/>
      <c r="P9" s="16"/>
    </row>
    <row r="10" spans="2:24" ht="16" x14ac:dyDescent="0.35">
      <c r="B10" s="164"/>
      <c r="C10" s="165"/>
      <c r="D10" s="166" t="s">
        <v>156</v>
      </c>
      <c r="E10" s="167"/>
      <c r="F10" s="166" t="s">
        <v>156</v>
      </c>
      <c r="G10" s="167"/>
      <c r="H10" s="166" t="s">
        <v>156</v>
      </c>
      <c r="I10" s="167"/>
      <c r="J10" s="166" t="s">
        <v>156</v>
      </c>
      <c r="K10" s="167"/>
      <c r="L10" s="166" t="s">
        <v>156</v>
      </c>
      <c r="M10" s="16"/>
      <c r="N10" s="68"/>
      <c r="O10" s="16"/>
      <c r="P10" s="16"/>
    </row>
    <row r="11" spans="2:24" ht="16" x14ac:dyDescent="0.35">
      <c r="B11" s="164"/>
      <c r="C11" s="165" t="s">
        <v>157</v>
      </c>
      <c r="D11" s="168" t="s">
        <v>158</v>
      </c>
      <c r="E11" s="165" t="s">
        <v>157</v>
      </c>
      <c r="F11" s="168" t="s">
        <v>158</v>
      </c>
      <c r="G11" s="165" t="s">
        <v>157</v>
      </c>
      <c r="H11" s="168" t="s">
        <v>158</v>
      </c>
      <c r="I11" s="165" t="s">
        <v>157</v>
      </c>
      <c r="J11" s="168" t="s">
        <v>158</v>
      </c>
      <c r="K11" s="165" t="s">
        <v>157</v>
      </c>
      <c r="L11" s="168" t="s">
        <v>158</v>
      </c>
      <c r="M11" s="169" t="s">
        <v>83</v>
      </c>
      <c r="N11" s="68"/>
      <c r="O11" s="16"/>
      <c r="P11" s="16"/>
    </row>
    <row r="12" spans="2:24" x14ac:dyDescent="0.35">
      <c r="B12" s="170" t="s">
        <v>253</v>
      </c>
      <c r="C12" s="171">
        <v>15926.95</v>
      </c>
      <c r="D12" s="172">
        <v>15301.05</v>
      </c>
      <c r="E12" s="171">
        <v>16623.75</v>
      </c>
      <c r="F12" s="173">
        <v>14604.25</v>
      </c>
      <c r="G12" s="171">
        <v>17351.04</v>
      </c>
      <c r="H12" s="173">
        <v>13876.96</v>
      </c>
      <c r="I12" s="171">
        <v>18110.150000000001</v>
      </c>
      <c r="J12" s="173">
        <v>13117.85</v>
      </c>
      <c r="K12" s="171">
        <v>18902.47</v>
      </c>
      <c r="L12" s="173">
        <v>12325.53</v>
      </c>
      <c r="M12" s="174">
        <f t="shared" ref="M12:M17" si="0">SUM(C12:L12)</f>
        <v>156140</v>
      </c>
      <c r="N12" s="68"/>
      <c r="O12" s="16"/>
      <c r="P12" s="16"/>
      <c r="R12" s="16"/>
      <c r="T12" s="16"/>
      <c r="V12" s="16"/>
      <c r="X12" s="16"/>
    </row>
    <row r="13" spans="2:24" x14ac:dyDescent="0.35">
      <c r="B13" s="170"/>
      <c r="C13" s="171"/>
      <c r="D13" s="172"/>
      <c r="E13" s="171"/>
      <c r="F13" s="173"/>
      <c r="G13" s="171"/>
      <c r="H13" s="173"/>
      <c r="I13" s="171"/>
      <c r="J13" s="173"/>
      <c r="K13" s="171"/>
      <c r="L13" s="173"/>
      <c r="M13" s="175">
        <f t="shared" si="0"/>
        <v>0</v>
      </c>
      <c r="N13" s="68"/>
      <c r="O13" s="16"/>
      <c r="P13" s="16"/>
      <c r="R13" s="16"/>
      <c r="T13" s="16"/>
      <c r="V13" s="16"/>
      <c r="X13" s="16"/>
    </row>
    <row r="14" spans="2:24" x14ac:dyDescent="0.35">
      <c r="B14" s="170"/>
      <c r="C14" s="171"/>
      <c r="D14" s="172"/>
      <c r="E14" s="171"/>
      <c r="F14" s="173"/>
      <c r="G14" s="171"/>
      <c r="H14" s="173"/>
      <c r="I14" s="171"/>
      <c r="J14" s="173"/>
      <c r="K14" s="171"/>
      <c r="L14" s="173"/>
      <c r="M14" s="175">
        <f t="shared" si="0"/>
        <v>0</v>
      </c>
      <c r="N14" s="68"/>
      <c r="O14" s="16"/>
      <c r="P14" s="16"/>
      <c r="R14" s="16"/>
      <c r="T14" s="16"/>
      <c r="V14" s="16"/>
      <c r="X14" s="16"/>
    </row>
    <row r="15" spans="2:24" x14ac:dyDescent="0.35">
      <c r="B15" s="170"/>
      <c r="C15" s="171"/>
      <c r="D15" s="172"/>
      <c r="E15" s="171"/>
      <c r="F15" s="173"/>
      <c r="G15" s="171"/>
      <c r="H15" s="173"/>
      <c r="I15" s="171"/>
      <c r="J15" s="173"/>
      <c r="K15" s="171"/>
      <c r="L15" s="173"/>
      <c r="M15" s="175">
        <f t="shared" si="0"/>
        <v>0</v>
      </c>
      <c r="N15" s="68"/>
      <c r="O15" s="16"/>
      <c r="P15" s="16"/>
      <c r="R15" s="16"/>
      <c r="T15" s="16"/>
      <c r="V15" s="16"/>
      <c r="X15" s="16"/>
    </row>
    <row r="16" spans="2:24" x14ac:dyDescent="0.35">
      <c r="B16" s="170"/>
      <c r="C16" s="171"/>
      <c r="D16" s="172"/>
      <c r="E16" s="171"/>
      <c r="F16" s="172"/>
      <c r="G16" s="171"/>
      <c r="H16" s="172"/>
      <c r="I16" s="171"/>
      <c r="J16" s="172"/>
      <c r="K16" s="171"/>
      <c r="L16" s="173"/>
      <c r="M16" s="175">
        <f t="shared" si="0"/>
        <v>0</v>
      </c>
      <c r="N16" s="68"/>
      <c r="O16" s="16"/>
      <c r="P16" s="16"/>
      <c r="R16" s="16"/>
      <c r="T16" s="16"/>
      <c r="V16" s="16"/>
      <c r="X16" s="16"/>
    </row>
    <row r="17" spans="2:24" x14ac:dyDescent="0.35">
      <c r="B17" s="170"/>
      <c r="C17" s="171"/>
      <c r="D17" s="172"/>
      <c r="E17" s="171"/>
      <c r="F17" s="172"/>
      <c r="G17" s="171"/>
      <c r="H17" s="172"/>
      <c r="I17" s="171"/>
      <c r="J17" s="172"/>
      <c r="K17" s="171"/>
      <c r="L17" s="173"/>
      <c r="M17" s="175">
        <f t="shared" si="0"/>
        <v>0</v>
      </c>
      <c r="N17" s="68"/>
      <c r="O17" s="16"/>
      <c r="P17" s="16"/>
      <c r="R17" s="16"/>
      <c r="T17" s="16"/>
      <c r="V17" s="16"/>
      <c r="X17" s="16"/>
    </row>
    <row r="18" spans="2:24" x14ac:dyDescent="0.35">
      <c r="B18" s="176"/>
      <c r="C18" s="177"/>
      <c r="D18" s="178"/>
      <c r="E18" s="177"/>
      <c r="F18" s="178"/>
      <c r="G18" s="177"/>
      <c r="H18" s="178"/>
      <c r="I18" s="177"/>
      <c r="J18" s="178"/>
      <c r="K18" s="177"/>
      <c r="L18" s="179"/>
      <c r="M18" s="175"/>
      <c r="N18" s="68"/>
      <c r="O18" s="16"/>
      <c r="P18" s="16"/>
    </row>
    <row r="19" spans="2:24" x14ac:dyDescent="0.35">
      <c r="B19" s="122" t="s">
        <v>83</v>
      </c>
      <c r="C19" s="180">
        <f t="shared" ref="C19:M19" si="1">SUM(C12:C18)</f>
        <v>15926.95</v>
      </c>
      <c r="D19" s="181">
        <f t="shared" si="1"/>
        <v>15301.05</v>
      </c>
      <c r="E19" s="180">
        <f t="shared" si="1"/>
        <v>16623.75</v>
      </c>
      <c r="F19" s="182">
        <f t="shared" si="1"/>
        <v>14604.25</v>
      </c>
      <c r="G19" s="180">
        <f t="shared" si="1"/>
        <v>17351.04</v>
      </c>
      <c r="H19" s="182">
        <f t="shared" si="1"/>
        <v>13876.96</v>
      </c>
      <c r="I19" s="180">
        <f t="shared" si="1"/>
        <v>18110.150000000001</v>
      </c>
      <c r="J19" s="182">
        <f t="shared" si="1"/>
        <v>13117.85</v>
      </c>
      <c r="K19" s="180">
        <f t="shared" si="1"/>
        <v>18902.47</v>
      </c>
      <c r="L19" s="182">
        <f t="shared" si="1"/>
        <v>12325.53</v>
      </c>
      <c r="M19" s="183">
        <f t="shared" si="1"/>
        <v>156140</v>
      </c>
      <c r="N19" s="68"/>
      <c r="O19" s="16"/>
      <c r="P19" s="16">
        <f>SUM(C19:L19)</f>
        <v>156140</v>
      </c>
    </row>
    <row r="20" spans="2:24" x14ac:dyDescent="0.35">
      <c r="B20" s="184"/>
      <c r="C20" s="185"/>
      <c r="D20" s="186"/>
      <c r="E20" s="185"/>
      <c r="F20" s="187"/>
      <c r="G20" s="185"/>
      <c r="H20" s="187"/>
      <c r="I20" s="185"/>
      <c r="J20" s="188"/>
      <c r="K20" s="185"/>
      <c r="L20" s="187"/>
      <c r="M20" s="186"/>
      <c r="N20" s="189"/>
      <c r="O20" s="16"/>
      <c r="P20" s="16"/>
    </row>
    <row r="21" spans="2:24" x14ac:dyDescent="0.35">
      <c r="B21" s="190"/>
      <c r="C21" s="191"/>
      <c r="D21" s="191"/>
      <c r="E21" s="191"/>
      <c r="F21" s="191"/>
      <c r="G21" s="191"/>
      <c r="H21" s="191"/>
      <c r="I21" s="191"/>
      <c r="J21" s="192"/>
      <c r="K21" s="192"/>
      <c r="L21" s="192"/>
      <c r="M21" s="191"/>
      <c r="N21" s="68"/>
      <c r="O21" s="16"/>
      <c r="P21" s="16"/>
    </row>
    <row r="22" spans="2:24" x14ac:dyDescent="0.35">
      <c r="B22" s="193"/>
      <c r="C22" s="194"/>
      <c r="D22" s="195"/>
      <c r="E22" s="194"/>
      <c r="F22" s="194"/>
      <c r="G22" s="194"/>
      <c r="H22" s="194"/>
      <c r="I22" s="195" t="s">
        <v>159</v>
      </c>
      <c r="J22" s="16"/>
      <c r="K22" s="196"/>
      <c r="L22" s="197"/>
      <c r="M22" s="194">
        <f>M19/5</f>
        <v>31228</v>
      </c>
      <c r="N22" s="68"/>
      <c r="O22" s="16"/>
      <c r="P22" s="16"/>
    </row>
    <row r="23" spans="2:24" x14ac:dyDescent="0.35">
      <c r="B23" s="17"/>
      <c r="C23" s="195"/>
      <c r="D23" s="16"/>
      <c r="E23" s="195"/>
      <c r="F23" s="195"/>
      <c r="G23" s="195"/>
      <c r="H23" s="195"/>
      <c r="I23" s="195" t="s">
        <v>396</v>
      </c>
      <c r="J23" s="16"/>
      <c r="K23" s="20"/>
      <c r="L23" s="196"/>
      <c r="M23" s="194">
        <f>M27/5</f>
        <v>13845.128000000001</v>
      </c>
      <c r="N23" s="68"/>
      <c r="O23" s="16"/>
      <c r="P23" s="16"/>
    </row>
    <row r="24" spans="2:24" x14ac:dyDescent="0.35">
      <c r="B24" s="193"/>
      <c r="C24" s="195"/>
      <c r="D24" s="195"/>
      <c r="E24" s="195"/>
      <c r="F24" s="195"/>
      <c r="G24" s="195"/>
      <c r="H24" s="195"/>
      <c r="I24" s="195" t="s">
        <v>160</v>
      </c>
      <c r="J24" s="16"/>
      <c r="K24" s="196"/>
      <c r="L24" s="195"/>
      <c r="M24" s="194">
        <f>M22*0.1</f>
        <v>3122.8</v>
      </c>
      <c r="N24" s="68"/>
      <c r="O24" s="16"/>
      <c r="P24" s="16">
        <f>M24+M22</f>
        <v>34350.800000000003</v>
      </c>
      <c r="Q24" t="s">
        <v>330</v>
      </c>
    </row>
    <row r="25" spans="2:24" x14ac:dyDescent="0.35">
      <c r="B25" s="198"/>
      <c r="C25" s="199"/>
      <c r="D25" s="199"/>
      <c r="E25" s="199"/>
      <c r="F25" s="199"/>
      <c r="G25" s="199"/>
      <c r="H25" s="199"/>
      <c r="I25" s="199"/>
      <c r="J25" s="199"/>
      <c r="K25" s="199"/>
      <c r="L25" s="199"/>
      <c r="M25" s="199"/>
      <c r="N25" s="189"/>
      <c r="O25" s="16"/>
      <c r="P25" s="16"/>
    </row>
    <row r="26" spans="2:24" x14ac:dyDescent="0.35">
      <c r="B26" s="304"/>
      <c r="C26" s="304"/>
      <c r="D26" s="304"/>
      <c r="E26" s="304"/>
      <c r="F26" s="304"/>
      <c r="G26" s="304"/>
      <c r="H26" s="304"/>
      <c r="I26" s="304"/>
      <c r="J26" s="304"/>
      <c r="K26" s="304"/>
      <c r="L26" s="304"/>
      <c r="M26" s="304"/>
      <c r="N26" s="304"/>
      <c r="O26" s="304"/>
      <c r="P26" s="304"/>
    </row>
    <row r="27" spans="2:24" x14ac:dyDescent="0.35">
      <c r="B27" s="304"/>
      <c r="C27" s="304"/>
      <c r="D27" s="304"/>
      <c r="E27" s="304"/>
      <c r="F27" s="304"/>
      <c r="G27" s="304"/>
      <c r="H27" s="304"/>
      <c r="I27" s="304" t="s">
        <v>230</v>
      </c>
      <c r="J27" s="304"/>
      <c r="K27" s="304"/>
      <c r="L27" s="304"/>
      <c r="M27" s="305">
        <f>D12+F12+H12+J12+L12</f>
        <v>69225.64</v>
      </c>
      <c r="N27" s="304"/>
      <c r="O27" s="304"/>
      <c r="P27" s="304"/>
    </row>
    <row r="28" spans="2:24" x14ac:dyDescent="0.35">
      <c r="B28" s="304"/>
      <c r="C28" s="304"/>
      <c r="D28" s="304"/>
      <c r="E28" s="304"/>
      <c r="F28" s="304"/>
      <c r="G28" s="304"/>
      <c r="H28" s="304"/>
      <c r="I28" s="304"/>
      <c r="J28" s="304"/>
      <c r="K28" s="304"/>
      <c r="L28" s="304"/>
      <c r="M28" s="304"/>
      <c r="N28" s="304"/>
      <c r="O28" s="304"/>
      <c r="P28" s="304"/>
    </row>
    <row r="29" spans="2:24" x14ac:dyDescent="0.35">
      <c r="B29" s="304"/>
      <c r="C29" s="304"/>
      <c r="D29" s="304"/>
      <c r="E29" s="304"/>
      <c r="F29" s="304"/>
      <c r="G29" s="304"/>
      <c r="H29" s="304"/>
      <c r="I29" s="304" t="s">
        <v>231</v>
      </c>
      <c r="J29" s="304"/>
      <c r="K29" s="304"/>
      <c r="L29" s="304"/>
      <c r="M29" s="305">
        <f>M27/5</f>
        <v>13845.128000000001</v>
      </c>
      <c r="N29" s="304"/>
      <c r="O29" s="304"/>
      <c r="P29" s="304"/>
    </row>
    <row r="30" spans="2:24" x14ac:dyDescent="0.35">
      <c r="B30" s="304"/>
      <c r="C30" s="304"/>
      <c r="D30" s="304"/>
      <c r="E30" s="304"/>
      <c r="F30" s="304"/>
      <c r="G30" s="304"/>
      <c r="H30" s="304"/>
      <c r="I30" s="304"/>
      <c r="J30" s="304"/>
      <c r="K30" s="304"/>
      <c r="L30" s="304"/>
      <c r="M30" s="304"/>
      <c r="N30" s="304"/>
      <c r="O30" s="304"/>
      <c r="P30" s="304"/>
    </row>
    <row r="31" spans="2:24" x14ac:dyDescent="0.35">
      <c r="B31" s="304"/>
      <c r="C31" s="304"/>
      <c r="D31" s="304"/>
      <c r="E31" s="304"/>
      <c r="F31" s="304"/>
      <c r="G31" s="304"/>
      <c r="H31" s="304"/>
      <c r="I31" s="304"/>
      <c r="J31" s="304"/>
      <c r="K31" s="304"/>
      <c r="L31" s="304"/>
      <c r="M31" s="304"/>
      <c r="N31" s="304"/>
      <c r="O31" s="304"/>
      <c r="P31" s="304"/>
    </row>
    <row r="32" spans="2:24" x14ac:dyDescent="0.35">
      <c r="B32" s="304"/>
      <c r="C32" s="304"/>
      <c r="D32" s="304"/>
      <c r="E32" s="304"/>
      <c r="F32" s="304"/>
      <c r="G32" s="304"/>
      <c r="H32" s="304"/>
      <c r="I32" s="304"/>
      <c r="J32" s="304"/>
      <c r="K32" s="304"/>
      <c r="L32" s="304"/>
      <c r="M32" s="304"/>
      <c r="N32" s="304"/>
      <c r="O32" s="304"/>
      <c r="P32" s="304"/>
    </row>
    <row r="33" spans="2:16" x14ac:dyDescent="0.35">
      <c r="B33" s="304"/>
      <c r="C33" s="304"/>
      <c r="D33" s="304"/>
      <c r="E33" s="304"/>
      <c r="F33" s="304"/>
      <c r="G33" s="304"/>
      <c r="H33" s="304"/>
      <c r="I33" s="304"/>
      <c r="J33" s="304"/>
      <c r="K33" s="304"/>
      <c r="L33" s="304"/>
      <c r="M33" s="304"/>
      <c r="N33" s="304"/>
      <c r="O33" s="304"/>
      <c r="P33" s="304"/>
    </row>
    <row r="34" spans="2:16" x14ac:dyDescent="0.35">
      <c r="B34" s="304"/>
      <c r="C34" s="304"/>
      <c r="D34" s="304"/>
      <c r="E34" s="304"/>
      <c r="F34" s="304"/>
      <c r="G34" s="304"/>
      <c r="H34" s="304"/>
      <c r="I34" s="304"/>
      <c r="J34" s="304"/>
      <c r="K34" s="304"/>
      <c r="L34" s="304"/>
      <c r="M34" s="304"/>
      <c r="N34" s="304"/>
      <c r="O34" s="304"/>
      <c r="P34" s="304"/>
    </row>
    <row r="35" spans="2:16" x14ac:dyDescent="0.35">
      <c r="B35" s="304"/>
      <c r="C35" s="304"/>
      <c r="D35" s="304"/>
      <c r="E35" s="304"/>
      <c r="F35" s="304"/>
      <c r="G35" s="304"/>
      <c r="H35" s="304"/>
      <c r="I35" s="304"/>
      <c r="J35" s="304"/>
      <c r="K35" s="304"/>
      <c r="L35" s="304"/>
      <c r="M35" s="304"/>
      <c r="N35" s="304"/>
      <c r="O35" s="304"/>
      <c r="P35" s="304"/>
    </row>
  </sheetData>
  <mergeCells count="5">
    <mergeCell ref="C9:D9"/>
    <mergeCell ref="E9:F9"/>
    <mergeCell ref="G9:H9"/>
    <mergeCell ref="I9:J9"/>
    <mergeCell ref="K9:L9"/>
  </mergeCells>
  <pageMargins left="0.7" right="0.7" top="0.75" bottom="0.75" header="0.3" footer="0.3"/>
  <pageSetup scale="92"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423B5-3C4F-4A66-BDCE-8C5FC4A546FE}">
  <sheetPr>
    <tabColor rgb="FF00B050"/>
  </sheetPr>
  <dimension ref="A1:L29"/>
  <sheetViews>
    <sheetView workbookViewId="0">
      <selection activeCell="L18" sqref="L18"/>
    </sheetView>
  </sheetViews>
  <sheetFormatPr defaultColWidth="8.84375" defaultRowHeight="14.5" x14ac:dyDescent="0.35"/>
  <cols>
    <col min="1" max="1" width="18.69140625" style="1" customWidth="1"/>
    <col min="2" max="2" width="9.84375" style="5" bestFit="1" customWidth="1"/>
    <col min="3" max="3" width="8.84375" style="1"/>
    <col min="4" max="4" width="9.07421875" style="1" bestFit="1" customWidth="1"/>
    <col min="5" max="6" width="8.84375" style="1"/>
    <col min="7" max="7" width="9.53515625" style="1" bestFit="1" customWidth="1"/>
    <col min="8" max="8" width="11.4609375" style="1" customWidth="1"/>
    <col min="9" max="9" width="10.23046875" style="1" bestFit="1" customWidth="1"/>
    <col min="10" max="16384" width="8.84375" style="1"/>
  </cols>
  <sheetData>
    <row r="1" spans="1:12" x14ac:dyDescent="0.35">
      <c r="A1" s="1" t="s">
        <v>174</v>
      </c>
      <c r="C1" s="366" t="s">
        <v>13</v>
      </c>
      <c r="G1" s="419"/>
      <c r="H1" s="285"/>
      <c r="I1" s="420"/>
      <c r="J1" s="285"/>
      <c r="K1" s="285"/>
      <c r="L1" s="283"/>
    </row>
    <row r="2" spans="1:12" x14ac:dyDescent="0.35">
      <c r="A2" s="1" t="s">
        <v>175</v>
      </c>
      <c r="C2" s="5">
        <v>313860</v>
      </c>
      <c r="G2" s="451" t="s">
        <v>369</v>
      </c>
      <c r="H2" s="452"/>
      <c r="I2" s="452"/>
      <c r="L2" s="272"/>
    </row>
    <row r="3" spans="1:12" x14ac:dyDescent="0.35">
      <c r="A3" s="1" t="s">
        <v>176</v>
      </c>
      <c r="C3" s="408">
        <v>253105</v>
      </c>
      <c r="G3" s="450" t="s">
        <v>361</v>
      </c>
      <c r="H3" s="446"/>
      <c r="I3" s="446"/>
      <c r="L3" s="272"/>
    </row>
    <row r="4" spans="1:12" x14ac:dyDescent="0.35">
      <c r="A4" s="1" t="s">
        <v>177</v>
      </c>
      <c r="G4" s="421"/>
      <c r="H4" s="18" t="s">
        <v>239</v>
      </c>
      <c r="I4" s="18"/>
      <c r="L4" s="272"/>
    </row>
    <row r="5" spans="1:12" x14ac:dyDescent="0.35">
      <c r="A5" s="1" t="s">
        <v>178</v>
      </c>
      <c r="B5" s="5">
        <v>0</v>
      </c>
      <c r="G5" s="421" t="s">
        <v>362</v>
      </c>
      <c r="H5" s="18" t="s">
        <v>363</v>
      </c>
      <c r="I5" s="18" t="s">
        <v>342</v>
      </c>
      <c r="L5" s="272"/>
    </row>
    <row r="6" spans="1:12" x14ac:dyDescent="0.35">
      <c r="A6" s="1" t="s">
        <v>179</v>
      </c>
      <c r="B6" s="5">
        <v>11140</v>
      </c>
      <c r="G6" s="422">
        <f>C2</f>
        <v>313860</v>
      </c>
      <c r="H6" s="1" t="s">
        <v>364</v>
      </c>
      <c r="I6" s="114">
        <f>C2*2.16</f>
        <v>677937.60000000009</v>
      </c>
      <c r="L6" s="272"/>
    </row>
    <row r="7" spans="1:12" x14ac:dyDescent="0.35">
      <c r="A7" s="1" t="s">
        <v>180</v>
      </c>
      <c r="B7" s="5">
        <v>416</v>
      </c>
      <c r="G7" s="246"/>
      <c r="H7" s="1" t="s">
        <v>366</v>
      </c>
      <c r="I7" s="114"/>
      <c r="L7" s="272"/>
    </row>
    <row r="8" spans="1:12" x14ac:dyDescent="0.35">
      <c r="A8" s="1" t="s">
        <v>181</v>
      </c>
      <c r="B8" s="5">
        <v>0</v>
      </c>
      <c r="G8" s="422">
        <f>C2</f>
        <v>313860</v>
      </c>
      <c r="H8" s="1" t="s">
        <v>365</v>
      </c>
      <c r="I8" s="418">
        <f>G8*2.64</f>
        <v>828590.4</v>
      </c>
      <c r="L8" s="272"/>
    </row>
    <row r="9" spans="1:12" x14ac:dyDescent="0.35">
      <c r="C9" s="123">
        <f>B5+B6+B7+B8</f>
        <v>11556</v>
      </c>
      <c r="G9" s="246"/>
      <c r="I9" s="114">
        <f>I8-I6</f>
        <v>150652.79999999993</v>
      </c>
      <c r="J9" s="1" t="s">
        <v>367</v>
      </c>
      <c r="L9" s="272"/>
    </row>
    <row r="10" spans="1:12" ht="15" thickBot="1" x14ac:dyDescent="0.4">
      <c r="A10" s="1" t="s">
        <v>182</v>
      </c>
      <c r="B10" s="5">
        <v>0</v>
      </c>
      <c r="G10" s="278"/>
      <c r="H10" s="281"/>
      <c r="I10" s="423"/>
      <c r="J10" s="281"/>
      <c r="K10" s="281"/>
      <c r="L10" s="284"/>
    </row>
    <row r="11" spans="1:12" x14ac:dyDescent="0.35">
      <c r="A11" s="1" t="s">
        <v>332</v>
      </c>
      <c r="B11" s="5">
        <v>1888</v>
      </c>
    </row>
    <row r="12" spans="1:12" x14ac:dyDescent="0.35">
      <c r="A12" s="1" t="s">
        <v>183</v>
      </c>
      <c r="B12" s="5">
        <v>44475</v>
      </c>
    </row>
    <row r="13" spans="1:12" x14ac:dyDescent="0.35">
      <c r="A13" s="1" t="s">
        <v>187</v>
      </c>
      <c r="B13" s="5">
        <v>2836</v>
      </c>
    </row>
    <row r="14" spans="1:12" x14ac:dyDescent="0.35">
      <c r="C14" s="123">
        <f>B10+B11+B12+B13</f>
        <v>49199</v>
      </c>
      <c r="D14" s="209">
        <f>C14/C2</f>
        <v>0.15675460396355062</v>
      </c>
      <c r="E14" s="1" t="s">
        <v>184</v>
      </c>
    </row>
    <row r="15" spans="1:12" x14ac:dyDescent="0.35">
      <c r="C15" s="123"/>
      <c r="D15" s="209">
        <v>0.15</v>
      </c>
      <c r="E15" s="1" t="s">
        <v>185</v>
      </c>
    </row>
    <row r="16" spans="1:12" x14ac:dyDescent="0.35">
      <c r="D16" s="215">
        <f>IF(D14&gt;D15,D14-D15,0)</f>
        <v>6.7546039635506261E-3</v>
      </c>
      <c r="E16" s="1" t="s">
        <v>186</v>
      </c>
      <c r="G16" s="18"/>
    </row>
    <row r="17" spans="1:7" x14ac:dyDescent="0.35">
      <c r="D17" s="215"/>
      <c r="G17" s="18"/>
    </row>
    <row r="19" spans="1:7" x14ac:dyDescent="0.35">
      <c r="A19" s="1" t="s">
        <v>220</v>
      </c>
      <c r="D19" s="1" t="s">
        <v>38</v>
      </c>
    </row>
    <row r="20" spans="1:7" x14ac:dyDescent="0.35">
      <c r="A20" s="1" t="s">
        <v>5</v>
      </c>
      <c r="B20" s="298">
        <f>SAO!D25</f>
        <v>650219</v>
      </c>
      <c r="D20" s="297">
        <f>-D16*B20</f>
        <v>-4391.9718345759247</v>
      </c>
    </row>
    <row r="21" spans="1:7" x14ac:dyDescent="0.35">
      <c r="A21" s="1" t="s">
        <v>6</v>
      </c>
      <c r="B21" s="298">
        <f>SAO!D27+SAO!D28</f>
        <v>43803</v>
      </c>
      <c r="D21" s="297">
        <f>-D16*B21</f>
        <v>-295.87191741540806</v>
      </c>
    </row>
    <row r="22" spans="1:7" x14ac:dyDescent="0.35">
      <c r="A22" s="1" t="s">
        <v>87</v>
      </c>
      <c r="B22" s="299">
        <f>SAO!D29</f>
        <v>0</v>
      </c>
      <c r="C22" s="300"/>
      <c r="D22" s="301">
        <f>D16*B22</f>
        <v>0</v>
      </c>
    </row>
    <row r="23" spans="1:7" x14ac:dyDescent="0.35">
      <c r="A23" s="1" t="s">
        <v>12</v>
      </c>
      <c r="B23" s="298">
        <f>SUM(B20:B22)</f>
        <v>694022</v>
      </c>
      <c r="D23" s="297">
        <f>SUM(D20:D22)</f>
        <v>-4687.8437519913332</v>
      </c>
    </row>
    <row r="24" spans="1:7" x14ac:dyDescent="0.35">
      <c r="B24" s="298"/>
      <c r="D24" s="297"/>
    </row>
    <row r="25" spans="1:7" x14ac:dyDescent="0.35">
      <c r="A25" s="1" t="s">
        <v>360</v>
      </c>
    </row>
    <row r="26" spans="1:7" x14ac:dyDescent="0.35">
      <c r="A26" s="1" t="s">
        <v>221</v>
      </c>
    </row>
    <row r="27" spans="1:7" x14ac:dyDescent="0.35">
      <c r="A27" s="1" t="s">
        <v>222</v>
      </c>
      <c r="D27" s="208">
        <f>-D23</f>
        <v>4687.8437519913332</v>
      </c>
    </row>
    <row r="28" spans="1:7" x14ac:dyDescent="0.35">
      <c r="A28" s="1" t="s">
        <v>223</v>
      </c>
      <c r="D28" s="145">
        <f>ExBA!D18</f>
        <v>56976</v>
      </c>
    </row>
    <row r="29" spans="1:7" x14ac:dyDescent="0.35">
      <c r="A29" s="1" t="s">
        <v>224</v>
      </c>
      <c r="D29" s="44">
        <f>D27/D28</f>
        <v>8.2277516006587573E-2</v>
      </c>
    </row>
  </sheetData>
  <mergeCells count="2">
    <mergeCell ref="G3:I3"/>
    <mergeCell ref="G2:I2"/>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7</vt:i4>
      </vt:variant>
    </vt:vector>
  </HeadingPairs>
  <TitlesOfParts>
    <vt:vector size="22" baseType="lpstr">
      <vt:lpstr>SAO</vt:lpstr>
      <vt:lpstr>Revenue Requirements</vt:lpstr>
      <vt:lpstr>References</vt:lpstr>
      <vt:lpstr>Wages</vt:lpstr>
      <vt:lpstr>Medical</vt:lpstr>
      <vt:lpstr>Capital</vt:lpstr>
      <vt:lpstr>Materials and Supplies</vt:lpstr>
      <vt:lpstr>Debt Service</vt:lpstr>
      <vt:lpstr>Water Loss</vt:lpstr>
      <vt:lpstr>Bills</vt:lpstr>
      <vt:lpstr>Depreciation</vt:lpstr>
      <vt:lpstr>Amortization</vt:lpstr>
      <vt:lpstr>Rates</vt:lpstr>
      <vt:lpstr>ExBA</vt:lpstr>
      <vt:lpstr>PrBA</vt:lpstr>
      <vt:lpstr>Bills!Print_Area</vt:lpstr>
      <vt:lpstr>'Debt Service'!Print_Area</vt:lpstr>
      <vt:lpstr>ExBA!Print_Area</vt:lpstr>
      <vt:lpstr>PrBA!Print_Area</vt:lpstr>
      <vt:lpstr>Rates!Print_Area</vt:lpstr>
      <vt:lpstr>'Revenue Requirements'!Print_Area</vt:lpstr>
      <vt:lpstr>SAO!Print_Area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dc:creator>
  <cp:lastModifiedBy>18595</cp:lastModifiedBy>
  <cp:lastPrinted>2022-06-27T18:39:08Z</cp:lastPrinted>
  <dcterms:created xsi:type="dcterms:W3CDTF">2016-05-18T14:12:06Z</dcterms:created>
  <dcterms:modified xsi:type="dcterms:W3CDTF">2023-03-16T02:11:40Z</dcterms:modified>
</cp:coreProperties>
</file>