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ROJECTS\Nicholas County\20016 - Phase 12 Water System Improvements\Corrospondence\RD Checklist\Summary Addendum\"/>
    </mc:Choice>
  </mc:AlternateContent>
  <xr:revisionPtr revIDLastSave="0" documentId="8_{5580C410-9B6D-42B5-86B3-875C64300B30}" xr6:coauthVersionLast="47" xr6:coauthVersionMax="47" xr10:uidLastSave="{00000000-0000-0000-0000-000000000000}"/>
  <bookViews>
    <workbookView xWindow="33465" yWindow="1815" windowWidth="21600" windowHeight="11835" activeTab="2" xr2:uid="{20C8DF72-4BB6-47A6-8B4A-AE5777E11008}"/>
  </bookViews>
  <sheets>
    <sheet name="Nicholas Usage" sheetId="1" r:id="rId1"/>
    <sheet name="Existing Water Income" sheetId="2" r:id="rId2"/>
    <sheet name="Forecasted Water Income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3" l="1"/>
  <c r="L36" i="3"/>
  <c r="I36" i="3"/>
  <c r="L35" i="3"/>
  <c r="I35" i="3"/>
  <c r="I33" i="3"/>
  <c r="L33" i="3"/>
  <c r="I32" i="3"/>
  <c r="L32" i="3"/>
  <c r="I31" i="3"/>
  <c r="L31" i="3"/>
  <c r="L29" i="3"/>
  <c r="I28" i="3"/>
  <c r="L28" i="3"/>
  <c r="L27" i="3"/>
  <c r="I27" i="3"/>
  <c r="L25" i="3"/>
  <c r="L24" i="3"/>
  <c r="I23" i="3"/>
  <c r="L23" i="3"/>
  <c r="L22" i="3"/>
  <c r="I22" i="3"/>
  <c r="L20" i="3"/>
  <c r="L19" i="3"/>
  <c r="I18" i="3"/>
  <c r="L18" i="3"/>
  <c r="I17" i="3"/>
  <c r="L17" i="3"/>
  <c r="I16" i="3"/>
  <c r="L16" i="3"/>
  <c r="L14" i="3"/>
  <c r="I13" i="3"/>
  <c r="L13" i="3"/>
  <c r="I12" i="3"/>
  <c r="L12" i="3"/>
  <c r="L11" i="3"/>
  <c r="L10" i="3"/>
  <c r="L9" i="3"/>
  <c r="G39" i="3"/>
  <c r="G44" i="3" s="1"/>
  <c r="I9" i="3"/>
  <c r="E40" i="2"/>
  <c r="I38" i="2"/>
  <c r="G38" i="2"/>
  <c r="H38" i="2" s="1"/>
  <c r="D38" i="2"/>
  <c r="C38" i="2"/>
  <c r="J36" i="2"/>
  <c r="G36" i="2"/>
  <c r="H36" i="2" s="1"/>
  <c r="F36" i="2"/>
  <c r="L36" i="2" s="1"/>
  <c r="D36" i="2"/>
  <c r="K36" i="2" s="1"/>
  <c r="C36" i="2"/>
  <c r="E36" i="2" s="1"/>
  <c r="I36" i="2" s="1"/>
  <c r="K35" i="2"/>
  <c r="J35" i="2"/>
  <c r="I35" i="2"/>
  <c r="G35" i="2"/>
  <c r="F35" i="2"/>
  <c r="L35" i="2" s="1"/>
  <c r="E35" i="2"/>
  <c r="D35" i="2"/>
  <c r="C35" i="2"/>
  <c r="H35" i="2" s="1"/>
  <c r="J33" i="2"/>
  <c r="K33" i="2" s="1"/>
  <c r="G33" i="2"/>
  <c r="E33" i="2"/>
  <c r="I33" i="2" s="1"/>
  <c r="D33" i="2"/>
  <c r="F33" i="2" s="1"/>
  <c r="L33" i="2" s="1"/>
  <c r="C33" i="2"/>
  <c r="H33" i="2" s="1"/>
  <c r="J32" i="2"/>
  <c r="G32" i="2"/>
  <c r="H32" i="2" s="1"/>
  <c r="E32" i="2"/>
  <c r="I32" i="2" s="1"/>
  <c r="D32" i="2"/>
  <c r="F32" i="2" s="1"/>
  <c r="L32" i="2" s="1"/>
  <c r="C32" i="2"/>
  <c r="K31" i="2"/>
  <c r="J31" i="2"/>
  <c r="I31" i="2"/>
  <c r="G31" i="2"/>
  <c r="F31" i="2"/>
  <c r="L31" i="2" s="1"/>
  <c r="E31" i="2"/>
  <c r="D31" i="2"/>
  <c r="C31" i="2"/>
  <c r="H31" i="2" s="1"/>
  <c r="K29" i="2"/>
  <c r="J29" i="2"/>
  <c r="G29" i="2"/>
  <c r="F29" i="2"/>
  <c r="L29" i="2" s="1"/>
  <c r="D29" i="2"/>
  <c r="C29" i="2"/>
  <c r="H29" i="2" s="1"/>
  <c r="K28" i="2"/>
  <c r="J28" i="2"/>
  <c r="G28" i="2"/>
  <c r="E28" i="2"/>
  <c r="I28" i="2" s="1"/>
  <c r="D28" i="2"/>
  <c r="F28" i="2" s="1"/>
  <c r="L28" i="2" s="1"/>
  <c r="C28" i="2"/>
  <c r="H28" i="2" s="1"/>
  <c r="L27" i="2"/>
  <c r="J27" i="2"/>
  <c r="G27" i="2"/>
  <c r="F27" i="2"/>
  <c r="E27" i="2"/>
  <c r="I27" i="2" s="1"/>
  <c r="D27" i="2"/>
  <c r="K27" i="2" s="1"/>
  <c r="C27" i="2"/>
  <c r="H27" i="2" s="1"/>
  <c r="J25" i="2"/>
  <c r="G25" i="2"/>
  <c r="F25" i="2"/>
  <c r="L25" i="2" s="1"/>
  <c r="D25" i="2"/>
  <c r="K25" i="2" s="1"/>
  <c r="C25" i="2"/>
  <c r="H25" i="2" s="1"/>
  <c r="K24" i="2"/>
  <c r="J24" i="2"/>
  <c r="G24" i="2"/>
  <c r="F24" i="2"/>
  <c r="L24" i="2" s="1"/>
  <c r="D24" i="2"/>
  <c r="C24" i="2"/>
  <c r="H24" i="2" s="1"/>
  <c r="J23" i="2"/>
  <c r="K23" i="2" s="1"/>
  <c r="G23" i="2"/>
  <c r="E23" i="2"/>
  <c r="I23" i="2" s="1"/>
  <c r="D23" i="2"/>
  <c r="F23" i="2" s="1"/>
  <c r="L23" i="2" s="1"/>
  <c r="C23" i="2"/>
  <c r="H23" i="2" s="1"/>
  <c r="L22" i="2"/>
  <c r="J22" i="2"/>
  <c r="G22" i="2"/>
  <c r="F22" i="2"/>
  <c r="E22" i="2"/>
  <c r="I22" i="2" s="1"/>
  <c r="D22" i="2"/>
  <c r="K22" i="2" s="1"/>
  <c r="C22" i="2"/>
  <c r="H22" i="2" s="1"/>
  <c r="J20" i="2"/>
  <c r="G20" i="2"/>
  <c r="F20" i="2"/>
  <c r="L20" i="2" s="1"/>
  <c r="D20" i="2"/>
  <c r="K20" i="2" s="1"/>
  <c r="C20" i="2"/>
  <c r="H20" i="2" s="1"/>
  <c r="K19" i="2"/>
  <c r="J19" i="2"/>
  <c r="G19" i="2"/>
  <c r="F19" i="2"/>
  <c r="L19" i="2" s="1"/>
  <c r="D19" i="2"/>
  <c r="C19" i="2"/>
  <c r="H19" i="2" s="1"/>
  <c r="J18" i="2"/>
  <c r="K18" i="2" s="1"/>
  <c r="G18" i="2"/>
  <c r="E18" i="2"/>
  <c r="I18" i="2" s="1"/>
  <c r="D18" i="2"/>
  <c r="F18" i="2" s="1"/>
  <c r="L18" i="2" s="1"/>
  <c r="C18" i="2"/>
  <c r="H18" i="2" s="1"/>
  <c r="J17" i="2"/>
  <c r="G17" i="2"/>
  <c r="E17" i="2"/>
  <c r="I17" i="2" s="1"/>
  <c r="D17" i="2"/>
  <c r="F17" i="2" s="1"/>
  <c r="L17" i="2" s="1"/>
  <c r="C17" i="2"/>
  <c r="H17" i="2" s="1"/>
  <c r="J16" i="2"/>
  <c r="I16" i="2"/>
  <c r="G16" i="2"/>
  <c r="F16" i="2"/>
  <c r="L16" i="2" s="1"/>
  <c r="E16" i="2"/>
  <c r="D16" i="2"/>
  <c r="K16" i="2" s="1"/>
  <c r="C16" i="2"/>
  <c r="H16" i="2" s="1"/>
  <c r="K14" i="2"/>
  <c r="J14" i="2"/>
  <c r="G14" i="2"/>
  <c r="F14" i="2"/>
  <c r="L14" i="2" s="1"/>
  <c r="D14" i="2"/>
  <c r="C14" i="2"/>
  <c r="H14" i="2" s="1"/>
  <c r="J13" i="2"/>
  <c r="K13" i="2" s="1"/>
  <c r="G13" i="2"/>
  <c r="E13" i="2"/>
  <c r="I13" i="2" s="1"/>
  <c r="D13" i="2"/>
  <c r="F13" i="2" s="1"/>
  <c r="L13" i="2" s="1"/>
  <c r="C13" i="2"/>
  <c r="H13" i="2" s="1"/>
  <c r="J12" i="2"/>
  <c r="G12" i="2"/>
  <c r="E12" i="2"/>
  <c r="I12" i="2" s="1"/>
  <c r="D12" i="2"/>
  <c r="F12" i="2" s="1"/>
  <c r="L12" i="2" s="1"/>
  <c r="C12" i="2"/>
  <c r="H12" i="2" s="1"/>
  <c r="J11" i="2"/>
  <c r="G11" i="2"/>
  <c r="F11" i="2"/>
  <c r="L11" i="2" s="1"/>
  <c r="D11" i="2"/>
  <c r="K11" i="2" s="1"/>
  <c r="C11" i="2"/>
  <c r="H11" i="2" s="1"/>
  <c r="K10" i="2"/>
  <c r="J10" i="2"/>
  <c r="G10" i="2"/>
  <c r="F10" i="2"/>
  <c r="L10" i="2" s="1"/>
  <c r="D10" i="2"/>
  <c r="C10" i="2"/>
  <c r="H10" i="2" s="1"/>
  <c r="K9" i="2"/>
  <c r="J9" i="2"/>
  <c r="L9" i="2" s="1"/>
  <c r="G9" i="2"/>
  <c r="G39" i="2" s="1"/>
  <c r="G44" i="2" s="1"/>
  <c r="F9" i="2"/>
  <c r="E9" i="2"/>
  <c r="I9" i="2" s="1"/>
  <c r="D9" i="2"/>
  <c r="C9" i="2"/>
  <c r="H9" i="2" s="1"/>
  <c r="Q39" i="1"/>
  <c r="Q44" i="1" s="1"/>
  <c r="N39" i="1"/>
  <c r="N44" i="1" s="1"/>
  <c r="O37" i="1"/>
  <c r="R35" i="1"/>
  <c r="O35" i="1"/>
  <c r="R34" i="1"/>
  <c r="O34" i="1"/>
  <c r="R32" i="1"/>
  <c r="O32" i="1"/>
  <c r="R31" i="1"/>
  <c r="O31" i="1"/>
  <c r="R30" i="1"/>
  <c r="O30" i="1"/>
  <c r="R28" i="1"/>
  <c r="O28" i="1"/>
  <c r="R27" i="1"/>
  <c r="O27" i="1"/>
  <c r="R26" i="1"/>
  <c r="O26" i="1"/>
  <c r="R24" i="1"/>
  <c r="O24" i="1"/>
  <c r="R23" i="1"/>
  <c r="O23" i="1"/>
  <c r="R22" i="1"/>
  <c r="O22" i="1"/>
  <c r="R21" i="1"/>
  <c r="O21" i="1"/>
  <c r="R19" i="1"/>
  <c r="O19" i="1"/>
  <c r="R18" i="1"/>
  <c r="O18" i="1"/>
  <c r="R17" i="1"/>
  <c r="O17" i="1"/>
  <c r="R16" i="1"/>
  <c r="O16" i="1"/>
  <c r="R15" i="1"/>
  <c r="O15" i="1"/>
  <c r="E15" i="1"/>
  <c r="R13" i="1"/>
  <c r="O13" i="1"/>
  <c r="R12" i="1"/>
  <c r="O12" i="1"/>
  <c r="R11" i="1"/>
  <c r="O11" i="1"/>
  <c r="G11" i="1"/>
  <c r="G15" i="1" s="1"/>
  <c r="E11" i="1"/>
  <c r="R10" i="1"/>
  <c r="O10" i="1"/>
  <c r="H10" i="1"/>
  <c r="F10" i="1"/>
  <c r="R9" i="1"/>
  <c r="O9" i="1"/>
  <c r="H9" i="1"/>
  <c r="H11" i="1" s="1"/>
  <c r="H15" i="1" s="1"/>
  <c r="F9" i="1"/>
  <c r="R8" i="1"/>
  <c r="R39" i="1" s="1"/>
  <c r="R44" i="1" s="1"/>
  <c r="O8" i="1"/>
  <c r="H8" i="1"/>
  <c r="F8" i="1"/>
  <c r="L39" i="3" l="1"/>
  <c r="L44" i="3" s="1"/>
  <c r="H39" i="3"/>
  <c r="I10" i="3"/>
  <c r="I14" i="3"/>
  <c r="I19" i="3"/>
  <c r="I24" i="3"/>
  <c r="I29" i="3"/>
  <c r="I11" i="3"/>
  <c r="K39" i="3"/>
  <c r="I20" i="3"/>
  <c r="I25" i="3"/>
  <c r="J39" i="3"/>
  <c r="J44" i="3" s="1"/>
  <c r="L39" i="2"/>
  <c r="L44" i="2" s="1"/>
  <c r="H39" i="2"/>
  <c r="E10" i="2"/>
  <c r="I10" i="2" s="1"/>
  <c r="I39" i="2" s="1"/>
  <c r="I44" i="2" s="1"/>
  <c r="E14" i="2"/>
  <c r="I14" i="2" s="1"/>
  <c r="E19" i="2"/>
  <c r="I19" i="2" s="1"/>
  <c r="E24" i="2"/>
  <c r="I24" i="2" s="1"/>
  <c r="E29" i="2"/>
  <c r="I29" i="2" s="1"/>
  <c r="E11" i="2"/>
  <c r="I11" i="2" s="1"/>
  <c r="K12" i="2"/>
  <c r="K39" i="2" s="1"/>
  <c r="K17" i="2"/>
  <c r="E20" i="2"/>
  <c r="I20" i="2" s="1"/>
  <c r="E25" i="2"/>
  <c r="I25" i="2" s="1"/>
  <c r="K32" i="2"/>
  <c r="J39" i="2"/>
  <c r="J44" i="2" s="1"/>
  <c r="F11" i="1"/>
  <c r="F15" i="1" s="1"/>
  <c r="O39" i="1"/>
  <c r="O44" i="1" s="1"/>
  <c r="R41" i="1"/>
  <c r="I39" i="3" l="1"/>
  <c r="I44" i="3" s="1"/>
  <c r="K44" i="3"/>
  <c r="K41" i="3"/>
  <c r="H44" i="3"/>
  <c r="H41" i="3"/>
  <c r="K44" i="2"/>
  <c r="K41" i="2"/>
  <c r="H44" i="2"/>
  <c r="H41" i="2"/>
  <c r="O41" i="1"/>
</calcChain>
</file>

<file path=xl/sharedStrings.xml><?xml version="1.0" encoding="utf-8"?>
<sst xmlns="http://schemas.openxmlformats.org/spreadsheetml/2006/main" count="183" uniqueCount="52">
  <si>
    <t>XI.  ANALYSIS OF ACTUAL SEWER USAGE - EXISTING SYSTEM</t>
  </si>
  <si>
    <t>ANALYSIS OF ACTUAL WATER USAGE - EXISTING SYSTEM</t>
  </si>
  <si>
    <t>Residential</t>
  </si>
  <si>
    <t>Non-Residential</t>
  </si>
  <si>
    <t>Commercial</t>
  </si>
  <si>
    <t>MONTHLY SEWER USAGE</t>
  </si>
  <si>
    <t xml:space="preserve">No. of </t>
  </si>
  <si>
    <t>Usage</t>
  </si>
  <si>
    <t>MONTHLY WATER  USAGE</t>
  </si>
  <si>
    <t>Average</t>
  </si>
  <si>
    <t>Users</t>
  </si>
  <si>
    <t>1,000</t>
  </si>
  <si>
    <t>5/8 x 3/4 meter</t>
  </si>
  <si>
    <t xml:space="preserve">         0 -   1,000 Gal.</t>
  </si>
  <si>
    <t xml:space="preserve">  1,000 -   2,000 Gal.</t>
  </si>
  <si>
    <t xml:space="preserve">   1,001 -   3,000 Gal.</t>
  </si>
  <si>
    <t xml:space="preserve">  2,000 -   3,000 Gal.</t>
  </si>
  <si>
    <t xml:space="preserve">   3,001 -   5,000 Gal.</t>
  </si>
  <si>
    <t>Subtotal</t>
  </si>
  <si>
    <t xml:space="preserve">  5,001 -   10,000 Gal.</t>
  </si>
  <si>
    <t xml:space="preserve">Average Monthly Rate </t>
  </si>
  <si>
    <t>10,001 -   25,000 Gal.</t>
  </si>
  <si>
    <t xml:space="preserve">Average Monthly Usage </t>
  </si>
  <si>
    <t xml:space="preserve">  All Over 25,000 Gal.</t>
  </si>
  <si>
    <t>1" meter</t>
  </si>
  <si>
    <t>Totals</t>
  </si>
  <si>
    <t xml:space="preserve">         0 -   3,000 Gal.</t>
  </si>
  <si>
    <t xml:space="preserve"> 5,001 -   10,000 Gal.</t>
  </si>
  <si>
    <t>1 &amp; 1/2" meter</t>
  </si>
  <si>
    <t xml:space="preserve">         0 -   5,000 Gal.</t>
  </si>
  <si>
    <t xml:space="preserve">   5,001 -   10,000 Gal.</t>
  </si>
  <si>
    <t xml:space="preserve"> 10,001 -   25,000 Gal.</t>
  </si>
  <si>
    <t>2" meter</t>
  </si>
  <si>
    <t xml:space="preserve">         0 -   10,000 Gal.</t>
  </si>
  <si>
    <t xml:space="preserve">   10,001 -   25,000 Gal.</t>
  </si>
  <si>
    <t>3" meter</t>
  </si>
  <si>
    <t xml:space="preserve">         0 -   15,000 Gal.</t>
  </si>
  <si>
    <t xml:space="preserve">   15,001 -   25,000 Gal.</t>
  </si>
  <si>
    <t>4" meter</t>
  </si>
  <si>
    <t xml:space="preserve">         0 -   25,000 Gal.</t>
  </si>
  <si>
    <t>Re-sale</t>
  </si>
  <si>
    <t>HCWA</t>
  </si>
  <si>
    <t>Total Water Purchased and/or Produced</t>
  </si>
  <si>
    <t>Total Water Sold (Gallons)</t>
  </si>
  <si>
    <t>WATER - INCOME -  EXISTING SYSTEM</t>
  </si>
  <si>
    <t>MONTHLY WATER USAGE</t>
  </si>
  <si>
    <t>AVERAGE</t>
  </si>
  <si>
    <t>RATE</t>
  </si>
  <si>
    <t>Income</t>
  </si>
  <si>
    <t>Sub-Total</t>
  </si>
  <si>
    <t>Average Monthly Rate</t>
  </si>
  <si>
    <t>XXV. FORECAST OF WATER USAGE - INCOME -  EXISTING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</si>
</sst>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;;;"/>
    <numFmt numFmtId="167" formatCode="0.00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i/>
      <sz val="10"/>
      <name val="Helvetica"/>
      <family val="2"/>
    </font>
    <font>
      <i/>
      <sz val="10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i/>
      <u/>
      <sz val="10"/>
      <name val="Helvetica"/>
      <family val="2"/>
    </font>
    <font>
      <u/>
      <sz val="10"/>
      <name val="Helvetica"/>
      <family val="2"/>
    </font>
    <font>
      <i/>
      <sz val="10"/>
      <name val="Helv"/>
    </font>
    <font>
      <sz val="10"/>
      <name val="Arial"/>
      <family val="2"/>
    </font>
    <font>
      <i/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10"/>
      <color indexed="50"/>
      <name val="Arial"/>
      <family val="2"/>
    </font>
    <font>
      <u/>
      <sz val="10"/>
      <color indexed="50"/>
      <name val="Arial"/>
      <family val="2"/>
    </font>
    <font>
      <sz val="10"/>
      <color rgb="FF7030A0"/>
      <name val="Arial"/>
      <family val="2"/>
    </font>
    <font>
      <sz val="10"/>
      <color indexed="28"/>
      <name val="Arial"/>
      <family val="2"/>
    </font>
    <font>
      <i/>
      <sz val="10"/>
      <name val="Arial"/>
      <family val="2"/>
    </font>
    <font>
      <i/>
      <sz val="10"/>
      <color indexed="28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</cellStyleXfs>
  <cellXfs count="127">
    <xf numFmtId="0" fontId="0" fillId="0" borderId="0" xfId="0"/>
    <xf numFmtId="164" fontId="3" fillId="0" borderId="0" xfId="3" applyFont="1" applyAlignment="1">
      <alignment horizontal="left"/>
    </xf>
    <xf numFmtId="164" fontId="4" fillId="0" borderId="0" xfId="3" applyFont="1"/>
    <xf numFmtId="164" fontId="2" fillId="0" borderId="0" xfId="3"/>
    <xf numFmtId="164" fontId="5" fillId="0" borderId="0" xfId="3" applyFont="1" applyAlignment="1">
      <alignment horizontal="left"/>
    </xf>
    <xf numFmtId="164" fontId="6" fillId="0" borderId="0" xfId="3" applyFont="1"/>
    <xf numFmtId="164" fontId="3" fillId="0" borderId="0" xfId="3" applyFont="1"/>
    <xf numFmtId="164" fontId="5" fillId="0" borderId="0" xfId="3" applyFont="1"/>
    <xf numFmtId="0" fontId="4" fillId="0" borderId="0" xfId="0" applyFont="1"/>
    <xf numFmtId="164" fontId="7" fillId="0" borderId="0" xfId="3" applyFont="1"/>
    <xf numFmtId="164" fontId="7" fillId="0" borderId="0" xfId="3" applyFont="1" applyAlignment="1">
      <alignment horizontal="left"/>
    </xf>
    <xf numFmtId="164" fontId="4" fillId="0" borderId="1" xfId="3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/>
    <xf numFmtId="164" fontId="8" fillId="0" borderId="0" xfId="3" applyFont="1"/>
    <xf numFmtId="164" fontId="8" fillId="0" borderId="0" xfId="3" applyFont="1" applyAlignment="1">
      <alignment horizontal="left"/>
    </xf>
    <xf numFmtId="164" fontId="6" fillId="0" borderId="2" xfId="3" applyFont="1" applyBorder="1" applyAlignment="1">
      <alignment horizontal="center"/>
    </xf>
    <xf numFmtId="0" fontId="6" fillId="0" borderId="0" xfId="0" applyFont="1" applyAlignment="1">
      <alignment horizontal="centerContinuous"/>
    </xf>
    <xf numFmtId="164" fontId="4" fillId="2" borderId="0" xfId="3" applyFont="1" applyFill="1" applyAlignment="1">
      <alignment horizontal="center"/>
    </xf>
    <xf numFmtId="164" fontId="4" fillId="0" borderId="3" xfId="3" applyFont="1" applyBorder="1" applyAlignment="1">
      <alignment horizontal="center"/>
    </xf>
    <xf numFmtId="164" fontId="4" fillId="2" borderId="3" xfId="3" applyFont="1" applyFill="1" applyBorder="1" applyAlignment="1">
      <alignment horizontal="center"/>
    </xf>
    <xf numFmtId="164" fontId="2" fillId="0" borderId="0" xfId="3" applyAlignment="1">
      <alignment horizontal="center"/>
    </xf>
    <xf numFmtId="0" fontId="6" fillId="0" borderId="4" xfId="0" applyFont="1" applyBorder="1"/>
    <xf numFmtId="164" fontId="6" fillId="2" borderId="0" xfId="3" applyFont="1" applyFill="1" applyAlignment="1">
      <alignment horizontal="center"/>
    </xf>
    <xf numFmtId="164" fontId="6" fillId="0" borderId="3" xfId="3" applyFont="1" applyBorder="1" applyAlignment="1">
      <alignment horizontal="center"/>
    </xf>
    <xf numFmtId="164" fontId="6" fillId="2" borderId="3" xfId="3" applyFont="1" applyFill="1" applyBorder="1" applyAlignment="1">
      <alignment horizontal="center"/>
    </xf>
    <xf numFmtId="164" fontId="7" fillId="0" borderId="2" xfId="3" applyFont="1" applyBorder="1" applyAlignment="1">
      <alignment horizontal="center"/>
    </xf>
    <xf numFmtId="164" fontId="4" fillId="0" borderId="2" xfId="3" applyFont="1" applyBorder="1"/>
    <xf numFmtId="164" fontId="7" fillId="0" borderId="2" xfId="3" applyFont="1" applyBorder="1" applyAlignment="1">
      <alignment horizontal="left"/>
    </xf>
    <xf numFmtId="164" fontId="4" fillId="2" borderId="2" xfId="3" applyFont="1" applyFill="1" applyBorder="1" applyAlignment="1">
      <alignment horizontal="center"/>
    </xf>
    <xf numFmtId="164" fontId="4" fillId="0" borderId="5" xfId="3" applyFont="1" applyBorder="1" applyAlignment="1">
      <alignment horizontal="center"/>
    </xf>
    <xf numFmtId="164" fontId="4" fillId="2" borderId="5" xfId="3" applyFont="1" applyFill="1" applyBorder="1" applyAlignment="1">
      <alignment horizontal="center"/>
    </xf>
    <xf numFmtId="164" fontId="8" fillId="0" borderId="2" xfId="3" applyFont="1" applyBorder="1" applyAlignment="1">
      <alignment horizontal="center"/>
    </xf>
    <xf numFmtId="164" fontId="6" fillId="0" borderId="2" xfId="3" applyFont="1" applyBorder="1"/>
    <xf numFmtId="164" fontId="8" fillId="0" borderId="6" xfId="3" applyFont="1" applyBorder="1" applyAlignment="1">
      <alignment horizontal="left"/>
    </xf>
    <xf numFmtId="164" fontId="6" fillId="2" borderId="2" xfId="3" applyFont="1" applyFill="1" applyBorder="1" applyAlignment="1">
      <alignment horizontal="center"/>
    </xf>
    <xf numFmtId="164" fontId="6" fillId="0" borderId="5" xfId="3" applyFont="1" applyBorder="1" applyAlignment="1">
      <alignment horizontal="center"/>
    </xf>
    <xf numFmtId="164" fontId="8" fillId="0" borderId="7" xfId="3" applyFont="1" applyBorder="1" applyAlignment="1">
      <alignment horizontal="center"/>
    </xf>
    <xf numFmtId="164" fontId="6" fillId="2" borderId="5" xfId="3" applyFont="1" applyFill="1" applyBorder="1" applyAlignment="1">
      <alignment horizontal="center"/>
    </xf>
    <xf numFmtId="164" fontId="9" fillId="0" borderId="0" xfId="3" applyFont="1"/>
    <xf numFmtId="164" fontId="4" fillId="0" borderId="8" xfId="3" applyFont="1" applyBorder="1" applyAlignment="1">
      <alignment horizontal="center"/>
    </xf>
    <xf numFmtId="164" fontId="4" fillId="0" borderId="0" xfId="3" applyFont="1" applyAlignment="1">
      <alignment horizontal="left"/>
    </xf>
    <xf numFmtId="37" fontId="4" fillId="0" borderId="0" xfId="3" applyNumberFormat="1" applyFont="1"/>
    <xf numFmtId="164" fontId="2" fillId="0" borderId="0" xfId="3" applyAlignment="1">
      <alignment horizontal="left"/>
    </xf>
    <xf numFmtId="37" fontId="2" fillId="0" borderId="0" xfId="3" applyNumberFormat="1"/>
    <xf numFmtId="164" fontId="6" fillId="0" borderId="0" xfId="3" applyFont="1" applyAlignment="1">
      <alignment horizontal="center"/>
    </xf>
    <xf numFmtId="37" fontId="6" fillId="0" borderId="0" xfId="3" applyNumberFormat="1" applyFont="1"/>
    <xf numFmtId="164" fontId="10" fillId="0" borderId="0" xfId="3" applyFont="1"/>
    <xf numFmtId="1" fontId="6" fillId="0" borderId="0" xfId="3" applyNumberFormat="1" applyFont="1"/>
    <xf numFmtId="164" fontId="4" fillId="0" borderId="9" xfId="3" applyFont="1" applyBorder="1"/>
    <xf numFmtId="37" fontId="4" fillId="0" borderId="9" xfId="3" applyNumberFormat="1" applyFont="1" applyBorder="1"/>
    <xf numFmtId="0" fontId="11" fillId="0" borderId="0" xfId="0" applyFont="1"/>
    <xf numFmtId="37" fontId="9" fillId="0" borderId="0" xfId="3" applyNumberFormat="1" applyFont="1"/>
    <xf numFmtId="164" fontId="4" fillId="0" borderId="10" xfId="3" applyFont="1" applyBorder="1"/>
    <xf numFmtId="37" fontId="4" fillId="0" borderId="10" xfId="3" applyNumberFormat="1" applyFont="1" applyBorder="1"/>
    <xf numFmtId="164" fontId="4" fillId="0" borderId="2" xfId="3" applyFont="1" applyBorder="1" applyAlignment="1">
      <alignment horizontal="center"/>
    </xf>
    <xf numFmtId="164" fontId="3" fillId="0" borderId="10" xfId="3" applyFont="1" applyBorder="1"/>
    <xf numFmtId="165" fontId="3" fillId="0" borderId="10" xfId="1" applyNumberFormat="1" applyFont="1" applyBorder="1"/>
    <xf numFmtId="164" fontId="11" fillId="0" borderId="0" xfId="0" applyNumberFormat="1" applyFont="1"/>
    <xf numFmtId="165" fontId="11" fillId="0" borderId="0" xfId="1" applyNumberFormat="1" applyFont="1" applyBorder="1"/>
    <xf numFmtId="165" fontId="9" fillId="0" borderId="0" xfId="1" applyNumberFormat="1" applyFont="1" applyBorder="1" applyProtection="1"/>
    <xf numFmtId="164" fontId="6" fillId="0" borderId="11" xfId="3" applyFont="1" applyBorder="1" applyAlignment="1">
      <alignment horizontal="center"/>
    </xf>
    <xf numFmtId="164" fontId="6" fillId="0" borderId="0" xfId="3" applyFont="1" applyAlignment="1">
      <alignment horizontal="center"/>
    </xf>
    <xf numFmtId="1" fontId="4" fillId="0" borderId="9" xfId="3" applyNumberFormat="1" applyFont="1" applyBorder="1"/>
    <xf numFmtId="164" fontId="6" fillId="0" borderId="0" xfId="3" applyFont="1" applyAlignment="1">
      <alignment horizontal="left"/>
    </xf>
    <xf numFmtId="164" fontId="6" fillId="0" borderId="10" xfId="3" applyFont="1" applyBorder="1"/>
    <xf numFmtId="37" fontId="6" fillId="0" borderId="10" xfId="3" applyNumberFormat="1" applyFont="1" applyBorder="1"/>
    <xf numFmtId="165" fontId="9" fillId="0" borderId="0" xfId="1" applyNumberFormat="1" applyFont="1" applyBorder="1"/>
    <xf numFmtId="164" fontId="5" fillId="0" borderId="10" xfId="3" applyFont="1" applyBorder="1"/>
    <xf numFmtId="0" fontId="10" fillId="0" borderId="0" xfId="0" applyFont="1"/>
    <xf numFmtId="3" fontId="0" fillId="0" borderId="2" xfId="0" applyNumberFormat="1" applyBorder="1" applyAlignment="1">
      <alignment horizontal="center"/>
    </xf>
    <xf numFmtId="37" fontId="10" fillId="0" borderId="0" xfId="3" applyNumberFormat="1" applyFont="1"/>
    <xf numFmtId="37" fontId="10" fillId="0" borderId="8" xfId="3" applyNumberFormat="1" applyFont="1" applyBorder="1" applyAlignment="1">
      <alignment horizontal="center"/>
    </xf>
    <xf numFmtId="164" fontId="12" fillId="0" borderId="0" xfId="3" applyFont="1" applyAlignment="1">
      <alignment horizontal="left"/>
    </xf>
    <xf numFmtId="164" fontId="13" fillId="0" borderId="0" xfId="3" applyFont="1"/>
    <xf numFmtId="164" fontId="14" fillId="0" borderId="0" xfId="3" applyFont="1"/>
    <xf numFmtId="164" fontId="14" fillId="0" borderId="0" xfId="3" applyFont="1" applyAlignment="1">
      <alignment horizontal="left"/>
    </xf>
    <xf numFmtId="0" fontId="15" fillId="0" borderId="0" xfId="0" applyFont="1" applyProtection="1">
      <protection hidden="1"/>
    </xf>
    <xf numFmtId="164" fontId="16" fillId="0" borderId="0" xfId="3" applyFont="1" applyAlignment="1">
      <alignment horizontal="center"/>
    </xf>
    <xf numFmtId="164" fontId="14" fillId="0" borderId="1" xfId="3" applyFont="1" applyBorder="1"/>
    <xf numFmtId="164" fontId="10" fillId="0" borderId="1" xfId="3" applyFont="1" applyBorder="1" applyAlignment="1">
      <alignment horizontal="left"/>
    </xf>
    <xf numFmtId="164" fontId="10" fillId="0" borderId="1" xfId="3" applyFont="1" applyBorder="1"/>
    <xf numFmtId="164" fontId="14" fillId="0" borderId="0" xfId="3" applyFont="1" applyAlignment="1">
      <alignment horizontal="center"/>
    </xf>
    <xf numFmtId="164" fontId="17" fillId="0" borderId="0" xfId="3" applyFont="1" applyAlignment="1">
      <alignment horizontal="center"/>
    </xf>
    <xf numFmtId="164" fontId="10" fillId="2" borderId="0" xfId="3" applyFont="1" applyFill="1" applyAlignment="1">
      <alignment horizontal="center"/>
    </xf>
    <xf numFmtId="164" fontId="10" fillId="0" borderId="3" xfId="3" applyFont="1" applyBorder="1" applyAlignment="1">
      <alignment horizontal="center"/>
    </xf>
    <xf numFmtId="164" fontId="10" fillId="2" borderId="3" xfId="3" applyFont="1" applyFill="1" applyBorder="1" applyAlignment="1">
      <alignment horizontal="center"/>
    </xf>
    <xf numFmtId="164" fontId="10" fillId="0" borderId="12" xfId="3" applyFont="1" applyBorder="1" applyAlignment="1">
      <alignment horizontal="center"/>
    </xf>
    <xf numFmtId="164" fontId="14" fillId="0" borderId="2" xfId="3" applyFont="1" applyBorder="1" applyAlignment="1">
      <alignment horizontal="left"/>
    </xf>
    <xf numFmtId="164" fontId="10" fillId="0" borderId="2" xfId="3" applyFont="1" applyBorder="1"/>
    <xf numFmtId="164" fontId="14" fillId="0" borderId="2" xfId="3" applyFont="1" applyBorder="1" applyAlignment="1">
      <alignment horizontal="center"/>
    </xf>
    <xf numFmtId="164" fontId="17" fillId="0" borderId="2" xfId="3" applyFont="1" applyBorder="1" applyAlignment="1">
      <alignment horizontal="center"/>
    </xf>
    <xf numFmtId="164" fontId="10" fillId="2" borderId="6" xfId="3" applyFont="1" applyFill="1" applyBorder="1" applyAlignment="1">
      <alignment horizontal="center"/>
    </xf>
    <xf numFmtId="164" fontId="10" fillId="0" borderId="6" xfId="3" applyFont="1" applyBorder="1" applyAlignment="1">
      <alignment horizontal="center"/>
    </xf>
    <xf numFmtId="164" fontId="10" fillId="0" borderId="6" xfId="3" applyFont="1" applyBorder="1"/>
    <xf numFmtId="164" fontId="10" fillId="0" borderId="13" xfId="3" applyFont="1" applyBorder="1"/>
    <xf numFmtId="166" fontId="16" fillId="0" borderId="0" xfId="3" applyNumberFormat="1" applyFont="1"/>
    <xf numFmtId="164" fontId="10" fillId="0" borderId="0" xfId="3" applyFont="1" applyAlignment="1">
      <alignment horizontal="center"/>
    </xf>
    <xf numFmtId="44" fontId="16" fillId="0" borderId="0" xfId="3" applyNumberFormat="1" applyFont="1"/>
    <xf numFmtId="1" fontId="10" fillId="0" borderId="0" xfId="3" applyNumberFormat="1" applyFont="1" applyAlignment="1">
      <alignment horizontal="center"/>
    </xf>
    <xf numFmtId="44" fontId="18" fillId="0" borderId="0" xfId="3" applyNumberFormat="1" applyFont="1"/>
    <xf numFmtId="44" fontId="16" fillId="0" borderId="0" xfId="2" applyFont="1"/>
    <xf numFmtId="37" fontId="19" fillId="0" borderId="0" xfId="3" applyNumberFormat="1" applyFont="1"/>
    <xf numFmtId="44" fontId="19" fillId="0" borderId="0" xfId="3" applyNumberFormat="1" applyFont="1"/>
    <xf numFmtId="164" fontId="20" fillId="0" borderId="9" xfId="3" applyFont="1" applyBorder="1" applyAlignment="1">
      <alignment horizontal="left"/>
    </xf>
    <xf numFmtId="164" fontId="20" fillId="0" borderId="8" xfId="3" applyFont="1" applyBorder="1" applyAlignment="1">
      <alignment horizontal="left"/>
    </xf>
    <xf numFmtId="167" fontId="16" fillId="0" borderId="8" xfId="3" applyNumberFormat="1" applyFont="1" applyBorder="1"/>
    <xf numFmtId="165" fontId="20" fillId="0" borderId="9" xfId="1" applyNumberFormat="1" applyFont="1" applyBorder="1" applyProtection="1"/>
    <xf numFmtId="37" fontId="20" fillId="0" borderId="9" xfId="3" applyNumberFormat="1" applyFont="1" applyBorder="1"/>
    <xf numFmtId="44" fontId="21" fillId="0" borderId="9" xfId="3" applyNumberFormat="1" applyFont="1" applyBorder="1"/>
    <xf numFmtId="1" fontId="20" fillId="0" borderId="9" xfId="3" applyNumberFormat="1" applyFont="1" applyBorder="1"/>
    <xf numFmtId="164" fontId="10" fillId="0" borderId="0" xfId="3" applyFont="1" applyAlignment="1">
      <alignment horizontal="left"/>
    </xf>
    <xf numFmtId="44" fontId="16" fillId="0" borderId="0" xfId="2" applyFont="1" applyProtection="1"/>
    <xf numFmtId="167" fontId="19" fillId="0" borderId="0" xfId="3" applyNumberFormat="1" applyFont="1"/>
    <xf numFmtId="164" fontId="19" fillId="0" borderId="0" xfId="3" applyFont="1"/>
    <xf numFmtId="164" fontId="10" fillId="0" borderId="10" xfId="3" applyFont="1" applyBorder="1"/>
    <xf numFmtId="37" fontId="10" fillId="0" borderId="10" xfId="3" applyNumberFormat="1" applyFont="1" applyBorder="1"/>
    <xf numFmtId="164" fontId="19" fillId="0" borderId="10" xfId="3" applyFont="1" applyBorder="1"/>
    <xf numFmtId="0" fontId="19" fillId="0" borderId="0" xfId="0" applyFont="1"/>
    <xf numFmtId="164" fontId="20" fillId="0" borderId="0" xfId="3" applyFont="1"/>
    <xf numFmtId="164" fontId="16" fillId="0" borderId="0" xfId="3" applyFont="1"/>
    <xf numFmtId="164" fontId="12" fillId="0" borderId="10" xfId="3" applyFont="1" applyBorder="1"/>
    <xf numFmtId="165" fontId="12" fillId="0" borderId="10" xfId="1" applyNumberFormat="1" applyFont="1" applyBorder="1"/>
    <xf numFmtId="42" fontId="12" fillId="0" borderId="10" xfId="1" applyNumberFormat="1" applyFont="1" applyBorder="1"/>
    <xf numFmtId="164" fontId="20" fillId="0" borderId="9" xfId="3" applyFont="1" applyBorder="1"/>
    <xf numFmtId="2" fontId="16" fillId="0" borderId="0" xfId="2" applyNumberFormat="1" applyFont="1" applyProtection="1"/>
  </cellXfs>
  <cellStyles count="4">
    <cellStyle name="Comma" xfId="1" builtinId="3"/>
    <cellStyle name="Currency" xfId="2" builtinId="4"/>
    <cellStyle name="Normal" xfId="0" builtinId="0"/>
    <cellStyle name="Normal_MTN-USE" xfId="3" xr:uid="{22BE9FC8-94C9-4E8A-8A46-F210871A6C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v.%209_17_21%20NCWD%20Usage%20for%20Summary%20Addend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"/>
      <sheetName val="Sewer Forecast"/>
      <sheetName val="Water Forecast"/>
      <sheetName val="Sewer Budget"/>
      <sheetName val="Water Budget"/>
      <sheetName val="Proposed Rates"/>
      <sheetName val="Existing Rates"/>
      <sheetName val="Debt"/>
    </sheetNames>
    <sheetDataSet>
      <sheetData sheetId="0">
        <row r="8">
          <cell r="T8">
            <v>312</v>
          </cell>
          <cell r="U8">
            <v>348</v>
          </cell>
          <cell r="W8">
            <v>180</v>
          </cell>
          <cell r="X8">
            <v>1</v>
          </cell>
        </row>
        <row r="9">
          <cell r="T9">
            <v>1999</v>
          </cell>
          <cell r="U9">
            <v>556</v>
          </cell>
          <cell r="W9">
            <v>2992</v>
          </cell>
          <cell r="X9">
            <v>1</v>
          </cell>
        </row>
        <row r="10">
          <cell r="T10">
            <v>3890</v>
          </cell>
          <cell r="U10">
            <v>321</v>
          </cell>
          <cell r="W10">
            <v>4221</v>
          </cell>
          <cell r="X10">
            <v>1.58</v>
          </cell>
        </row>
        <row r="11">
          <cell r="T11">
            <v>6836</v>
          </cell>
          <cell r="U11">
            <v>211</v>
          </cell>
          <cell r="W11">
            <v>5779</v>
          </cell>
          <cell r="X11">
            <v>0.83</v>
          </cell>
        </row>
        <row r="12">
          <cell r="T12">
            <v>14764</v>
          </cell>
          <cell r="U12">
            <v>82</v>
          </cell>
          <cell r="W12">
            <v>14368</v>
          </cell>
          <cell r="X12">
            <v>0.33</v>
          </cell>
        </row>
        <row r="13">
          <cell r="T13">
            <v>42284</v>
          </cell>
          <cell r="U13">
            <v>18</v>
          </cell>
        </row>
        <row r="15">
          <cell r="T15">
            <v>1135</v>
          </cell>
          <cell r="U15">
            <v>7</v>
          </cell>
        </row>
        <row r="16">
          <cell r="T16">
            <v>3684</v>
          </cell>
          <cell r="U16">
            <v>2</v>
          </cell>
        </row>
        <row r="17">
          <cell r="T17">
            <v>7375</v>
          </cell>
          <cell r="U17">
            <v>4</v>
          </cell>
        </row>
        <row r="18">
          <cell r="T18">
            <v>16048</v>
          </cell>
          <cell r="U18">
            <v>3</v>
          </cell>
        </row>
        <row r="19">
          <cell r="T19">
            <v>40112</v>
          </cell>
          <cell r="U19">
            <v>1</v>
          </cell>
        </row>
        <row r="24">
          <cell r="W24">
            <v>138400</v>
          </cell>
          <cell r="X24">
            <v>1</v>
          </cell>
        </row>
        <row r="26">
          <cell r="W26">
            <v>8600</v>
          </cell>
          <cell r="X26">
            <v>2</v>
          </cell>
        </row>
        <row r="27">
          <cell r="W27">
            <v>22775</v>
          </cell>
          <cell r="X27">
            <v>1.42</v>
          </cell>
        </row>
        <row r="28">
          <cell r="W28">
            <v>36475</v>
          </cell>
          <cell r="X28">
            <v>0.42</v>
          </cell>
        </row>
        <row r="37">
          <cell r="T37">
            <v>2219333</v>
          </cell>
          <cell r="U37">
            <v>1</v>
          </cell>
        </row>
      </sheetData>
      <sheetData sheetId="1" refreshError="1"/>
      <sheetData sheetId="2">
        <row r="41">
          <cell r="H41">
            <v>5299.400257400257</v>
          </cell>
        </row>
      </sheetData>
      <sheetData sheetId="3" refreshError="1"/>
      <sheetData sheetId="4" refreshError="1"/>
      <sheetData sheetId="5"/>
      <sheetData sheetId="6">
        <row r="3">
          <cell r="B3">
            <v>14.62</v>
          </cell>
        </row>
        <row r="4">
          <cell r="B4">
            <v>6.95</v>
          </cell>
        </row>
        <row r="5">
          <cell r="B5">
            <v>5.7</v>
          </cell>
        </row>
        <row r="6">
          <cell r="B6">
            <v>4.55</v>
          </cell>
        </row>
        <row r="7">
          <cell r="B7">
            <v>4.0999999999999996</v>
          </cell>
        </row>
        <row r="8">
          <cell r="B8">
            <v>3.87</v>
          </cell>
        </row>
        <row r="11">
          <cell r="B11">
            <v>28.52</v>
          </cell>
        </row>
        <row r="12">
          <cell r="B12">
            <v>5.7</v>
          </cell>
        </row>
        <row r="13">
          <cell r="B13">
            <v>4.55</v>
          </cell>
        </row>
        <row r="14">
          <cell r="B14">
            <v>4.0999999999999996</v>
          </cell>
        </row>
        <row r="15">
          <cell r="B15">
            <v>3.87</v>
          </cell>
        </row>
        <row r="18">
          <cell r="B18">
            <v>39.92</v>
          </cell>
        </row>
        <row r="19">
          <cell r="B19">
            <v>4.55</v>
          </cell>
        </row>
        <row r="20">
          <cell r="B20">
            <v>4.0999999999999996</v>
          </cell>
        </row>
        <row r="21">
          <cell r="B21">
            <v>3.87</v>
          </cell>
        </row>
        <row r="24">
          <cell r="B24">
            <v>62.67</v>
          </cell>
        </row>
        <row r="25">
          <cell r="B25">
            <v>4.0999999999999996</v>
          </cell>
        </row>
        <row r="26">
          <cell r="B26">
            <v>3.87</v>
          </cell>
        </row>
        <row r="29">
          <cell r="B29">
            <v>83.17</v>
          </cell>
        </row>
        <row r="30">
          <cell r="B30">
            <v>4.0999999999999996</v>
          </cell>
        </row>
        <row r="31">
          <cell r="B31">
            <v>3.87</v>
          </cell>
        </row>
        <row r="34">
          <cell r="B34">
            <v>124.17</v>
          </cell>
        </row>
        <row r="35">
          <cell r="B35">
            <v>3.87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E3D6F-C047-4031-80D4-022E594D6157}">
  <dimension ref="A1:R48"/>
  <sheetViews>
    <sheetView workbookViewId="0">
      <selection activeCell="H23" sqref="H23"/>
    </sheetView>
  </sheetViews>
  <sheetFormatPr defaultRowHeight="15" x14ac:dyDescent="0.25"/>
  <cols>
    <col min="8" max="8" width="10.140625" customWidth="1"/>
    <col min="9" max="9" width="4.42578125" customWidth="1"/>
    <col min="13" max="13" width="11.5703125" customWidth="1"/>
    <col min="18" max="18" width="11.7109375" bestFit="1" customWidth="1"/>
  </cols>
  <sheetData>
    <row r="1" spans="1:18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4" t="s">
        <v>1</v>
      </c>
      <c r="K1" s="5"/>
      <c r="L1" s="5"/>
      <c r="M1" s="5"/>
      <c r="N1" s="5"/>
      <c r="O1" s="5"/>
      <c r="P1" s="5"/>
      <c r="Q1" s="5"/>
      <c r="R1" s="5"/>
    </row>
    <row r="2" spans="1:18" x14ac:dyDescent="0.25">
      <c r="A2" s="6"/>
      <c r="B2" s="2"/>
      <c r="C2" s="2"/>
      <c r="D2" s="2"/>
      <c r="E2" s="2"/>
      <c r="F2" s="2"/>
      <c r="G2" s="2"/>
      <c r="H2" s="2"/>
      <c r="I2" s="3"/>
      <c r="J2" s="7"/>
      <c r="K2" s="5"/>
      <c r="L2" s="5"/>
      <c r="M2" s="5"/>
      <c r="N2" s="5"/>
      <c r="O2" s="5"/>
      <c r="P2" s="5"/>
      <c r="Q2" s="5"/>
      <c r="R2" s="5"/>
    </row>
    <row r="3" spans="1:18" x14ac:dyDescent="0.25">
      <c r="A3" s="2"/>
      <c r="B3" s="2"/>
      <c r="C3" s="2"/>
      <c r="D3" s="2"/>
      <c r="E3" s="2"/>
      <c r="F3" s="2"/>
      <c r="G3" s="2"/>
      <c r="H3" s="2"/>
      <c r="I3" s="3"/>
      <c r="J3" s="5"/>
      <c r="K3" s="5"/>
      <c r="L3" s="5"/>
      <c r="M3" s="5"/>
      <c r="N3" s="5"/>
      <c r="O3" s="5"/>
      <c r="P3" s="5"/>
      <c r="Q3" s="5"/>
      <c r="R3" s="5"/>
    </row>
    <row r="4" spans="1:18" x14ac:dyDescent="0.25">
      <c r="A4" s="8"/>
      <c r="B4" s="9"/>
      <c r="C4" s="9"/>
      <c r="D4" s="10"/>
      <c r="E4" s="11" t="s">
        <v>2</v>
      </c>
      <c r="F4" s="12"/>
      <c r="G4" s="56" t="s">
        <v>3</v>
      </c>
      <c r="H4" s="56"/>
      <c r="I4" s="13"/>
      <c r="J4" s="14"/>
      <c r="K4" s="15"/>
      <c r="L4" s="15"/>
      <c r="M4" s="16"/>
      <c r="N4" s="17" t="s">
        <v>2</v>
      </c>
      <c r="O4" s="17"/>
      <c r="P4" s="18"/>
      <c r="Q4" s="17" t="s">
        <v>4</v>
      </c>
      <c r="R4" s="17"/>
    </row>
    <row r="5" spans="1:18" x14ac:dyDescent="0.25">
      <c r="A5" s="10" t="s">
        <v>5</v>
      </c>
      <c r="B5" s="2"/>
      <c r="C5" s="2"/>
      <c r="D5" s="8"/>
      <c r="E5" s="19" t="s">
        <v>6</v>
      </c>
      <c r="F5" s="20" t="s">
        <v>7</v>
      </c>
      <c r="G5" s="21" t="s">
        <v>6</v>
      </c>
      <c r="H5" s="20" t="s">
        <v>7</v>
      </c>
      <c r="I5" s="22"/>
      <c r="J5" s="16" t="s">
        <v>8</v>
      </c>
      <c r="K5" s="5"/>
      <c r="L5" s="5"/>
      <c r="M5" s="23"/>
      <c r="N5" s="24" t="s">
        <v>6</v>
      </c>
      <c r="O5" s="25" t="s">
        <v>7</v>
      </c>
      <c r="P5" s="25"/>
      <c r="Q5" s="26" t="s">
        <v>6</v>
      </c>
      <c r="R5" s="25" t="s">
        <v>7</v>
      </c>
    </row>
    <row r="6" spans="1:18" x14ac:dyDescent="0.25">
      <c r="A6" s="27"/>
      <c r="B6" s="28"/>
      <c r="C6" s="28"/>
      <c r="D6" s="29" t="s">
        <v>9</v>
      </c>
      <c r="E6" s="30" t="s">
        <v>10</v>
      </c>
      <c r="F6" s="31" t="s">
        <v>11</v>
      </c>
      <c r="G6" s="32" t="s">
        <v>10</v>
      </c>
      <c r="H6" s="31" t="s">
        <v>11</v>
      </c>
      <c r="I6" s="22"/>
      <c r="J6" s="33"/>
      <c r="K6" s="34"/>
      <c r="L6" s="34"/>
      <c r="M6" s="35" t="s">
        <v>9</v>
      </c>
      <c r="N6" s="36" t="s">
        <v>10</v>
      </c>
      <c r="O6" s="37" t="s">
        <v>11</v>
      </c>
      <c r="P6" s="38" t="s">
        <v>9</v>
      </c>
      <c r="Q6" s="39" t="s">
        <v>10</v>
      </c>
      <c r="R6" s="37" t="s">
        <v>11</v>
      </c>
    </row>
    <row r="7" spans="1:18" x14ac:dyDescent="0.25">
      <c r="A7" s="2" t="s">
        <v>12</v>
      </c>
      <c r="B7" s="2"/>
      <c r="C7" s="2"/>
      <c r="D7" s="2"/>
      <c r="E7" s="2"/>
      <c r="F7" s="2"/>
      <c r="G7" s="2"/>
      <c r="H7" s="2"/>
      <c r="I7" s="3"/>
      <c r="J7" s="41" t="s">
        <v>12</v>
      </c>
      <c r="K7" s="41"/>
      <c r="L7" s="5"/>
      <c r="M7" s="5"/>
      <c r="N7" s="5"/>
      <c r="O7" s="5"/>
      <c r="P7" s="5"/>
      <c r="Q7" s="5"/>
      <c r="R7" s="5"/>
    </row>
    <row r="8" spans="1:18" x14ac:dyDescent="0.25">
      <c r="A8" s="42" t="s">
        <v>13</v>
      </c>
      <c r="B8" s="2"/>
      <c r="C8" s="2"/>
      <c r="D8" s="43">
        <v>1000</v>
      </c>
      <c r="E8" s="2"/>
      <c r="F8" s="43">
        <f>(E8*D8)/1000</f>
        <v>0</v>
      </c>
      <c r="G8" s="2"/>
      <c r="H8" s="43">
        <f>(G8*D8)/1000</f>
        <v>0</v>
      </c>
      <c r="I8" s="45"/>
      <c r="J8" s="46" t="s">
        <v>13</v>
      </c>
      <c r="K8" s="46"/>
      <c r="L8" s="5"/>
      <c r="M8" s="47">
        <v>312</v>
      </c>
      <c r="N8" s="48">
        <v>348</v>
      </c>
      <c r="O8" s="47">
        <f t="shared" ref="O8:O13" si="0">(N8*M8)/1000</f>
        <v>108.57599999999999</v>
      </c>
      <c r="P8" s="47">
        <v>180</v>
      </c>
      <c r="Q8" s="5">
        <v>1</v>
      </c>
      <c r="R8" s="47">
        <f t="shared" ref="R8:R13" si="1">(Q8*P8)/1000</f>
        <v>0.18</v>
      </c>
    </row>
    <row r="9" spans="1:18" x14ac:dyDescent="0.25">
      <c r="A9" s="42" t="s">
        <v>14</v>
      </c>
      <c r="B9" s="2"/>
      <c r="C9" s="2"/>
      <c r="D9" s="43">
        <v>1500</v>
      </c>
      <c r="E9" s="2"/>
      <c r="F9" s="43">
        <f>(E9*D9)/1000</f>
        <v>0</v>
      </c>
      <c r="G9" s="2"/>
      <c r="H9" s="43">
        <f>(G9*D9)/1000</f>
        <v>0</v>
      </c>
      <c r="I9" s="45"/>
      <c r="J9" s="46" t="s">
        <v>15</v>
      </c>
      <c r="K9" s="46"/>
      <c r="L9" s="5"/>
      <c r="M9" s="47">
        <v>1999</v>
      </c>
      <c r="N9" s="48">
        <v>556</v>
      </c>
      <c r="O9" s="47">
        <f t="shared" si="0"/>
        <v>1111.444</v>
      </c>
      <c r="P9" s="47">
        <v>2992</v>
      </c>
      <c r="Q9" s="5">
        <v>1</v>
      </c>
      <c r="R9" s="47">
        <f t="shared" si="1"/>
        <v>2.992</v>
      </c>
    </row>
    <row r="10" spans="1:18" x14ac:dyDescent="0.25">
      <c r="A10" s="42" t="s">
        <v>16</v>
      </c>
      <c r="B10" s="2"/>
      <c r="C10" s="2"/>
      <c r="D10" s="43">
        <v>2500</v>
      </c>
      <c r="E10" s="2"/>
      <c r="F10" s="43">
        <f>(E10*D10)/1000</f>
        <v>0</v>
      </c>
      <c r="G10" s="2"/>
      <c r="H10" s="43">
        <f>(G10*D10)/1000</f>
        <v>0</v>
      </c>
      <c r="I10" s="45"/>
      <c r="J10" s="46" t="s">
        <v>17</v>
      </c>
      <c r="K10" s="46"/>
      <c r="L10" s="5"/>
      <c r="M10" s="47">
        <v>3890</v>
      </c>
      <c r="N10" s="48">
        <v>321</v>
      </c>
      <c r="O10" s="47">
        <f t="shared" si="0"/>
        <v>1248.69</v>
      </c>
      <c r="P10" s="47">
        <v>4221</v>
      </c>
      <c r="Q10" s="49">
        <v>1.58</v>
      </c>
      <c r="R10" s="47">
        <f t="shared" si="1"/>
        <v>6.6691799999999999</v>
      </c>
    </row>
    <row r="11" spans="1:18" x14ac:dyDescent="0.25">
      <c r="A11" s="2"/>
      <c r="B11" s="2"/>
      <c r="C11" s="2"/>
      <c r="D11" s="8" t="s">
        <v>18</v>
      </c>
      <c r="E11" s="50">
        <f>SUM(E8:E10)</f>
        <v>0</v>
      </c>
      <c r="F11" s="51">
        <f>SUM(F8:F10)</f>
        <v>0</v>
      </c>
      <c r="G11" s="50">
        <f>SUM(G8:G10)</f>
        <v>0</v>
      </c>
      <c r="H11" s="51">
        <f>SUM(H8:H10)</f>
        <v>0</v>
      </c>
      <c r="I11" s="53"/>
      <c r="J11" s="46" t="s">
        <v>19</v>
      </c>
      <c r="K11" s="46"/>
      <c r="L11" s="5"/>
      <c r="M11" s="47">
        <v>6836</v>
      </c>
      <c r="N11" s="48">
        <v>211</v>
      </c>
      <c r="O11" s="47">
        <f t="shared" si="0"/>
        <v>1442.396</v>
      </c>
      <c r="P11" s="47">
        <v>5779</v>
      </c>
      <c r="Q11" s="49">
        <v>0.83</v>
      </c>
      <c r="R11" s="47">
        <f t="shared" si="1"/>
        <v>4.79657</v>
      </c>
    </row>
    <row r="12" spans="1:18" x14ac:dyDescent="0.25">
      <c r="A12" s="42" t="s">
        <v>20</v>
      </c>
      <c r="B12" s="2"/>
      <c r="C12" s="2"/>
      <c r="D12" s="2"/>
      <c r="E12" s="2"/>
      <c r="F12" s="2"/>
      <c r="G12" s="2"/>
      <c r="H12" s="2"/>
      <c r="I12" s="3"/>
      <c r="J12" s="46" t="s">
        <v>21</v>
      </c>
      <c r="K12" s="46"/>
      <c r="L12" s="5"/>
      <c r="M12" s="47">
        <v>14764</v>
      </c>
      <c r="N12" s="48">
        <v>82</v>
      </c>
      <c r="O12" s="47">
        <f t="shared" si="0"/>
        <v>1210.6479999999999</v>
      </c>
      <c r="P12" s="47">
        <v>14368</v>
      </c>
      <c r="Q12" s="49">
        <v>0.33</v>
      </c>
      <c r="R12" s="47">
        <f t="shared" si="1"/>
        <v>4.7414400000000008</v>
      </c>
    </row>
    <row r="13" spans="1:18" ht="15.75" thickBot="1" x14ac:dyDescent="0.3">
      <c r="A13" s="42" t="s">
        <v>22</v>
      </c>
      <c r="B13" s="2"/>
      <c r="C13" s="2"/>
      <c r="D13" s="2"/>
      <c r="E13" s="54"/>
      <c r="F13" s="55"/>
      <c r="G13" s="54"/>
      <c r="H13" s="55"/>
      <c r="I13" s="45"/>
      <c r="J13" s="46" t="s">
        <v>23</v>
      </c>
      <c r="K13" s="46"/>
      <c r="L13" s="5"/>
      <c r="M13" s="47">
        <v>42284</v>
      </c>
      <c r="N13" s="48">
        <v>18</v>
      </c>
      <c r="O13" s="47">
        <f t="shared" si="0"/>
        <v>761.11199999999997</v>
      </c>
      <c r="P13" s="47"/>
      <c r="Q13" s="5"/>
      <c r="R13" s="47">
        <f t="shared" si="1"/>
        <v>0</v>
      </c>
    </row>
    <row r="14" spans="1:18" ht="15.75" thickTop="1" x14ac:dyDescent="0.25">
      <c r="A14" s="2"/>
      <c r="B14" s="2"/>
      <c r="C14" s="2"/>
      <c r="D14" s="2"/>
      <c r="E14" s="2"/>
      <c r="F14" s="43"/>
      <c r="G14" s="2"/>
      <c r="H14" s="43"/>
      <c r="I14" s="45"/>
      <c r="J14" s="56" t="s">
        <v>24</v>
      </c>
      <c r="K14" s="56"/>
      <c r="L14" s="5"/>
      <c r="M14" s="47"/>
      <c r="N14" s="48"/>
      <c r="O14" s="47"/>
      <c r="P14" s="47"/>
      <c r="Q14" s="5"/>
      <c r="R14" s="47"/>
    </row>
    <row r="15" spans="1:18" ht="15.75" thickBot="1" x14ac:dyDescent="0.3">
      <c r="A15" s="2"/>
      <c r="B15" s="2"/>
      <c r="C15" s="2"/>
      <c r="D15" s="57" t="s">
        <v>25</v>
      </c>
      <c r="E15" s="57">
        <f>+E11</f>
        <v>0</v>
      </c>
      <c r="F15" s="58">
        <f>+F11</f>
        <v>0</v>
      </c>
      <c r="G15" s="57">
        <f>+G11</f>
        <v>0</v>
      </c>
      <c r="H15" s="58" t="e">
        <f>+H11+H20+H24+#REF!+H42+H47</f>
        <v>#REF!</v>
      </c>
      <c r="I15" s="45"/>
      <c r="J15" s="46" t="s">
        <v>26</v>
      </c>
      <c r="K15" s="46"/>
      <c r="L15" s="5"/>
      <c r="M15" s="47">
        <v>1135</v>
      </c>
      <c r="N15" s="48">
        <v>7</v>
      </c>
      <c r="O15" s="47">
        <f>(N15*M15)/1000</f>
        <v>7.9450000000000003</v>
      </c>
      <c r="P15" s="47"/>
      <c r="Q15" s="5"/>
      <c r="R15" s="47">
        <f>(Q15*P15)/1000</f>
        <v>0</v>
      </c>
    </row>
    <row r="16" spans="1:18" ht="15.75" thickTop="1" x14ac:dyDescent="0.25">
      <c r="A16" s="44"/>
      <c r="B16" s="3"/>
      <c r="C16" s="3"/>
      <c r="D16" s="45"/>
      <c r="E16" s="3"/>
      <c r="F16" s="45"/>
      <c r="G16" s="3"/>
      <c r="H16" s="45"/>
      <c r="I16" s="45"/>
      <c r="J16" s="46" t="s">
        <v>17</v>
      </c>
      <c r="K16" s="46"/>
      <c r="L16" s="5"/>
      <c r="M16" s="47">
        <v>3684</v>
      </c>
      <c r="N16" s="48">
        <v>2</v>
      </c>
      <c r="O16" s="47">
        <f>(N16*M16)/1000</f>
        <v>7.3680000000000003</v>
      </c>
      <c r="P16" s="47"/>
      <c r="Q16" s="5"/>
      <c r="R16" s="47">
        <f>(Q16*P16)/1000</f>
        <v>0</v>
      </c>
    </row>
    <row r="17" spans="1:18" x14ac:dyDescent="0.25">
      <c r="A17" s="44"/>
      <c r="B17" s="3"/>
      <c r="C17" s="3"/>
      <c r="D17" s="45"/>
      <c r="E17" s="3"/>
      <c r="F17" s="45"/>
      <c r="G17" s="3"/>
      <c r="H17" s="45"/>
      <c r="I17" s="45"/>
      <c r="J17" s="46" t="s">
        <v>27</v>
      </c>
      <c r="K17" s="46"/>
      <c r="L17" s="5"/>
      <c r="M17" s="47">
        <v>7375</v>
      </c>
      <c r="N17" s="48">
        <v>4</v>
      </c>
      <c r="O17" s="47">
        <f>(N17*M17)/1000</f>
        <v>29.5</v>
      </c>
      <c r="P17" s="47"/>
      <c r="Q17" s="5"/>
      <c r="R17" s="47">
        <f>(Q17*P17)/1000</f>
        <v>0</v>
      </c>
    </row>
    <row r="18" spans="1:18" x14ac:dyDescent="0.25">
      <c r="A18" s="44"/>
      <c r="B18" s="3"/>
      <c r="C18" s="3"/>
      <c r="D18" s="45"/>
      <c r="E18" s="3"/>
      <c r="F18" s="45"/>
      <c r="G18" s="3"/>
      <c r="H18" s="45"/>
      <c r="I18" s="45"/>
      <c r="J18" s="46" t="s">
        <v>21</v>
      </c>
      <c r="K18" s="46"/>
      <c r="L18" s="5"/>
      <c r="M18" s="47">
        <v>16048</v>
      </c>
      <c r="N18" s="48">
        <v>3</v>
      </c>
      <c r="O18" s="47">
        <f>(N18*M18)/1000</f>
        <v>48.143999999999998</v>
      </c>
      <c r="P18" s="47"/>
      <c r="Q18" s="5"/>
      <c r="R18" s="47">
        <f>(Q18*P18)/1000</f>
        <v>0</v>
      </c>
    </row>
    <row r="19" spans="1:18" x14ac:dyDescent="0.25">
      <c r="A19" s="44"/>
      <c r="B19" s="3"/>
      <c r="C19" s="3"/>
      <c r="D19" s="45"/>
      <c r="F19" s="45"/>
      <c r="G19" s="3"/>
      <c r="H19" s="45"/>
      <c r="I19" s="45"/>
      <c r="J19" s="46" t="s">
        <v>23</v>
      </c>
      <c r="K19" s="46"/>
      <c r="L19" s="5"/>
      <c r="M19" s="47">
        <v>40112</v>
      </c>
      <c r="N19" s="48">
        <v>1</v>
      </c>
      <c r="O19" s="47">
        <f>(N19*M19)/1000</f>
        <v>40.112000000000002</v>
      </c>
      <c r="P19" s="47"/>
      <c r="Q19" s="5"/>
      <c r="R19" s="47">
        <f>(Q19*P19)/1000</f>
        <v>0</v>
      </c>
    </row>
    <row r="20" spans="1:18" x14ac:dyDescent="0.25">
      <c r="D20" s="52"/>
      <c r="E20" s="59"/>
      <c r="F20" s="60"/>
      <c r="G20" s="59"/>
      <c r="H20" s="60"/>
      <c r="I20" s="60"/>
      <c r="J20" s="56" t="s">
        <v>28</v>
      </c>
      <c r="K20" s="56"/>
      <c r="L20" s="5"/>
      <c r="M20" s="47"/>
      <c r="N20" s="48"/>
      <c r="O20" s="47"/>
      <c r="P20" s="47"/>
      <c r="Q20" s="5"/>
      <c r="R20" s="47"/>
    </row>
    <row r="21" spans="1:18" x14ac:dyDescent="0.25">
      <c r="B21" s="3"/>
      <c r="C21" s="3"/>
      <c r="D21" s="3"/>
      <c r="E21" s="40"/>
      <c r="F21" s="40"/>
      <c r="G21" s="40"/>
      <c r="H21" s="53"/>
      <c r="I21" s="53"/>
      <c r="J21" s="46" t="s">
        <v>29</v>
      </c>
      <c r="K21" s="46"/>
      <c r="L21" s="5"/>
      <c r="M21" s="47"/>
      <c r="N21" s="48"/>
      <c r="O21" s="47">
        <f>(N21*M21)/1000</f>
        <v>0</v>
      </c>
      <c r="P21" s="47"/>
      <c r="Q21" s="5"/>
      <c r="R21" s="47">
        <f>(Q21*P21)/1000</f>
        <v>0</v>
      </c>
    </row>
    <row r="22" spans="1:18" x14ac:dyDescent="0.25">
      <c r="A22" s="40"/>
      <c r="B22" s="3"/>
      <c r="C22" s="3"/>
      <c r="D22" s="3"/>
      <c r="E22" s="3"/>
      <c r="F22" s="3"/>
      <c r="G22" s="3"/>
      <c r="H22" s="3"/>
      <c r="I22" s="3"/>
      <c r="J22" s="46" t="s">
        <v>30</v>
      </c>
      <c r="K22" s="46"/>
      <c r="L22" s="5"/>
      <c r="M22" s="47"/>
      <c r="N22" s="48"/>
      <c r="O22" s="47">
        <f>(N22*M22)/1000</f>
        <v>0</v>
      </c>
      <c r="P22" s="47"/>
      <c r="Q22" s="5"/>
      <c r="R22" s="47">
        <f>(Q22*P22)/1000</f>
        <v>0</v>
      </c>
    </row>
    <row r="23" spans="1:18" x14ac:dyDescent="0.25">
      <c r="A23" s="44"/>
      <c r="B23" s="3"/>
      <c r="C23" s="3"/>
      <c r="D23" s="45"/>
      <c r="E23" s="3"/>
      <c r="F23" s="45"/>
      <c r="G23" s="3"/>
      <c r="H23" s="45"/>
      <c r="I23" s="45"/>
      <c r="J23" s="46" t="s">
        <v>31</v>
      </c>
      <c r="K23" s="46"/>
      <c r="L23" s="5"/>
      <c r="M23" s="47"/>
      <c r="N23" s="48"/>
      <c r="O23" s="47">
        <f>(N23*M23)/1000</f>
        <v>0</v>
      </c>
      <c r="P23" s="47"/>
      <c r="Q23" s="5"/>
      <c r="R23" s="47">
        <f>(Q23*P23)/1000</f>
        <v>0</v>
      </c>
    </row>
    <row r="24" spans="1:18" x14ac:dyDescent="0.25">
      <c r="B24" s="3"/>
      <c r="C24" s="3"/>
      <c r="D24" s="53"/>
      <c r="E24" s="40"/>
      <c r="F24" s="40"/>
      <c r="G24" s="40"/>
      <c r="H24" s="61"/>
      <c r="I24" s="61"/>
      <c r="J24" s="46" t="s">
        <v>23</v>
      </c>
      <c r="K24" s="46"/>
      <c r="L24" s="5"/>
      <c r="M24" s="47"/>
      <c r="N24" s="48"/>
      <c r="O24" s="47">
        <f>(N24*M24)/1000</f>
        <v>0</v>
      </c>
      <c r="P24" s="47">
        <v>138400</v>
      </c>
      <c r="Q24" s="5">
        <v>1</v>
      </c>
      <c r="R24" s="47">
        <f>(Q24*P24)/1000</f>
        <v>138.4</v>
      </c>
    </row>
    <row r="25" spans="1:18" x14ac:dyDescent="0.25">
      <c r="B25" s="3"/>
      <c r="C25" s="3"/>
      <c r="D25" s="53"/>
      <c r="E25" s="40"/>
      <c r="F25" s="40"/>
      <c r="G25" s="40"/>
      <c r="H25" s="61"/>
      <c r="I25" s="61"/>
      <c r="J25" s="56" t="s">
        <v>32</v>
      </c>
      <c r="K25" s="56"/>
      <c r="L25" s="5"/>
      <c r="M25" s="47"/>
      <c r="N25" s="48"/>
      <c r="O25" s="47"/>
      <c r="P25" s="47"/>
      <c r="Q25" s="5"/>
      <c r="R25" s="47"/>
    </row>
    <row r="26" spans="1:18" x14ac:dyDescent="0.25">
      <c r="B26" s="3"/>
      <c r="C26" s="3"/>
      <c r="D26" s="53"/>
      <c r="E26" s="40"/>
      <c r="F26" s="40"/>
      <c r="G26" s="40"/>
      <c r="H26" s="61"/>
      <c r="I26" s="61"/>
      <c r="J26" s="46" t="s">
        <v>33</v>
      </c>
      <c r="K26" s="46"/>
      <c r="L26" s="5"/>
      <c r="M26" s="47"/>
      <c r="N26" s="48"/>
      <c r="O26" s="47">
        <f>(N26*M26)/1000</f>
        <v>0</v>
      </c>
      <c r="P26" s="47">
        <v>8600</v>
      </c>
      <c r="Q26" s="5">
        <v>2</v>
      </c>
      <c r="R26" s="47">
        <f>(Q26*P26)/1000</f>
        <v>17.2</v>
      </c>
    </row>
    <row r="27" spans="1:18" x14ac:dyDescent="0.25">
      <c r="B27" s="3"/>
      <c r="C27" s="3"/>
      <c r="D27" s="53"/>
      <c r="E27" s="40"/>
      <c r="F27" s="40"/>
      <c r="G27" s="40"/>
      <c r="H27" s="61"/>
      <c r="I27" s="61"/>
      <c r="J27" s="46" t="s">
        <v>34</v>
      </c>
      <c r="K27" s="46"/>
      <c r="L27" s="5"/>
      <c r="M27" s="47"/>
      <c r="N27" s="48"/>
      <c r="O27" s="47">
        <f>(N27*M27)/1000</f>
        <v>0</v>
      </c>
      <c r="P27" s="47">
        <v>22775</v>
      </c>
      <c r="Q27" s="49">
        <v>1.42</v>
      </c>
      <c r="R27" s="47">
        <f>(Q27*P27)/1000</f>
        <v>32.340499999999999</v>
      </c>
    </row>
    <row r="28" spans="1:18" x14ac:dyDescent="0.25">
      <c r="A28" s="40"/>
      <c r="B28" s="3"/>
      <c r="C28" s="3"/>
      <c r="D28" s="3"/>
      <c r="E28" s="3"/>
      <c r="F28" s="3"/>
      <c r="G28" s="3"/>
      <c r="H28" s="3"/>
      <c r="I28" s="3"/>
      <c r="J28" s="46" t="s">
        <v>23</v>
      </c>
      <c r="K28" s="46"/>
      <c r="L28" s="5"/>
      <c r="M28" s="47"/>
      <c r="N28" s="48"/>
      <c r="O28" s="47">
        <f>(N28*M28)/1000</f>
        <v>0</v>
      </c>
      <c r="P28" s="47">
        <v>36475</v>
      </c>
      <c r="Q28" s="49">
        <v>0.42</v>
      </c>
      <c r="R28" s="47">
        <f>(Q28*P28)/1000</f>
        <v>15.3195</v>
      </c>
    </row>
    <row r="29" spans="1:18" x14ac:dyDescent="0.25">
      <c r="A29" s="40"/>
      <c r="B29" s="3"/>
      <c r="C29" s="3"/>
      <c r="D29" s="3"/>
      <c r="E29" s="3"/>
      <c r="F29" s="3"/>
      <c r="G29" s="3"/>
      <c r="H29" s="3"/>
      <c r="I29" s="3"/>
      <c r="J29" s="56" t="s">
        <v>35</v>
      </c>
      <c r="K29" s="56"/>
      <c r="L29" s="5"/>
      <c r="M29" s="47"/>
      <c r="N29" s="48"/>
      <c r="O29" s="47"/>
      <c r="P29" s="47"/>
      <c r="Q29" s="5"/>
      <c r="R29" s="47"/>
    </row>
    <row r="30" spans="1:18" x14ac:dyDescent="0.25">
      <c r="A30" s="40"/>
      <c r="B30" s="3"/>
      <c r="C30" s="3"/>
      <c r="D30" s="3"/>
      <c r="E30" s="3"/>
      <c r="F30" s="3"/>
      <c r="G30" s="3"/>
      <c r="H30" s="3"/>
      <c r="I30" s="3"/>
      <c r="J30" s="46" t="s">
        <v>36</v>
      </c>
      <c r="K30" s="46"/>
      <c r="L30" s="5"/>
      <c r="M30" s="47"/>
      <c r="N30" s="48"/>
      <c r="O30" s="47">
        <f>(N30*M30)/1000</f>
        <v>0</v>
      </c>
      <c r="P30" s="47"/>
      <c r="Q30" s="5"/>
      <c r="R30" s="47">
        <f>(Q30*P30)/1000</f>
        <v>0</v>
      </c>
    </row>
    <row r="31" spans="1:18" x14ac:dyDescent="0.25">
      <c r="A31" s="40"/>
      <c r="B31" s="3"/>
      <c r="C31" s="3"/>
      <c r="D31" s="3"/>
      <c r="E31" s="3"/>
      <c r="F31" s="3"/>
      <c r="G31" s="3"/>
      <c r="H31" s="3"/>
      <c r="I31" s="3"/>
      <c r="J31" s="46" t="s">
        <v>37</v>
      </c>
      <c r="K31" s="46"/>
      <c r="L31" s="5"/>
      <c r="M31" s="47"/>
      <c r="N31" s="48"/>
      <c r="O31" s="47">
        <f>(N31*M31)/1000</f>
        <v>0</v>
      </c>
      <c r="P31" s="47"/>
      <c r="Q31" s="5"/>
      <c r="R31" s="47">
        <f>(Q31*P31)/1000</f>
        <v>0</v>
      </c>
    </row>
    <row r="32" spans="1:18" x14ac:dyDescent="0.25">
      <c r="A32" s="40"/>
      <c r="B32" s="3"/>
      <c r="C32" s="3"/>
      <c r="D32" s="3"/>
      <c r="E32" s="3"/>
      <c r="F32" s="3"/>
      <c r="G32" s="3"/>
      <c r="H32" s="3"/>
      <c r="I32" s="3"/>
      <c r="J32" s="46" t="s">
        <v>23</v>
      </c>
      <c r="K32" s="46"/>
      <c r="L32" s="5"/>
      <c r="M32" s="47"/>
      <c r="N32" s="48"/>
      <c r="O32" s="47">
        <f>(N32*M32)/1000</f>
        <v>0</v>
      </c>
      <c r="P32" s="47"/>
      <c r="Q32" s="5"/>
      <c r="R32" s="47">
        <f>(Q32*P32)/1000</f>
        <v>0</v>
      </c>
    </row>
    <row r="33" spans="1:18" x14ac:dyDescent="0.25">
      <c r="A33" s="40"/>
      <c r="B33" s="3"/>
      <c r="C33" s="3"/>
      <c r="D33" s="3"/>
      <c r="E33" s="3"/>
      <c r="F33" s="3"/>
      <c r="G33" s="3"/>
      <c r="H33" s="3"/>
      <c r="I33" s="3"/>
      <c r="J33" s="56" t="s">
        <v>38</v>
      </c>
      <c r="K33" s="56"/>
      <c r="L33" s="5"/>
      <c r="M33" s="47"/>
      <c r="N33" s="48"/>
      <c r="O33" s="47"/>
      <c r="P33" s="47"/>
      <c r="Q33" s="5"/>
      <c r="R33" s="47"/>
    </row>
    <row r="34" spans="1:18" x14ac:dyDescent="0.25">
      <c r="A34" s="40"/>
      <c r="B34" s="3"/>
      <c r="C34" s="3"/>
      <c r="D34" s="3"/>
      <c r="E34" s="3"/>
      <c r="F34" s="3"/>
      <c r="G34" s="3"/>
      <c r="H34" s="3"/>
      <c r="I34" s="3"/>
      <c r="J34" s="46" t="s">
        <v>39</v>
      </c>
      <c r="K34" s="46"/>
      <c r="L34" s="5"/>
      <c r="M34" s="47"/>
      <c r="N34" s="48"/>
      <c r="O34" s="47">
        <f>(N34*M34)/1000</f>
        <v>0</v>
      </c>
      <c r="P34" s="47"/>
      <c r="Q34" s="5"/>
      <c r="R34" s="47">
        <f>(Q34*P34)/1000</f>
        <v>0</v>
      </c>
    </row>
    <row r="35" spans="1:18" x14ac:dyDescent="0.25">
      <c r="A35" s="40"/>
      <c r="B35" s="3"/>
      <c r="C35" s="3"/>
      <c r="D35" s="3"/>
      <c r="E35" s="3"/>
      <c r="F35" s="3"/>
      <c r="G35" s="3"/>
      <c r="H35" s="3"/>
      <c r="I35" s="3"/>
      <c r="J35" s="46" t="s">
        <v>23</v>
      </c>
      <c r="K35" s="46"/>
      <c r="L35" s="5"/>
      <c r="M35" s="47"/>
      <c r="N35" s="48"/>
      <c r="O35" s="47">
        <f>(N35*M35)/1000</f>
        <v>0</v>
      </c>
      <c r="P35" s="47"/>
      <c r="Q35" s="5"/>
      <c r="R35" s="47">
        <f>(Q35*P35)/1000</f>
        <v>0</v>
      </c>
    </row>
    <row r="36" spans="1:18" x14ac:dyDescent="0.25">
      <c r="A36" s="40"/>
      <c r="B36" s="3"/>
      <c r="C36" s="3"/>
      <c r="D36" s="3"/>
      <c r="E36" s="3"/>
      <c r="F36" s="3"/>
      <c r="G36" s="3"/>
      <c r="H36" s="3"/>
      <c r="I36" s="3"/>
      <c r="J36" s="17" t="s">
        <v>40</v>
      </c>
      <c r="K36" s="17"/>
      <c r="L36" s="5"/>
      <c r="M36" s="47"/>
      <c r="N36" s="48"/>
      <c r="O36" s="47"/>
      <c r="P36" s="47"/>
      <c r="Q36" s="5"/>
      <c r="R36" s="47"/>
    </row>
    <row r="37" spans="1:18" x14ac:dyDescent="0.25">
      <c r="A37" s="40"/>
      <c r="B37" s="3"/>
      <c r="C37" s="3"/>
      <c r="D37" s="3"/>
      <c r="E37" s="3"/>
      <c r="F37" s="3"/>
      <c r="G37" s="3"/>
      <c r="H37" s="3"/>
      <c r="I37" s="3"/>
      <c r="J37" s="62" t="s">
        <v>41</v>
      </c>
      <c r="K37" s="62"/>
      <c r="L37" s="5"/>
      <c r="M37" s="47">
        <v>2219333</v>
      </c>
      <c r="N37" s="48">
        <v>1</v>
      </c>
      <c r="O37" s="47">
        <f>(N37*M37)/1000</f>
        <v>2219.3330000000001</v>
      </c>
      <c r="P37" s="47"/>
      <c r="Q37" s="5"/>
      <c r="R37" s="47"/>
    </row>
    <row r="38" spans="1:18" x14ac:dyDescent="0.25">
      <c r="A38" s="40"/>
      <c r="B38" s="3"/>
      <c r="C38" s="3"/>
      <c r="D38" s="3"/>
      <c r="E38" s="3"/>
      <c r="F38" s="3"/>
      <c r="G38" s="3"/>
      <c r="H38" s="3"/>
      <c r="I38" s="3"/>
      <c r="J38" s="63"/>
      <c r="K38" s="63"/>
      <c r="L38" s="5"/>
      <c r="M38" s="47"/>
      <c r="N38" s="48"/>
      <c r="O38" s="47"/>
      <c r="P38" s="47"/>
      <c r="Q38" s="5"/>
      <c r="R38" s="47"/>
    </row>
    <row r="39" spans="1:18" x14ac:dyDescent="0.25">
      <c r="B39" s="3"/>
      <c r="C39" s="3"/>
      <c r="D39" s="3"/>
      <c r="E39" s="3"/>
      <c r="F39" s="3"/>
      <c r="G39" s="3"/>
      <c r="H39" s="3"/>
      <c r="I39" s="3"/>
      <c r="J39" s="5"/>
      <c r="K39" s="5"/>
      <c r="L39" s="5"/>
      <c r="M39" s="8" t="s">
        <v>18</v>
      </c>
      <c r="N39" s="50">
        <f>SUM(N8:N37)</f>
        <v>1554</v>
      </c>
      <c r="O39" s="51">
        <f>SUM(O8:O37)</f>
        <v>8235.268</v>
      </c>
      <c r="P39" s="51"/>
      <c r="Q39" s="64">
        <f>SUM(Q8:Q35)</f>
        <v>9.58</v>
      </c>
      <c r="R39" s="51">
        <f>SUM(R8:R35)</f>
        <v>222.63918999999999</v>
      </c>
    </row>
    <row r="40" spans="1:18" x14ac:dyDescent="0.25">
      <c r="A40" s="40"/>
      <c r="B40" s="3"/>
      <c r="C40" s="3"/>
      <c r="D40" s="3"/>
      <c r="E40" s="3"/>
      <c r="F40" s="3"/>
      <c r="G40" s="3"/>
      <c r="H40" s="3"/>
      <c r="I40" s="3"/>
      <c r="J40" s="65"/>
      <c r="K40" s="5"/>
      <c r="L40" s="5"/>
      <c r="M40" s="5"/>
      <c r="N40" s="5"/>
      <c r="O40" s="5"/>
      <c r="P40" s="5"/>
      <c r="Q40" s="5"/>
      <c r="R40" s="5"/>
    </row>
    <row r="41" spans="1:18" ht="15.75" thickBot="1" x14ac:dyDescent="0.3">
      <c r="A41" s="44"/>
      <c r="B41" s="3"/>
      <c r="C41" s="3"/>
      <c r="D41" s="45"/>
      <c r="E41" s="3"/>
      <c r="F41" s="45"/>
      <c r="G41" s="3"/>
      <c r="H41" s="45"/>
      <c r="I41" s="45"/>
      <c r="J41" s="65" t="s">
        <v>22</v>
      </c>
      <c r="K41" s="5"/>
      <c r="L41" s="5"/>
      <c r="M41" s="5"/>
      <c r="N41" s="66"/>
      <c r="O41" s="67">
        <f>(O39*1000)/N39</f>
        <v>5299.400257400257</v>
      </c>
      <c r="P41" s="67"/>
      <c r="Q41" s="66"/>
      <c r="R41" s="67">
        <f>(R39*1000)/Q39</f>
        <v>23239.998956158663</v>
      </c>
    </row>
    <row r="42" spans="1:18" ht="15.75" thickTop="1" x14ac:dyDescent="0.25">
      <c r="B42" s="3"/>
      <c r="C42" s="3"/>
      <c r="D42" s="40"/>
      <c r="E42" s="40"/>
      <c r="F42" s="40"/>
      <c r="G42" s="40"/>
      <c r="H42" s="68"/>
      <c r="I42" s="68"/>
      <c r="J42" s="5"/>
      <c r="K42" s="5"/>
      <c r="L42" s="5"/>
      <c r="M42" s="5"/>
      <c r="N42" s="5"/>
      <c r="O42" s="47"/>
      <c r="P42" s="47"/>
      <c r="Q42" s="5"/>
      <c r="R42" s="47"/>
    </row>
    <row r="43" spans="1:18" x14ac:dyDescent="0.25">
      <c r="B43" s="3"/>
      <c r="C43" s="3"/>
      <c r="D43" s="3"/>
      <c r="E43" s="3"/>
      <c r="F43" s="3"/>
      <c r="G43" s="3"/>
      <c r="H43" s="3"/>
      <c r="I43" s="3"/>
      <c r="J43" s="14"/>
      <c r="K43" s="14"/>
      <c r="L43" s="14"/>
      <c r="M43" s="14"/>
      <c r="N43" s="14"/>
      <c r="O43" s="14"/>
      <c r="P43" s="14"/>
      <c r="Q43" s="14"/>
      <c r="R43" s="14"/>
    </row>
    <row r="44" spans="1:18" ht="15.75" thickBot="1" x14ac:dyDescent="0.3">
      <c r="A44" s="40"/>
      <c r="B44" s="3"/>
      <c r="C44" s="3"/>
      <c r="D44" s="3"/>
      <c r="E44" s="3"/>
      <c r="F44" s="3"/>
      <c r="G44" s="3"/>
      <c r="H44" s="3"/>
      <c r="I44" s="3"/>
      <c r="J44" s="14"/>
      <c r="K44" s="14"/>
      <c r="L44" s="14"/>
      <c r="M44" s="69" t="s">
        <v>25</v>
      </c>
      <c r="N44" s="69">
        <f>+N39</f>
        <v>1554</v>
      </c>
      <c r="O44" s="69">
        <f>+O39</f>
        <v>8235.268</v>
      </c>
      <c r="P44" s="69"/>
      <c r="Q44" s="69">
        <f>+Q39</f>
        <v>9.58</v>
      </c>
      <c r="R44" s="69">
        <f>+R39</f>
        <v>222.63918999999999</v>
      </c>
    </row>
    <row r="45" spans="1:18" ht="15.75" thickTop="1" x14ac:dyDescent="0.25">
      <c r="A45" s="44"/>
      <c r="B45" s="3"/>
      <c r="C45" s="3"/>
      <c r="D45" s="45"/>
      <c r="E45" s="3"/>
      <c r="F45" s="45"/>
      <c r="G45" s="3"/>
      <c r="H45" s="45"/>
      <c r="I45" s="45"/>
    </row>
    <row r="46" spans="1:18" x14ac:dyDescent="0.25">
      <c r="A46" s="44"/>
      <c r="B46" s="3"/>
      <c r="C46" s="3"/>
      <c r="D46" s="45"/>
      <c r="E46" s="3"/>
      <c r="F46" s="45"/>
      <c r="G46" s="3"/>
      <c r="H46" s="45"/>
      <c r="I46" s="45"/>
      <c r="K46" s="3"/>
      <c r="L46" s="3"/>
      <c r="M46" s="3"/>
      <c r="N46" s="3"/>
      <c r="O46" s="3"/>
      <c r="P46" s="3"/>
      <c r="Q46" s="3"/>
      <c r="R46" s="3"/>
    </row>
    <row r="47" spans="1:18" x14ac:dyDescent="0.25">
      <c r="B47" s="3"/>
      <c r="C47" s="3"/>
      <c r="D47" s="40"/>
      <c r="E47" s="40"/>
      <c r="F47" s="68"/>
      <c r="G47" s="40"/>
      <c r="H47" s="68"/>
      <c r="I47" s="68"/>
      <c r="J47" s="40"/>
      <c r="K47" s="3"/>
      <c r="L47" s="3"/>
      <c r="M47" s="70" t="s">
        <v>42</v>
      </c>
      <c r="R47" s="71">
        <v>143743000</v>
      </c>
    </row>
    <row r="48" spans="1:18" x14ac:dyDescent="0.25">
      <c r="A48" s="3"/>
      <c r="B48" s="3"/>
      <c r="C48" s="3"/>
      <c r="D48" s="3"/>
      <c r="E48" s="3"/>
      <c r="F48" s="3"/>
      <c r="G48" s="3"/>
      <c r="H48" s="3"/>
      <c r="I48" s="3"/>
      <c r="J48" s="44"/>
      <c r="K48" s="3"/>
      <c r="L48" s="3"/>
      <c r="M48" s="72" t="s">
        <v>43</v>
      </c>
      <c r="N48" s="3"/>
      <c r="O48" s="45"/>
      <c r="P48" s="45"/>
      <c r="Q48" s="3"/>
      <c r="R48" s="73">
        <v>101481000</v>
      </c>
    </row>
  </sheetData>
  <mergeCells count="34">
    <mergeCell ref="J35:K35"/>
    <mergeCell ref="J36:K36"/>
    <mergeCell ref="J37:K37"/>
    <mergeCell ref="G4:H4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J17:K17"/>
    <mergeCell ref="J18:K18"/>
    <mergeCell ref="J19:K19"/>
    <mergeCell ref="J20:K20"/>
    <mergeCell ref="J21:K21"/>
    <mergeCell ref="J22:K22"/>
    <mergeCell ref="J11:K11"/>
    <mergeCell ref="J12:K12"/>
    <mergeCell ref="J13:K13"/>
    <mergeCell ref="J14:K14"/>
    <mergeCell ref="J15:K15"/>
    <mergeCell ref="J16:K16"/>
    <mergeCell ref="N4:O4"/>
    <mergeCell ref="Q4:R4"/>
    <mergeCell ref="J7:K7"/>
    <mergeCell ref="J8:K8"/>
    <mergeCell ref="J9:K9"/>
    <mergeCell ref="J10:K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10223-237D-4C04-AF5D-8274F4230BC8}">
  <dimension ref="A1:L45"/>
  <sheetViews>
    <sheetView workbookViewId="0">
      <selection activeCell="I10" sqref="I10"/>
    </sheetView>
  </sheetViews>
  <sheetFormatPr defaultRowHeight="15" x14ac:dyDescent="0.25"/>
  <cols>
    <col min="9" max="9" width="11.85546875" bestFit="1" customWidth="1"/>
    <col min="12" max="12" width="10.85546875" bestFit="1" customWidth="1"/>
  </cols>
  <sheetData>
    <row r="1" spans="1:12" x14ac:dyDescent="0.25">
      <c r="A1" s="74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x14ac:dyDescent="0.25">
      <c r="A2" s="48"/>
      <c r="B2" s="48"/>
      <c r="C2" s="48"/>
      <c r="D2" s="48"/>
      <c r="E2" s="48"/>
      <c r="F2" s="48"/>
      <c r="G2" s="48"/>
      <c r="H2" s="48"/>
      <c r="I2" s="75"/>
      <c r="J2" s="48"/>
      <c r="K2" s="48"/>
      <c r="L2" s="48"/>
    </row>
    <row r="3" spans="1:12" x14ac:dyDescent="0.25">
      <c r="A3" s="48"/>
      <c r="B3" s="48"/>
      <c r="C3" s="48"/>
      <c r="D3" s="48"/>
      <c r="E3" s="70"/>
      <c r="F3" s="70"/>
      <c r="G3" s="48"/>
      <c r="H3" s="48"/>
      <c r="I3" s="48"/>
      <c r="J3" s="48"/>
      <c r="K3" s="48"/>
      <c r="L3" s="48"/>
    </row>
    <row r="4" spans="1:12" x14ac:dyDescent="0.25">
      <c r="A4" s="70"/>
      <c r="B4" s="76"/>
      <c r="C4" s="77"/>
      <c r="D4" s="77"/>
      <c r="E4" s="78"/>
      <c r="F4" s="78"/>
    </row>
    <row r="5" spans="1:12" x14ac:dyDescent="0.25">
      <c r="A5" s="77" t="s">
        <v>45</v>
      </c>
      <c r="B5" s="48"/>
      <c r="C5" s="70"/>
      <c r="D5" s="70"/>
      <c r="E5" s="79" t="s">
        <v>46</v>
      </c>
      <c r="F5" s="79"/>
      <c r="G5" s="80"/>
      <c r="H5" s="81" t="s">
        <v>2</v>
      </c>
      <c r="I5" s="82"/>
      <c r="J5" s="82"/>
      <c r="K5" s="81" t="s">
        <v>4</v>
      </c>
      <c r="L5" s="82"/>
    </row>
    <row r="6" spans="1:12" x14ac:dyDescent="0.25">
      <c r="A6" s="77"/>
      <c r="B6" s="48"/>
      <c r="C6" s="83" t="s">
        <v>46</v>
      </c>
      <c r="D6" s="83"/>
      <c r="E6" s="84" t="s">
        <v>47</v>
      </c>
      <c r="F6" s="84"/>
      <c r="G6" s="85" t="s">
        <v>6</v>
      </c>
      <c r="H6" s="86" t="s">
        <v>7</v>
      </c>
      <c r="I6" s="86" t="s">
        <v>48</v>
      </c>
      <c r="J6" s="87" t="s">
        <v>6</v>
      </c>
      <c r="K6" s="86" t="s">
        <v>7</v>
      </c>
      <c r="L6" s="88" t="s">
        <v>48</v>
      </c>
    </row>
    <row r="7" spans="1:12" x14ac:dyDescent="0.25">
      <c r="A7" s="89"/>
      <c r="B7" s="90"/>
      <c r="C7" s="91" t="s">
        <v>2</v>
      </c>
      <c r="D7" s="91" t="s">
        <v>4</v>
      </c>
      <c r="E7" s="92" t="s">
        <v>2</v>
      </c>
      <c r="F7" s="92" t="s">
        <v>4</v>
      </c>
      <c r="G7" s="93" t="s">
        <v>10</v>
      </c>
      <c r="H7" s="94" t="s">
        <v>11</v>
      </c>
      <c r="I7" s="95"/>
      <c r="J7" s="93" t="s">
        <v>10</v>
      </c>
      <c r="K7" s="94" t="s">
        <v>11</v>
      </c>
      <c r="L7" s="96"/>
    </row>
    <row r="8" spans="1:12" x14ac:dyDescent="0.25">
      <c r="A8" s="41" t="s">
        <v>12</v>
      </c>
      <c r="B8" s="41"/>
      <c r="C8" s="48"/>
      <c r="D8" s="48"/>
      <c r="E8" s="97"/>
      <c r="F8" s="97"/>
      <c r="G8" s="98"/>
      <c r="H8" s="98"/>
      <c r="I8" s="48"/>
      <c r="J8" s="98"/>
      <c r="K8" s="98"/>
      <c r="L8" s="48"/>
    </row>
    <row r="9" spans="1:12" x14ac:dyDescent="0.25">
      <c r="A9" s="46" t="s">
        <v>13</v>
      </c>
      <c r="B9" s="46"/>
      <c r="C9" s="48">
        <f>[1]Usage!T8</f>
        <v>312</v>
      </c>
      <c r="D9" s="48">
        <f>[1]Usage!W8</f>
        <v>180</v>
      </c>
      <c r="E9" s="99">
        <f>'[1]Existing Rates'!B3</f>
        <v>14.62</v>
      </c>
      <c r="F9" s="99">
        <f>'[1]Existing Rates'!B3</f>
        <v>14.62</v>
      </c>
      <c r="G9" s="98">
        <f>[1]Usage!U8</f>
        <v>348</v>
      </c>
      <c r="H9" s="100">
        <f t="shared" ref="H9:H14" si="0">(C9*G9)/1000</f>
        <v>108.57599999999999</v>
      </c>
      <c r="I9" s="101">
        <f t="shared" ref="I9:I14" si="1">E9*G9</f>
        <v>5087.7599999999993</v>
      </c>
      <c r="J9" s="98">
        <f>[1]Usage!X8</f>
        <v>1</v>
      </c>
      <c r="K9" s="100">
        <f t="shared" ref="K9:K14" si="2">(D9*J9)/1000</f>
        <v>0.18</v>
      </c>
      <c r="L9" s="101">
        <f t="shared" ref="L9:L14" si="3">F9*J9</f>
        <v>14.62</v>
      </c>
    </row>
    <row r="10" spans="1:12" x14ac:dyDescent="0.25">
      <c r="A10" s="46" t="s">
        <v>15</v>
      </c>
      <c r="B10" s="46"/>
      <c r="C10" s="48">
        <f>[1]Usage!T9</f>
        <v>1999</v>
      </c>
      <c r="D10" s="48">
        <f>[1]Usage!W9</f>
        <v>2992</v>
      </c>
      <c r="E10" s="99">
        <f>14.62+('[1]Existing Rates'!B4/1000)*(C10-1000)</f>
        <v>21.56305</v>
      </c>
      <c r="F10" s="99">
        <f>14.62+('[1]Existing Rates'!B4/1000)*(D10-1000)</f>
        <v>28.464399999999998</v>
      </c>
      <c r="G10" s="98">
        <f>[1]Usage!U9</f>
        <v>556</v>
      </c>
      <c r="H10" s="100">
        <f t="shared" si="0"/>
        <v>1111.444</v>
      </c>
      <c r="I10" s="101">
        <f t="shared" si="1"/>
        <v>11989.0558</v>
      </c>
      <c r="J10" s="98">
        <f>[1]Usage!X9</f>
        <v>1</v>
      </c>
      <c r="K10" s="100">
        <f t="shared" si="2"/>
        <v>2.992</v>
      </c>
      <c r="L10" s="101">
        <f t="shared" si="3"/>
        <v>28.464399999999998</v>
      </c>
    </row>
    <row r="11" spans="1:12" x14ac:dyDescent="0.25">
      <c r="A11" s="46" t="s">
        <v>17</v>
      </c>
      <c r="B11" s="46"/>
      <c r="C11" s="48">
        <f>[1]Usage!T10</f>
        <v>3890</v>
      </c>
      <c r="D11" s="48">
        <f>[1]Usage!W10</f>
        <v>4221</v>
      </c>
      <c r="E11" s="99">
        <f>28.52+('[1]Existing Rates'!B5/1000)*(C11-3000)</f>
        <v>33.593000000000004</v>
      </c>
      <c r="F11" s="99">
        <f>28.52+('[1]Existing Rates'!B5/1000)*(D11-3000)</f>
        <v>35.479700000000001</v>
      </c>
      <c r="G11" s="98">
        <f>[1]Usage!U10</f>
        <v>321</v>
      </c>
      <c r="H11" s="100">
        <f t="shared" si="0"/>
        <v>1248.69</v>
      </c>
      <c r="I11" s="101">
        <f t="shared" si="1"/>
        <v>10783.353000000001</v>
      </c>
      <c r="J11" s="100">
        <f>[1]Usage!X10</f>
        <v>1.58</v>
      </c>
      <c r="K11" s="100">
        <f t="shared" si="2"/>
        <v>6.6691799999999999</v>
      </c>
      <c r="L11" s="101">
        <f t="shared" si="3"/>
        <v>56.057926000000002</v>
      </c>
    </row>
    <row r="12" spans="1:12" x14ac:dyDescent="0.25">
      <c r="A12" s="46" t="s">
        <v>19</v>
      </c>
      <c r="B12" s="46"/>
      <c r="C12" s="48">
        <f>[1]Usage!T11</f>
        <v>6836</v>
      </c>
      <c r="D12" s="48">
        <f>[1]Usage!W11</f>
        <v>5779</v>
      </c>
      <c r="E12" s="99">
        <f>39.92+('[1]Existing Rates'!B6/1000)*(C12-5000)</f>
        <v>48.273800000000001</v>
      </c>
      <c r="F12" s="99">
        <f>39.92+('[1]Existing Rates'!B6/1000)*(D12-5000)</f>
        <v>43.464449999999999</v>
      </c>
      <c r="G12" s="98">
        <f>[1]Usage!U11</f>
        <v>211</v>
      </c>
      <c r="H12" s="100">
        <f t="shared" si="0"/>
        <v>1442.396</v>
      </c>
      <c r="I12" s="101">
        <f t="shared" si="1"/>
        <v>10185.7718</v>
      </c>
      <c r="J12" s="100">
        <f>[1]Usage!X11</f>
        <v>0.83</v>
      </c>
      <c r="K12" s="100">
        <f t="shared" si="2"/>
        <v>4.79657</v>
      </c>
      <c r="L12" s="101">
        <f t="shared" si="3"/>
        <v>36.0754935</v>
      </c>
    </row>
    <row r="13" spans="1:12" x14ac:dyDescent="0.25">
      <c r="A13" s="46" t="s">
        <v>21</v>
      </c>
      <c r="B13" s="46"/>
      <c r="C13" s="48">
        <f>[1]Usage!T12</f>
        <v>14764</v>
      </c>
      <c r="D13" s="48">
        <f>[1]Usage!W12</f>
        <v>14368</v>
      </c>
      <c r="E13" s="99">
        <f>62.67+('[1]Existing Rates'!B7/1000)*(C13-10000)</f>
        <v>82.202399999999997</v>
      </c>
      <c r="F13" s="99">
        <f>62.67+('[1]Existing Rates'!B7/1000)*(D13-10000)</f>
        <v>80.578800000000001</v>
      </c>
      <c r="G13" s="98">
        <f>[1]Usage!U12</f>
        <v>82</v>
      </c>
      <c r="H13" s="100">
        <f t="shared" si="0"/>
        <v>1210.6479999999999</v>
      </c>
      <c r="I13" s="101">
        <f t="shared" si="1"/>
        <v>6740.5967999999993</v>
      </c>
      <c r="J13" s="100">
        <f>[1]Usage!X12</f>
        <v>0.33</v>
      </c>
      <c r="K13" s="100">
        <f t="shared" si="2"/>
        <v>4.7414400000000008</v>
      </c>
      <c r="L13" s="101">
        <f t="shared" si="3"/>
        <v>26.591004000000002</v>
      </c>
    </row>
    <row r="14" spans="1:12" x14ac:dyDescent="0.25">
      <c r="A14" s="46" t="s">
        <v>23</v>
      </c>
      <c r="B14" s="46"/>
      <c r="C14" s="48">
        <f>[1]Usage!T13</f>
        <v>42284</v>
      </c>
      <c r="D14" s="48">
        <f>[1]Usage!W13</f>
        <v>0</v>
      </c>
      <c r="E14" s="99">
        <f>124.17+('[1]Existing Rates'!B8/1000)*(C14-25000)</f>
        <v>191.05907999999999</v>
      </c>
      <c r="F14" s="99">
        <f>124.17+('[1]Existing Rates'!B8/1000)*(D14-25000)</f>
        <v>27.42</v>
      </c>
      <c r="G14" s="98">
        <f>[1]Usage!U13</f>
        <v>18</v>
      </c>
      <c r="H14" s="100">
        <f t="shared" si="0"/>
        <v>761.11199999999997</v>
      </c>
      <c r="I14" s="101">
        <f t="shared" si="1"/>
        <v>3439.0634399999999</v>
      </c>
      <c r="J14" s="98">
        <f>[1]Usage!X13</f>
        <v>0</v>
      </c>
      <c r="K14" s="100">
        <f t="shared" si="2"/>
        <v>0</v>
      </c>
      <c r="L14" s="101">
        <f t="shared" si="3"/>
        <v>0</v>
      </c>
    </row>
    <row r="15" spans="1:12" x14ac:dyDescent="0.25">
      <c r="A15" s="56" t="s">
        <v>24</v>
      </c>
      <c r="B15" s="56"/>
      <c r="C15" s="48"/>
      <c r="D15" s="48"/>
      <c r="E15" s="97"/>
      <c r="F15" s="97"/>
      <c r="G15" s="98"/>
      <c r="H15" s="98"/>
      <c r="I15" s="48"/>
      <c r="J15" s="98"/>
      <c r="K15" s="98"/>
      <c r="L15" s="48"/>
    </row>
    <row r="16" spans="1:12" x14ac:dyDescent="0.25">
      <c r="A16" s="46" t="s">
        <v>26</v>
      </c>
      <c r="B16" s="46"/>
      <c r="C16" s="48">
        <f>[1]Usage!T15</f>
        <v>1135</v>
      </c>
      <c r="D16" s="48">
        <f>[1]Usage!W15</f>
        <v>0</v>
      </c>
      <c r="E16" s="99">
        <f>'[1]Existing Rates'!B11</f>
        <v>28.52</v>
      </c>
      <c r="F16" s="99">
        <f>'[1]Existing Rates'!B11</f>
        <v>28.52</v>
      </c>
      <c r="G16" s="98">
        <f>[1]Usage!U15</f>
        <v>7</v>
      </c>
      <c r="H16" s="100">
        <f>(C16*G16)/1000</f>
        <v>7.9450000000000003</v>
      </c>
      <c r="I16" s="101">
        <f>E16*G16</f>
        <v>199.64</v>
      </c>
      <c r="J16" s="98">
        <f>[1]Usage!X15</f>
        <v>0</v>
      </c>
      <c r="K16" s="100">
        <f>(D16*J16)/1000</f>
        <v>0</v>
      </c>
      <c r="L16" s="101">
        <f>F16*J16</f>
        <v>0</v>
      </c>
    </row>
    <row r="17" spans="1:12" x14ac:dyDescent="0.25">
      <c r="A17" s="46" t="s">
        <v>17</v>
      </c>
      <c r="B17" s="46"/>
      <c r="C17" s="48">
        <f>[1]Usage!T16</f>
        <v>3684</v>
      </c>
      <c r="D17" s="48">
        <f>[1]Usage!W16</f>
        <v>0</v>
      </c>
      <c r="E17" s="99">
        <f>28.52+('[1]Existing Rates'!B12/1000)*(C17-3000)</f>
        <v>32.418799999999997</v>
      </c>
      <c r="F17" s="99">
        <f>28.52+('[1]Existing Rates'!B12/1000)*(D17-3000)</f>
        <v>11.419999999999998</v>
      </c>
      <c r="G17" s="98">
        <f>[1]Usage!U16</f>
        <v>2</v>
      </c>
      <c r="H17" s="100">
        <f>(C17*G17)/1000</f>
        <v>7.3680000000000003</v>
      </c>
      <c r="I17" s="101">
        <f>E17*G17</f>
        <v>64.837599999999995</v>
      </c>
      <c r="J17" s="98">
        <f>[1]Usage!X16</f>
        <v>0</v>
      </c>
      <c r="K17" s="100">
        <f>(D17*J17)/1000</f>
        <v>0</v>
      </c>
      <c r="L17" s="101">
        <f>F17*J17</f>
        <v>0</v>
      </c>
    </row>
    <row r="18" spans="1:12" x14ac:dyDescent="0.25">
      <c r="A18" s="46" t="s">
        <v>27</v>
      </c>
      <c r="B18" s="46"/>
      <c r="C18" s="48">
        <f>[1]Usage!T17</f>
        <v>7375</v>
      </c>
      <c r="D18" s="48">
        <f>[1]Usage!W17</f>
        <v>0</v>
      </c>
      <c r="E18" s="99">
        <f>39.92+('[1]Existing Rates'!B13/1000)*(C18-5000)</f>
        <v>50.72625</v>
      </c>
      <c r="F18" s="99">
        <f>39.92+('[1]Existing Rates'!B13/1000)*(D18-5000)</f>
        <v>17.170000000000002</v>
      </c>
      <c r="G18" s="98">
        <f>[1]Usage!U17</f>
        <v>4</v>
      </c>
      <c r="H18" s="100">
        <f>(C18*G18)/1000</f>
        <v>29.5</v>
      </c>
      <c r="I18" s="101">
        <f>E18*G18</f>
        <v>202.905</v>
      </c>
      <c r="J18" s="98">
        <f>[1]Usage!X17</f>
        <v>0</v>
      </c>
      <c r="K18" s="100">
        <f>(D18*J18)/1000</f>
        <v>0</v>
      </c>
      <c r="L18" s="101">
        <f>F18*J18</f>
        <v>0</v>
      </c>
    </row>
    <row r="19" spans="1:12" x14ac:dyDescent="0.25">
      <c r="A19" s="46" t="s">
        <v>21</v>
      </c>
      <c r="B19" s="46"/>
      <c r="C19" s="48">
        <f>[1]Usage!T18</f>
        <v>16048</v>
      </c>
      <c r="D19" s="48">
        <f>[1]Usage!W18</f>
        <v>0</v>
      </c>
      <c r="E19" s="99">
        <f>62.67+('[1]Existing Rates'!B14/1000)*(C19-10000)</f>
        <v>87.466800000000006</v>
      </c>
      <c r="F19" s="99">
        <f>62.67+('[1]Existing Rates'!B14/1000)*(D19-10000)</f>
        <v>21.670000000000009</v>
      </c>
      <c r="G19" s="98">
        <f>[1]Usage!U18</f>
        <v>3</v>
      </c>
      <c r="H19" s="100">
        <f>(C19*G19)/1000</f>
        <v>48.143999999999998</v>
      </c>
      <c r="I19" s="101">
        <f>E19*G19</f>
        <v>262.40039999999999</v>
      </c>
      <c r="J19" s="98">
        <f>[1]Usage!X18</f>
        <v>0</v>
      </c>
      <c r="K19" s="100">
        <f>(D19*J19)/1000</f>
        <v>0</v>
      </c>
      <c r="L19" s="101">
        <f>F19*J19</f>
        <v>0</v>
      </c>
    </row>
    <row r="20" spans="1:12" x14ac:dyDescent="0.25">
      <c r="A20" s="46" t="s">
        <v>23</v>
      </c>
      <c r="B20" s="46"/>
      <c r="C20" s="48">
        <f>[1]Usage!T19</f>
        <v>40112</v>
      </c>
      <c r="D20" s="48">
        <f>[1]Usage!W19</f>
        <v>0</v>
      </c>
      <c r="E20" s="99">
        <f>124.17+('[1]Existing Rates'!B15/1000)*(C20-25000)</f>
        <v>182.65343999999999</v>
      </c>
      <c r="F20" s="99">
        <f>124.17+('[1]Existing Rates'!B15/1000)*(D20-25000)</f>
        <v>27.42</v>
      </c>
      <c r="G20" s="98">
        <f>[1]Usage!U19</f>
        <v>1</v>
      </c>
      <c r="H20" s="100">
        <f>(C20*G20)/1000</f>
        <v>40.112000000000002</v>
      </c>
      <c r="I20" s="101">
        <f>E20*G20</f>
        <v>182.65343999999999</v>
      </c>
      <c r="J20" s="98">
        <f>[1]Usage!X19</f>
        <v>0</v>
      </c>
      <c r="K20" s="100">
        <f>(D20*J20)/1000</f>
        <v>0</v>
      </c>
      <c r="L20" s="101">
        <f>F20*J20</f>
        <v>0</v>
      </c>
    </row>
    <row r="21" spans="1:12" x14ac:dyDescent="0.25">
      <c r="A21" s="56" t="s">
        <v>28</v>
      </c>
      <c r="B21" s="56"/>
      <c r="C21" s="48"/>
      <c r="D21" s="48"/>
      <c r="E21" s="97"/>
      <c r="F21" s="97"/>
      <c r="G21" s="98"/>
      <c r="H21" s="98"/>
      <c r="I21" s="48"/>
      <c r="J21" s="98"/>
      <c r="K21" s="98"/>
      <c r="L21" s="48"/>
    </row>
    <row r="22" spans="1:12" x14ac:dyDescent="0.25">
      <c r="A22" s="46" t="s">
        <v>29</v>
      </c>
      <c r="B22" s="46"/>
      <c r="C22" s="48">
        <f>[1]Usage!T21</f>
        <v>0</v>
      </c>
      <c r="D22" s="48">
        <f>[1]Usage!W21</f>
        <v>0</v>
      </c>
      <c r="E22" s="99">
        <f>'[1]Existing Rates'!B18</f>
        <v>39.92</v>
      </c>
      <c r="F22" s="99">
        <f>'[1]Existing Rates'!B18</f>
        <v>39.92</v>
      </c>
      <c r="G22" s="98">
        <f>[1]Usage!U21</f>
        <v>0</v>
      </c>
      <c r="H22" s="100">
        <f>(C22*G22)/1000</f>
        <v>0</v>
      </c>
      <c r="I22" s="101">
        <f>E22*G22</f>
        <v>0</v>
      </c>
      <c r="J22" s="98">
        <f>[1]Usage!X21</f>
        <v>0</v>
      </c>
      <c r="K22" s="100">
        <f>(D22*J22)/1000</f>
        <v>0</v>
      </c>
      <c r="L22" s="101">
        <f>F22*J22</f>
        <v>0</v>
      </c>
    </row>
    <row r="23" spans="1:12" x14ac:dyDescent="0.25">
      <c r="A23" s="46" t="s">
        <v>30</v>
      </c>
      <c r="B23" s="46"/>
      <c r="C23" s="48">
        <f>[1]Usage!T22</f>
        <v>0</v>
      </c>
      <c r="D23" s="48">
        <f>[1]Usage!W22</f>
        <v>0</v>
      </c>
      <c r="E23" s="99">
        <f>39.92+('[1]Existing Rates'!B19/1000)*(C23-5000)</f>
        <v>17.170000000000002</v>
      </c>
      <c r="F23" s="99">
        <f>39.92+('[1]Existing Rates'!B19/1000)*(D23-5000)</f>
        <v>17.170000000000002</v>
      </c>
      <c r="G23" s="98">
        <f>[1]Usage!U22</f>
        <v>0</v>
      </c>
      <c r="H23" s="100">
        <f>(C23*G23)/1000</f>
        <v>0</v>
      </c>
      <c r="I23" s="101">
        <f>E23*G23</f>
        <v>0</v>
      </c>
      <c r="J23" s="98">
        <f>[1]Usage!X22</f>
        <v>0</v>
      </c>
      <c r="K23" s="100">
        <f>(D23*J23)/1000</f>
        <v>0</v>
      </c>
      <c r="L23" s="101">
        <f>F23*J23</f>
        <v>0</v>
      </c>
    </row>
    <row r="24" spans="1:12" x14ac:dyDescent="0.25">
      <c r="A24" s="46" t="s">
        <v>31</v>
      </c>
      <c r="B24" s="46"/>
      <c r="C24" s="48">
        <f>[1]Usage!T23</f>
        <v>0</v>
      </c>
      <c r="D24" s="48">
        <f>[1]Usage!W23</f>
        <v>0</v>
      </c>
      <c r="E24" s="99">
        <f>62.67+('[1]Existing Rates'!B20/1000)*(C24-10000)</f>
        <v>21.670000000000009</v>
      </c>
      <c r="F24" s="99">
        <f>62.67+('[1]Existing Rates'!B20/1000)*(D24-10000)</f>
        <v>21.670000000000009</v>
      </c>
      <c r="G24" s="98">
        <f>[1]Usage!U23</f>
        <v>0</v>
      </c>
      <c r="H24" s="100">
        <f>(C24*G24)/1000</f>
        <v>0</v>
      </c>
      <c r="I24" s="101">
        <f>E24*G24</f>
        <v>0</v>
      </c>
      <c r="J24" s="98">
        <f>[1]Usage!X23</f>
        <v>0</v>
      </c>
      <c r="K24" s="100">
        <f>(D24*J24)/1000</f>
        <v>0</v>
      </c>
      <c r="L24" s="101">
        <f>F24*J24</f>
        <v>0</v>
      </c>
    </row>
    <row r="25" spans="1:12" x14ac:dyDescent="0.25">
      <c r="A25" s="46" t="s">
        <v>23</v>
      </c>
      <c r="B25" s="46"/>
      <c r="C25" s="48">
        <f>[1]Usage!T24</f>
        <v>0</v>
      </c>
      <c r="D25" s="48">
        <f>[1]Usage!W24</f>
        <v>138400</v>
      </c>
      <c r="E25" s="99">
        <f>124.17+('[1]Existing Rates'!B21/1000)*(C25-25000)</f>
        <v>27.42</v>
      </c>
      <c r="F25" s="99">
        <f>124.177+('[1]Existing Rates'!B21/1000)*(D25-25000)</f>
        <v>563.03499999999997</v>
      </c>
      <c r="G25" s="98">
        <f>[1]Usage!U24</f>
        <v>0</v>
      </c>
      <c r="H25" s="100">
        <f>(C25*G25)/1000</f>
        <v>0</v>
      </c>
      <c r="I25" s="101">
        <f>E25*G25</f>
        <v>0</v>
      </c>
      <c r="J25" s="98">
        <f>[1]Usage!X24</f>
        <v>1</v>
      </c>
      <c r="K25" s="100">
        <f>(D25*J25)/1000</f>
        <v>138.4</v>
      </c>
      <c r="L25" s="101">
        <f>F25*J25</f>
        <v>563.03499999999997</v>
      </c>
    </row>
    <row r="26" spans="1:12" x14ac:dyDescent="0.25">
      <c r="A26" s="56" t="s">
        <v>32</v>
      </c>
      <c r="B26" s="56"/>
      <c r="C26" s="48"/>
      <c r="D26" s="48"/>
      <c r="E26" s="97"/>
      <c r="F26" s="97"/>
      <c r="G26" s="98"/>
      <c r="H26" s="98"/>
      <c r="I26" s="48"/>
      <c r="J26" s="98"/>
      <c r="K26" s="98"/>
      <c r="L26" s="48"/>
    </row>
    <row r="27" spans="1:12" x14ac:dyDescent="0.25">
      <c r="A27" s="46" t="s">
        <v>33</v>
      </c>
      <c r="B27" s="46"/>
      <c r="C27" s="48">
        <f>[1]Usage!T26</f>
        <v>0</v>
      </c>
      <c r="D27" s="48">
        <f>[1]Usage!W26</f>
        <v>8600</v>
      </c>
      <c r="E27" s="99">
        <f>'[1]Existing Rates'!B24</f>
        <v>62.67</v>
      </c>
      <c r="F27" s="99">
        <f>'[1]Existing Rates'!B24</f>
        <v>62.67</v>
      </c>
      <c r="G27" s="98">
        <f>[1]Usage!U26</f>
        <v>0</v>
      </c>
      <c r="H27" s="100">
        <f>(C27*G27)/1000</f>
        <v>0</v>
      </c>
      <c r="I27" s="101">
        <f>E27*G27</f>
        <v>0</v>
      </c>
      <c r="J27" s="98">
        <f>[1]Usage!X26</f>
        <v>2</v>
      </c>
      <c r="K27" s="100">
        <f>(D27*J27)/1000</f>
        <v>17.2</v>
      </c>
      <c r="L27" s="101">
        <f>F27*J27</f>
        <v>125.34</v>
      </c>
    </row>
    <row r="28" spans="1:12" x14ac:dyDescent="0.25">
      <c r="A28" s="46" t="s">
        <v>34</v>
      </c>
      <c r="B28" s="46"/>
      <c r="C28" s="48">
        <f>[1]Usage!T27</f>
        <v>0</v>
      </c>
      <c r="D28" s="48">
        <f>[1]Usage!W27</f>
        <v>22775</v>
      </c>
      <c r="E28" s="99">
        <f>62.67+('[1]Existing Rates'!B25/1000)*(C28-10000)</f>
        <v>21.670000000000009</v>
      </c>
      <c r="F28" s="99">
        <f>62.67+('[1]Existing Rates'!B25/1000)*(D28-10000)</f>
        <v>115.04749999999999</v>
      </c>
      <c r="G28" s="98">
        <f>[1]Usage!U27</f>
        <v>0</v>
      </c>
      <c r="H28" s="100">
        <f>(C28*G28)/1000</f>
        <v>0</v>
      </c>
      <c r="I28" s="101">
        <f>E28*G28</f>
        <v>0</v>
      </c>
      <c r="J28" s="100">
        <f>[1]Usage!X27</f>
        <v>1.42</v>
      </c>
      <c r="K28" s="100">
        <f>(D28*J28)/1000</f>
        <v>32.340499999999999</v>
      </c>
      <c r="L28" s="101">
        <f>F28*J28</f>
        <v>163.36744999999996</v>
      </c>
    </row>
    <row r="29" spans="1:12" x14ac:dyDescent="0.25">
      <c r="A29" s="46" t="s">
        <v>23</v>
      </c>
      <c r="B29" s="46"/>
      <c r="C29" s="48">
        <f>[1]Usage!T28</f>
        <v>0</v>
      </c>
      <c r="D29" s="48">
        <f>[1]Usage!W28</f>
        <v>36475</v>
      </c>
      <c r="E29" s="99">
        <f>124.17+('[1]Existing Rates'!B26/1000)*(C29-25000)</f>
        <v>27.42</v>
      </c>
      <c r="F29" s="99">
        <f>124.17+('[1]Existing Rates'!B26/1000)*(D29-25000)</f>
        <v>168.57825</v>
      </c>
      <c r="G29" s="98">
        <f>[1]Usage!U28</f>
        <v>0</v>
      </c>
      <c r="H29" s="100">
        <f>(C29*G29)/1000</f>
        <v>0</v>
      </c>
      <c r="I29" s="101">
        <f>E29*G29</f>
        <v>0</v>
      </c>
      <c r="J29" s="100">
        <f>[1]Usage!X28</f>
        <v>0.42</v>
      </c>
      <c r="K29" s="100">
        <f>(D29*J29)/1000</f>
        <v>15.3195</v>
      </c>
      <c r="L29" s="101">
        <f>F29*J29</f>
        <v>70.802864999999997</v>
      </c>
    </row>
    <row r="30" spans="1:12" x14ac:dyDescent="0.25">
      <c r="A30" s="56" t="s">
        <v>35</v>
      </c>
      <c r="B30" s="56"/>
      <c r="C30" s="48"/>
      <c r="D30" s="48"/>
      <c r="E30" s="97"/>
      <c r="F30" s="97"/>
      <c r="G30" s="98"/>
      <c r="H30" s="98"/>
      <c r="I30" s="48"/>
      <c r="J30" s="98"/>
      <c r="K30" s="98"/>
      <c r="L30" s="48"/>
    </row>
    <row r="31" spans="1:12" x14ac:dyDescent="0.25">
      <c r="A31" s="46" t="s">
        <v>36</v>
      </c>
      <c r="B31" s="46"/>
      <c r="C31" s="48">
        <f>[1]Usage!T30</f>
        <v>0</v>
      </c>
      <c r="D31" s="48">
        <f>[1]Usage!W30</f>
        <v>0</v>
      </c>
      <c r="E31" s="99">
        <f>'[1]Existing Rates'!B29</f>
        <v>83.17</v>
      </c>
      <c r="F31" s="99">
        <f>'[1]Existing Rates'!B29</f>
        <v>83.17</v>
      </c>
      <c r="G31" s="98">
        <f>[1]Usage!U30</f>
        <v>0</v>
      </c>
      <c r="H31" s="100">
        <f>(C31*G31)/1000</f>
        <v>0</v>
      </c>
      <c r="I31" s="101">
        <f>E31*G31</f>
        <v>0</v>
      </c>
      <c r="J31" s="98">
        <f>[1]Usage!X30</f>
        <v>0</v>
      </c>
      <c r="K31" s="100">
        <f>(D31*J31)/1000</f>
        <v>0</v>
      </c>
      <c r="L31" s="101">
        <f>F31*J31</f>
        <v>0</v>
      </c>
    </row>
    <row r="32" spans="1:12" x14ac:dyDescent="0.25">
      <c r="A32" s="46" t="s">
        <v>37</v>
      </c>
      <c r="B32" s="46"/>
      <c r="C32" s="48">
        <f>[1]Usage!T31</f>
        <v>0</v>
      </c>
      <c r="D32" s="48">
        <f>[1]Usage!W31</f>
        <v>0</v>
      </c>
      <c r="E32" s="99">
        <f>83.17+('[1]Existing Rates'!B30/1000)*(C32-15000)</f>
        <v>21.670000000000009</v>
      </c>
      <c r="F32" s="99">
        <f>83.17+('[1]Existing Rates'!B30/1000)*(D32-15000)</f>
        <v>21.670000000000009</v>
      </c>
      <c r="G32" s="98">
        <f>[1]Usage!U31</f>
        <v>0</v>
      </c>
      <c r="H32" s="100">
        <f>(C32*G32)/1000</f>
        <v>0</v>
      </c>
      <c r="I32" s="101">
        <f>E32*G32</f>
        <v>0</v>
      </c>
      <c r="J32" s="98">
        <f>[1]Usage!X31</f>
        <v>0</v>
      </c>
      <c r="K32" s="100">
        <f>(D32*J32)/1000</f>
        <v>0</v>
      </c>
      <c r="L32" s="101">
        <f>F32*J32</f>
        <v>0</v>
      </c>
    </row>
    <row r="33" spans="1:12" x14ac:dyDescent="0.25">
      <c r="A33" s="46" t="s">
        <v>23</v>
      </c>
      <c r="B33" s="46"/>
      <c r="C33" s="48">
        <f>[1]Usage!T32</f>
        <v>0</v>
      </c>
      <c r="D33" s="48">
        <f>[1]Usage!W32</f>
        <v>0</v>
      </c>
      <c r="E33" s="99">
        <f>124.17+('[1]Existing Rates'!B31/1000)*(C33-15000)</f>
        <v>66.12</v>
      </c>
      <c r="F33" s="99">
        <f>124.17+('[1]Existing Rates'!B31/1000)*(D33-15000)</f>
        <v>66.12</v>
      </c>
      <c r="G33" s="98">
        <f>[1]Usage!U32</f>
        <v>0</v>
      </c>
      <c r="H33" s="100">
        <f>(C33*G33)/1000</f>
        <v>0</v>
      </c>
      <c r="I33" s="101">
        <f>E33*G33</f>
        <v>0</v>
      </c>
      <c r="J33" s="98">
        <f>[1]Usage!X32</f>
        <v>0</v>
      </c>
      <c r="K33" s="100">
        <f>(D33*J33)/1000</f>
        <v>0</v>
      </c>
      <c r="L33" s="101">
        <f>F33*J33</f>
        <v>0</v>
      </c>
    </row>
    <row r="34" spans="1:12" x14ac:dyDescent="0.25">
      <c r="A34" s="56" t="s">
        <v>38</v>
      </c>
      <c r="B34" s="56"/>
      <c r="C34" s="48"/>
      <c r="D34" s="48"/>
      <c r="E34" s="97"/>
      <c r="F34" s="97"/>
      <c r="G34" s="98"/>
      <c r="H34" s="98"/>
      <c r="I34" s="48"/>
      <c r="J34" s="98"/>
      <c r="K34" s="98"/>
      <c r="L34" s="48"/>
    </row>
    <row r="35" spans="1:12" x14ac:dyDescent="0.25">
      <c r="A35" s="46" t="s">
        <v>39</v>
      </c>
      <c r="B35" s="46"/>
      <c r="C35" s="48">
        <f>[1]Usage!T34</f>
        <v>0</v>
      </c>
      <c r="D35" s="48">
        <f>[1]Usage!W34</f>
        <v>0</v>
      </c>
      <c r="E35" s="99">
        <f>'[1]Existing Rates'!B34</f>
        <v>124.17</v>
      </c>
      <c r="F35" s="99">
        <f>'[1]Existing Rates'!B34</f>
        <v>124.17</v>
      </c>
      <c r="G35" s="98">
        <f>[1]Usage!U34</f>
        <v>0</v>
      </c>
      <c r="H35" s="100">
        <f>(C35*G35)/1000</f>
        <v>0</v>
      </c>
      <c r="I35" s="101">
        <f>E35*G35</f>
        <v>0</v>
      </c>
      <c r="J35" s="98">
        <f>[1]Usage!X34</f>
        <v>0</v>
      </c>
      <c r="K35" s="100">
        <f>(D35*J35)/1000</f>
        <v>0</v>
      </c>
      <c r="L35" s="101">
        <f>F35*J35</f>
        <v>0</v>
      </c>
    </row>
    <row r="36" spans="1:12" x14ac:dyDescent="0.25">
      <c r="A36" s="46" t="s">
        <v>23</v>
      </c>
      <c r="B36" s="46"/>
      <c r="C36" s="48">
        <f>[1]Usage!T35</f>
        <v>0</v>
      </c>
      <c r="D36" s="48">
        <f>[1]Usage!W35</f>
        <v>0</v>
      </c>
      <c r="E36" s="99">
        <f>124.17+('[1]Existing Rates'!B35/1000)*(C36-25000)</f>
        <v>27.42</v>
      </c>
      <c r="F36" s="99">
        <f>124.17+('[1]Existing Rates'!B35/1000)*(D36-25000)</f>
        <v>27.42</v>
      </c>
      <c r="G36" s="98">
        <f>[1]Usage!U35</f>
        <v>0</v>
      </c>
      <c r="H36" s="100">
        <f>(C36*G36)/1000</f>
        <v>0</v>
      </c>
      <c r="I36" s="101">
        <f>E36*G36</f>
        <v>0</v>
      </c>
      <c r="J36" s="98">
        <f>[1]Usage!X35</f>
        <v>0</v>
      </c>
      <c r="K36" s="100">
        <f>(D36*J36)/1000</f>
        <v>0</v>
      </c>
      <c r="L36" s="101">
        <f>F36*J36</f>
        <v>0</v>
      </c>
    </row>
    <row r="37" spans="1:12" x14ac:dyDescent="0.25">
      <c r="A37" s="17" t="s">
        <v>40</v>
      </c>
      <c r="B37" s="17"/>
      <c r="C37" s="47"/>
      <c r="D37" s="72"/>
      <c r="E37" s="102"/>
      <c r="F37" s="102"/>
      <c r="G37" s="48"/>
      <c r="H37" s="72"/>
      <c r="I37" s="103"/>
      <c r="J37" s="5"/>
      <c r="K37" s="72"/>
      <c r="L37" s="103"/>
    </row>
    <row r="38" spans="1:12" x14ac:dyDescent="0.25">
      <c r="A38" s="62" t="s">
        <v>41</v>
      </c>
      <c r="B38" s="62"/>
      <c r="C38" s="48">
        <f>[1]Usage!T37</f>
        <v>2219333</v>
      </c>
      <c r="D38" s="48">
        <f>[1]Usage!W37</f>
        <v>0</v>
      </c>
      <c r="E38" s="102"/>
      <c r="F38" s="102"/>
      <c r="G38" s="98">
        <f>[1]Usage!U37</f>
        <v>1</v>
      </c>
      <c r="H38" s="100">
        <f>(C38*G38)/1000</f>
        <v>2219.3330000000001</v>
      </c>
      <c r="I38" s="104">
        <f>(C38*2.1)/1000</f>
        <v>4660.5992999999999</v>
      </c>
      <c r="J38" s="5"/>
      <c r="K38" s="72"/>
      <c r="L38" s="103"/>
    </row>
    <row r="39" spans="1:12" x14ac:dyDescent="0.25">
      <c r="A39" s="48"/>
      <c r="B39" s="48"/>
      <c r="C39" s="105" t="s">
        <v>49</v>
      </c>
      <c r="D39" s="106"/>
      <c r="E39" s="107"/>
      <c r="F39" s="107"/>
      <c r="G39" s="108">
        <f>SUM(G9:G38)</f>
        <v>1554</v>
      </c>
      <c r="H39" s="109">
        <f>SUM(H9:H38)</f>
        <v>8235.268</v>
      </c>
      <c r="I39" s="110">
        <f>SUM(I9:I38)</f>
        <v>53798.636579999999</v>
      </c>
      <c r="J39" s="111">
        <f>SUM(J9:J36)</f>
        <v>9.58</v>
      </c>
      <c r="K39" s="109">
        <f>SUM(K9:K36)</f>
        <v>222.63918999999999</v>
      </c>
      <c r="L39" s="110">
        <f>SUM(L9:L36)</f>
        <v>1084.3541384999999</v>
      </c>
    </row>
    <row r="40" spans="1:12" x14ac:dyDescent="0.25">
      <c r="A40" s="112" t="s">
        <v>50</v>
      </c>
      <c r="B40" s="48"/>
      <c r="C40" s="48"/>
      <c r="D40" s="48"/>
      <c r="E40" s="113">
        <f>'[1]Existing Rates'!B3+((('[1]Water Forecast'!H41-2000)/1000)*'[1]Existing Rates'!B4)</f>
        <v>37.550831788931788</v>
      </c>
      <c r="F40" s="113"/>
      <c r="G40" s="48"/>
      <c r="H40" s="48"/>
      <c r="I40" s="114"/>
      <c r="J40" s="48"/>
      <c r="K40" s="48"/>
      <c r="L40" s="115"/>
    </row>
    <row r="41" spans="1:12" ht="15.75" thickBot="1" x14ac:dyDescent="0.3">
      <c r="A41" s="112" t="s">
        <v>22</v>
      </c>
      <c r="B41" s="48"/>
      <c r="C41" s="48"/>
      <c r="D41" s="48"/>
      <c r="E41" s="116"/>
      <c r="F41" s="116"/>
      <c r="G41" s="116"/>
      <c r="H41" s="117">
        <f>(H39*1000)/G39</f>
        <v>5299.400257400257</v>
      </c>
      <c r="I41" s="118"/>
      <c r="J41" s="116"/>
      <c r="K41" s="117">
        <f>(K39*1000)/J39</f>
        <v>23239.998956158663</v>
      </c>
      <c r="L41" s="118"/>
    </row>
    <row r="42" spans="1:12" ht="15.75" thickTop="1" x14ac:dyDescent="0.25">
      <c r="A42" s="70"/>
      <c r="B42" s="70"/>
      <c r="C42" s="70"/>
      <c r="D42" s="70"/>
      <c r="E42" s="70"/>
      <c r="F42" s="70"/>
      <c r="G42" s="70"/>
      <c r="H42" s="70"/>
      <c r="I42" s="119"/>
      <c r="J42" s="70"/>
      <c r="K42" s="70"/>
      <c r="L42" s="119"/>
    </row>
    <row r="43" spans="1:12" x14ac:dyDescent="0.25">
      <c r="A43" s="120"/>
      <c r="B43" s="48"/>
      <c r="C43" s="48"/>
      <c r="D43" s="48"/>
      <c r="E43" s="121"/>
      <c r="F43" s="121"/>
      <c r="G43" s="48"/>
      <c r="H43" s="48"/>
      <c r="I43" s="115"/>
      <c r="J43" s="48"/>
      <c r="K43" s="48"/>
      <c r="L43" s="115"/>
    </row>
    <row r="44" spans="1:12" ht="15.75" thickBot="1" x14ac:dyDescent="0.3">
      <c r="A44" s="120"/>
      <c r="B44" s="48"/>
      <c r="C44" s="122" t="s">
        <v>25</v>
      </c>
      <c r="D44" s="122"/>
      <c r="E44" s="122"/>
      <c r="F44" s="122"/>
      <c r="G44" s="123">
        <f t="shared" ref="G44:L44" si="4">G39</f>
        <v>1554</v>
      </c>
      <c r="H44" s="123">
        <f t="shared" si="4"/>
        <v>8235.268</v>
      </c>
      <c r="I44" s="124">
        <f t="shared" si="4"/>
        <v>53798.636579999999</v>
      </c>
      <c r="J44" s="123">
        <f t="shared" si="4"/>
        <v>9.58</v>
      </c>
      <c r="K44" s="123">
        <f t="shared" si="4"/>
        <v>222.63918999999999</v>
      </c>
      <c r="L44" s="124">
        <f t="shared" si="4"/>
        <v>1084.3541384999999</v>
      </c>
    </row>
    <row r="45" spans="1:12" ht="15.75" thickTop="1" x14ac:dyDescent="0.25"/>
  </sheetData>
  <mergeCells count="34"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E5:F5"/>
    <mergeCell ref="C6:D6"/>
    <mergeCell ref="E6:F6"/>
    <mergeCell ref="A8:B8"/>
    <mergeCell ref="A9:B9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4D2DA-8A2B-4668-8D74-4882F44B3884}">
  <dimension ref="A1:L45"/>
  <sheetViews>
    <sheetView tabSelected="1" workbookViewId="0">
      <selection activeCell="I37" sqref="I37"/>
    </sheetView>
  </sheetViews>
  <sheetFormatPr defaultRowHeight="15" x14ac:dyDescent="0.25"/>
  <cols>
    <col min="3" max="3" width="10.140625" bestFit="1" customWidth="1"/>
    <col min="4" max="4" width="10.85546875" bestFit="1" customWidth="1"/>
    <col min="5" max="5" width="10.140625" bestFit="1" customWidth="1"/>
    <col min="6" max="6" width="10.85546875" bestFit="1" customWidth="1"/>
    <col min="9" max="9" width="11.85546875" bestFit="1" customWidth="1"/>
    <col min="12" max="12" width="10.85546875" bestFit="1" customWidth="1"/>
  </cols>
  <sheetData>
    <row r="1" spans="1:12" x14ac:dyDescent="0.25">
      <c r="A1" s="74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x14ac:dyDescent="0.25">
      <c r="A2" s="48"/>
      <c r="B2" s="48"/>
      <c r="C2" s="48"/>
      <c r="D2" s="48"/>
      <c r="E2" s="48"/>
      <c r="F2" s="48"/>
      <c r="G2" s="48"/>
      <c r="H2" s="48"/>
      <c r="I2" s="75"/>
      <c r="J2" s="48"/>
      <c r="K2" s="48"/>
      <c r="L2" s="48"/>
    </row>
    <row r="3" spans="1:12" x14ac:dyDescent="0.25">
      <c r="A3" s="48"/>
      <c r="B3" s="48"/>
      <c r="C3" s="48"/>
      <c r="D3" s="48"/>
      <c r="E3" s="70"/>
      <c r="F3" s="70"/>
      <c r="G3" s="48"/>
      <c r="H3" s="48"/>
      <c r="I3" s="48"/>
      <c r="J3" s="48"/>
      <c r="K3" s="48"/>
      <c r="L3" s="48"/>
    </row>
    <row r="4" spans="1:12" x14ac:dyDescent="0.25">
      <c r="A4" s="70"/>
      <c r="B4" s="76"/>
      <c r="C4" s="77"/>
      <c r="D4" s="77"/>
      <c r="E4" s="78"/>
      <c r="F4" s="78"/>
    </row>
    <row r="5" spans="1:12" x14ac:dyDescent="0.25">
      <c r="A5" s="77" t="s">
        <v>45</v>
      </c>
      <c r="B5" s="48"/>
      <c r="C5" s="70"/>
      <c r="D5" s="70"/>
      <c r="E5" s="79" t="s">
        <v>46</v>
      </c>
      <c r="F5" s="79"/>
      <c r="G5" s="80"/>
      <c r="H5" s="81" t="s">
        <v>2</v>
      </c>
      <c r="I5" s="82"/>
      <c r="J5" s="82"/>
      <c r="K5" s="81" t="s">
        <v>4</v>
      </c>
      <c r="L5" s="82"/>
    </row>
    <row r="6" spans="1:12" x14ac:dyDescent="0.25">
      <c r="A6" s="77"/>
      <c r="B6" s="48"/>
      <c r="C6" s="83" t="s">
        <v>46</v>
      </c>
      <c r="D6" s="83"/>
      <c r="E6" s="84" t="s">
        <v>47</v>
      </c>
      <c r="F6" s="84"/>
      <c r="G6" s="85" t="s">
        <v>6</v>
      </c>
      <c r="H6" s="86" t="s">
        <v>7</v>
      </c>
      <c r="I6" s="86" t="s">
        <v>48</v>
      </c>
      <c r="J6" s="87" t="s">
        <v>6</v>
      </c>
      <c r="K6" s="86" t="s">
        <v>7</v>
      </c>
      <c r="L6" s="88" t="s">
        <v>48</v>
      </c>
    </row>
    <row r="7" spans="1:12" x14ac:dyDescent="0.25">
      <c r="A7" s="89"/>
      <c r="B7" s="90"/>
      <c r="C7" s="91" t="s">
        <v>2</v>
      </c>
      <c r="D7" s="91" t="s">
        <v>4</v>
      </c>
      <c r="E7" s="92" t="s">
        <v>2</v>
      </c>
      <c r="F7" s="92" t="s">
        <v>4</v>
      </c>
      <c r="G7" s="93" t="s">
        <v>10</v>
      </c>
      <c r="H7" s="94" t="s">
        <v>11</v>
      </c>
      <c r="I7" s="95"/>
      <c r="J7" s="93" t="s">
        <v>10</v>
      </c>
      <c r="K7" s="94" t="s">
        <v>11</v>
      </c>
      <c r="L7" s="95"/>
    </row>
    <row r="8" spans="1:12" x14ac:dyDescent="0.25">
      <c r="A8" s="41" t="s">
        <v>12</v>
      </c>
      <c r="B8" s="41"/>
      <c r="C8" s="48"/>
      <c r="D8" s="48"/>
      <c r="E8" s="97"/>
      <c r="F8" s="97"/>
      <c r="G8" s="48"/>
      <c r="H8" s="48"/>
      <c r="I8" s="48"/>
      <c r="J8" s="48"/>
      <c r="K8" s="48"/>
      <c r="L8" s="48"/>
    </row>
    <row r="9" spans="1:12" x14ac:dyDescent="0.25">
      <c r="A9" s="46" t="s">
        <v>13</v>
      </c>
      <c r="B9" s="46"/>
      <c r="C9" s="48">
        <v>312</v>
      </c>
      <c r="D9" s="48">
        <v>180</v>
      </c>
      <c r="E9" s="99">
        <v>21.93</v>
      </c>
      <c r="F9" s="99">
        <v>21.93</v>
      </c>
      <c r="G9" s="48">
        <v>348</v>
      </c>
      <c r="H9" s="100">
        <v>108.57599999999999</v>
      </c>
      <c r="I9" s="101">
        <f t="shared" ref="I9:I14" si="0">E9*G9</f>
        <v>7631.64</v>
      </c>
      <c r="J9" s="48">
        <v>1</v>
      </c>
      <c r="K9" s="100">
        <v>0.18</v>
      </c>
      <c r="L9" s="101">
        <f t="shared" ref="L9:L14" si="1">F9*J9</f>
        <v>21.93</v>
      </c>
    </row>
    <row r="10" spans="1:12" x14ac:dyDescent="0.25">
      <c r="A10" s="46" t="s">
        <v>15</v>
      </c>
      <c r="B10" s="46"/>
      <c r="C10" s="48">
        <v>1999</v>
      </c>
      <c r="D10" s="48">
        <v>2992</v>
      </c>
      <c r="E10" s="99">
        <v>32.35</v>
      </c>
      <c r="F10" s="99">
        <v>42.71</v>
      </c>
      <c r="G10" s="48">
        <v>556</v>
      </c>
      <c r="H10" s="100">
        <v>1111.444</v>
      </c>
      <c r="I10" s="101">
        <f t="shared" si="0"/>
        <v>17986.600000000002</v>
      </c>
      <c r="J10" s="48">
        <v>1</v>
      </c>
      <c r="K10" s="100">
        <v>2.992</v>
      </c>
      <c r="L10" s="101">
        <f t="shared" si="1"/>
        <v>42.71</v>
      </c>
    </row>
    <row r="11" spans="1:12" x14ac:dyDescent="0.25">
      <c r="A11" s="46" t="s">
        <v>17</v>
      </c>
      <c r="B11" s="46"/>
      <c r="C11" s="48">
        <v>3890</v>
      </c>
      <c r="D11" s="48">
        <v>4221</v>
      </c>
      <c r="E11" s="99">
        <v>50.4</v>
      </c>
      <c r="F11" s="99">
        <v>53.23</v>
      </c>
      <c r="G11" s="48">
        <v>321</v>
      </c>
      <c r="H11" s="100">
        <v>1248.69</v>
      </c>
      <c r="I11" s="101">
        <f t="shared" si="0"/>
        <v>16178.4</v>
      </c>
      <c r="J11" s="48">
        <v>1.58</v>
      </c>
      <c r="K11" s="100">
        <v>6.6691799999999999</v>
      </c>
      <c r="L11" s="101">
        <f t="shared" si="1"/>
        <v>84.103399999999993</v>
      </c>
    </row>
    <row r="12" spans="1:12" x14ac:dyDescent="0.25">
      <c r="A12" s="46" t="s">
        <v>19</v>
      </c>
      <c r="B12" s="46"/>
      <c r="C12" s="48">
        <v>6836</v>
      </c>
      <c r="D12" s="48">
        <v>5779</v>
      </c>
      <c r="E12" s="99">
        <v>72.430000000000007</v>
      </c>
      <c r="F12" s="99">
        <v>65.209999999999994</v>
      </c>
      <c r="G12" s="48">
        <v>211</v>
      </c>
      <c r="H12" s="100">
        <v>1442.396</v>
      </c>
      <c r="I12" s="101">
        <f t="shared" si="0"/>
        <v>15282.730000000001</v>
      </c>
      <c r="J12" s="48">
        <v>0.83</v>
      </c>
      <c r="K12" s="100">
        <v>4.79657</v>
      </c>
      <c r="L12" s="101">
        <f t="shared" si="1"/>
        <v>54.124299999999991</v>
      </c>
    </row>
    <row r="13" spans="1:12" x14ac:dyDescent="0.25">
      <c r="A13" s="46" t="s">
        <v>21</v>
      </c>
      <c r="B13" s="46"/>
      <c r="C13" s="48">
        <v>14764</v>
      </c>
      <c r="D13" s="48">
        <v>14368</v>
      </c>
      <c r="E13" s="99">
        <v>123.34</v>
      </c>
      <c r="F13" s="99">
        <v>120.9</v>
      </c>
      <c r="G13" s="48">
        <v>82</v>
      </c>
      <c r="H13" s="100">
        <v>1210.6479999999999</v>
      </c>
      <c r="I13" s="101">
        <f t="shared" si="0"/>
        <v>10113.880000000001</v>
      </c>
      <c r="J13" s="48">
        <v>0.33</v>
      </c>
      <c r="K13" s="100">
        <v>4.7414400000000008</v>
      </c>
      <c r="L13" s="101">
        <f t="shared" si="1"/>
        <v>39.897000000000006</v>
      </c>
    </row>
    <row r="14" spans="1:12" x14ac:dyDescent="0.25">
      <c r="A14" s="46" t="s">
        <v>23</v>
      </c>
      <c r="B14" s="46"/>
      <c r="C14" s="48">
        <v>42284</v>
      </c>
      <c r="D14" s="48">
        <v>0</v>
      </c>
      <c r="E14" s="99">
        <v>286.70999999999998</v>
      </c>
      <c r="F14" s="99">
        <v>41.04</v>
      </c>
      <c r="G14" s="48">
        <v>18</v>
      </c>
      <c r="H14" s="100">
        <v>761.11199999999997</v>
      </c>
      <c r="I14" s="101">
        <f t="shared" si="0"/>
        <v>5160.78</v>
      </c>
      <c r="J14" s="48">
        <v>0</v>
      </c>
      <c r="K14" s="100">
        <v>0</v>
      </c>
      <c r="L14" s="101">
        <f t="shared" si="1"/>
        <v>0</v>
      </c>
    </row>
    <row r="15" spans="1:12" x14ac:dyDescent="0.25">
      <c r="A15" s="56" t="s">
        <v>24</v>
      </c>
      <c r="B15" s="56"/>
      <c r="C15" s="48"/>
      <c r="D15" s="48"/>
      <c r="E15" s="97"/>
      <c r="F15" s="97"/>
      <c r="G15" s="48"/>
      <c r="H15" s="48"/>
      <c r="I15" s="48"/>
      <c r="J15" s="48"/>
      <c r="K15" s="48"/>
      <c r="L15" s="48"/>
    </row>
    <row r="16" spans="1:12" x14ac:dyDescent="0.25">
      <c r="A16" s="46" t="s">
        <v>26</v>
      </c>
      <c r="B16" s="46"/>
      <c r="C16" s="48">
        <v>1135</v>
      </c>
      <c r="D16" s="48">
        <v>0</v>
      </c>
      <c r="E16" s="99">
        <v>42.78</v>
      </c>
      <c r="F16" s="99">
        <v>42.78</v>
      </c>
      <c r="G16" s="48">
        <v>7</v>
      </c>
      <c r="H16" s="100">
        <v>7.9450000000000003</v>
      </c>
      <c r="I16" s="101">
        <f>E16*G16</f>
        <v>299.46000000000004</v>
      </c>
      <c r="J16" s="48">
        <v>0</v>
      </c>
      <c r="K16" s="100">
        <v>0</v>
      </c>
      <c r="L16" s="101">
        <f>F16*J16</f>
        <v>0</v>
      </c>
    </row>
    <row r="17" spans="1:12" x14ac:dyDescent="0.25">
      <c r="A17" s="46" t="s">
        <v>17</v>
      </c>
      <c r="B17" s="46"/>
      <c r="C17" s="48">
        <v>3684</v>
      </c>
      <c r="D17" s="48">
        <v>0</v>
      </c>
      <c r="E17" s="99">
        <v>48.63</v>
      </c>
      <c r="F17" s="99">
        <v>17.13</v>
      </c>
      <c r="G17" s="48">
        <v>2</v>
      </c>
      <c r="H17" s="100">
        <v>7.3680000000000003</v>
      </c>
      <c r="I17" s="101">
        <f>E17*G17</f>
        <v>97.26</v>
      </c>
      <c r="J17" s="48">
        <v>0</v>
      </c>
      <c r="K17" s="100">
        <v>0</v>
      </c>
      <c r="L17" s="101">
        <f>F17*J17</f>
        <v>0</v>
      </c>
    </row>
    <row r="18" spans="1:12" x14ac:dyDescent="0.25">
      <c r="A18" s="46" t="s">
        <v>27</v>
      </c>
      <c r="B18" s="46"/>
      <c r="C18" s="48">
        <v>7375</v>
      </c>
      <c r="D18" s="48">
        <v>0</v>
      </c>
      <c r="E18" s="99">
        <v>76.099999999999994</v>
      </c>
      <c r="F18" s="99">
        <v>25.73</v>
      </c>
      <c r="G18" s="48">
        <v>4</v>
      </c>
      <c r="H18" s="100">
        <v>29.5</v>
      </c>
      <c r="I18" s="101">
        <f>E18*G18</f>
        <v>304.39999999999998</v>
      </c>
      <c r="J18" s="48">
        <v>0</v>
      </c>
      <c r="K18" s="100">
        <v>0</v>
      </c>
      <c r="L18" s="101">
        <f>F18*J18</f>
        <v>0</v>
      </c>
    </row>
    <row r="19" spans="1:12" x14ac:dyDescent="0.25">
      <c r="A19" s="46" t="s">
        <v>21</v>
      </c>
      <c r="B19" s="46"/>
      <c r="C19" s="48">
        <v>16048</v>
      </c>
      <c r="D19" s="48">
        <v>0</v>
      </c>
      <c r="E19" s="99">
        <v>131.22999999999999</v>
      </c>
      <c r="F19" s="99">
        <v>32.53</v>
      </c>
      <c r="G19" s="48">
        <v>3</v>
      </c>
      <c r="H19" s="100">
        <v>48.143999999999998</v>
      </c>
      <c r="I19" s="101">
        <f>E19*G19</f>
        <v>393.68999999999994</v>
      </c>
      <c r="J19" s="48">
        <v>0</v>
      </c>
      <c r="K19" s="100">
        <v>0</v>
      </c>
      <c r="L19" s="101">
        <f>F19*J19</f>
        <v>0</v>
      </c>
    </row>
    <row r="20" spans="1:12" x14ac:dyDescent="0.25">
      <c r="A20" s="46" t="s">
        <v>23</v>
      </c>
      <c r="B20" s="46"/>
      <c r="C20" s="48">
        <v>40112</v>
      </c>
      <c r="D20" s="48">
        <v>0</v>
      </c>
      <c r="E20" s="99">
        <v>274.08</v>
      </c>
      <c r="F20" s="99">
        <v>41.03</v>
      </c>
      <c r="G20" s="48">
        <v>1</v>
      </c>
      <c r="H20" s="100">
        <v>40.112000000000002</v>
      </c>
      <c r="I20" s="101">
        <f>E20*G20</f>
        <v>274.08</v>
      </c>
      <c r="J20" s="48">
        <v>0</v>
      </c>
      <c r="K20" s="100">
        <v>0</v>
      </c>
      <c r="L20" s="101">
        <f>F20*J20</f>
        <v>0</v>
      </c>
    </row>
    <row r="21" spans="1:12" x14ac:dyDescent="0.25">
      <c r="A21" s="56" t="s">
        <v>28</v>
      </c>
      <c r="B21" s="56"/>
      <c r="C21" s="48"/>
      <c r="D21" s="48"/>
      <c r="E21" s="97"/>
      <c r="F21" s="97"/>
      <c r="G21" s="48"/>
      <c r="H21" s="48"/>
      <c r="I21" s="48"/>
      <c r="J21" s="48"/>
      <c r="K21" s="48"/>
      <c r="L21" s="48"/>
    </row>
    <row r="22" spans="1:12" x14ac:dyDescent="0.25">
      <c r="A22" s="46" t="s">
        <v>29</v>
      </c>
      <c r="B22" s="46"/>
      <c r="C22" s="48">
        <v>0</v>
      </c>
      <c r="D22" s="48">
        <v>0</v>
      </c>
      <c r="E22" s="99">
        <v>59.88</v>
      </c>
      <c r="F22" s="99">
        <v>59.88</v>
      </c>
      <c r="G22" s="48">
        <v>0</v>
      </c>
      <c r="H22" s="98">
        <v>0</v>
      </c>
      <c r="I22" s="101">
        <f>E22*G22</f>
        <v>0</v>
      </c>
      <c r="J22" s="48">
        <v>0</v>
      </c>
      <c r="K22" s="98">
        <v>0</v>
      </c>
      <c r="L22" s="101">
        <f>F22*J22</f>
        <v>0</v>
      </c>
    </row>
    <row r="23" spans="1:12" x14ac:dyDescent="0.25">
      <c r="A23" s="46" t="s">
        <v>30</v>
      </c>
      <c r="B23" s="46"/>
      <c r="C23" s="48">
        <v>0</v>
      </c>
      <c r="D23" s="48">
        <v>0</v>
      </c>
      <c r="E23" s="99">
        <v>25.73</v>
      </c>
      <c r="F23" s="99">
        <v>25.73</v>
      </c>
      <c r="G23" s="48">
        <v>0</v>
      </c>
      <c r="H23" s="98">
        <v>0</v>
      </c>
      <c r="I23" s="101">
        <f>E23*G23</f>
        <v>0</v>
      </c>
      <c r="J23" s="48">
        <v>0</v>
      </c>
      <c r="K23" s="98">
        <v>0</v>
      </c>
      <c r="L23" s="101">
        <f>F23*J23</f>
        <v>0</v>
      </c>
    </row>
    <row r="24" spans="1:12" x14ac:dyDescent="0.25">
      <c r="A24" s="46" t="s">
        <v>31</v>
      </c>
      <c r="B24" s="46"/>
      <c r="C24" s="48">
        <v>0</v>
      </c>
      <c r="D24" s="48">
        <v>0</v>
      </c>
      <c r="E24" s="99">
        <v>32.53</v>
      </c>
      <c r="F24" s="99">
        <v>32.53</v>
      </c>
      <c r="G24" s="48">
        <v>0</v>
      </c>
      <c r="H24" s="98">
        <v>0</v>
      </c>
      <c r="I24" s="101">
        <f>E24*G24</f>
        <v>0</v>
      </c>
      <c r="J24" s="48">
        <v>0</v>
      </c>
      <c r="K24" s="98">
        <v>0</v>
      </c>
      <c r="L24" s="101">
        <f>F24*J24</f>
        <v>0</v>
      </c>
    </row>
    <row r="25" spans="1:12" x14ac:dyDescent="0.25">
      <c r="A25" s="46" t="s">
        <v>23</v>
      </c>
      <c r="B25" s="46"/>
      <c r="C25" s="48">
        <v>0</v>
      </c>
      <c r="D25" s="48">
        <v>138400</v>
      </c>
      <c r="E25" s="99">
        <v>41.03</v>
      </c>
      <c r="F25" s="99">
        <v>845.13</v>
      </c>
      <c r="G25" s="48">
        <v>0</v>
      </c>
      <c r="H25" s="98">
        <v>0</v>
      </c>
      <c r="I25" s="101">
        <f>E25*G25</f>
        <v>0</v>
      </c>
      <c r="J25" s="48">
        <v>1</v>
      </c>
      <c r="K25" s="98">
        <v>138.4</v>
      </c>
      <c r="L25" s="101">
        <f>F25*J25</f>
        <v>845.13</v>
      </c>
    </row>
    <row r="26" spans="1:12" x14ac:dyDescent="0.25">
      <c r="A26" s="56" t="s">
        <v>32</v>
      </c>
      <c r="B26" s="56"/>
      <c r="C26" s="48"/>
      <c r="D26" s="48"/>
      <c r="E26" s="97"/>
      <c r="F26" s="97"/>
      <c r="G26" s="48"/>
      <c r="H26" s="48"/>
      <c r="I26" s="48"/>
      <c r="J26" s="48"/>
      <c r="K26" s="48"/>
      <c r="L26" s="48"/>
    </row>
    <row r="27" spans="1:12" x14ac:dyDescent="0.25">
      <c r="A27" s="46" t="s">
        <v>33</v>
      </c>
      <c r="B27" s="46"/>
      <c r="C27" s="48">
        <v>0</v>
      </c>
      <c r="D27" s="48">
        <v>8600</v>
      </c>
      <c r="E27" s="99">
        <v>94.01</v>
      </c>
      <c r="F27" s="99">
        <v>94.01</v>
      </c>
      <c r="G27" s="48">
        <v>0</v>
      </c>
      <c r="H27" s="98">
        <v>0</v>
      </c>
      <c r="I27" s="101">
        <f>E27*G27</f>
        <v>0</v>
      </c>
      <c r="J27" s="48">
        <v>2</v>
      </c>
      <c r="K27" s="98">
        <v>17.2</v>
      </c>
      <c r="L27" s="101">
        <f>F27*J27</f>
        <v>188.02</v>
      </c>
    </row>
    <row r="28" spans="1:12" x14ac:dyDescent="0.25">
      <c r="A28" s="46" t="s">
        <v>34</v>
      </c>
      <c r="B28" s="46"/>
      <c r="C28" s="48">
        <v>0</v>
      </c>
      <c r="D28" s="48">
        <v>22775</v>
      </c>
      <c r="E28" s="99">
        <v>32.51</v>
      </c>
      <c r="F28" s="99">
        <v>172.58</v>
      </c>
      <c r="G28" s="48">
        <v>0</v>
      </c>
      <c r="H28" s="98">
        <v>0</v>
      </c>
      <c r="I28" s="101">
        <f>E28*G28</f>
        <v>0</v>
      </c>
      <c r="J28" s="48">
        <v>1.42</v>
      </c>
      <c r="K28" s="98">
        <v>32.340499999999999</v>
      </c>
      <c r="L28" s="101">
        <f>F28*J28</f>
        <v>245.06360000000001</v>
      </c>
    </row>
    <row r="29" spans="1:12" x14ac:dyDescent="0.25">
      <c r="A29" s="46" t="s">
        <v>23</v>
      </c>
      <c r="B29" s="46"/>
      <c r="C29" s="48">
        <v>0</v>
      </c>
      <c r="D29" s="48">
        <v>36475</v>
      </c>
      <c r="E29" s="99">
        <v>41.01</v>
      </c>
      <c r="F29" s="99">
        <v>252.93</v>
      </c>
      <c r="G29" s="48">
        <v>0</v>
      </c>
      <c r="H29" s="98">
        <v>0</v>
      </c>
      <c r="I29" s="101">
        <f>E29*G29</f>
        <v>0</v>
      </c>
      <c r="J29" s="48">
        <v>0.42</v>
      </c>
      <c r="K29" s="98">
        <v>15.3195</v>
      </c>
      <c r="L29" s="101">
        <f>F29*J29</f>
        <v>106.2306</v>
      </c>
    </row>
    <row r="30" spans="1:12" x14ac:dyDescent="0.25">
      <c r="A30" s="56" t="s">
        <v>35</v>
      </c>
      <c r="B30" s="56"/>
      <c r="C30" s="48"/>
      <c r="D30" s="48"/>
      <c r="E30" s="97"/>
      <c r="F30" s="97"/>
      <c r="G30" s="48"/>
      <c r="H30" s="48"/>
      <c r="I30" s="48"/>
      <c r="J30" s="48"/>
      <c r="K30" s="48"/>
      <c r="L30" s="48"/>
    </row>
    <row r="31" spans="1:12" x14ac:dyDescent="0.25">
      <c r="A31" s="46" t="s">
        <v>36</v>
      </c>
      <c r="B31" s="46"/>
      <c r="C31" s="48">
        <v>0</v>
      </c>
      <c r="D31" s="48">
        <v>0</v>
      </c>
      <c r="E31" s="99">
        <v>124.76</v>
      </c>
      <c r="F31" s="99">
        <v>124.76</v>
      </c>
      <c r="G31" s="48">
        <v>0</v>
      </c>
      <c r="H31" s="98">
        <v>0</v>
      </c>
      <c r="I31" s="101">
        <f>E31*G31</f>
        <v>0</v>
      </c>
      <c r="J31" s="48">
        <v>0</v>
      </c>
      <c r="K31" s="98">
        <v>0</v>
      </c>
      <c r="L31" s="101">
        <f>F31*J31</f>
        <v>0</v>
      </c>
    </row>
    <row r="32" spans="1:12" x14ac:dyDescent="0.25">
      <c r="A32" s="46" t="s">
        <v>37</v>
      </c>
      <c r="B32" s="46"/>
      <c r="C32" s="48">
        <v>0</v>
      </c>
      <c r="D32" s="48">
        <v>0</v>
      </c>
      <c r="E32" s="99">
        <v>32.51</v>
      </c>
      <c r="F32" s="99">
        <v>32.51</v>
      </c>
      <c r="G32" s="48">
        <v>0</v>
      </c>
      <c r="H32" s="98">
        <v>0</v>
      </c>
      <c r="I32" s="101">
        <f>E32*G32</f>
        <v>0</v>
      </c>
      <c r="J32" s="48">
        <v>0</v>
      </c>
      <c r="K32" s="98">
        <v>0</v>
      </c>
      <c r="L32" s="101">
        <f>F32*J32</f>
        <v>0</v>
      </c>
    </row>
    <row r="33" spans="1:12" x14ac:dyDescent="0.25">
      <c r="A33" s="46" t="s">
        <v>23</v>
      </c>
      <c r="B33" s="46"/>
      <c r="C33" s="48">
        <v>0</v>
      </c>
      <c r="D33" s="48">
        <v>0</v>
      </c>
      <c r="E33" s="99">
        <v>99.11</v>
      </c>
      <c r="F33" s="99">
        <v>99.11</v>
      </c>
      <c r="G33" s="48">
        <v>0</v>
      </c>
      <c r="H33" s="98">
        <v>0</v>
      </c>
      <c r="I33" s="101">
        <f>E33*G33</f>
        <v>0</v>
      </c>
      <c r="J33" s="48">
        <v>0</v>
      </c>
      <c r="K33" s="98">
        <v>0</v>
      </c>
      <c r="L33" s="101">
        <f>F33*J33</f>
        <v>0</v>
      </c>
    </row>
    <row r="34" spans="1:12" x14ac:dyDescent="0.25">
      <c r="A34" s="56" t="s">
        <v>38</v>
      </c>
      <c r="B34" s="56"/>
      <c r="C34" s="48"/>
      <c r="D34" s="48"/>
      <c r="E34" s="97"/>
      <c r="F34" s="97"/>
      <c r="G34" s="48"/>
      <c r="H34" s="48"/>
      <c r="I34" s="48"/>
      <c r="J34" s="48"/>
      <c r="K34" s="48"/>
      <c r="L34" s="48"/>
    </row>
    <row r="35" spans="1:12" x14ac:dyDescent="0.25">
      <c r="A35" s="46" t="s">
        <v>39</v>
      </c>
      <c r="B35" s="46"/>
      <c r="C35" s="48">
        <v>0</v>
      </c>
      <c r="D35" s="48">
        <v>0</v>
      </c>
      <c r="E35" s="99">
        <v>186.26</v>
      </c>
      <c r="F35" s="99">
        <v>186.26</v>
      </c>
      <c r="G35" s="48">
        <v>0</v>
      </c>
      <c r="H35" s="98">
        <v>0</v>
      </c>
      <c r="I35" s="101">
        <f>E35*G35</f>
        <v>0</v>
      </c>
      <c r="J35" s="48">
        <v>0</v>
      </c>
      <c r="K35" s="98">
        <v>0</v>
      </c>
      <c r="L35" s="101">
        <f>F35*J35</f>
        <v>0</v>
      </c>
    </row>
    <row r="36" spans="1:12" x14ac:dyDescent="0.25">
      <c r="A36" s="46" t="s">
        <v>23</v>
      </c>
      <c r="B36" s="46"/>
      <c r="C36" s="48">
        <v>0</v>
      </c>
      <c r="D36" s="48">
        <v>0</v>
      </c>
      <c r="E36" s="99">
        <v>41.01</v>
      </c>
      <c r="F36" s="99">
        <v>41.01</v>
      </c>
      <c r="G36" s="48">
        <v>0</v>
      </c>
      <c r="H36" s="98">
        <v>0</v>
      </c>
      <c r="I36" s="101">
        <f>E36*G36</f>
        <v>0</v>
      </c>
      <c r="J36" s="48">
        <v>0</v>
      </c>
      <c r="K36" s="98">
        <v>0</v>
      </c>
      <c r="L36" s="101">
        <f>F36*J36</f>
        <v>0</v>
      </c>
    </row>
    <row r="37" spans="1:12" x14ac:dyDescent="0.25">
      <c r="A37" s="17" t="s">
        <v>40</v>
      </c>
      <c r="B37" s="17"/>
      <c r="C37" s="47"/>
      <c r="D37" s="72"/>
      <c r="E37" s="102"/>
      <c r="F37" s="102"/>
      <c r="G37" s="48"/>
      <c r="H37" s="72"/>
      <c r="I37" s="103"/>
      <c r="J37" s="48"/>
      <c r="K37" s="72"/>
      <c r="L37" s="103"/>
    </row>
    <row r="38" spans="1:12" x14ac:dyDescent="0.25">
      <c r="A38" s="62" t="s">
        <v>41</v>
      </c>
      <c r="B38" s="62"/>
      <c r="C38" s="48">
        <v>2219333</v>
      </c>
      <c r="D38" s="48">
        <v>0</v>
      </c>
      <c r="E38" s="102"/>
      <c r="F38" s="102"/>
      <c r="G38" s="48">
        <v>1</v>
      </c>
      <c r="H38" s="98">
        <v>2219.3330000000001</v>
      </c>
      <c r="I38" s="103">
        <f>(C38*3.02)/1000</f>
        <v>6702.3856599999999</v>
      </c>
      <c r="J38" s="48"/>
      <c r="K38" s="72"/>
      <c r="L38" s="103"/>
    </row>
    <row r="39" spans="1:12" x14ac:dyDescent="0.25">
      <c r="A39" s="48"/>
      <c r="B39" s="48"/>
      <c r="C39" s="105" t="s">
        <v>49</v>
      </c>
      <c r="D39" s="106"/>
      <c r="E39" s="107"/>
      <c r="F39" s="107"/>
      <c r="G39" s="108">
        <f>SUM(G9:G38)</f>
        <v>1554</v>
      </c>
      <c r="H39" s="109">
        <f>SUM(H9:H38)</f>
        <v>8235.268</v>
      </c>
      <c r="I39" s="110">
        <f>SUM(I9:I38)</f>
        <v>80425.305659999998</v>
      </c>
      <c r="J39" s="125">
        <f>SUM(J9:J36)</f>
        <v>9.58</v>
      </c>
      <c r="K39" s="109">
        <f>SUM(K9:K36)</f>
        <v>222.63918999999999</v>
      </c>
      <c r="L39" s="110">
        <f>SUM(L9:L36)</f>
        <v>1627.2089000000001</v>
      </c>
    </row>
    <row r="40" spans="1:12" x14ac:dyDescent="0.25">
      <c r="A40" s="112" t="s">
        <v>50</v>
      </c>
      <c r="B40" s="48"/>
      <c r="C40" s="48"/>
      <c r="D40" s="48"/>
      <c r="E40" s="126">
        <v>56.34</v>
      </c>
      <c r="F40" s="113"/>
      <c r="G40" s="48"/>
      <c r="H40" s="48"/>
      <c r="I40" s="114"/>
      <c r="J40" s="48"/>
      <c r="K40" s="48"/>
      <c r="L40" s="115"/>
    </row>
    <row r="41" spans="1:12" ht="15.75" thickBot="1" x14ac:dyDescent="0.3">
      <c r="A41" s="112" t="s">
        <v>22</v>
      </c>
      <c r="B41" s="48"/>
      <c r="C41" s="48"/>
      <c r="D41" s="48"/>
      <c r="E41" s="116"/>
      <c r="F41" s="116"/>
      <c r="G41" s="116"/>
      <c r="H41" s="117">
        <f>(H39*1000)/G39</f>
        <v>5299.400257400257</v>
      </c>
      <c r="I41" s="118"/>
      <c r="J41" s="116"/>
      <c r="K41" s="117">
        <f>(K39*1000)/J39</f>
        <v>23239.998956158663</v>
      </c>
      <c r="L41" s="118"/>
    </row>
    <row r="42" spans="1:12" ht="15.75" thickTop="1" x14ac:dyDescent="0.25">
      <c r="A42" s="70"/>
      <c r="B42" s="70"/>
      <c r="C42" s="70"/>
      <c r="D42" s="70"/>
      <c r="E42" s="70"/>
      <c r="F42" s="70"/>
      <c r="G42" s="70"/>
      <c r="H42" s="70"/>
      <c r="I42" s="119"/>
      <c r="J42" s="70"/>
      <c r="K42" s="70"/>
      <c r="L42" s="119"/>
    </row>
    <row r="43" spans="1:12" x14ac:dyDescent="0.25">
      <c r="A43" s="120"/>
      <c r="B43" s="48"/>
      <c r="C43" s="48"/>
      <c r="D43" s="48"/>
      <c r="E43" s="121"/>
      <c r="F43" s="121"/>
      <c r="G43" s="48"/>
      <c r="H43" s="48"/>
      <c r="I43" s="115"/>
      <c r="J43" s="48"/>
      <c r="K43" s="48"/>
      <c r="L43" s="115"/>
    </row>
    <row r="44" spans="1:12" ht="15.75" thickBot="1" x14ac:dyDescent="0.3">
      <c r="A44" s="120"/>
      <c r="B44" s="48"/>
      <c r="C44" s="122" t="s">
        <v>25</v>
      </c>
      <c r="D44" s="122"/>
      <c r="E44" s="122"/>
      <c r="F44" s="122"/>
      <c r="G44" s="123">
        <f t="shared" ref="G44:L44" si="2">G39</f>
        <v>1554</v>
      </c>
      <c r="H44" s="123">
        <f t="shared" si="2"/>
        <v>8235.268</v>
      </c>
      <c r="I44" s="124">
        <f t="shared" si="2"/>
        <v>80425.305659999998</v>
      </c>
      <c r="J44" s="123">
        <f t="shared" si="2"/>
        <v>9.58</v>
      </c>
      <c r="K44" s="123">
        <f t="shared" si="2"/>
        <v>222.63918999999999</v>
      </c>
      <c r="L44" s="124">
        <f t="shared" si="2"/>
        <v>1627.2089000000001</v>
      </c>
    </row>
    <row r="45" spans="1:12" ht="15.75" thickTop="1" x14ac:dyDescent="0.25"/>
  </sheetData>
  <mergeCells count="34"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E5:F5"/>
    <mergeCell ref="C6:D6"/>
    <mergeCell ref="E6:F6"/>
    <mergeCell ref="A8:B8"/>
    <mergeCell ref="A9:B9"/>
    <mergeCell ref="A10:B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Nicholas Usage</vt:lpstr>
      <vt:lpstr>Existing Water Income</vt:lpstr>
      <vt:lpstr>Forecasted Water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PBR</cp:lastModifiedBy>
  <dcterms:created xsi:type="dcterms:W3CDTF">2022-12-16T21:42:47Z</dcterms:created>
  <dcterms:modified xsi:type="dcterms:W3CDTF">2022-12-16T21:51:55Z</dcterms:modified>
</cp:coreProperties>
</file>