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UEL COST 2 YR REVIEW CASE # 2023-00014\Rehearing Data Requests\1 - Form A rate sheet filings\"/>
    </mc:Choice>
  </mc:AlternateContent>
  <xr:revisionPtr revIDLastSave="0" documentId="13_ncr:1_{CFCFD132-0D29-4E7E-8054-D24D23481D23}" xr6:coauthVersionLast="47" xr6:coauthVersionMax="47" xr10:uidLastSave="{00000000-0000-0000-0000-000000000000}"/>
  <bookViews>
    <workbookView xWindow="28680" yWindow="-120" windowWidth="29040" windowHeight="15720" tabRatio="851" xr2:uid="{00000000-000D-0000-FFFF-FFFF00000000}"/>
  </bookViews>
  <sheets>
    <sheet name="Summary" sheetId="49" r:id="rId1"/>
    <sheet name="Mthly Calc-Nov 20" sheetId="1" r:id="rId2"/>
    <sheet name="12 Mth Avg-Nov 20" sheetId="4" r:id="rId3"/>
    <sheet name="Mthly Calc-Dec 20" sheetId="5" r:id="rId4"/>
    <sheet name="12 Mth Avg-Dec 20" sheetId="6" r:id="rId5"/>
    <sheet name="Mthly Calc-Jan 21" sheetId="7" r:id="rId6"/>
    <sheet name="12 Mth Avg-Jan 21" sheetId="8" r:id="rId7"/>
    <sheet name="Mthly Calc-Feb 21" sheetId="9" r:id="rId8"/>
    <sheet name="12 Mth Avg-Feb 21" sheetId="10" r:id="rId9"/>
    <sheet name="Mthly Calc-Mar 21" sheetId="11" r:id="rId10"/>
    <sheet name="12 Mth Avg-Mar 21" sheetId="12" r:id="rId11"/>
    <sheet name="Mthly Calc-Apr 21" sheetId="13" r:id="rId12"/>
    <sheet name="12 Mth Avg-Apr 21" sheetId="14" r:id="rId13"/>
    <sheet name="Mthly Calc-May 21" sheetId="15" r:id="rId14"/>
    <sheet name="12 Mth Avg-May 21" sheetId="16" r:id="rId15"/>
    <sheet name="Mthly Calc-Jun 21" sheetId="17" r:id="rId16"/>
    <sheet name="12 Mth Avg-Jun 21" sheetId="18" r:id="rId17"/>
    <sheet name="Mthly Calc-Jul 21" sheetId="19" r:id="rId18"/>
    <sheet name="12 Mth Avg-Jul 21" sheetId="20" r:id="rId19"/>
    <sheet name="Mthly Calc-Aug 21" sheetId="23" r:id="rId20"/>
    <sheet name="12 Mth Avg-Aug 21" sheetId="24" r:id="rId21"/>
    <sheet name="Mthly Calc-Sep 21" sheetId="25" r:id="rId22"/>
    <sheet name="12 Mth Avg-Sep 21" sheetId="26" r:id="rId23"/>
    <sheet name="Mthly Calc-Oct 21" sheetId="27" r:id="rId24"/>
    <sheet name="12 Mth Avg-Oct 21" sheetId="28" r:id="rId25"/>
    <sheet name="Mthly Calc-Nov 21" sheetId="29" r:id="rId26"/>
    <sheet name="12 Mth Avg-Nov 21" sheetId="30" r:id="rId27"/>
    <sheet name="Mthly Calc-Dec 21" sheetId="31" r:id="rId28"/>
    <sheet name="12 Mth Avg-Dec 21" sheetId="32" r:id="rId29"/>
    <sheet name="Mthly Calc-Jan 22" sheetId="33" r:id="rId30"/>
    <sheet name="12 Mth Avg-Jan 22" sheetId="34" r:id="rId31"/>
    <sheet name="Mthly Calc-Feb 22" sheetId="35" r:id="rId32"/>
    <sheet name="12 Mth Avg-Feb 22" sheetId="36" r:id="rId33"/>
    <sheet name="Mthly Calc-Mar 22" sheetId="37" r:id="rId34"/>
    <sheet name="12 Mth Avg-Mar 22" sheetId="38" r:id="rId35"/>
    <sheet name="Mthly Calc-Apr 22" sheetId="39" r:id="rId36"/>
    <sheet name="12 Mth Avg-Apr 22" sheetId="40" r:id="rId37"/>
    <sheet name="Mthly Calc-May 22" sheetId="41" r:id="rId38"/>
    <sheet name="12 Mth Avg-May 22" sheetId="42" r:id="rId39"/>
    <sheet name="Mthly Calc-Jun 22" sheetId="43" r:id="rId40"/>
    <sheet name="12 Mth Avg-Jun 22" sheetId="44" r:id="rId41"/>
    <sheet name="Mthly Calc-Jul 22" sheetId="45" r:id="rId42"/>
    <sheet name="12 Mth Avg-Jul 22" sheetId="46" r:id="rId43"/>
    <sheet name="Mthly Calc-Aug 22" sheetId="47" r:id="rId44"/>
    <sheet name="12 Mth Avg-Aug 22" sheetId="48" r:id="rId45"/>
    <sheet name="Mthly Calc-Sep 22" sheetId="50" r:id="rId46"/>
    <sheet name="12 Mth Avg-Sep 22" sheetId="51" r:id="rId47"/>
    <sheet name="Mthly Calc-Oct 22" sheetId="52" r:id="rId48"/>
    <sheet name="12 Mth Avg-Oct 22" sheetId="53" r:id="rId49"/>
  </sheets>
  <definedNames>
    <definedName name="DebbieFC" localSheetId="11">'Mthly Calc-Apr 21'!$A$1:$J$49</definedName>
    <definedName name="DebbieFC" localSheetId="35">'Mthly Calc-Apr 22'!$A$1:$J$49</definedName>
    <definedName name="DebbieFC" localSheetId="19">'Mthly Calc-Aug 21'!$A$1:$J$49</definedName>
    <definedName name="DebbieFC" localSheetId="43">'Mthly Calc-Aug 22'!$A$1:$J$49</definedName>
    <definedName name="DebbieFC" localSheetId="3">'Mthly Calc-Dec 20'!$A$1:$J$49</definedName>
    <definedName name="DebbieFC" localSheetId="27">'Mthly Calc-Dec 21'!$A$1:$J$49</definedName>
    <definedName name="DebbieFC" localSheetId="7">'Mthly Calc-Feb 21'!$A$1:$J$49</definedName>
    <definedName name="DebbieFC" localSheetId="31">'Mthly Calc-Feb 22'!$A$1:$J$49</definedName>
    <definedName name="DebbieFC" localSheetId="5">'Mthly Calc-Jan 21'!$A$1:$J$49</definedName>
    <definedName name="DebbieFC" localSheetId="29">'Mthly Calc-Jan 22'!$A$1:$J$49</definedName>
    <definedName name="DebbieFC" localSheetId="17">'Mthly Calc-Jul 21'!$A$1:$J$49</definedName>
    <definedName name="DebbieFC" localSheetId="41">'Mthly Calc-Jul 22'!$A$1:$J$49</definedName>
    <definedName name="DebbieFC" localSheetId="15">'Mthly Calc-Jun 21'!$A$1:$J$49</definedName>
    <definedName name="DebbieFC" localSheetId="39">'Mthly Calc-Jun 22'!$A$1:$J$49</definedName>
    <definedName name="DebbieFC" localSheetId="9">'Mthly Calc-Mar 21'!$A$1:$J$49</definedName>
    <definedName name="DebbieFC" localSheetId="33">'Mthly Calc-Mar 22'!$A$1:$J$49</definedName>
    <definedName name="DebbieFC" localSheetId="13">'Mthly Calc-May 21'!$A$1:$J$49</definedName>
    <definedName name="DebbieFC" localSheetId="37">'Mthly Calc-May 22'!$A$1:$J$49</definedName>
    <definedName name="DebbieFC" localSheetId="23">'Mthly Calc-Oct 21'!$A$1:$J$49</definedName>
    <definedName name="DebbieFC" localSheetId="47">'Mthly Calc-Oct 22'!$A$1:$J$49</definedName>
    <definedName name="DebbieFC" localSheetId="21">'Mthly Calc-Sep 21'!$A$1:$J$49</definedName>
    <definedName name="DebbieFC" localSheetId="45">'Mthly Calc-Sep 22'!$A$1:$J$49</definedName>
    <definedName name="DebbieFC">'Mthly Calc-Nov 20'!$A$1:$J$49</definedName>
    <definedName name="_xlnm.Print_Area" localSheetId="11">'Mthly Calc-Apr 21'!$A$1:$J$49</definedName>
    <definedName name="_xlnm.Print_Area" localSheetId="35">'Mthly Calc-Apr 22'!$A$1:$J$49</definedName>
    <definedName name="_xlnm.Print_Area" localSheetId="19">'Mthly Calc-Aug 21'!$A$1:$J$49</definedName>
    <definedName name="_xlnm.Print_Area" localSheetId="43">'Mthly Calc-Aug 22'!$A$1:$J$49</definedName>
    <definedName name="_xlnm.Print_Area" localSheetId="3">'Mthly Calc-Dec 20'!$A$1:$J$49</definedName>
    <definedName name="_xlnm.Print_Area" localSheetId="27">'Mthly Calc-Dec 21'!$A$1:$J$49</definedName>
    <definedName name="_xlnm.Print_Area" localSheetId="7">'Mthly Calc-Feb 21'!$A$1:$J$49</definedName>
    <definedName name="_xlnm.Print_Area" localSheetId="31">'Mthly Calc-Feb 22'!$A$1:$J$49</definedName>
    <definedName name="_xlnm.Print_Area" localSheetId="5">'Mthly Calc-Jan 21'!$A$1:$J$49</definedName>
    <definedName name="_xlnm.Print_Area" localSheetId="29">'Mthly Calc-Jan 22'!$A$1:$J$49</definedName>
    <definedName name="_xlnm.Print_Area" localSheetId="17">'Mthly Calc-Jul 21'!$A$1:$J$49</definedName>
    <definedName name="_xlnm.Print_Area" localSheetId="41">'Mthly Calc-Jul 22'!$A$1:$J$49</definedName>
    <definedName name="_xlnm.Print_Area" localSheetId="15">'Mthly Calc-Jun 21'!$A$1:$J$49</definedName>
    <definedName name="_xlnm.Print_Area" localSheetId="39">'Mthly Calc-Jun 22'!$A$1:$J$49</definedName>
    <definedName name="_xlnm.Print_Area" localSheetId="9">'Mthly Calc-Mar 21'!$A$1:$J$49</definedName>
    <definedName name="_xlnm.Print_Area" localSheetId="33">'Mthly Calc-Mar 22'!$A$1:$J$49</definedName>
    <definedName name="_xlnm.Print_Area" localSheetId="13">'Mthly Calc-May 21'!$A$1:$J$49</definedName>
    <definedName name="_xlnm.Print_Area" localSheetId="37">'Mthly Calc-May 22'!$A$1:$J$49</definedName>
    <definedName name="_xlnm.Print_Area" localSheetId="1">'Mthly Calc-Nov 20'!$A$1:$J$49</definedName>
    <definedName name="_xlnm.Print_Area" localSheetId="25">'Mthly Calc-Nov 21'!$A$1:$J$49</definedName>
    <definedName name="_xlnm.Print_Area" localSheetId="23">'Mthly Calc-Oct 21'!$A$1:$J$49</definedName>
    <definedName name="_xlnm.Print_Area" localSheetId="47">'Mthly Calc-Oct 22'!$A$1:$J$49</definedName>
    <definedName name="_xlnm.Print_Area" localSheetId="21">'Mthly Calc-Sep 21'!$A$1:$J$49</definedName>
    <definedName name="_xlnm.Print_Area" localSheetId="45">'Mthly Calc-Sep 22'!$A$1:$J$49</definedName>
    <definedName name="_xlnm.Print_Area">'Mthly Calc-Nov 20'!$A$1:$J$49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47" l="1"/>
  <c r="J25" i="45"/>
  <c r="J25" i="43"/>
  <c r="J25" i="41"/>
  <c r="J25" i="39"/>
  <c r="J25" i="37"/>
  <c r="J25" i="35"/>
  <c r="J25" i="33"/>
  <c r="K94" i="49"/>
  <c r="J25" i="52"/>
  <c r="J34" i="52" s="1"/>
  <c r="E28" i="53"/>
  <c r="C28" i="53"/>
  <c r="G28" i="53" s="1"/>
  <c r="E31" i="53" s="1"/>
  <c r="G25" i="53"/>
  <c r="G22" i="53"/>
  <c r="G19" i="53"/>
  <c r="B45" i="52"/>
  <c r="B41" i="52"/>
  <c r="E34" i="52"/>
  <c r="E37" i="52" s="1"/>
  <c r="J11" i="52" s="1"/>
  <c r="J15" i="52" s="1"/>
  <c r="J37" i="52" s="1"/>
  <c r="J27" i="52"/>
  <c r="E24" i="52"/>
  <c r="E28" i="52" s="1"/>
  <c r="J18" i="52"/>
  <c r="J20" i="52" s="1"/>
  <c r="E13" i="52"/>
  <c r="E15" i="52" s="1"/>
  <c r="J29" i="52" s="1"/>
  <c r="E8" i="52"/>
  <c r="J4" i="52"/>
  <c r="J40" i="52" l="1"/>
  <c r="J42" i="52" s="1"/>
  <c r="D44" i="52" s="1"/>
  <c r="K91" i="49" l="1"/>
  <c r="J25" i="50"/>
  <c r="E28" i="51"/>
  <c r="C28" i="51"/>
  <c r="G28" i="51" s="1"/>
  <c r="E31" i="51" s="1"/>
  <c r="G25" i="51"/>
  <c r="G22" i="51"/>
  <c r="G19" i="51"/>
  <c r="B45" i="50"/>
  <c r="B41" i="50"/>
  <c r="E34" i="50"/>
  <c r="E37" i="50" s="1"/>
  <c r="J11" i="50" s="1"/>
  <c r="J15" i="50" s="1"/>
  <c r="J37" i="50" s="1"/>
  <c r="E28" i="50"/>
  <c r="J27" i="50"/>
  <c r="J34" i="50"/>
  <c r="J20" i="50"/>
  <c r="J18" i="50"/>
  <c r="E13" i="50"/>
  <c r="E15" i="50" s="1"/>
  <c r="J29" i="50" s="1"/>
  <c r="J4" i="50"/>
  <c r="J40" i="50" l="1"/>
  <c r="J42" i="50" s="1"/>
  <c r="D44" i="50" s="1"/>
  <c r="K88" i="49" l="1"/>
  <c r="K85" i="49"/>
  <c r="K82" i="49"/>
  <c r="K79" i="49"/>
  <c r="K76" i="49"/>
  <c r="K73" i="49"/>
  <c r="K70" i="49"/>
  <c r="K67" i="49"/>
  <c r="K53" i="49"/>
  <c r="K50" i="49"/>
  <c r="K47" i="49"/>
  <c r="K44" i="49"/>
  <c r="K41" i="49"/>
  <c r="K38" i="49"/>
  <c r="K35" i="49"/>
  <c r="K32" i="49"/>
  <c r="K29" i="49"/>
  <c r="K26" i="49"/>
  <c r="K23" i="49"/>
  <c r="K20" i="49"/>
  <c r="K17" i="49"/>
  <c r="K14" i="49"/>
  <c r="H93" i="49"/>
  <c r="H92" i="49"/>
  <c r="H90" i="49"/>
  <c r="H89" i="49"/>
  <c r="H87" i="49"/>
  <c r="H86" i="49"/>
  <c r="H84" i="49"/>
  <c r="H83" i="49"/>
  <c r="H81" i="49"/>
  <c r="H80" i="49"/>
  <c r="H78" i="49"/>
  <c r="H77" i="49"/>
  <c r="H75" i="49"/>
  <c r="H74" i="49"/>
  <c r="H72" i="49"/>
  <c r="H71" i="49"/>
  <c r="H69" i="49"/>
  <c r="H68" i="49"/>
  <c r="H66" i="49"/>
  <c r="H65" i="49"/>
  <c r="A60" i="49"/>
  <c r="H52" i="49"/>
  <c r="H51" i="49"/>
  <c r="H49" i="49"/>
  <c r="H48" i="49"/>
  <c r="H46" i="49"/>
  <c r="H45" i="49"/>
  <c r="H43" i="49"/>
  <c r="H42" i="49"/>
  <c r="H40" i="49"/>
  <c r="H39" i="49"/>
  <c r="H37" i="49"/>
  <c r="H36" i="49"/>
  <c r="H34" i="49"/>
  <c r="H33" i="49"/>
  <c r="H31" i="49"/>
  <c r="H30" i="49"/>
  <c r="H28" i="49"/>
  <c r="H27" i="49"/>
  <c r="H25" i="49"/>
  <c r="H24" i="49"/>
  <c r="H22" i="49"/>
  <c r="H21" i="49"/>
  <c r="H19" i="49"/>
  <c r="H18" i="49"/>
  <c r="H16" i="49"/>
  <c r="H15" i="49"/>
  <c r="F14" i="49"/>
  <c r="F17" i="49" s="1"/>
  <c r="F20" i="49" s="1"/>
  <c r="F23" i="49" s="1"/>
  <c r="F26" i="49" s="1"/>
  <c r="F29" i="49" s="1"/>
  <c r="F32" i="49" s="1"/>
  <c r="F35" i="49" s="1"/>
  <c r="F38" i="49" s="1"/>
  <c r="F41" i="49" s="1"/>
  <c r="F44" i="49" s="1"/>
  <c r="F47" i="49" s="1"/>
  <c r="F50" i="49" s="1"/>
  <c r="F53" i="49" s="1"/>
  <c r="F67" i="49" s="1"/>
  <c r="F70" i="49" s="1"/>
  <c r="F73" i="49" s="1"/>
  <c r="F76" i="49" s="1"/>
  <c r="F79" i="49" s="1"/>
  <c r="F82" i="49" s="1"/>
  <c r="F85" i="49" s="1"/>
  <c r="F88" i="49" s="1"/>
  <c r="F91" i="49" s="1"/>
  <c r="F94" i="49" s="1"/>
  <c r="D14" i="49"/>
  <c r="D17" i="49" s="1"/>
  <c r="D20" i="49" s="1"/>
  <c r="D23" i="49" s="1"/>
  <c r="D26" i="49" s="1"/>
  <c r="D29" i="49" s="1"/>
  <c r="D32" i="49" s="1"/>
  <c r="D35" i="49" s="1"/>
  <c r="D38" i="49" s="1"/>
  <c r="D41" i="49" s="1"/>
  <c r="D44" i="49" s="1"/>
  <c r="D47" i="49" s="1"/>
  <c r="D50" i="49" s="1"/>
  <c r="D53" i="49" s="1"/>
  <c r="D67" i="49" s="1"/>
  <c r="D70" i="49" s="1"/>
  <c r="D73" i="49" s="1"/>
  <c r="D76" i="49" s="1"/>
  <c r="D79" i="49" s="1"/>
  <c r="D82" i="49" s="1"/>
  <c r="D85" i="49" s="1"/>
  <c r="D88" i="49" s="1"/>
  <c r="D91" i="49" s="1"/>
  <c r="D94" i="49" s="1"/>
  <c r="H13" i="49"/>
  <c r="H12" i="49"/>
  <c r="H10" i="49"/>
  <c r="J10" i="49" s="1"/>
  <c r="H14" i="49" l="1"/>
  <c r="J14" i="49" s="1"/>
  <c r="L14" i="49" s="1"/>
  <c r="H17" i="49"/>
  <c r="J17" i="49" l="1"/>
  <c r="L17" i="49" s="1"/>
  <c r="H20" i="49"/>
  <c r="H23" i="49" l="1"/>
  <c r="J20" i="49"/>
  <c r="L20" i="49" s="1"/>
  <c r="H26" i="49" l="1"/>
  <c r="J23" i="49"/>
  <c r="L23" i="49" s="1"/>
  <c r="H29" i="49" l="1"/>
  <c r="J26" i="49"/>
  <c r="L26" i="49" s="1"/>
  <c r="H32" i="49" l="1"/>
  <c r="J29" i="49"/>
  <c r="L29" i="49" s="1"/>
  <c r="J32" i="49" l="1"/>
  <c r="L32" i="49" s="1"/>
  <c r="H35" i="49"/>
  <c r="H38" i="49" l="1"/>
  <c r="J35" i="49"/>
  <c r="L35" i="49" s="1"/>
  <c r="H41" i="49" l="1"/>
  <c r="J38" i="49"/>
  <c r="L38" i="49" s="1"/>
  <c r="J41" i="49" l="1"/>
  <c r="L41" i="49" s="1"/>
  <c r="H44" i="49"/>
  <c r="H47" i="49" l="1"/>
  <c r="J44" i="49"/>
  <c r="L44" i="49" s="1"/>
  <c r="H50" i="49" l="1"/>
  <c r="J47" i="49"/>
  <c r="L47" i="49" s="1"/>
  <c r="H53" i="49" l="1"/>
  <c r="J50" i="49"/>
  <c r="L50" i="49" s="1"/>
  <c r="H67" i="49" l="1"/>
  <c r="J53" i="49"/>
  <c r="L53" i="49" s="1"/>
  <c r="J67" i="49" l="1"/>
  <c r="L67" i="49" s="1"/>
  <c r="H70" i="49"/>
  <c r="H73" i="49" l="1"/>
  <c r="J70" i="49"/>
  <c r="L70" i="49" s="1"/>
  <c r="H76" i="49" l="1"/>
  <c r="J73" i="49"/>
  <c r="L73" i="49" s="1"/>
  <c r="J76" i="49" l="1"/>
  <c r="L76" i="49" s="1"/>
  <c r="H79" i="49"/>
  <c r="J79" i="49" l="1"/>
  <c r="L79" i="49" s="1"/>
  <c r="H82" i="49"/>
  <c r="J82" i="49" l="1"/>
  <c r="L82" i="49" s="1"/>
  <c r="H85" i="49"/>
  <c r="H88" i="49" l="1"/>
  <c r="J85" i="49"/>
  <c r="L85" i="49" s="1"/>
  <c r="H91" i="49" l="1"/>
  <c r="J88" i="49"/>
  <c r="L88" i="49" s="1"/>
  <c r="J91" i="49" l="1"/>
  <c r="L91" i="49" s="1"/>
  <c r="H94" i="49"/>
  <c r="J94" i="49" s="1"/>
  <c r="L94" i="49" s="1"/>
  <c r="E28" i="48" l="1"/>
  <c r="C28" i="48"/>
  <c r="G28" i="48" s="1"/>
  <c r="E31" i="48" s="1"/>
  <c r="G25" i="48"/>
  <c r="G22" i="48"/>
  <c r="G19" i="48"/>
  <c r="B45" i="47"/>
  <c r="B41" i="47"/>
  <c r="J27" i="47"/>
  <c r="E26" i="47"/>
  <c r="E34" i="47" s="1"/>
  <c r="E37" i="47" s="1"/>
  <c r="J11" i="47" s="1"/>
  <c r="J15" i="47" s="1"/>
  <c r="J37" i="47" s="1"/>
  <c r="J34" i="47"/>
  <c r="E24" i="47"/>
  <c r="E28" i="47" s="1"/>
  <c r="J20" i="47"/>
  <c r="J18" i="47"/>
  <c r="E8" i="47"/>
  <c r="E13" i="47" s="1"/>
  <c r="E15" i="47" s="1"/>
  <c r="J29" i="47" s="1"/>
  <c r="J4" i="47"/>
  <c r="J40" i="47" l="1"/>
  <c r="J42" i="47" s="1"/>
  <c r="D44" i="47" s="1"/>
  <c r="G28" i="46" l="1"/>
  <c r="E31" i="46" s="1"/>
  <c r="E28" i="46"/>
  <c r="C28" i="46"/>
  <c r="G25" i="46"/>
  <c r="G22" i="46"/>
  <c r="G19" i="46"/>
  <c r="B45" i="45"/>
  <c r="B41" i="45"/>
  <c r="J27" i="45"/>
  <c r="E26" i="45"/>
  <c r="E34" i="45" s="1"/>
  <c r="E37" i="45" s="1"/>
  <c r="J11" i="45" s="1"/>
  <c r="J15" i="45" s="1"/>
  <c r="J37" i="45" s="1"/>
  <c r="J34" i="45"/>
  <c r="J18" i="45"/>
  <c r="J20" i="45" s="1"/>
  <c r="E13" i="45"/>
  <c r="E15" i="45" s="1"/>
  <c r="J29" i="45" s="1"/>
  <c r="J4" i="45"/>
  <c r="J40" i="45" l="1"/>
  <c r="J42" i="45" s="1"/>
  <c r="D44" i="45" s="1"/>
  <c r="E28" i="45"/>
  <c r="E31" i="44" l="1"/>
  <c r="G28" i="44"/>
  <c r="E28" i="44"/>
  <c r="C28" i="44"/>
  <c r="G25" i="44"/>
  <c r="G22" i="44"/>
  <c r="G19" i="44"/>
  <c r="B45" i="43"/>
  <c r="B41" i="43"/>
  <c r="E34" i="43" s="1"/>
  <c r="E37" i="43" s="1"/>
  <c r="J11" i="43" s="1"/>
  <c r="J15" i="43" s="1"/>
  <c r="J37" i="43" s="1"/>
  <c r="E28" i="43"/>
  <c r="J27" i="43"/>
  <c r="J34" i="43"/>
  <c r="J18" i="43"/>
  <c r="J20" i="43" s="1"/>
  <c r="E13" i="43"/>
  <c r="E15" i="43" s="1"/>
  <c r="J29" i="43" s="1"/>
  <c r="J4" i="43"/>
  <c r="J40" i="43" l="1"/>
  <c r="J42" i="43" s="1"/>
  <c r="D44" i="43" s="1"/>
  <c r="E28" i="42" l="1"/>
  <c r="C28" i="42"/>
  <c r="G28" i="42" s="1"/>
  <c r="E31" i="42" s="1"/>
  <c r="G25" i="42"/>
  <c r="G22" i="42"/>
  <c r="G19" i="42"/>
  <c r="B45" i="41"/>
  <c r="B41" i="41"/>
  <c r="J27" i="41"/>
  <c r="E26" i="41"/>
  <c r="E34" i="41" s="1"/>
  <c r="E37" i="41" s="1"/>
  <c r="J11" i="41" s="1"/>
  <c r="J15" i="41" s="1"/>
  <c r="J37" i="41" s="1"/>
  <c r="J34" i="41"/>
  <c r="J18" i="41"/>
  <c r="J20" i="41" s="1"/>
  <c r="E13" i="41"/>
  <c r="E15" i="41" s="1"/>
  <c r="J29" i="41" s="1"/>
  <c r="J4" i="41"/>
  <c r="J40" i="41" l="1"/>
  <c r="J42" i="41" s="1"/>
  <c r="D44" i="41" s="1"/>
  <c r="E28" i="41"/>
  <c r="E28" i="40" l="1"/>
  <c r="C28" i="40"/>
  <c r="G28" i="40" s="1"/>
  <c r="E31" i="40" s="1"/>
  <c r="G25" i="40"/>
  <c r="G22" i="40"/>
  <c r="G19" i="40"/>
  <c r="B45" i="39"/>
  <c r="B41" i="39"/>
  <c r="J27" i="39"/>
  <c r="E26" i="39"/>
  <c r="E34" i="39" s="1"/>
  <c r="E37" i="39" s="1"/>
  <c r="J11" i="39" s="1"/>
  <c r="J15" i="39" s="1"/>
  <c r="J37" i="39" s="1"/>
  <c r="J34" i="39"/>
  <c r="E24" i="39"/>
  <c r="E28" i="39" s="1"/>
  <c r="J18" i="39"/>
  <c r="J20" i="39" s="1"/>
  <c r="E8" i="39"/>
  <c r="E13" i="39" s="1"/>
  <c r="E15" i="39" s="1"/>
  <c r="J29" i="39" s="1"/>
  <c r="J4" i="39"/>
  <c r="J40" i="39" l="1"/>
  <c r="J42" i="39" s="1"/>
  <c r="D44" i="39" s="1"/>
  <c r="B41" i="38" l="1"/>
  <c r="E28" i="38"/>
  <c r="C28" i="38"/>
  <c r="G28" i="38" s="1"/>
  <c r="E31" i="38" s="1"/>
  <c r="G25" i="38"/>
  <c r="G22" i="38"/>
  <c r="G19" i="38"/>
  <c r="B45" i="37"/>
  <c r="B41" i="37"/>
  <c r="E34" i="37" s="1"/>
  <c r="E37" i="37" s="1"/>
  <c r="J11" i="37" s="1"/>
  <c r="J15" i="37" s="1"/>
  <c r="J37" i="37" s="1"/>
  <c r="J27" i="37"/>
  <c r="J34" i="37"/>
  <c r="E24" i="37"/>
  <c r="E28" i="37" s="1"/>
  <c r="J18" i="37"/>
  <c r="J20" i="37" s="1"/>
  <c r="E8" i="37"/>
  <c r="E13" i="37" s="1"/>
  <c r="E15" i="37" s="1"/>
  <c r="J29" i="37" s="1"/>
  <c r="J4" i="37"/>
  <c r="J40" i="37" l="1"/>
  <c r="J42" i="37" s="1"/>
  <c r="D44" i="37" s="1"/>
  <c r="E28" i="36" l="1"/>
  <c r="C28" i="36"/>
  <c r="G28" i="36" s="1"/>
  <c r="E31" i="36" s="1"/>
  <c r="G25" i="36"/>
  <c r="G22" i="36"/>
  <c r="G19" i="36"/>
  <c r="B45" i="35"/>
  <c r="B41" i="35"/>
  <c r="J27" i="35"/>
  <c r="E26" i="35"/>
  <c r="E28" i="35" s="1"/>
  <c r="J34" i="35"/>
  <c r="J18" i="35"/>
  <c r="J20" i="35" s="1"/>
  <c r="E8" i="35"/>
  <c r="E13" i="35" s="1"/>
  <c r="E15" i="35" s="1"/>
  <c r="J29" i="35" s="1"/>
  <c r="J4" i="35"/>
  <c r="E34" i="35" l="1"/>
  <c r="E37" i="35" s="1"/>
  <c r="J11" i="35" s="1"/>
  <c r="J15" i="35" s="1"/>
  <c r="J37" i="35" s="1"/>
  <c r="J40" i="35" s="1"/>
  <c r="J42" i="35" s="1"/>
  <c r="D44" i="35" s="1"/>
  <c r="G28" i="34" l="1"/>
  <c r="E31" i="34" s="1"/>
  <c r="E28" i="34"/>
  <c r="C28" i="34"/>
  <c r="G25" i="34"/>
  <c r="G22" i="34"/>
  <c r="G19" i="34"/>
  <c r="B45" i="33"/>
  <c r="B41" i="33"/>
  <c r="J27" i="33"/>
  <c r="E26" i="33"/>
  <c r="E34" i="33" s="1"/>
  <c r="E37" i="33" s="1"/>
  <c r="J11" i="33" s="1"/>
  <c r="J15" i="33" s="1"/>
  <c r="J37" i="33" s="1"/>
  <c r="J34" i="33"/>
  <c r="J18" i="33"/>
  <c r="J20" i="33" s="1"/>
  <c r="E8" i="33"/>
  <c r="E13" i="33" s="1"/>
  <c r="E15" i="33" s="1"/>
  <c r="J29" i="33" s="1"/>
  <c r="J4" i="33"/>
  <c r="J40" i="33" l="1"/>
  <c r="J42" i="33" s="1"/>
  <c r="D44" i="33" s="1"/>
  <c r="E28" i="33"/>
  <c r="J25" i="31" l="1"/>
  <c r="J34" i="31" s="1"/>
  <c r="E28" i="32"/>
  <c r="C28" i="32"/>
  <c r="G28" i="32" s="1"/>
  <c r="E31" i="32" s="1"/>
  <c r="G25" i="32"/>
  <c r="G22" i="32"/>
  <c r="G19" i="32"/>
  <c r="B45" i="31"/>
  <c r="B41" i="31"/>
  <c r="J27" i="31"/>
  <c r="E26" i="31"/>
  <c r="E34" i="31" s="1"/>
  <c r="E37" i="31" s="1"/>
  <c r="J11" i="31" s="1"/>
  <c r="J15" i="31" s="1"/>
  <c r="E24" i="31"/>
  <c r="E28" i="31" s="1"/>
  <c r="J18" i="31"/>
  <c r="J20" i="31" s="1"/>
  <c r="E8" i="31"/>
  <c r="E13" i="31" s="1"/>
  <c r="E15" i="31" s="1"/>
  <c r="J29" i="31" s="1"/>
  <c r="J4" i="31"/>
  <c r="J37" i="31" l="1"/>
  <c r="J40" i="31" s="1"/>
  <c r="J42" i="31" s="1"/>
  <c r="D44" i="31" s="1"/>
  <c r="E28" i="30" l="1"/>
  <c r="C28" i="30"/>
  <c r="G28" i="30" s="1"/>
  <c r="E31" i="30" s="1"/>
  <c r="J25" i="29" s="1"/>
  <c r="J34" i="29" s="1"/>
  <c r="G25" i="30"/>
  <c r="G22" i="30"/>
  <c r="G19" i="30"/>
  <c r="B45" i="29"/>
  <c r="B41" i="29"/>
  <c r="E34" i="29"/>
  <c r="E37" i="29" s="1"/>
  <c r="J11" i="29" s="1"/>
  <c r="J15" i="29" s="1"/>
  <c r="J37" i="29" s="1"/>
  <c r="J40" i="29" s="1"/>
  <c r="J42" i="29" s="1"/>
  <c r="D44" i="29" s="1"/>
  <c r="J27" i="29"/>
  <c r="E26" i="29"/>
  <c r="E24" i="29"/>
  <c r="E28" i="29" s="1"/>
  <c r="J18" i="29"/>
  <c r="J20" i="29" s="1"/>
  <c r="E8" i="29"/>
  <c r="E13" i="29" s="1"/>
  <c r="E15" i="29" s="1"/>
  <c r="J29" i="29" s="1"/>
  <c r="J4" i="29"/>
  <c r="J25" i="27" l="1"/>
  <c r="E28" i="28"/>
  <c r="C28" i="28"/>
  <c r="G28" i="28" s="1"/>
  <c r="E31" i="28" s="1"/>
  <c r="G25" i="28"/>
  <c r="G22" i="28"/>
  <c r="G19" i="28"/>
  <c r="B45" i="27"/>
  <c r="J27" i="27"/>
  <c r="E26" i="27"/>
  <c r="E34" i="27" s="1"/>
  <c r="E37" i="27" s="1"/>
  <c r="J11" i="27" s="1"/>
  <c r="J15" i="27" s="1"/>
  <c r="J37" i="27" s="1"/>
  <c r="J34" i="27"/>
  <c r="E28" i="27"/>
  <c r="J18" i="27"/>
  <c r="J20" i="27" s="1"/>
  <c r="E13" i="27"/>
  <c r="E15" i="27" s="1"/>
  <c r="J29" i="27" s="1"/>
  <c r="J4" i="27"/>
  <c r="J40" i="27" l="1"/>
  <c r="J42" i="27" s="1"/>
  <c r="D44" i="27" s="1"/>
  <c r="J25" i="25" l="1"/>
  <c r="J34" i="25" s="1"/>
  <c r="E28" i="26"/>
  <c r="C28" i="26"/>
  <c r="G28" i="26" s="1"/>
  <c r="E31" i="26" s="1"/>
  <c r="G22" i="26"/>
  <c r="G19" i="26"/>
  <c r="B45" i="25"/>
  <c r="J27" i="25"/>
  <c r="E26" i="25"/>
  <c r="E34" i="25" s="1"/>
  <c r="E37" i="25" s="1"/>
  <c r="J11" i="25" s="1"/>
  <c r="J15" i="25" s="1"/>
  <c r="E28" i="25"/>
  <c r="J18" i="25"/>
  <c r="J20" i="25" s="1"/>
  <c r="E13" i="25"/>
  <c r="E15" i="25" s="1"/>
  <c r="J29" i="25" s="1"/>
  <c r="J4" i="25"/>
  <c r="J37" i="25" l="1"/>
  <c r="G25" i="26"/>
  <c r="J40" i="25"/>
  <c r="J42" i="25" s="1"/>
  <c r="D44" i="25" s="1"/>
  <c r="J25" i="23" l="1"/>
  <c r="E28" i="24"/>
  <c r="C28" i="24"/>
  <c r="G25" i="24"/>
  <c r="G22" i="24"/>
  <c r="G19" i="24"/>
  <c r="B45" i="23"/>
  <c r="E34" i="23"/>
  <c r="E37" i="23" s="1"/>
  <c r="J11" i="23" s="1"/>
  <c r="J15" i="23" s="1"/>
  <c r="J37" i="23" s="1"/>
  <c r="J27" i="23"/>
  <c r="E26" i="23"/>
  <c r="J34" i="23"/>
  <c r="E28" i="23"/>
  <c r="J18" i="23"/>
  <c r="J20" i="23" s="1"/>
  <c r="E13" i="23"/>
  <c r="E15" i="23" s="1"/>
  <c r="J29" i="23" s="1"/>
  <c r="J4" i="23"/>
  <c r="J40" i="23" l="1"/>
  <c r="J42" i="23" s="1"/>
  <c r="D44" i="23" s="1"/>
  <c r="G28" i="24"/>
  <c r="E31" i="24" s="1"/>
  <c r="J25" i="19" l="1"/>
  <c r="E28" i="20" l="1"/>
  <c r="C28" i="20"/>
  <c r="G25" i="20"/>
  <c r="G22" i="20"/>
  <c r="G19" i="20"/>
  <c r="B45" i="19"/>
  <c r="E28" i="19"/>
  <c r="J27" i="19"/>
  <c r="E26" i="19"/>
  <c r="E34" i="19" s="1"/>
  <c r="E37" i="19" s="1"/>
  <c r="J11" i="19" s="1"/>
  <c r="J15" i="19" s="1"/>
  <c r="J34" i="19"/>
  <c r="J18" i="19"/>
  <c r="J20" i="19" s="1"/>
  <c r="E13" i="19"/>
  <c r="E15" i="19" s="1"/>
  <c r="J29" i="19" s="1"/>
  <c r="J4" i="19"/>
  <c r="J37" i="19" l="1"/>
  <c r="G28" i="20"/>
  <c r="E31" i="20" s="1"/>
  <c r="J40" i="19"/>
  <c r="J42" i="19" s="1"/>
  <c r="D44" i="19" s="1"/>
  <c r="E28" i="18" l="1"/>
  <c r="C28" i="18"/>
  <c r="G28" i="18" s="1"/>
  <c r="E31" i="18" s="1"/>
  <c r="J25" i="17" s="1"/>
  <c r="J34" i="17" s="1"/>
  <c r="G25" i="18"/>
  <c r="G22" i="18"/>
  <c r="G19" i="18"/>
  <c r="J27" i="17"/>
  <c r="E26" i="17"/>
  <c r="E34" i="17" s="1"/>
  <c r="E37" i="17" s="1"/>
  <c r="J11" i="17" s="1"/>
  <c r="J15" i="17" s="1"/>
  <c r="E28" i="17"/>
  <c r="J18" i="17"/>
  <c r="J20" i="17" s="1"/>
  <c r="E13" i="17"/>
  <c r="E15" i="17" s="1"/>
  <c r="J29" i="17" s="1"/>
  <c r="J4" i="17"/>
  <c r="J37" i="17" l="1"/>
  <c r="J40" i="17"/>
  <c r="J42" i="17" s="1"/>
  <c r="D44" i="17" s="1"/>
  <c r="J25" i="15" l="1"/>
  <c r="E28" i="16"/>
  <c r="C28" i="16"/>
  <c r="G25" i="16"/>
  <c r="G22" i="16"/>
  <c r="G19" i="16"/>
  <c r="J34" i="15"/>
  <c r="J27" i="15"/>
  <c r="E26" i="15"/>
  <c r="E34" i="15" s="1"/>
  <c r="E37" i="15" s="1"/>
  <c r="J11" i="15" s="1"/>
  <c r="J15" i="15" s="1"/>
  <c r="J37" i="15" s="1"/>
  <c r="E28" i="15"/>
  <c r="J18" i="15"/>
  <c r="J20" i="15" s="1"/>
  <c r="E13" i="15"/>
  <c r="E15" i="15" s="1"/>
  <c r="J29" i="15" s="1"/>
  <c r="J4" i="15"/>
  <c r="J40" i="15" l="1"/>
  <c r="J42" i="15" s="1"/>
  <c r="D44" i="15" s="1"/>
  <c r="G28" i="16"/>
  <c r="E31" i="16" s="1"/>
  <c r="J25" i="13" l="1"/>
  <c r="E28" i="14"/>
  <c r="C28" i="14"/>
  <c r="G28" i="14" s="1"/>
  <c r="E31" i="14" s="1"/>
  <c r="G25" i="14"/>
  <c r="G22" i="14"/>
  <c r="G19" i="14"/>
  <c r="J27" i="13"/>
  <c r="E26" i="13"/>
  <c r="E34" i="13" s="1"/>
  <c r="E37" i="13" s="1"/>
  <c r="J11" i="13" s="1"/>
  <c r="J15" i="13" s="1"/>
  <c r="J37" i="13" s="1"/>
  <c r="J34" i="13"/>
  <c r="E28" i="13"/>
  <c r="J18" i="13"/>
  <c r="J20" i="13" s="1"/>
  <c r="E13" i="13"/>
  <c r="E15" i="13" s="1"/>
  <c r="J29" i="13" s="1"/>
  <c r="J4" i="13"/>
  <c r="J40" i="13" l="1"/>
  <c r="J42" i="13" s="1"/>
  <c r="D44" i="13" s="1"/>
  <c r="J25" i="11" l="1"/>
  <c r="J34" i="11" s="1"/>
  <c r="E28" i="12"/>
  <c r="C28" i="12"/>
  <c r="G28" i="12" s="1"/>
  <c r="E31" i="12" s="1"/>
  <c r="G25" i="12"/>
  <c r="G22" i="12"/>
  <c r="G19" i="12"/>
  <c r="E34" i="11"/>
  <c r="E37" i="11" s="1"/>
  <c r="J11" i="11" s="1"/>
  <c r="J15" i="11" s="1"/>
  <c r="J37" i="11" s="1"/>
  <c r="E28" i="11"/>
  <c r="J27" i="11"/>
  <c r="J18" i="11"/>
  <c r="J20" i="11" s="1"/>
  <c r="E13" i="11"/>
  <c r="E15" i="11" s="1"/>
  <c r="J29" i="11" s="1"/>
  <c r="J4" i="11"/>
  <c r="J40" i="11" l="1"/>
  <c r="J42" i="11" s="1"/>
  <c r="D44" i="11" s="1"/>
  <c r="E28" i="10" l="1"/>
  <c r="C28" i="10"/>
  <c r="G28" i="10" s="1"/>
  <c r="E31" i="10" s="1"/>
  <c r="J25" i="9" s="1"/>
  <c r="J34" i="9" s="1"/>
  <c r="G25" i="10"/>
  <c r="G22" i="10"/>
  <c r="G19" i="10"/>
  <c r="E34" i="9"/>
  <c r="E37" i="9" s="1"/>
  <c r="J11" i="9" s="1"/>
  <c r="J15" i="9" s="1"/>
  <c r="E28" i="9"/>
  <c r="J27" i="9"/>
  <c r="J18" i="9"/>
  <c r="J20" i="9" s="1"/>
  <c r="E13" i="9"/>
  <c r="E15" i="9" s="1"/>
  <c r="J29" i="9" s="1"/>
  <c r="J4" i="9"/>
  <c r="J37" i="9" l="1"/>
  <c r="J40" i="9"/>
  <c r="J42" i="9" s="1"/>
  <c r="D44" i="9" s="1"/>
  <c r="J25" i="7" l="1"/>
  <c r="J34" i="7" s="1"/>
  <c r="J25" i="5"/>
  <c r="G28" i="8"/>
  <c r="E31" i="8" s="1"/>
  <c r="E28" i="8"/>
  <c r="C28" i="8"/>
  <c r="G25" i="8"/>
  <c r="G22" i="8"/>
  <c r="G19" i="8"/>
  <c r="E34" i="7"/>
  <c r="E37" i="7" s="1"/>
  <c r="J11" i="7" s="1"/>
  <c r="J15" i="7" s="1"/>
  <c r="J37" i="7" s="1"/>
  <c r="E28" i="7"/>
  <c r="J27" i="7"/>
  <c r="J18" i="7"/>
  <c r="J20" i="7" s="1"/>
  <c r="E13" i="7"/>
  <c r="E15" i="7" s="1"/>
  <c r="J29" i="7" s="1"/>
  <c r="J4" i="7"/>
  <c r="J40" i="7" l="1"/>
  <c r="J42" i="7" s="1"/>
  <c r="D44" i="7" s="1"/>
  <c r="E28" i="6" l="1"/>
  <c r="C28" i="6"/>
  <c r="G28" i="6" s="1"/>
  <c r="E31" i="6" s="1"/>
  <c r="G25" i="6"/>
  <c r="G22" i="6"/>
  <c r="G19" i="6"/>
  <c r="E37" i="5"/>
  <c r="J34" i="5"/>
  <c r="E34" i="5"/>
  <c r="J29" i="5"/>
  <c r="E28" i="5"/>
  <c r="J27" i="5"/>
  <c r="J20" i="5"/>
  <c r="J18" i="5"/>
  <c r="E15" i="5"/>
  <c r="E13" i="5"/>
  <c r="J11" i="5"/>
  <c r="J15" i="5" s="1"/>
  <c r="J37" i="5" s="1"/>
  <c r="J40" i="5" s="1"/>
  <c r="J42" i="5" s="1"/>
  <c r="D44" i="5" s="1"/>
  <c r="J4" i="5"/>
  <c r="E34" i="1" l="1"/>
  <c r="E28" i="1" l="1"/>
  <c r="G22" i="4" l="1"/>
  <c r="J18" i="1" l="1"/>
  <c r="J20" i="1" s="1"/>
  <c r="E37" i="1" l="1"/>
  <c r="J11" i="1" l="1"/>
  <c r="J15" i="1" s="1"/>
  <c r="G19" i="4"/>
  <c r="G25" i="4"/>
  <c r="C28" i="4"/>
  <c r="E28" i="4"/>
  <c r="J4" i="1"/>
  <c r="E13" i="1"/>
  <c r="E15" i="1" s="1"/>
  <c r="J29" i="1" s="1"/>
  <c r="J27" i="1"/>
  <c r="J37" i="1" l="1"/>
  <c r="G28" i="4"/>
  <c r="E31" i="4" l="1"/>
  <c r="J25" i="1" s="1"/>
  <c r="J34" i="1" s="1"/>
  <c r="J40" i="1" s="1"/>
  <c r="J42" i="1" s="1"/>
  <c r="D44" i="1" s="1"/>
</calcChain>
</file>

<file path=xl/sharedStrings.xml><?xml version="1.0" encoding="utf-8"?>
<sst xmlns="http://schemas.openxmlformats.org/spreadsheetml/2006/main" count="3279" uniqueCount="133">
  <si>
    <t>COMPANY:</t>
  </si>
  <si>
    <t>-</t>
  </si>
  <si>
    <t>Disposition of Energy (KWH) for Month of:</t>
  </si>
  <si>
    <t xml:space="preserve">   3.  Company Use</t>
  </si>
  <si>
    <t xml:space="preserve">   4.  Total Sales (L2 + L3)</t>
  </si>
  <si>
    <t xml:space="preserve">   5.  Line Loss &amp; Unaccounted for</t>
  </si>
  <si>
    <t xml:space="preserve">       (L1 less L4)</t>
  </si>
  <si>
    <t>(Over) or Under Recovery</t>
  </si>
  <si>
    <t xml:space="preserve">   6.  Last FAC Rate Billed Consumers</t>
  </si>
  <si>
    <t xml:space="preserve">   7.  Gross KWH Billed at Rate on L6</t>
  </si>
  <si>
    <t xml:space="preserve">   8.  Adjustments to Billing (KWH)</t>
  </si>
  <si>
    <t xml:space="preserve">   9.  Net KWH billed at the Rate on L6</t>
  </si>
  <si>
    <t xml:space="preserve">       (L7+L8)</t>
  </si>
  <si>
    <t xml:space="preserve">  10.  Fuel Charge (Credit) Used to</t>
  </si>
  <si>
    <t xml:space="preserve">       Compute L6 (L13D of Mth)</t>
  </si>
  <si>
    <t xml:space="preserve">  11.  FAC Revenue (Refund) Resulting</t>
  </si>
  <si>
    <t xml:space="preserve">       from L6 (net of billing adj.)</t>
  </si>
  <si>
    <t xml:space="preserve">  12.  Total (Over) or Under Recovery</t>
  </si>
  <si>
    <t xml:space="preserve">       (L10 less L11)</t>
  </si>
  <si>
    <t xml:space="preserve">Line 22 reflects a Fuel Adjustment Charge (Credit) of         </t>
  </si>
  <si>
    <t>(Date)</t>
  </si>
  <si>
    <t>Address:  P.O. Box 309, Shelbyville, Ky.  40066-0309</t>
  </si>
  <si>
    <t xml:space="preserve"> (fcmthfrm.wk4)</t>
  </si>
  <si>
    <t>SHELBY ENERGY COOPERATIVE, INC.</t>
  </si>
  <si>
    <t>Gross Mthly FC</t>
  </si>
  <si>
    <t>Month:</t>
  </si>
  <si>
    <t xml:space="preserve"> </t>
  </si>
  <si>
    <t xml:space="preserve">       POWER SUPPLIER: EAST KENTUCKY POWER</t>
  </si>
  <si>
    <t>Purchased Power</t>
  </si>
  <si>
    <t>13.  Fuel Adjustment Charge (credit)</t>
  </si>
  <si>
    <t xml:space="preserve">     A.  Billed by Supplier</t>
  </si>
  <si>
    <t xml:space="preserve">     B.  (over) Under Recovery (L12)</t>
  </si>
  <si>
    <t xml:space="preserve">     C.  Unrecoverable - Schedule 2</t>
  </si>
  <si>
    <t xml:space="preserve">     D. Recoverable Fuel Cost </t>
  </si>
  <si>
    <t xml:space="preserve">        (L13 A+B-C)</t>
  </si>
  <si>
    <t>14.  Number of KWH Purchased</t>
  </si>
  <si>
    <t>15.  Supplier's FAC:  $ per KWH</t>
  </si>
  <si>
    <t xml:space="preserve">     (L13A / L14)</t>
  </si>
  <si>
    <t>LINE LOSS:</t>
  </si>
  <si>
    <t>16.  Last 12 Months Actual (%)</t>
  </si>
  <si>
    <t>17.  Last Month Used to Compute L16</t>
  </si>
  <si>
    <t>18.  Line Loss for Month on L17 (%)</t>
  </si>
  <si>
    <t xml:space="preserve">     (L5 / L1)</t>
  </si>
  <si>
    <t>Calculation of FAC Billed Consumers</t>
  </si>
  <si>
    <t xml:space="preserve">19.  Sales as a Percent of Purchases  </t>
  </si>
  <si>
    <t xml:space="preserve">     (100% less perecentage on L16)</t>
  </si>
  <si>
    <t xml:space="preserve">20.  Recovery Rate $ per KWH </t>
  </si>
  <si>
    <t xml:space="preserve">     (L13D / L14)</t>
  </si>
  <si>
    <t>21.  FAC $ per KWH (L20 / L19)</t>
  </si>
  <si>
    <t>22.  FAC c per KWH (L21 x 100)</t>
  </si>
  <si>
    <t>Date Issued</t>
  </si>
  <si>
    <t>Month of:</t>
  </si>
  <si>
    <t>PREVIOUS TWELVE</t>
  </si>
  <si>
    <t>MONTH TOTAL</t>
  </si>
  <si>
    <t>LESS:  PRIOR YEAR</t>
  </si>
  <si>
    <t>CURRENT MONTH TOTAL</t>
  </si>
  <si>
    <t>PLUS:  CURRENT YEAR</t>
  </si>
  <si>
    <t>MOST RECENT TWELVE</t>
  </si>
  <si>
    <t>ENTER ON LINE 16 OF CURRENT MONTH'S FAC REPORT</t>
  </si>
  <si>
    <t>SHELBYVILLE, KENTUCKY</t>
  </si>
  <si>
    <t>SCHEDULE 1</t>
  </si>
  <si>
    <t>TWELVE MONTH ACTUAL LINE LOSS</t>
  </si>
  <si>
    <t>FOR FUEL ADJUSTMENT CHARGE COMPUTATION</t>
  </si>
  <si>
    <t xml:space="preserve"> (A)</t>
  </si>
  <si>
    <t>KWH</t>
  </si>
  <si>
    <t>PURCHASED</t>
  </si>
  <si>
    <t xml:space="preserve"> (B)</t>
  </si>
  <si>
    <t>SOLD</t>
  </si>
  <si>
    <t>LOSSES</t>
  </si>
  <si>
    <t>(C)</t>
  </si>
  <si>
    <t>Net</t>
  </si>
  <si>
    <t xml:space="preserve">   1.   Total Purchases</t>
  </si>
  <si>
    <t xml:space="preserve">   2.   Sales (Ultimate Consumer) </t>
  </si>
  <si>
    <t>Issued by:  Jared Routh</t>
  </si>
  <si>
    <t>TITLE: SVP, Finance &amp; Cooperative Services</t>
  </si>
  <si>
    <t>Telephone:  (502) 633-4420  Ext 8197</t>
  </si>
  <si>
    <t>November</t>
  </si>
  <si>
    <t>September</t>
  </si>
  <si>
    <t>January 20, 2021</t>
  </si>
  <si>
    <t>December 17, 2020</t>
  </si>
  <si>
    <t>December</t>
  </si>
  <si>
    <t>October</t>
  </si>
  <si>
    <t>February 20, 2021</t>
  </si>
  <si>
    <t>January 21, 2021</t>
  </si>
  <si>
    <t>January</t>
  </si>
  <si>
    <t>March 20, 2021</t>
  </si>
  <si>
    <t>February</t>
  </si>
  <si>
    <t>April 20, 2021</t>
  </si>
  <si>
    <t>March 17, 2021</t>
  </si>
  <si>
    <t>March</t>
  </si>
  <si>
    <t>May 20, 2021</t>
  </si>
  <si>
    <t>April 19, 2021</t>
  </si>
  <si>
    <t>April</t>
  </si>
  <si>
    <t>June 20, 2021</t>
  </si>
  <si>
    <t>May</t>
  </si>
  <si>
    <t>July 20, 2021</t>
  </si>
  <si>
    <t>June 22, 2021</t>
  </si>
  <si>
    <t>June</t>
  </si>
  <si>
    <t>August 20, 2021</t>
  </si>
  <si>
    <t>July 29, 2021</t>
  </si>
  <si>
    <t xml:space="preserve">Issued by:  </t>
  </si>
  <si>
    <t>Jack Bragg, Jr.</t>
  </si>
  <si>
    <t>TITLE: CEO</t>
  </si>
  <si>
    <t>Telephone:  (502) 633-4420  Ext 8161</t>
  </si>
  <si>
    <t>July</t>
  </si>
  <si>
    <t>Michael Moriarty</t>
  </si>
  <si>
    <t>TITLE: CFO</t>
  </si>
  <si>
    <t>August</t>
  </si>
  <si>
    <t>Schedule 1</t>
  </si>
  <si>
    <t>Page 1 of 2</t>
  </si>
  <si>
    <t xml:space="preserve"> 12-MONTH AVERAGE LINE LOSS BY MONTH</t>
  </si>
  <si>
    <t>NOVEMBER, 2020  -  OCTOBER, 2022</t>
  </si>
  <si>
    <t>KWH SALES</t>
  </si>
  <si>
    <t xml:space="preserve">LINE </t>
  </si>
  <si>
    <t>12 MTH</t>
  </si>
  <si>
    <t>TO MEMBERS</t>
  </si>
  <si>
    <t>LOSS</t>
  </si>
  <si>
    <t>AVG %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</si>
  <si>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</si>
  <si>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</si>
  <si>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</si>
  <si>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</si>
  <si>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</si>
  <si>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</si>
  <si>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</si>
  <si>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</si>
  <si>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</si>
  <si>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</si>
  <si>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</si>
  <si>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</si>
  <si>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Page 2 of 2</t>
  </si>
  <si>
    <t xml:space="preserve">Form A 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</si>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</sst>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43" formatCode="_(* #,##0.00_);_(* \(#,##0.00\);_(* &quot;-&quot;??_);_(@_)"/>
    <numFmt numFmtId="164" formatCode="0.0000000"/>
    <numFmt numFmtId="165" formatCode="&quot;$&quot;#,##0.00"/>
    <numFmt numFmtId="166" formatCode="&quot;$&quot;#,##0.00000"/>
    <numFmt numFmtId="167" formatCode="0.00000"/>
    <numFmt numFmtId="168" formatCode="&quot;$&quot;#,##0.0000"/>
    <numFmt numFmtId="169" formatCode="mm/dd/yy"/>
    <numFmt numFmtId="170" formatCode="&quot;$&quot;#,##0.00000_);\(&quot;$&quot;#,##0.00000\)"/>
    <numFmt numFmtId="171" formatCode="#,##0.000_);\(#,##0.000\)"/>
    <numFmt numFmtId="172" formatCode="[$-409]mmmm\ d\,\ yyyy;@"/>
  </numFmts>
  <fonts count="32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6"/>
      <color indexed="8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12"/>
      <name val="Arial"/>
      <family val="2"/>
    </font>
    <font>
      <sz val="14"/>
      <name val="Arial"/>
      <family val="2"/>
    </font>
    <font>
      <u/>
      <sz val="14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1313DF"/>
      <name val="Calibri"/>
      <family val="2"/>
      <scheme val="minor"/>
    </font>
    <font>
      <sz val="14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u/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7" fillId="0" borderId="0"/>
    <xf numFmtId="0" fontId="19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fill"/>
    </xf>
    <xf numFmtId="166" fontId="2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centerContinuous"/>
    </xf>
    <xf numFmtId="0" fontId="20" fillId="0" borderId="0" xfId="0" applyFont="1"/>
    <xf numFmtId="3" fontId="20" fillId="0" borderId="0" xfId="0" applyNumberFormat="1" applyFont="1"/>
    <xf numFmtId="0" fontId="20" fillId="0" borderId="0" xfId="0" applyFont="1" applyAlignment="1">
      <alignment horizontal="centerContinuous"/>
    </xf>
    <xf numFmtId="0" fontId="21" fillId="0" borderId="0" xfId="0" applyFont="1"/>
    <xf numFmtId="3" fontId="22" fillId="0" borderId="0" xfId="0" applyNumberFormat="1" applyFont="1"/>
    <xf numFmtId="0" fontId="22" fillId="0" borderId="0" xfId="0" applyFont="1"/>
    <xf numFmtId="0" fontId="21" fillId="0" borderId="0" xfId="0" applyFont="1" applyAlignment="1">
      <alignment horizontal="centerContinuous"/>
    </xf>
    <xf numFmtId="0" fontId="21" fillId="0" borderId="0" xfId="0" applyFont="1" applyAlignment="1">
      <alignment horizontal="center"/>
    </xf>
    <xf numFmtId="3" fontId="22" fillId="2" borderId="0" xfId="0" applyNumberFormat="1" applyFont="1" applyFill="1"/>
    <xf numFmtId="0" fontId="22" fillId="2" borderId="0" xfId="0" applyFont="1" applyFill="1"/>
    <xf numFmtId="17" fontId="23" fillId="0" borderId="0" xfId="0" applyNumberFormat="1" applyFont="1" applyAlignment="1">
      <alignment horizontal="centerContinuous"/>
    </xf>
    <xf numFmtId="164" fontId="8" fillId="0" borderId="0" xfId="0" applyNumberFormat="1" applyFont="1"/>
    <xf numFmtId="164" fontId="9" fillId="0" borderId="0" xfId="0" applyNumberFormat="1" applyFont="1"/>
    <xf numFmtId="164" fontId="8" fillId="0" borderId="0" xfId="0" applyNumberFormat="1" applyFont="1" applyAlignment="1">
      <alignment horizontal="fill"/>
    </xf>
    <xf numFmtId="164" fontId="10" fillId="0" borderId="0" xfId="0" applyNumberFormat="1" applyFont="1"/>
    <xf numFmtId="49" fontId="11" fillId="0" borderId="0" xfId="0" applyNumberFormat="1" applyFont="1" applyAlignment="1" applyProtection="1">
      <alignment horizontal="center"/>
      <protection locked="0"/>
    </xf>
    <xf numFmtId="1" fontId="12" fillId="0" borderId="0" xfId="0" applyNumberFormat="1" applyFont="1" applyAlignment="1">
      <alignment horizontal="center"/>
    </xf>
    <xf numFmtId="3" fontId="13" fillId="0" borderId="0" xfId="0" applyNumberFormat="1" applyFont="1" applyProtection="1">
      <protection locked="0"/>
    </xf>
    <xf numFmtId="165" fontId="10" fillId="0" borderId="0" xfId="0" applyNumberFormat="1" applyFont="1"/>
    <xf numFmtId="3" fontId="10" fillId="0" borderId="0" xfId="0" applyNumberFormat="1" applyFont="1"/>
    <xf numFmtId="165" fontId="13" fillId="0" borderId="0" xfId="0" applyNumberFormat="1" applyFont="1" applyProtection="1">
      <protection locked="0"/>
    </xf>
    <xf numFmtId="7" fontId="10" fillId="0" borderId="0" xfId="0" applyNumberFormat="1" applyFont="1"/>
    <xf numFmtId="37" fontId="10" fillId="0" borderId="0" xfId="0" applyNumberFormat="1" applyFont="1"/>
    <xf numFmtId="164" fontId="10" fillId="0" borderId="0" xfId="0" applyNumberFormat="1" applyFont="1" applyAlignment="1">
      <alignment horizontal="fill"/>
    </xf>
    <xf numFmtId="3" fontId="10" fillId="0" borderId="0" xfId="0" applyNumberFormat="1" applyFont="1" applyAlignment="1">
      <alignment horizontal="fill"/>
    </xf>
    <xf numFmtId="170" fontId="14" fillId="0" borderId="0" xfId="0" applyNumberFormat="1" applyFont="1" applyProtection="1">
      <protection locked="0"/>
    </xf>
    <xf numFmtId="37" fontId="13" fillId="0" borderId="0" xfId="0" applyNumberFormat="1" applyFont="1" applyProtection="1">
      <protection locked="0"/>
    </xf>
    <xf numFmtId="164" fontId="12" fillId="0" borderId="0" xfId="0" applyNumberFormat="1" applyFont="1" applyAlignment="1">
      <alignment horizontal="center"/>
    </xf>
    <xf numFmtId="10" fontId="10" fillId="0" borderId="0" xfId="0" applyNumberFormat="1" applyFont="1"/>
    <xf numFmtId="170" fontId="10" fillId="0" borderId="0" xfId="0" applyNumberFormat="1" applyFont="1"/>
    <xf numFmtId="164" fontId="15" fillId="0" borderId="0" xfId="0" applyNumberFormat="1" applyFont="1" applyAlignment="1">
      <alignment horizontal="center"/>
    </xf>
    <xf numFmtId="170" fontId="12" fillId="0" borderId="0" xfId="0" applyNumberFormat="1" applyFont="1"/>
    <xf numFmtId="167" fontId="13" fillId="0" borderId="0" xfId="0" applyNumberFormat="1" applyFont="1" applyAlignment="1" applyProtection="1">
      <alignment horizontal="center"/>
      <protection locked="0"/>
    </xf>
    <xf numFmtId="171" fontId="10" fillId="0" borderId="0" xfId="0" applyNumberFormat="1" applyFont="1"/>
    <xf numFmtId="171" fontId="10" fillId="0" borderId="0" xfId="0" applyNumberFormat="1" applyFont="1" applyAlignment="1">
      <alignment horizontal="center"/>
    </xf>
    <xf numFmtId="168" fontId="10" fillId="0" borderId="0" xfId="0" applyNumberFormat="1" applyFont="1"/>
    <xf numFmtId="169" fontId="11" fillId="0" borderId="0" xfId="0" applyNumberFormat="1" applyFont="1" applyProtection="1">
      <protection locked="0"/>
    </xf>
    <xf numFmtId="164" fontId="14" fillId="0" borderId="0" xfId="0" applyNumberFormat="1" applyFont="1"/>
    <xf numFmtId="164" fontId="16" fillId="0" borderId="0" xfId="0" applyNumberFormat="1" applyFont="1"/>
    <xf numFmtId="164" fontId="17" fillId="0" borderId="0" xfId="0" applyNumberFormat="1" applyFont="1"/>
    <xf numFmtId="166" fontId="8" fillId="0" borderId="0" xfId="0" applyNumberFormat="1" applyFont="1"/>
    <xf numFmtId="164" fontId="8" fillId="0" borderId="0" xfId="0" applyNumberFormat="1" applyFont="1" applyAlignment="1">
      <alignment horizontal="centerContinuous"/>
    </xf>
    <xf numFmtId="164" fontId="18" fillId="0" borderId="0" xfId="0" applyNumberFormat="1" applyFont="1"/>
    <xf numFmtId="164" fontId="6" fillId="0" borderId="0" xfId="0" applyNumberFormat="1" applyFont="1"/>
    <xf numFmtId="170" fontId="13" fillId="0" borderId="0" xfId="0" applyNumberFormat="1" applyFont="1" applyProtection="1">
      <protection locked="0"/>
    </xf>
    <xf numFmtId="7" fontId="13" fillId="0" borderId="0" xfId="0" applyNumberFormat="1" applyFont="1" applyProtection="1">
      <protection locked="0"/>
    </xf>
    <xf numFmtId="3" fontId="24" fillId="0" borderId="0" xfId="0" applyNumberFormat="1" applyFont="1" applyAlignment="1" applyProtection="1">
      <alignment horizontal="left"/>
      <protection locked="0"/>
    </xf>
    <xf numFmtId="10" fontId="20" fillId="0" borderId="0" xfId="0" applyNumberFormat="1" applyFont="1"/>
    <xf numFmtId="7" fontId="13" fillId="0" borderId="0" xfId="0" applyNumberFormat="1" applyFont="1" applyAlignment="1" applyProtection="1">
      <alignment horizontal="center"/>
      <protection locked="0"/>
    </xf>
    <xf numFmtId="10" fontId="13" fillId="0" borderId="0" xfId="0" applyNumberFormat="1" applyFont="1" applyProtection="1">
      <protection locked="0"/>
    </xf>
    <xf numFmtId="165" fontId="6" fillId="0" borderId="0" xfId="0" applyNumberFormat="1" applyFont="1"/>
    <xf numFmtId="3" fontId="6" fillId="0" borderId="0" xfId="0" applyNumberFormat="1" applyFont="1"/>
    <xf numFmtId="7" fontId="6" fillId="0" borderId="0" xfId="0" applyNumberFormat="1" applyFont="1"/>
    <xf numFmtId="37" fontId="6" fillId="0" borderId="0" xfId="0" applyNumberFormat="1" applyFont="1"/>
    <xf numFmtId="164" fontId="6" fillId="0" borderId="0" xfId="0" applyNumberFormat="1" applyFont="1" applyAlignment="1">
      <alignment horizontal="fill"/>
    </xf>
    <xf numFmtId="3" fontId="6" fillId="0" borderId="0" xfId="0" applyNumberFormat="1" applyFont="1" applyAlignment="1">
      <alignment horizontal="fill"/>
    </xf>
    <xf numFmtId="10" fontId="6" fillId="0" borderId="0" xfId="0" applyNumberFormat="1" applyFont="1"/>
    <xf numFmtId="170" fontId="6" fillId="0" borderId="0" xfId="0" applyNumberFormat="1" applyFont="1"/>
    <xf numFmtId="171" fontId="6" fillId="0" borderId="0" xfId="0" applyNumberFormat="1" applyFont="1"/>
    <xf numFmtId="171" fontId="6" fillId="0" borderId="0" xfId="0" applyNumberFormat="1" applyFont="1" applyAlignment="1">
      <alignment horizontal="center"/>
    </xf>
    <xf numFmtId="168" fontId="6" fillId="0" borderId="0" xfId="0" applyNumberFormat="1" applyFont="1"/>
    <xf numFmtId="164" fontId="26" fillId="0" borderId="0" xfId="0" applyNumberFormat="1" applyFont="1"/>
    <xf numFmtId="172" fontId="11" fillId="0" borderId="0" xfId="0" applyNumberFormat="1" applyFont="1" applyAlignment="1" applyProtection="1">
      <alignment horizontal="center"/>
      <protection locked="0"/>
    </xf>
    <xf numFmtId="43" fontId="1" fillId="0" borderId="0" xfId="3" applyFont="1" applyAlignment="1"/>
    <xf numFmtId="43" fontId="1" fillId="0" borderId="0" xfId="4" applyFont="1" applyAlignment="1"/>
    <xf numFmtId="3" fontId="27" fillId="0" borderId="0" xfId="0" applyNumberFormat="1" applyFont="1"/>
    <xf numFmtId="3" fontId="4" fillId="0" borderId="0" xfId="0" applyNumberFormat="1" applyFont="1"/>
    <xf numFmtId="3" fontId="1" fillId="0" borderId="0" xfId="0" applyNumberFormat="1" applyFont="1"/>
    <xf numFmtId="3" fontId="28" fillId="0" borderId="0" xfId="0" applyNumberFormat="1" applyFont="1" applyAlignment="1">
      <alignment horizontal="right"/>
    </xf>
    <xf numFmtId="3" fontId="29" fillId="0" borderId="0" xfId="0" applyNumberFormat="1" applyFont="1"/>
    <xf numFmtId="3" fontId="28" fillId="0" borderId="0" xfId="0" applyNumberFormat="1" applyFont="1"/>
    <xf numFmtId="3" fontId="28" fillId="0" borderId="0" xfId="0" applyNumberFormat="1" applyFont="1" applyAlignment="1">
      <alignment horizontal="centerContinuous"/>
    </xf>
    <xf numFmtId="0" fontId="28" fillId="0" borderId="0" xfId="0" applyFont="1" applyAlignment="1">
      <alignment horizontal="right"/>
    </xf>
    <xf numFmtId="3" fontId="4" fillId="0" borderId="0" xfId="0" applyNumberFormat="1" applyFont="1" applyAlignment="1">
      <alignment horizontal="centerContinuous"/>
    </xf>
    <xf numFmtId="3" fontId="28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0" fontId="28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3" fontId="30" fillId="0" borderId="0" xfId="0" applyNumberFormat="1" applyFont="1" applyAlignment="1">
      <alignment horizontal="right"/>
    </xf>
    <xf numFmtId="3" fontId="30" fillId="0" borderId="0" xfId="0" applyNumberFormat="1" applyFont="1" applyAlignment="1" applyProtection="1">
      <alignment horizontal="center"/>
      <protection locked="0"/>
    </xf>
    <xf numFmtId="10" fontId="1" fillId="0" borderId="0" xfId="5" applyNumberFormat="1" applyFont="1"/>
    <xf numFmtId="3" fontId="4" fillId="0" borderId="0" xfId="0" applyNumberFormat="1" applyFont="1" applyAlignment="1" applyProtection="1">
      <alignment horizontal="right"/>
      <protection locked="0"/>
    </xf>
    <xf numFmtId="3" fontId="30" fillId="0" borderId="0" xfId="0" applyNumberFormat="1" applyFont="1" applyAlignment="1">
      <alignment horizontal="center"/>
    </xf>
    <xf numFmtId="10" fontId="4" fillId="0" borderId="0" xfId="0" applyNumberFormat="1" applyFont="1"/>
    <xf numFmtId="3" fontId="31" fillId="0" borderId="0" xfId="0" applyNumberFormat="1" applyFont="1"/>
    <xf numFmtId="0" fontId="4" fillId="0" borderId="0" xfId="0" applyFont="1" applyAlignment="1">
      <alignment horizontal="centerContinuous"/>
    </xf>
    <xf numFmtId="164" fontId="2" fillId="0" borderId="0" xfId="6" applyNumberFormat="1" applyFont="1"/>
    <xf numFmtId="164" fontId="1" fillId="0" borderId="0" xfId="6" applyNumberFormat="1"/>
    <xf numFmtId="164" fontId="2" fillId="0" borderId="0" xfId="6" applyNumberFormat="1" applyFont="1" applyAlignment="1">
      <alignment horizontal="fill"/>
    </xf>
    <xf numFmtId="164" fontId="6" fillId="0" borderId="0" xfId="6" applyNumberFormat="1" applyFont="1"/>
    <xf numFmtId="49" fontId="11" fillId="0" borderId="0" xfId="6" applyNumberFormat="1" applyFont="1" applyAlignment="1" applyProtection="1">
      <alignment horizontal="center"/>
      <protection locked="0"/>
    </xf>
    <xf numFmtId="1" fontId="12" fillId="0" borderId="0" xfId="6" applyNumberFormat="1" applyFont="1" applyAlignment="1">
      <alignment horizontal="center"/>
    </xf>
    <xf numFmtId="3" fontId="13" fillId="0" borderId="0" xfId="6" applyNumberFormat="1" applyFont="1" applyProtection="1">
      <protection locked="0"/>
    </xf>
    <xf numFmtId="165" fontId="6" fillId="0" borderId="0" xfId="6" applyNumberFormat="1" applyFont="1"/>
    <xf numFmtId="3" fontId="24" fillId="0" borderId="0" xfId="6" applyNumberFormat="1" applyFont="1" applyAlignment="1" applyProtection="1">
      <alignment horizontal="left"/>
      <protection locked="0"/>
    </xf>
    <xf numFmtId="3" fontId="6" fillId="0" borderId="0" xfId="6" applyNumberFormat="1" applyFont="1"/>
    <xf numFmtId="7" fontId="13" fillId="0" borderId="0" xfId="6" applyNumberFormat="1" applyFont="1" applyProtection="1">
      <protection locked="0"/>
    </xf>
    <xf numFmtId="165" fontId="13" fillId="0" borderId="0" xfId="6" applyNumberFormat="1" applyFont="1" applyProtection="1">
      <protection locked="0"/>
    </xf>
    <xf numFmtId="7" fontId="6" fillId="0" borderId="0" xfId="6" applyNumberFormat="1" applyFont="1"/>
    <xf numFmtId="37" fontId="6" fillId="0" borderId="0" xfId="6" applyNumberFormat="1" applyFont="1"/>
    <xf numFmtId="164" fontId="6" fillId="0" borderId="0" xfId="6" applyNumberFormat="1" applyFont="1" applyAlignment="1">
      <alignment horizontal="fill"/>
    </xf>
    <xf numFmtId="3" fontId="6" fillId="0" borderId="0" xfId="6" applyNumberFormat="1" applyFont="1" applyAlignment="1">
      <alignment horizontal="fill"/>
    </xf>
    <xf numFmtId="170" fontId="14" fillId="0" borderId="0" xfId="6" applyNumberFormat="1" applyFont="1" applyProtection="1">
      <protection locked="0"/>
    </xf>
    <xf numFmtId="170" fontId="13" fillId="0" borderId="0" xfId="6" applyNumberFormat="1" applyFont="1" applyProtection="1">
      <protection locked="0"/>
    </xf>
    <xf numFmtId="37" fontId="13" fillId="0" borderId="0" xfId="6" applyNumberFormat="1" applyFont="1" applyProtection="1">
      <protection locked="0"/>
    </xf>
    <xf numFmtId="10" fontId="13" fillId="0" borderId="0" xfId="6" applyNumberFormat="1" applyFont="1" applyProtection="1">
      <protection locked="0"/>
    </xf>
    <xf numFmtId="164" fontId="26" fillId="0" borderId="0" xfId="6" applyNumberFormat="1" applyFont="1"/>
    <xf numFmtId="164" fontId="12" fillId="0" borderId="0" xfId="6" applyNumberFormat="1" applyFont="1" applyAlignment="1">
      <alignment horizontal="center"/>
    </xf>
    <xf numFmtId="10" fontId="6" fillId="0" borderId="0" xfId="6" applyNumberFormat="1" applyFont="1"/>
    <xf numFmtId="170" fontId="6" fillId="0" borderId="0" xfId="6" applyNumberFormat="1" applyFont="1"/>
    <xf numFmtId="164" fontId="15" fillId="0" borderId="0" xfId="6" applyNumberFormat="1" applyFont="1" applyAlignment="1">
      <alignment horizontal="center"/>
    </xf>
    <xf numFmtId="170" fontId="12" fillId="0" borderId="0" xfId="6" applyNumberFormat="1" applyFont="1"/>
    <xf numFmtId="7" fontId="13" fillId="0" borderId="0" xfId="6" applyNumberFormat="1" applyFont="1" applyAlignment="1" applyProtection="1">
      <alignment horizontal="center"/>
      <protection locked="0"/>
    </xf>
    <xf numFmtId="167" fontId="13" fillId="0" borderId="0" xfId="6" applyNumberFormat="1" applyFont="1" applyAlignment="1" applyProtection="1">
      <alignment horizontal="center"/>
      <protection locked="0"/>
    </xf>
    <xf numFmtId="171" fontId="6" fillId="0" borderId="0" xfId="6" applyNumberFormat="1" applyFont="1"/>
    <xf numFmtId="171" fontId="6" fillId="0" borderId="0" xfId="6" applyNumberFormat="1" applyFont="1" applyAlignment="1">
      <alignment horizontal="center"/>
    </xf>
    <xf numFmtId="168" fontId="6" fillId="0" borderId="0" xfId="6" applyNumberFormat="1" applyFont="1"/>
    <xf numFmtId="172" fontId="11" fillId="0" borderId="0" xfId="6" applyNumberFormat="1" applyFont="1" applyAlignment="1" applyProtection="1">
      <alignment horizontal="center"/>
      <protection locked="0"/>
    </xf>
    <xf numFmtId="169" fontId="11" fillId="0" borderId="0" xfId="6" applyNumberFormat="1" applyFont="1" applyProtection="1">
      <protection locked="0"/>
    </xf>
    <xf numFmtId="164" fontId="14" fillId="0" borderId="0" xfId="6" applyNumberFormat="1" applyFont="1"/>
    <xf numFmtId="164" fontId="5" fillId="0" borderId="0" xfId="6" applyNumberFormat="1" applyFont="1"/>
    <xf numFmtId="164" fontId="3" fillId="0" borderId="0" xfId="6" applyNumberFormat="1" applyFont="1"/>
    <xf numFmtId="166" fontId="2" fillId="0" borderId="0" xfId="6" applyNumberFormat="1" applyFont="1"/>
    <xf numFmtId="164" fontId="2" fillId="0" borderId="0" xfId="6" applyNumberFormat="1" applyFont="1" applyAlignment="1">
      <alignment horizontal="centerContinuous"/>
    </xf>
    <xf numFmtId="164" fontId="4" fillId="0" borderId="0" xfId="6" applyNumberFormat="1" applyFont="1"/>
    <xf numFmtId="0" fontId="21" fillId="0" borderId="0" xfId="6" applyFont="1" applyAlignment="1">
      <alignment horizontal="centerContinuous"/>
    </xf>
    <xf numFmtId="0" fontId="1" fillId="0" borderId="0" xfId="6"/>
    <xf numFmtId="0" fontId="20" fillId="0" borderId="0" xfId="6" applyFont="1" applyAlignment="1">
      <alignment horizontal="centerContinuous"/>
    </xf>
    <xf numFmtId="0" fontId="20" fillId="0" borderId="0" xfId="6" applyFont="1"/>
    <xf numFmtId="17" fontId="23" fillId="0" borderId="0" xfId="6" applyNumberFormat="1" applyFont="1" applyAlignment="1">
      <alignment horizontal="centerContinuous"/>
    </xf>
    <xf numFmtId="0" fontId="21" fillId="0" borderId="0" xfId="6" applyFont="1"/>
    <xf numFmtId="0" fontId="21" fillId="0" borderId="0" xfId="6" applyFont="1" applyAlignment="1">
      <alignment horizontal="center"/>
    </xf>
    <xf numFmtId="3" fontId="22" fillId="0" borderId="0" xfId="6" applyNumberFormat="1" applyFont="1"/>
    <xf numFmtId="0" fontId="22" fillId="0" borderId="0" xfId="6" applyFont="1"/>
    <xf numFmtId="3" fontId="20" fillId="0" borderId="0" xfId="6" applyNumberFormat="1" applyFont="1"/>
    <xf numFmtId="10" fontId="20" fillId="0" borderId="0" xfId="6" applyNumberFormat="1" applyFont="1"/>
  </cellXfs>
  <cellStyles count="7">
    <cellStyle name="Comma" xfId="3" builtinId="3"/>
    <cellStyle name="Comma 2" xfId="4" xr:uid="{2132E896-1126-44B0-928E-01E2F3DD067D}"/>
    <cellStyle name="Normal" xfId="0" builtinId="0"/>
    <cellStyle name="Normal 2" xfId="1" xr:uid="{00000000-0005-0000-0000-000001000000}"/>
    <cellStyle name="Normal 3" xfId="2" xr:uid="{00000000-0005-0000-0000-000002000000}"/>
    <cellStyle name="Normal 4" xfId="6" xr:uid="{E60F03CB-7502-4A38-A877-7DAE8F0B6AFD}"/>
    <cellStyle name="Percent 2" xfId="5" xr:uid="{FFD85067-6344-4436-8F74-B3455D3779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9B76A-C5E4-410C-9BFF-AD1A59E11572}">
  <dimension ref="A1:P144"/>
  <sheetViews>
    <sheetView tabSelected="1" zoomScaleNormal="100" workbookViewId="0">
      <selection activeCell="L14" sqref="L14"/>
    </sheetView>
  </sheetViews>
  <sheetFormatPr defaultColWidth="9.6640625" defaultRowHeight="15" x14ac:dyDescent="0.2"/>
  <cols>
    <col min="1" max="1" width="10.6640625" style="76" customWidth="1"/>
    <col min="2" max="2" width="5.6640625" style="76" customWidth="1"/>
    <col min="3" max="3" width="4.6640625" style="76" customWidth="1"/>
    <col min="4" max="4" width="12.6640625" style="76" customWidth="1"/>
    <col min="5" max="5" width="4.6640625" style="76" customWidth="1"/>
    <col min="6" max="6" width="12.6640625" style="76" customWidth="1"/>
    <col min="7" max="7" width="4.6640625" style="76" customWidth="1"/>
    <col min="8" max="8" width="10.6640625" style="76" customWidth="1"/>
    <col min="9" max="9" width="4.6640625" style="76" customWidth="1"/>
    <col min="10" max="12" width="9.6640625" style="76" customWidth="1"/>
    <col min="13" max="14" width="10.88671875" style="76" bestFit="1" customWidth="1"/>
    <col min="15" max="21" width="9.6640625" style="76" customWidth="1"/>
    <col min="22" max="16384" width="9.6640625" style="76"/>
  </cols>
  <sheetData>
    <row r="1" spans="1:16" x14ac:dyDescent="0.2">
      <c r="A1" s="74"/>
      <c r="B1" s="74"/>
      <c r="C1" s="75"/>
      <c r="D1" s="75"/>
      <c r="E1" s="75"/>
      <c r="F1" s="75"/>
      <c r="G1" s="75"/>
      <c r="H1" s="75"/>
      <c r="I1" s="75"/>
      <c r="K1" s="77" t="s">
        <v>108</v>
      </c>
    </row>
    <row r="2" spans="1:16" x14ac:dyDescent="0.2">
      <c r="A2" s="78"/>
      <c r="B2" s="78"/>
      <c r="C2" s="79"/>
      <c r="D2" s="75"/>
      <c r="E2" s="75"/>
      <c r="F2" s="75"/>
      <c r="G2" s="75"/>
      <c r="H2" s="79"/>
      <c r="I2" s="80"/>
      <c r="K2" s="81" t="s">
        <v>109</v>
      </c>
    </row>
    <row r="3" spans="1:16" x14ac:dyDescent="0.2">
      <c r="A3" s="74"/>
      <c r="B3" s="74"/>
      <c r="C3" s="79"/>
      <c r="D3" s="75"/>
      <c r="E3" s="75"/>
      <c r="F3" s="75"/>
      <c r="G3" s="75"/>
      <c r="H3" s="79"/>
      <c r="I3" s="80"/>
      <c r="J3" s="79"/>
    </row>
    <row r="4" spans="1:16" x14ac:dyDescent="0.2">
      <c r="A4" s="80" t="s">
        <v>23</v>
      </c>
      <c r="B4" s="80"/>
      <c r="C4" s="82"/>
      <c r="D4" s="80"/>
      <c r="E4" s="82"/>
      <c r="F4" s="82"/>
      <c r="G4" s="82"/>
      <c r="H4" s="82"/>
      <c r="I4" s="80"/>
      <c r="J4" s="82"/>
    </row>
    <row r="5" spans="1:16" x14ac:dyDescent="0.2">
      <c r="A5" s="80" t="s">
        <v>110</v>
      </c>
      <c r="B5" s="80"/>
      <c r="C5" s="80"/>
      <c r="D5" s="80"/>
      <c r="E5" s="80"/>
      <c r="F5" s="80"/>
      <c r="G5" s="80"/>
      <c r="H5" s="82"/>
      <c r="I5" s="82"/>
      <c r="J5" s="82"/>
    </row>
    <row r="6" spans="1:16" x14ac:dyDescent="0.2">
      <c r="A6" s="80" t="s">
        <v>111</v>
      </c>
      <c r="B6" s="80"/>
      <c r="C6" s="82"/>
      <c r="D6" s="80"/>
      <c r="E6" s="82"/>
      <c r="F6" s="82"/>
      <c r="G6" s="82"/>
      <c r="H6" s="82"/>
      <c r="I6" s="82"/>
      <c r="J6" s="82"/>
    </row>
    <row r="7" spans="1:16" x14ac:dyDescent="0.2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16" x14ac:dyDescent="0.2">
      <c r="A8" s="75"/>
      <c r="B8" s="75"/>
      <c r="C8" s="75"/>
      <c r="D8" s="83" t="s">
        <v>64</v>
      </c>
      <c r="E8" s="84"/>
      <c r="F8" s="83" t="s">
        <v>112</v>
      </c>
      <c r="G8" s="84"/>
      <c r="H8" s="83" t="s">
        <v>113</v>
      </c>
      <c r="I8" s="84"/>
      <c r="J8" s="85" t="s">
        <v>114</v>
      </c>
    </row>
    <row r="9" spans="1:16" x14ac:dyDescent="0.2">
      <c r="A9" s="75"/>
      <c r="B9" s="75"/>
      <c r="C9" s="75"/>
      <c r="D9" s="83" t="s">
        <v>65</v>
      </c>
      <c r="E9" s="84"/>
      <c r="F9" s="83" t="s">
        <v>115</v>
      </c>
      <c r="G9" s="84"/>
      <c r="H9" s="83" t="s">
        <v>116</v>
      </c>
      <c r="I9" s="84"/>
      <c r="J9" s="85" t="s">
        <v>117</v>
      </c>
      <c r="K9" s="83" t="s">
        <v>131</v>
      </c>
      <c r="L9" s="83" t="s">
        <v>132</v>
      </c>
    </row>
    <row r="10" spans="1:16" x14ac:dyDescent="0.2">
      <c r="A10" s="75" t="s">
        <v>118</v>
      </c>
      <c r="B10" s="86">
        <v>2020</v>
      </c>
      <c r="C10" s="75"/>
      <c r="D10" s="87">
        <v>492574981</v>
      </c>
      <c r="E10" s="87"/>
      <c r="F10" s="87">
        <v>475158396</v>
      </c>
      <c r="G10" s="84"/>
      <c r="H10" s="87">
        <f>+D10-F10</f>
        <v>17416585</v>
      </c>
      <c r="I10" s="75"/>
      <c r="J10" s="88">
        <f>H10/D10</f>
        <v>3.5358241225816545E-2</v>
      </c>
    </row>
    <row r="11" spans="1:16" x14ac:dyDescent="0.2">
      <c r="A11" s="75"/>
      <c r="B11" s="89"/>
      <c r="C11" s="75"/>
      <c r="D11" s="87"/>
      <c r="E11" s="87"/>
      <c r="F11" s="87"/>
      <c r="G11" s="84"/>
      <c r="H11" s="87"/>
      <c r="I11" s="75"/>
      <c r="J11" s="88"/>
    </row>
    <row r="12" spans="1:16" x14ac:dyDescent="0.2">
      <c r="A12" s="75" t="s">
        <v>119</v>
      </c>
      <c r="B12" s="86">
        <v>2019</v>
      </c>
      <c r="C12" s="75"/>
      <c r="D12" s="87">
        <v>43721833</v>
      </c>
      <c r="E12" s="87"/>
      <c r="F12" s="87">
        <v>41272974</v>
      </c>
      <c r="G12" s="84"/>
      <c r="H12" s="87">
        <f>+D12-F12</f>
        <v>2448859</v>
      </c>
      <c r="I12" s="84"/>
      <c r="J12" s="88"/>
    </row>
    <row r="13" spans="1:16" x14ac:dyDescent="0.2">
      <c r="A13" s="75" t="s">
        <v>119</v>
      </c>
      <c r="B13" s="86">
        <v>2020</v>
      </c>
      <c r="C13" s="75"/>
      <c r="D13" s="90">
        <v>37575964</v>
      </c>
      <c r="E13" s="90"/>
      <c r="F13" s="90">
        <v>37905022</v>
      </c>
      <c r="G13" s="91"/>
      <c r="H13" s="90">
        <f>+D13-F13</f>
        <v>-329058</v>
      </c>
      <c r="I13" s="84"/>
      <c r="J13" s="88"/>
      <c r="P13" s="92"/>
    </row>
    <row r="14" spans="1:16" x14ac:dyDescent="0.2">
      <c r="A14" s="75"/>
      <c r="B14" s="86"/>
      <c r="C14" s="75"/>
      <c r="D14" s="93">
        <f>D10-D12+D13</f>
        <v>486429112</v>
      </c>
      <c r="E14" s="93"/>
      <c r="F14" s="93">
        <f>F10-F12+F13</f>
        <v>471790444</v>
      </c>
      <c r="G14" s="93"/>
      <c r="H14" s="93">
        <f>H10-H12+H13</f>
        <v>14638668</v>
      </c>
      <c r="I14" s="84"/>
      <c r="J14" s="88">
        <f>H14/D14</f>
        <v>3.0094144529737767E-2</v>
      </c>
      <c r="K14" s="88">
        <f>'Mthly Calc-Nov 20'!J25</f>
        <v>3.0094144529737767E-2</v>
      </c>
      <c r="L14" s="88">
        <f>J14-K14</f>
        <v>0</v>
      </c>
    </row>
    <row r="15" spans="1:16" x14ac:dyDescent="0.2">
      <c r="A15" s="75" t="s">
        <v>120</v>
      </c>
      <c r="B15" s="86">
        <v>2019</v>
      </c>
      <c r="C15" s="75"/>
      <c r="D15" s="87">
        <v>45946537</v>
      </c>
      <c r="E15" s="87"/>
      <c r="F15" s="87">
        <v>43708041</v>
      </c>
      <c r="G15" s="84"/>
      <c r="H15" s="87">
        <f t="shared" ref="H15:H16" si="0">+D15-F15</f>
        <v>2238496</v>
      </c>
      <c r="I15" s="84"/>
      <c r="J15" s="88"/>
      <c r="K15" s="88"/>
    </row>
    <row r="16" spans="1:16" x14ac:dyDescent="0.2">
      <c r="A16" s="75" t="s">
        <v>120</v>
      </c>
      <c r="B16" s="86">
        <v>2020</v>
      </c>
      <c r="C16" s="75"/>
      <c r="D16" s="90">
        <v>48221650</v>
      </c>
      <c r="E16" s="90"/>
      <c r="F16" s="90">
        <v>44648252</v>
      </c>
      <c r="G16" s="94"/>
      <c r="H16" s="90">
        <f t="shared" si="0"/>
        <v>3573398</v>
      </c>
      <c r="I16" s="84"/>
      <c r="J16" s="88"/>
      <c r="K16" s="88"/>
    </row>
    <row r="17" spans="1:12" x14ac:dyDescent="0.2">
      <c r="A17" s="75"/>
      <c r="B17" s="86"/>
      <c r="C17" s="75"/>
      <c r="D17" s="87">
        <f>D14-D15+D16</f>
        <v>488704225</v>
      </c>
      <c r="E17" s="87"/>
      <c r="F17" s="87">
        <f>F14-F15+F16</f>
        <v>472730655</v>
      </c>
      <c r="G17" s="84"/>
      <c r="H17" s="87">
        <f>H14-H15+H16</f>
        <v>15973570</v>
      </c>
      <c r="I17" s="84"/>
      <c r="J17" s="88">
        <f>H17/D17</f>
        <v>3.2685557404378895E-2</v>
      </c>
      <c r="K17" s="88">
        <f>'Mthly Calc-Dec 20'!J25</f>
        <v>3.2685557404378895E-2</v>
      </c>
      <c r="L17" s="88">
        <f>J17-K17</f>
        <v>0</v>
      </c>
    </row>
    <row r="18" spans="1:12" x14ac:dyDescent="0.2">
      <c r="A18" s="75" t="s">
        <v>121</v>
      </c>
      <c r="B18" s="86">
        <v>2020</v>
      </c>
      <c r="C18" s="75"/>
      <c r="D18" s="87">
        <v>47117525</v>
      </c>
      <c r="E18" s="87"/>
      <c r="F18" s="87">
        <v>44544760</v>
      </c>
      <c r="G18" s="84"/>
      <c r="H18" s="87">
        <f t="shared" ref="H18:H19" si="1">+D18-F18</f>
        <v>2572765</v>
      </c>
      <c r="I18" s="84"/>
      <c r="J18" s="88"/>
      <c r="K18" s="88"/>
    </row>
    <row r="19" spans="1:12" x14ac:dyDescent="0.2">
      <c r="A19" s="75" t="s">
        <v>121</v>
      </c>
      <c r="B19" s="86">
        <v>2021</v>
      </c>
      <c r="C19" s="75"/>
      <c r="D19" s="90">
        <v>49525058</v>
      </c>
      <c r="E19" s="90"/>
      <c r="F19" s="90">
        <v>46914900</v>
      </c>
      <c r="G19" s="94"/>
      <c r="H19" s="90">
        <f t="shared" si="1"/>
        <v>2610158</v>
      </c>
      <c r="I19" s="84"/>
      <c r="J19" s="88"/>
      <c r="K19" s="88"/>
    </row>
    <row r="20" spans="1:12" x14ac:dyDescent="0.2">
      <c r="A20" s="75"/>
      <c r="B20" s="86"/>
      <c r="C20" s="75"/>
      <c r="D20" s="87">
        <f>D17-D18+D19</f>
        <v>491111758</v>
      </c>
      <c r="E20" s="87"/>
      <c r="F20" s="87">
        <f t="shared" ref="F20" si="2">F17-F18+F19</f>
        <v>475100795</v>
      </c>
      <c r="G20" s="84"/>
      <c r="H20" s="87">
        <f>H17-H18+H19</f>
        <v>16010963</v>
      </c>
      <c r="I20" s="84"/>
      <c r="J20" s="88">
        <f>H20/D20</f>
        <v>3.2601465428567483E-2</v>
      </c>
      <c r="K20" s="88">
        <f>'Mthly Calc-Jan 21'!J25</f>
        <v>3.2601465428567483E-2</v>
      </c>
      <c r="L20" s="88">
        <f>J20-K20</f>
        <v>0</v>
      </c>
    </row>
    <row r="21" spans="1:12" x14ac:dyDescent="0.2">
      <c r="A21" s="75" t="s">
        <v>122</v>
      </c>
      <c r="B21" s="86">
        <v>2020</v>
      </c>
      <c r="C21" s="75"/>
      <c r="D21" s="87">
        <v>45339161</v>
      </c>
      <c r="E21" s="87"/>
      <c r="F21" s="87">
        <v>44774867</v>
      </c>
      <c r="G21" s="84"/>
      <c r="H21" s="87">
        <f t="shared" ref="H21:H22" si="3">+D21-F21</f>
        <v>564294</v>
      </c>
      <c r="I21" s="84"/>
      <c r="J21" s="88"/>
      <c r="K21" s="88"/>
    </row>
    <row r="22" spans="1:12" x14ac:dyDescent="0.2">
      <c r="A22" s="75" t="s">
        <v>122</v>
      </c>
      <c r="B22" s="86">
        <v>2021</v>
      </c>
      <c r="C22" s="75"/>
      <c r="D22" s="90">
        <v>47831414</v>
      </c>
      <c r="E22" s="90"/>
      <c r="F22" s="90">
        <v>47556551</v>
      </c>
      <c r="G22" s="94"/>
      <c r="H22" s="90">
        <f t="shared" si="3"/>
        <v>274863</v>
      </c>
      <c r="I22" s="84"/>
      <c r="J22" s="88"/>
      <c r="K22" s="88"/>
    </row>
    <row r="23" spans="1:12" x14ac:dyDescent="0.2">
      <c r="A23" s="75"/>
      <c r="B23" s="86"/>
      <c r="C23" s="75"/>
      <c r="D23" s="87">
        <f>D20-D21+D22</f>
        <v>493604011</v>
      </c>
      <c r="E23" s="87"/>
      <c r="F23" s="87">
        <f t="shared" ref="F23:F26" si="4">F20-F21+F22</f>
        <v>477882479</v>
      </c>
      <c r="G23" s="84"/>
      <c r="H23" s="87">
        <f>H20-H21+H22</f>
        <v>15721532</v>
      </c>
      <c r="I23" s="84"/>
      <c r="J23" s="88">
        <f>H23/D23</f>
        <v>3.1850494829143518E-2</v>
      </c>
      <c r="K23" s="88">
        <f>'Mthly Calc-Feb 21'!J25</f>
        <v>3.1850494829143518E-2</v>
      </c>
      <c r="L23" s="88">
        <f>J23-K23</f>
        <v>0</v>
      </c>
    </row>
    <row r="24" spans="1:12" x14ac:dyDescent="0.2">
      <c r="A24" s="75" t="s">
        <v>123</v>
      </c>
      <c r="B24" s="86">
        <v>2020</v>
      </c>
      <c r="C24" s="75"/>
      <c r="D24" s="87">
        <v>39501297</v>
      </c>
      <c r="E24" s="87"/>
      <c r="F24" s="87">
        <v>38805505</v>
      </c>
      <c r="G24" s="84"/>
      <c r="H24" s="87">
        <f t="shared" ref="H24:H25" si="5">+D24-F24</f>
        <v>695792</v>
      </c>
      <c r="I24" s="84"/>
      <c r="J24" s="88"/>
      <c r="K24" s="88"/>
    </row>
    <row r="25" spans="1:12" x14ac:dyDescent="0.2">
      <c r="A25" s="75" t="s">
        <v>123</v>
      </c>
      <c r="B25" s="86">
        <v>2021</v>
      </c>
      <c r="C25" s="75"/>
      <c r="D25" s="90">
        <v>37902556</v>
      </c>
      <c r="E25" s="90"/>
      <c r="F25" s="90">
        <v>36673793</v>
      </c>
      <c r="G25" s="94"/>
      <c r="H25" s="90">
        <f t="shared" si="5"/>
        <v>1228763</v>
      </c>
      <c r="I25" s="84"/>
      <c r="J25" s="88"/>
      <c r="K25" s="88"/>
    </row>
    <row r="26" spans="1:12" x14ac:dyDescent="0.2">
      <c r="A26" s="75"/>
      <c r="B26" s="86"/>
      <c r="C26" s="75"/>
      <c r="D26" s="87">
        <f>D23-D24+D25</f>
        <v>492005270</v>
      </c>
      <c r="E26" s="87"/>
      <c r="F26" s="87">
        <f t="shared" si="4"/>
        <v>475750767</v>
      </c>
      <c r="G26" s="84"/>
      <c r="H26" s="87">
        <f>H23-H24+H25</f>
        <v>16254503</v>
      </c>
      <c r="I26" s="84"/>
      <c r="J26" s="88">
        <f>H26/D26</f>
        <v>3.3037253848927271E-2</v>
      </c>
      <c r="K26" s="88">
        <f>'Mthly Calc-Mar 21'!J25</f>
        <v>3.3037253848927271E-2</v>
      </c>
      <c r="L26" s="88">
        <f>J26-K26</f>
        <v>0</v>
      </c>
    </row>
    <row r="27" spans="1:12" x14ac:dyDescent="0.2">
      <c r="A27" s="75" t="s">
        <v>124</v>
      </c>
      <c r="B27" s="86">
        <v>2020</v>
      </c>
      <c r="C27" s="75"/>
      <c r="D27" s="87">
        <v>34237294</v>
      </c>
      <c r="E27" s="87"/>
      <c r="F27" s="87">
        <v>33391695</v>
      </c>
      <c r="G27" s="84"/>
      <c r="H27" s="87">
        <f t="shared" ref="H27:H28" si="6">+D27-F27</f>
        <v>845599</v>
      </c>
      <c r="I27" s="84"/>
      <c r="J27" s="88"/>
      <c r="K27" s="88"/>
    </row>
    <row r="28" spans="1:12" x14ac:dyDescent="0.2">
      <c r="A28" s="75" t="s">
        <v>124</v>
      </c>
      <c r="B28" s="86">
        <v>2021</v>
      </c>
      <c r="C28" s="75"/>
      <c r="D28" s="90">
        <v>33923716</v>
      </c>
      <c r="E28" s="90"/>
      <c r="F28" s="90">
        <v>33475970</v>
      </c>
      <c r="G28" s="94"/>
      <c r="H28" s="90">
        <f t="shared" si="6"/>
        <v>447746</v>
      </c>
      <c r="I28" s="84"/>
      <c r="J28" s="88"/>
      <c r="K28" s="88"/>
    </row>
    <row r="29" spans="1:12" x14ac:dyDescent="0.2">
      <c r="A29" s="75"/>
      <c r="B29" s="86"/>
      <c r="C29" s="75"/>
      <c r="D29" s="87">
        <f>D26-D27+D28</f>
        <v>491691692</v>
      </c>
      <c r="E29" s="87"/>
      <c r="F29" s="87">
        <f t="shared" ref="F29" si="7">F26-F27+F28</f>
        <v>475835042</v>
      </c>
      <c r="G29" s="84"/>
      <c r="H29" s="87">
        <f>H26-H27+H28</f>
        <v>15856650</v>
      </c>
      <c r="I29" s="84"/>
      <c r="J29" s="88">
        <f>H29/D29</f>
        <v>3.2249172109257443E-2</v>
      </c>
      <c r="K29" s="88">
        <f>'Mthly Calc-Apr 21'!J25</f>
        <v>3.2249172109257443E-2</v>
      </c>
      <c r="L29" s="88">
        <f>J29-K29</f>
        <v>0</v>
      </c>
    </row>
    <row r="30" spans="1:12" x14ac:dyDescent="0.2">
      <c r="A30" s="75" t="s">
        <v>125</v>
      </c>
      <c r="B30" s="86">
        <v>2020</v>
      </c>
      <c r="C30" s="75"/>
      <c r="D30" s="87">
        <v>35507667</v>
      </c>
      <c r="E30" s="87"/>
      <c r="F30" s="87">
        <v>33683788</v>
      </c>
      <c r="G30" s="84"/>
      <c r="H30" s="87">
        <f t="shared" ref="H30:H31" si="8">+D30-F30</f>
        <v>1823879</v>
      </c>
      <c r="I30" s="84"/>
      <c r="J30" s="88"/>
      <c r="K30" s="88"/>
    </row>
    <row r="31" spans="1:12" x14ac:dyDescent="0.2">
      <c r="A31" s="75" t="s">
        <v>125</v>
      </c>
      <c r="B31" s="86">
        <v>2021</v>
      </c>
      <c r="C31" s="75"/>
      <c r="D31" s="90">
        <v>34558196</v>
      </c>
      <c r="E31" s="90"/>
      <c r="F31" s="90">
        <v>33999227</v>
      </c>
      <c r="G31" s="94"/>
      <c r="H31" s="90">
        <f t="shared" si="8"/>
        <v>558969</v>
      </c>
      <c r="I31" s="84"/>
      <c r="J31" s="88"/>
      <c r="K31" s="88"/>
    </row>
    <row r="32" spans="1:12" x14ac:dyDescent="0.2">
      <c r="A32" s="75"/>
      <c r="B32" s="86"/>
      <c r="C32" s="75"/>
      <c r="D32" s="87">
        <f>D29-D30+D31</f>
        <v>490742221</v>
      </c>
      <c r="E32" s="87"/>
      <c r="F32" s="87">
        <f t="shared" ref="F32" si="9">F29-F30+F31</f>
        <v>476150481</v>
      </c>
      <c r="G32" s="84"/>
      <c r="H32" s="87">
        <f>H29-H30+H31</f>
        <v>14591740</v>
      </c>
      <c r="I32" s="84"/>
      <c r="J32" s="88">
        <f>H32/D32</f>
        <v>2.9734022009082442E-2</v>
      </c>
      <c r="K32" s="88">
        <f>'Mthly Calc-May 21'!J25</f>
        <v>2.9734022009082442E-2</v>
      </c>
      <c r="L32" s="88">
        <f>J32-K32</f>
        <v>0</v>
      </c>
    </row>
    <row r="33" spans="1:12" x14ac:dyDescent="0.2">
      <c r="A33" s="75" t="s">
        <v>126</v>
      </c>
      <c r="B33" s="86">
        <v>2020</v>
      </c>
      <c r="C33" s="75"/>
      <c r="D33" s="87">
        <v>40422657</v>
      </c>
      <c r="E33" s="87"/>
      <c r="F33" s="87">
        <v>39697182</v>
      </c>
      <c r="G33" s="84"/>
      <c r="H33" s="87">
        <f t="shared" ref="H33:H34" si="10">+D33-F33</f>
        <v>725475</v>
      </c>
      <c r="I33" s="84"/>
      <c r="J33" s="88"/>
      <c r="K33" s="88"/>
    </row>
    <row r="34" spans="1:12" x14ac:dyDescent="0.2">
      <c r="A34" s="75" t="s">
        <v>126</v>
      </c>
      <c r="B34" s="86">
        <v>2021</v>
      </c>
      <c r="C34" s="75"/>
      <c r="D34" s="90">
        <v>39519371</v>
      </c>
      <c r="E34" s="90"/>
      <c r="F34" s="90">
        <v>38207657</v>
      </c>
      <c r="G34" s="94"/>
      <c r="H34" s="90">
        <f t="shared" si="10"/>
        <v>1311714</v>
      </c>
      <c r="I34" s="84"/>
      <c r="J34" s="88"/>
      <c r="K34" s="88"/>
    </row>
    <row r="35" spans="1:12" x14ac:dyDescent="0.2">
      <c r="A35" s="75"/>
      <c r="B35" s="86"/>
      <c r="C35" s="75"/>
      <c r="D35" s="87">
        <f>D32-D33+D34</f>
        <v>489838935</v>
      </c>
      <c r="E35" s="87"/>
      <c r="F35" s="87">
        <f t="shared" ref="F35" si="11">F32-F33+F34</f>
        <v>474660956</v>
      </c>
      <c r="G35" s="84"/>
      <c r="H35" s="87">
        <f>H32-H33+H34</f>
        <v>15177979</v>
      </c>
      <c r="I35" s="84"/>
      <c r="J35" s="88">
        <f>H35/D35</f>
        <v>3.0985652457373565E-2</v>
      </c>
      <c r="K35" s="88">
        <f>'Mthly Calc-Jun 21'!J25</f>
        <v>3.0985652457373565E-2</v>
      </c>
      <c r="L35" s="88">
        <f>J35-K35</f>
        <v>0</v>
      </c>
    </row>
    <row r="36" spans="1:12" x14ac:dyDescent="0.2">
      <c r="A36" s="75" t="s">
        <v>127</v>
      </c>
      <c r="B36" s="86">
        <v>2020</v>
      </c>
      <c r="C36" s="75"/>
      <c r="D36" s="87">
        <v>47050561</v>
      </c>
      <c r="E36" s="87"/>
      <c r="F36" s="87">
        <v>43961007</v>
      </c>
      <c r="G36" s="84"/>
      <c r="H36" s="87">
        <f t="shared" ref="H36:H37" si="12">+D36-F36</f>
        <v>3089554</v>
      </c>
      <c r="I36" s="84"/>
      <c r="J36" s="88"/>
      <c r="K36" s="88"/>
    </row>
    <row r="37" spans="1:12" x14ac:dyDescent="0.2">
      <c r="A37" s="75" t="s">
        <v>127</v>
      </c>
      <c r="B37" s="86">
        <v>2021</v>
      </c>
      <c r="C37" s="75"/>
      <c r="D37" s="90">
        <v>42774079</v>
      </c>
      <c r="E37" s="90"/>
      <c r="F37" s="90">
        <v>40997285</v>
      </c>
      <c r="G37" s="94"/>
      <c r="H37" s="90">
        <f t="shared" si="12"/>
        <v>1776794</v>
      </c>
      <c r="I37" s="84"/>
      <c r="J37" s="88"/>
      <c r="K37" s="88"/>
    </row>
    <row r="38" spans="1:12" x14ac:dyDescent="0.2">
      <c r="A38" s="75"/>
      <c r="B38" s="86"/>
      <c r="C38" s="75"/>
      <c r="D38" s="87">
        <f>D35-D36+D37</f>
        <v>485562453</v>
      </c>
      <c r="E38" s="87"/>
      <c r="F38" s="87">
        <f t="shared" ref="F38" si="13">F35-F36+F37</f>
        <v>471697234</v>
      </c>
      <c r="G38" s="84"/>
      <c r="H38" s="87">
        <f>H35-H36+H37</f>
        <v>13865219</v>
      </c>
      <c r="I38" s="84"/>
      <c r="J38" s="88">
        <f>H38/D38</f>
        <v>2.8554965307418446E-2</v>
      </c>
      <c r="K38" s="88">
        <f>'Mthly Calc-Jul 21'!J25</f>
        <v>2.8554965307418446E-2</v>
      </c>
      <c r="L38" s="88">
        <f>J38-K38</f>
        <v>0</v>
      </c>
    </row>
    <row r="39" spans="1:12" x14ac:dyDescent="0.2">
      <c r="A39" s="75" t="s">
        <v>128</v>
      </c>
      <c r="B39" s="86">
        <v>2020</v>
      </c>
      <c r="C39" s="75"/>
      <c r="D39" s="87">
        <v>42574791</v>
      </c>
      <c r="E39" s="87"/>
      <c r="F39" s="87">
        <v>41794942</v>
      </c>
      <c r="G39" s="84"/>
      <c r="H39" s="87">
        <f t="shared" ref="H39:H40" si="14">+D39-F39</f>
        <v>779849</v>
      </c>
      <c r="I39" s="84"/>
      <c r="J39" s="88"/>
      <c r="K39" s="88"/>
    </row>
    <row r="40" spans="1:12" x14ac:dyDescent="0.2">
      <c r="A40" s="75" t="s">
        <v>128</v>
      </c>
      <c r="B40" s="86">
        <v>2021</v>
      </c>
      <c r="C40" s="75"/>
      <c r="D40" s="90">
        <v>43938328</v>
      </c>
      <c r="E40" s="90"/>
      <c r="F40" s="90">
        <v>42290792</v>
      </c>
      <c r="G40" s="94"/>
      <c r="H40" s="90">
        <f t="shared" si="14"/>
        <v>1647536</v>
      </c>
      <c r="I40" s="84"/>
      <c r="J40" s="88"/>
      <c r="K40" s="88"/>
    </row>
    <row r="41" spans="1:12" x14ac:dyDescent="0.2">
      <c r="A41" s="75"/>
      <c r="B41" s="86"/>
      <c r="C41" s="75"/>
      <c r="D41" s="87">
        <f>D38-D39+D40</f>
        <v>486925990</v>
      </c>
      <c r="E41" s="87"/>
      <c r="F41" s="87">
        <f t="shared" ref="F41" si="15">F38-F39+F40</f>
        <v>472193084</v>
      </c>
      <c r="G41" s="84"/>
      <c r="H41" s="87">
        <f>H38-H39+H40</f>
        <v>14732906</v>
      </c>
      <c r="I41" s="75"/>
      <c r="J41" s="88">
        <f>H41/D41</f>
        <v>3.0256971906551959E-2</v>
      </c>
      <c r="K41" s="88">
        <f>'Mthly Calc-Aug 21'!J25</f>
        <v>3.0256971906551959E-2</v>
      </c>
      <c r="L41" s="88">
        <f>J41-K41</f>
        <v>0</v>
      </c>
    </row>
    <row r="42" spans="1:12" x14ac:dyDescent="0.2">
      <c r="A42" s="75" t="s">
        <v>129</v>
      </c>
      <c r="B42" s="86">
        <v>2020</v>
      </c>
      <c r="C42" s="75"/>
      <c r="D42" s="87">
        <v>36606097</v>
      </c>
      <c r="E42" s="87"/>
      <c r="F42" s="87">
        <v>36191231</v>
      </c>
      <c r="G42" s="84"/>
      <c r="H42" s="87">
        <f t="shared" ref="H42:H43" si="16">+D42-F42</f>
        <v>414866</v>
      </c>
      <c r="I42" s="75"/>
      <c r="J42" s="95"/>
      <c r="K42" s="88"/>
    </row>
    <row r="43" spans="1:12" x14ac:dyDescent="0.2">
      <c r="A43" s="75" t="s">
        <v>129</v>
      </c>
      <c r="B43" s="86">
        <v>2021</v>
      </c>
      <c r="C43" s="75"/>
      <c r="D43" s="90">
        <v>36525027</v>
      </c>
      <c r="E43" s="90"/>
      <c r="F43" s="90">
        <v>36385692</v>
      </c>
      <c r="G43" s="94"/>
      <c r="H43" s="90">
        <f t="shared" si="16"/>
        <v>139335</v>
      </c>
      <c r="I43" s="75"/>
      <c r="J43" s="95"/>
      <c r="K43" s="88"/>
    </row>
    <row r="44" spans="1:12" x14ac:dyDescent="0.2">
      <c r="A44" s="75"/>
      <c r="B44" s="86"/>
      <c r="C44" s="75"/>
      <c r="D44" s="87">
        <f>D41-D42+D43</f>
        <v>486844920</v>
      </c>
      <c r="E44" s="87"/>
      <c r="F44" s="87">
        <f t="shared" ref="F44" si="17">F41-F42+F43</f>
        <v>472387545</v>
      </c>
      <c r="G44" s="84"/>
      <c r="H44" s="87">
        <f>H41-H42+H43</f>
        <v>14457375</v>
      </c>
      <c r="I44" s="75"/>
      <c r="J44" s="88">
        <f>H44/D44</f>
        <v>2.9696058038358498E-2</v>
      </c>
      <c r="K44" s="88">
        <f>'Mthly Calc-Sep 21'!J25</f>
        <v>2.9696058038358498E-2</v>
      </c>
      <c r="L44" s="88">
        <f>J44-K44</f>
        <v>0</v>
      </c>
    </row>
    <row r="45" spans="1:12" x14ac:dyDescent="0.2">
      <c r="A45" s="75" t="s">
        <v>118</v>
      </c>
      <c r="B45" s="86">
        <v>2020</v>
      </c>
      <c r="C45" s="75"/>
      <c r="D45" s="87">
        <v>34549561</v>
      </c>
      <c r="E45" s="87"/>
      <c r="F45" s="87">
        <v>33332404</v>
      </c>
      <c r="G45" s="84"/>
      <c r="H45" s="87">
        <f t="shared" ref="H45:H46" si="18">+D45-F45</f>
        <v>1217157</v>
      </c>
      <c r="I45" s="75"/>
      <c r="J45" s="95"/>
      <c r="K45" s="88"/>
    </row>
    <row r="46" spans="1:12" x14ac:dyDescent="0.2">
      <c r="A46" s="75" t="s">
        <v>118</v>
      </c>
      <c r="B46" s="86">
        <v>2021</v>
      </c>
      <c r="C46" s="75"/>
      <c r="D46" s="90">
        <v>34815803</v>
      </c>
      <c r="E46" s="90"/>
      <c r="F46" s="90">
        <v>34503128</v>
      </c>
      <c r="G46" s="94"/>
      <c r="H46" s="90">
        <f t="shared" si="18"/>
        <v>312675</v>
      </c>
      <c r="I46" s="75"/>
      <c r="J46" s="95"/>
      <c r="K46" s="88"/>
    </row>
    <row r="47" spans="1:12" x14ac:dyDescent="0.2">
      <c r="A47" s="75"/>
      <c r="B47" s="86"/>
      <c r="C47" s="75"/>
      <c r="D47" s="87">
        <f>D44-D45+D46</f>
        <v>487111162</v>
      </c>
      <c r="E47" s="87"/>
      <c r="F47" s="87">
        <f t="shared" ref="F47" si="19">F44-F45+F46</f>
        <v>473558269</v>
      </c>
      <c r="G47" s="84"/>
      <c r="H47" s="87">
        <f>H44-H45+H46</f>
        <v>13552893</v>
      </c>
      <c r="I47" s="75"/>
      <c r="J47" s="88">
        <f>H47/D47</f>
        <v>2.7822998233819982E-2</v>
      </c>
      <c r="K47" s="88">
        <f>'Mthly Calc-Oct 21'!J25</f>
        <v>2.7822998233819982E-2</v>
      </c>
      <c r="L47" s="88">
        <f>J47-K47</f>
        <v>0</v>
      </c>
    </row>
    <row r="48" spans="1:12" x14ac:dyDescent="0.2">
      <c r="A48" s="75" t="s">
        <v>119</v>
      </c>
      <c r="B48" s="86">
        <v>2020</v>
      </c>
      <c r="C48" s="75"/>
      <c r="D48" s="87">
        <v>37575964</v>
      </c>
      <c r="E48" s="87"/>
      <c r="F48" s="87">
        <v>37905022</v>
      </c>
      <c r="G48" s="84"/>
      <c r="H48" s="87">
        <f t="shared" ref="H48:H49" si="20">+D48-F48</f>
        <v>-329058</v>
      </c>
      <c r="I48" s="75"/>
      <c r="J48" s="75"/>
      <c r="K48" s="88"/>
    </row>
    <row r="49" spans="1:12" x14ac:dyDescent="0.2">
      <c r="A49" s="75" t="s">
        <v>119</v>
      </c>
      <c r="B49" s="86">
        <v>2021</v>
      </c>
      <c r="C49" s="75"/>
      <c r="D49" s="90">
        <v>40544549</v>
      </c>
      <c r="E49" s="90"/>
      <c r="F49" s="90">
        <v>38975853</v>
      </c>
      <c r="G49" s="94"/>
      <c r="H49" s="90">
        <f t="shared" si="20"/>
        <v>1568696</v>
      </c>
      <c r="I49" s="96"/>
      <c r="J49" s="96"/>
      <c r="K49" s="88"/>
    </row>
    <row r="50" spans="1:12" x14ac:dyDescent="0.2">
      <c r="A50" s="75"/>
      <c r="B50" s="86"/>
      <c r="C50" s="75"/>
      <c r="D50" s="87">
        <f>D47-D48+D49</f>
        <v>490079747</v>
      </c>
      <c r="E50" s="87"/>
      <c r="F50" s="87">
        <f>F47-F48+F49</f>
        <v>474629100</v>
      </c>
      <c r="G50" s="84"/>
      <c r="H50" s="87">
        <f>H47-H48+H49</f>
        <v>15450647</v>
      </c>
      <c r="I50" s="96"/>
      <c r="J50" s="88">
        <f>H50/D50</f>
        <v>3.1526801698255037E-2</v>
      </c>
      <c r="K50" s="88">
        <f>'Mthly Calc-Nov 21'!J25</f>
        <v>3.1526801698255037E-2</v>
      </c>
      <c r="L50" s="88">
        <f>J50-K50</f>
        <v>0</v>
      </c>
    </row>
    <row r="51" spans="1:12" x14ac:dyDescent="0.2">
      <c r="A51" s="75" t="s">
        <v>120</v>
      </c>
      <c r="B51" s="86">
        <v>2020</v>
      </c>
      <c r="C51" s="75"/>
      <c r="D51" s="87">
        <v>48221650</v>
      </c>
      <c r="E51" s="87"/>
      <c r="F51" s="87">
        <v>44648252</v>
      </c>
      <c r="G51" s="84"/>
      <c r="H51" s="87">
        <f t="shared" ref="H51:H52" si="21">+D51-F51</f>
        <v>3573398</v>
      </c>
      <c r="I51" s="96"/>
      <c r="J51" s="96"/>
      <c r="K51" s="88"/>
    </row>
    <row r="52" spans="1:12" x14ac:dyDescent="0.2">
      <c r="A52" s="75" t="s">
        <v>120</v>
      </c>
      <c r="B52" s="86">
        <v>2021</v>
      </c>
      <c r="C52" s="75"/>
      <c r="D52" s="90">
        <v>40715589</v>
      </c>
      <c r="E52" s="90"/>
      <c r="F52" s="90">
        <v>40577422</v>
      </c>
      <c r="G52" s="94"/>
      <c r="H52" s="90">
        <f t="shared" si="21"/>
        <v>138167</v>
      </c>
      <c r="I52" s="96"/>
      <c r="J52" s="96"/>
      <c r="K52" s="88"/>
    </row>
    <row r="53" spans="1:12" x14ac:dyDescent="0.2">
      <c r="A53" s="75"/>
      <c r="B53" s="86"/>
      <c r="C53" s="75"/>
      <c r="D53" s="87">
        <f>D50-D51+D52</f>
        <v>482573686</v>
      </c>
      <c r="E53" s="87"/>
      <c r="F53" s="87">
        <f>F50-F51+F52</f>
        <v>470558270</v>
      </c>
      <c r="G53" s="84"/>
      <c r="H53" s="87">
        <f>H50-H51+H52</f>
        <v>12015416</v>
      </c>
      <c r="I53" s="96"/>
      <c r="J53" s="88">
        <f>H53/D53</f>
        <v>2.4898614136204682E-2</v>
      </c>
      <c r="K53" s="88">
        <f>'Mthly Calc-Dec 21'!J25</f>
        <v>2.4898614136204682E-2</v>
      </c>
      <c r="L53" s="88">
        <f>J53-K53</f>
        <v>0</v>
      </c>
    </row>
    <row r="54" spans="1:12" x14ac:dyDescent="0.2">
      <c r="A54" s="75"/>
      <c r="B54" s="86"/>
      <c r="C54" s="75"/>
      <c r="D54" s="87"/>
      <c r="E54" s="87"/>
      <c r="F54" s="87"/>
      <c r="G54" s="84"/>
      <c r="H54" s="87"/>
      <c r="I54" s="96"/>
      <c r="J54" s="88"/>
    </row>
    <row r="55" spans="1:12" x14ac:dyDescent="0.2">
      <c r="A55" s="74"/>
      <c r="B55" s="86"/>
      <c r="C55" s="75"/>
      <c r="D55" s="75"/>
      <c r="E55" s="75"/>
      <c r="F55" s="75"/>
      <c r="G55" s="75"/>
      <c r="H55" s="75"/>
      <c r="I55" s="75"/>
      <c r="K55" s="77" t="s">
        <v>108</v>
      </c>
    </row>
    <row r="56" spans="1:12" x14ac:dyDescent="0.2">
      <c r="A56" s="78"/>
      <c r="B56" s="86"/>
      <c r="C56" s="79"/>
      <c r="D56" s="75"/>
      <c r="E56" s="75"/>
      <c r="F56" s="75"/>
      <c r="G56" s="75"/>
      <c r="H56" s="79"/>
      <c r="I56" s="79"/>
      <c r="K56" s="81" t="s">
        <v>130</v>
      </c>
    </row>
    <row r="57" spans="1:12" x14ac:dyDescent="0.2">
      <c r="A57" s="74"/>
      <c r="B57" s="86"/>
      <c r="C57" s="79"/>
      <c r="D57" s="75"/>
      <c r="E57" s="75"/>
      <c r="F57" s="75"/>
      <c r="G57" s="75"/>
      <c r="H57" s="79"/>
      <c r="I57" s="80"/>
      <c r="J57" s="79"/>
    </row>
    <row r="58" spans="1:12" x14ac:dyDescent="0.2">
      <c r="A58" s="80" t="s">
        <v>23</v>
      </c>
      <c r="B58" s="97"/>
      <c r="C58" s="82"/>
      <c r="D58" s="80"/>
      <c r="E58" s="82"/>
      <c r="F58" s="82"/>
      <c r="G58" s="82"/>
      <c r="H58" s="82"/>
      <c r="I58" s="80"/>
      <c r="J58" s="82"/>
    </row>
    <row r="59" spans="1:12" x14ac:dyDescent="0.2">
      <c r="A59" s="80" t="s">
        <v>110</v>
      </c>
      <c r="B59" s="97"/>
      <c r="C59" s="80"/>
      <c r="D59" s="80"/>
      <c r="E59" s="80"/>
      <c r="F59" s="80"/>
      <c r="G59" s="80"/>
      <c r="H59" s="82"/>
      <c r="I59" s="82"/>
      <c r="J59" s="82"/>
    </row>
    <row r="60" spans="1:12" x14ac:dyDescent="0.2">
      <c r="A60" s="80" t="str">
        <f>A6</f>
        <v>NOVEMBER, 2020  -  OCTOBER, 2022</v>
      </c>
      <c r="B60" s="97"/>
      <c r="C60" s="82"/>
      <c r="D60" s="80"/>
      <c r="E60" s="82"/>
      <c r="F60" s="82"/>
      <c r="G60" s="82"/>
      <c r="H60" s="82"/>
      <c r="I60" s="82"/>
      <c r="J60" s="82"/>
    </row>
    <row r="61" spans="1:12" x14ac:dyDescent="0.2">
      <c r="A61" s="75"/>
      <c r="B61" s="86"/>
      <c r="C61" s="75"/>
      <c r="D61" s="75"/>
      <c r="E61" s="75"/>
      <c r="F61" s="75"/>
      <c r="G61" s="75"/>
      <c r="H61" s="75"/>
      <c r="I61" s="75"/>
      <c r="J61" s="75"/>
    </row>
    <row r="62" spans="1:12" x14ac:dyDescent="0.2">
      <c r="A62" s="75"/>
      <c r="B62" s="86"/>
      <c r="C62" s="75"/>
      <c r="D62" s="83" t="s">
        <v>64</v>
      </c>
      <c r="E62" s="84"/>
      <c r="F62" s="83" t="s">
        <v>112</v>
      </c>
      <c r="G62" s="84"/>
      <c r="H62" s="83" t="s">
        <v>113</v>
      </c>
      <c r="I62" s="84"/>
      <c r="J62" s="85" t="s">
        <v>114</v>
      </c>
    </row>
    <row r="63" spans="1:12" x14ac:dyDescent="0.2">
      <c r="A63" s="75"/>
      <c r="B63" s="86"/>
      <c r="C63" s="75"/>
      <c r="D63" s="83" t="s">
        <v>65</v>
      </c>
      <c r="E63" s="84"/>
      <c r="F63" s="83" t="s">
        <v>115</v>
      </c>
      <c r="G63" s="84"/>
      <c r="H63" s="83" t="s">
        <v>116</v>
      </c>
      <c r="I63" s="84"/>
      <c r="J63" s="85" t="s">
        <v>117</v>
      </c>
      <c r="K63" s="83" t="s">
        <v>131</v>
      </c>
      <c r="L63" s="83" t="s">
        <v>132</v>
      </c>
    </row>
    <row r="64" spans="1:12" x14ac:dyDescent="0.2">
      <c r="A64" s="75"/>
      <c r="B64" s="86"/>
      <c r="C64" s="75"/>
      <c r="D64" s="87"/>
      <c r="E64" s="87"/>
      <c r="F64" s="87"/>
      <c r="G64" s="84"/>
      <c r="H64" s="87"/>
      <c r="I64" s="96"/>
      <c r="J64" s="88"/>
    </row>
    <row r="65" spans="1:12" x14ac:dyDescent="0.2">
      <c r="A65" s="75" t="s">
        <v>121</v>
      </c>
      <c r="B65" s="86">
        <v>2021</v>
      </c>
      <c r="C65" s="75"/>
      <c r="D65" s="87">
        <v>49525058</v>
      </c>
      <c r="E65" s="87"/>
      <c r="F65" s="87">
        <v>46914900</v>
      </c>
      <c r="G65" s="84"/>
      <c r="H65" s="87">
        <f t="shared" ref="H65:H66" si="22">+D65-F65</f>
        <v>2610158</v>
      </c>
      <c r="I65" s="96"/>
      <c r="J65" s="96"/>
    </row>
    <row r="66" spans="1:12" x14ac:dyDescent="0.2">
      <c r="A66" s="75" t="s">
        <v>121</v>
      </c>
      <c r="B66" s="86">
        <v>2022</v>
      </c>
      <c r="C66" s="75"/>
      <c r="D66" s="90">
        <v>53475090</v>
      </c>
      <c r="E66" s="90"/>
      <c r="F66" s="90">
        <v>49125167</v>
      </c>
      <c r="G66" s="94"/>
      <c r="H66" s="90">
        <f t="shared" si="22"/>
        <v>4349923</v>
      </c>
      <c r="I66" s="96"/>
      <c r="J66" s="96"/>
    </row>
    <row r="67" spans="1:12" x14ac:dyDescent="0.2">
      <c r="A67" s="75"/>
      <c r="B67" s="86"/>
      <c r="C67" s="75"/>
      <c r="D67" s="87">
        <f>D53-D65+D66</f>
        <v>486523718</v>
      </c>
      <c r="E67" s="87"/>
      <c r="F67" s="87">
        <f>F53-F65+F66</f>
        <v>472768537</v>
      </c>
      <c r="G67" s="84"/>
      <c r="H67" s="87">
        <f>H53-H65+H66</f>
        <v>13755181</v>
      </c>
      <c r="I67" s="96"/>
      <c r="J67" s="88">
        <f>H67/D67</f>
        <v>2.8272374996525865E-2</v>
      </c>
      <c r="K67" s="88">
        <f>'Mthly Calc-Jan 22'!J25</f>
        <v>2.8272374996525865E-2</v>
      </c>
      <c r="L67" s="88">
        <f>J67-K67</f>
        <v>0</v>
      </c>
    </row>
    <row r="68" spans="1:12" x14ac:dyDescent="0.2">
      <c r="A68" s="75" t="s">
        <v>122</v>
      </c>
      <c r="B68" s="86">
        <v>2021</v>
      </c>
      <c r="C68" s="75"/>
      <c r="D68" s="87">
        <v>47831414</v>
      </c>
      <c r="E68" s="87"/>
      <c r="F68" s="87">
        <v>47556551</v>
      </c>
      <c r="G68" s="84"/>
      <c r="H68" s="87">
        <f t="shared" ref="H68:H69" si="23">+D68-F68</f>
        <v>274863</v>
      </c>
      <c r="I68" s="96"/>
      <c r="J68" s="96"/>
      <c r="K68" s="88"/>
    </row>
    <row r="69" spans="1:12" x14ac:dyDescent="0.2">
      <c r="A69" s="75" t="s">
        <v>122</v>
      </c>
      <c r="B69" s="86">
        <v>2022</v>
      </c>
      <c r="C69" s="75"/>
      <c r="D69" s="90">
        <v>43951479</v>
      </c>
      <c r="E69" s="90"/>
      <c r="F69" s="90">
        <v>44304057</v>
      </c>
      <c r="G69" s="94"/>
      <c r="H69" s="90">
        <f t="shared" si="23"/>
        <v>-352578</v>
      </c>
      <c r="I69" s="96"/>
      <c r="J69" s="96"/>
      <c r="K69" s="88"/>
    </row>
    <row r="70" spans="1:12" x14ac:dyDescent="0.2">
      <c r="A70" s="75"/>
      <c r="B70" s="86"/>
      <c r="C70" s="75"/>
      <c r="D70" s="87">
        <f>D67-D68+D69</f>
        <v>482643783</v>
      </c>
      <c r="E70" s="87"/>
      <c r="F70" s="87">
        <f t="shared" ref="F70" si="24">F67-F68+F69</f>
        <v>469516043</v>
      </c>
      <c r="G70" s="84"/>
      <c r="H70" s="87">
        <f>H67-H68+H69</f>
        <v>13127740</v>
      </c>
      <c r="I70" s="96"/>
      <c r="J70" s="88">
        <f>H70/D70</f>
        <v>2.719964591359918E-2</v>
      </c>
      <c r="K70" s="88">
        <f>'Mthly Calc-Feb 22'!J25</f>
        <v>2.719964591359918E-2</v>
      </c>
      <c r="L70" s="88">
        <f>J70-K70</f>
        <v>0</v>
      </c>
    </row>
    <row r="71" spans="1:12" x14ac:dyDescent="0.2">
      <c r="A71" s="75" t="s">
        <v>123</v>
      </c>
      <c r="B71" s="86">
        <v>2021</v>
      </c>
      <c r="C71" s="75"/>
      <c r="D71" s="87">
        <v>37902556</v>
      </c>
      <c r="E71" s="87"/>
      <c r="F71" s="87">
        <v>36673793</v>
      </c>
      <c r="G71" s="84"/>
      <c r="H71" s="87">
        <f t="shared" ref="H71:H72" si="25">+D71-F71</f>
        <v>1228763</v>
      </c>
      <c r="I71" s="96"/>
      <c r="J71" s="96"/>
      <c r="K71" s="88"/>
    </row>
    <row r="72" spans="1:12" x14ac:dyDescent="0.2">
      <c r="A72" s="75" t="s">
        <v>123</v>
      </c>
      <c r="B72" s="86">
        <v>2022</v>
      </c>
      <c r="C72" s="75"/>
      <c r="D72" s="90">
        <v>39927258</v>
      </c>
      <c r="E72" s="90"/>
      <c r="F72" s="90">
        <v>38920458</v>
      </c>
      <c r="G72" s="94"/>
      <c r="H72" s="90">
        <f t="shared" si="25"/>
        <v>1006800</v>
      </c>
      <c r="I72" s="96"/>
      <c r="J72" s="96"/>
      <c r="K72" s="88"/>
    </row>
    <row r="73" spans="1:12" x14ac:dyDescent="0.2">
      <c r="A73" s="75"/>
      <c r="B73" s="86"/>
      <c r="C73" s="75"/>
      <c r="D73" s="87">
        <f>D70-D71+D72</f>
        <v>484668485</v>
      </c>
      <c r="E73" s="87"/>
      <c r="F73" s="87">
        <f t="shared" ref="F73" si="26">F70-F71+F72</f>
        <v>471762708</v>
      </c>
      <c r="G73" s="84"/>
      <c r="H73" s="87">
        <f>H70-H71+H72</f>
        <v>12905777</v>
      </c>
      <c r="I73" s="96"/>
      <c r="J73" s="88">
        <f>H73/D73</f>
        <v>2.6628050718007796E-2</v>
      </c>
      <c r="K73" s="88">
        <f>'Mthly Calc-Mar 22'!J25</f>
        <v>2.6628050718007796E-2</v>
      </c>
      <c r="L73" s="88">
        <f>J73-K73</f>
        <v>0</v>
      </c>
    </row>
    <row r="74" spans="1:12" x14ac:dyDescent="0.2">
      <c r="A74" s="75" t="s">
        <v>124</v>
      </c>
      <c r="B74" s="86">
        <v>2021</v>
      </c>
      <c r="C74" s="75"/>
      <c r="D74" s="87">
        <v>33923716</v>
      </c>
      <c r="E74" s="87"/>
      <c r="F74" s="87">
        <v>33475970</v>
      </c>
      <c r="G74" s="84"/>
      <c r="H74" s="87">
        <f t="shared" ref="H74:H75" si="27">+D74-F74</f>
        <v>447746</v>
      </c>
      <c r="I74" s="96"/>
      <c r="J74" s="96"/>
      <c r="K74" s="88"/>
    </row>
    <row r="75" spans="1:12" x14ac:dyDescent="0.2">
      <c r="A75" s="75" t="s">
        <v>124</v>
      </c>
      <c r="B75" s="86">
        <v>2022</v>
      </c>
      <c r="C75" s="75"/>
      <c r="D75" s="90">
        <v>35545192</v>
      </c>
      <c r="E75" s="90"/>
      <c r="F75" s="90">
        <v>34974299</v>
      </c>
      <c r="G75" s="94"/>
      <c r="H75" s="90">
        <f t="shared" si="27"/>
        <v>570893</v>
      </c>
      <c r="I75" s="96"/>
      <c r="J75" s="96"/>
      <c r="K75" s="88"/>
    </row>
    <row r="76" spans="1:12" x14ac:dyDescent="0.2">
      <c r="A76" s="75"/>
      <c r="B76" s="86"/>
      <c r="C76" s="75"/>
      <c r="D76" s="87">
        <f>D73-D74+D75</f>
        <v>486289961</v>
      </c>
      <c r="E76" s="87"/>
      <c r="F76" s="87">
        <f t="shared" ref="F76" si="28">F73-F74+F75</f>
        <v>473261037</v>
      </c>
      <c r="G76" s="84"/>
      <c r="H76" s="87">
        <f>H73-H74+H75</f>
        <v>13028924</v>
      </c>
      <c r="I76" s="96"/>
      <c r="J76" s="88">
        <f>H76/D76</f>
        <v>2.6792500452214763E-2</v>
      </c>
      <c r="K76" s="88">
        <f>'Mthly Calc-Apr 22'!J25</f>
        <v>2.6792500452214763E-2</v>
      </c>
      <c r="L76" s="88">
        <f>J76-K76</f>
        <v>0</v>
      </c>
    </row>
    <row r="77" spans="1:12" x14ac:dyDescent="0.2">
      <c r="A77" s="75" t="s">
        <v>125</v>
      </c>
      <c r="B77" s="86">
        <v>2021</v>
      </c>
      <c r="C77" s="75"/>
      <c r="D77" s="87">
        <v>34558196</v>
      </c>
      <c r="E77" s="87"/>
      <c r="F77" s="87">
        <v>33999227</v>
      </c>
      <c r="G77" s="84"/>
      <c r="H77" s="87">
        <f t="shared" ref="H77:H78" si="29">+D77-F77</f>
        <v>558969</v>
      </c>
      <c r="I77" s="96"/>
      <c r="J77" s="96"/>
      <c r="K77" s="88"/>
    </row>
    <row r="78" spans="1:12" x14ac:dyDescent="0.2">
      <c r="A78" s="75" t="s">
        <v>125</v>
      </c>
      <c r="B78" s="86">
        <v>2022</v>
      </c>
      <c r="C78" s="75"/>
      <c r="D78" s="90">
        <v>36594834</v>
      </c>
      <c r="E78" s="90"/>
      <c r="F78" s="90">
        <v>35410638</v>
      </c>
      <c r="G78" s="94"/>
      <c r="H78" s="90">
        <f t="shared" si="29"/>
        <v>1184196</v>
      </c>
      <c r="I78" s="96"/>
      <c r="J78" s="96"/>
      <c r="K78" s="88"/>
    </row>
    <row r="79" spans="1:12" x14ac:dyDescent="0.2">
      <c r="A79" s="75"/>
      <c r="B79" s="86"/>
      <c r="C79" s="75"/>
      <c r="D79" s="87">
        <f>D76-D77+D78</f>
        <v>488326599</v>
      </c>
      <c r="E79" s="87"/>
      <c r="F79" s="87">
        <f t="shared" ref="F79" si="30">F76-F77+F78</f>
        <v>474672448</v>
      </c>
      <c r="G79" s="84"/>
      <c r="H79" s="87">
        <f>H76-H77+H78</f>
        <v>13654151</v>
      </c>
      <c r="I79" s="96"/>
      <c r="J79" s="88">
        <f>H79/D79</f>
        <v>2.7961104367366235E-2</v>
      </c>
      <c r="K79" s="88">
        <f>'Mthly Calc-May 22'!J25</f>
        <v>2.7961104367366235E-2</v>
      </c>
      <c r="L79" s="88">
        <f>J79-K79</f>
        <v>0</v>
      </c>
    </row>
    <row r="80" spans="1:12" x14ac:dyDescent="0.2">
      <c r="A80" s="75" t="s">
        <v>126</v>
      </c>
      <c r="B80" s="86">
        <v>2021</v>
      </c>
      <c r="C80" s="75"/>
      <c r="D80" s="87">
        <v>39519371</v>
      </c>
      <c r="E80" s="87"/>
      <c r="F80" s="87">
        <v>38207657</v>
      </c>
      <c r="G80" s="84"/>
      <c r="H80" s="87">
        <f t="shared" ref="H80:H81" si="31">+D80-F80</f>
        <v>1311714</v>
      </c>
      <c r="I80" s="96"/>
      <c r="J80" s="96"/>
      <c r="K80" s="88"/>
    </row>
    <row r="81" spans="1:12" x14ac:dyDescent="0.2">
      <c r="A81" s="75" t="s">
        <v>126</v>
      </c>
      <c r="B81" s="86">
        <v>2022</v>
      </c>
      <c r="C81" s="75"/>
      <c r="D81" s="90">
        <v>41591725</v>
      </c>
      <c r="E81" s="90"/>
      <c r="F81" s="90">
        <v>41064360</v>
      </c>
      <c r="G81" s="94"/>
      <c r="H81" s="90">
        <f t="shared" si="31"/>
        <v>527365</v>
      </c>
      <c r="I81" s="96"/>
      <c r="J81" s="96"/>
      <c r="K81" s="88"/>
    </row>
    <row r="82" spans="1:12" x14ac:dyDescent="0.2">
      <c r="A82" s="75"/>
      <c r="B82" s="86"/>
      <c r="C82" s="75"/>
      <c r="D82" s="87">
        <f>D79-D80+D81</f>
        <v>490398953</v>
      </c>
      <c r="E82" s="87"/>
      <c r="F82" s="87">
        <f t="shared" ref="F82" si="32">F79-F80+F81</f>
        <v>477529151</v>
      </c>
      <c r="G82" s="84"/>
      <c r="H82" s="87">
        <f>H79-H80+H81</f>
        <v>12869802</v>
      </c>
      <c r="I82" s="96"/>
      <c r="J82" s="88">
        <f>H82/D82</f>
        <v>2.6243534822554974E-2</v>
      </c>
      <c r="K82" s="88">
        <f>'Mthly Calc-Jun 22'!J25</f>
        <v>2.6243534822554974E-2</v>
      </c>
      <c r="L82" s="88">
        <f>J82-K82</f>
        <v>0</v>
      </c>
    </row>
    <row r="83" spans="1:12" x14ac:dyDescent="0.2">
      <c r="A83" s="75" t="s">
        <v>127</v>
      </c>
      <c r="B83" s="86">
        <v>2021</v>
      </c>
      <c r="C83" s="75"/>
      <c r="D83" s="87">
        <v>42774079</v>
      </c>
      <c r="E83" s="87"/>
      <c r="F83" s="87">
        <v>40997285</v>
      </c>
      <c r="G83" s="84"/>
      <c r="H83" s="87">
        <f t="shared" ref="H83:H84" si="33">+D83-F83</f>
        <v>1776794</v>
      </c>
      <c r="I83" s="96"/>
      <c r="J83" s="96"/>
      <c r="K83" s="88"/>
    </row>
    <row r="84" spans="1:12" x14ac:dyDescent="0.2">
      <c r="A84" s="75" t="s">
        <v>127</v>
      </c>
      <c r="B84" s="86">
        <v>2022</v>
      </c>
      <c r="C84" s="75"/>
      <c r="D84" s="90">
        <v>45310813</v>
      </c>
      <c r="E84" s="90"/>
      <c r="F84" s="90">
        <v>42886297</v>
      </c>
      <c r="G84" s="94"/>
      <c r="H84" s="90">
        <f t="shared" si="33"/>
        <v>2424516</v>
      </c>
      <c r="I84" s="96"/>
      <c r="J84" s="96"/>
      <c r="K84" s="88"/>
    </row>
    <row r="85" spans="1:12" x14ac:dyDescent="0.2">
      <c r="A85" s="75"/>
      <c r="B85" s="86"/>
      <c r="C85" s="75"/>
      <c r="D85" s="87">
        <f>D82-D83+D84</f>
        <v>492935687</v>
      </c>
      <c r="E85" s="87"/>
      <c r="F85" s="87">
        <f t="shared" ref="F85" si="34">F82-F83+F84</f>
        <v>479418163</v>
      </c>
      <c r="G85" s="84"/>
      <c r="H85" s="87">
        <f>H82-H83+H84</f>
        <v>13517524</v>
      </c>
      <c r="I85" s="96"/>
      <c r="J85" s="88">
        <f>H85/D85</f>
        <v>2.7422490106706353E-2</v>
      </c>
      <c r="K85" s="88">
        <f>'Mthly Calc-Jul 22'!J25</f>
        <v>2.7422490106706353E-2</v>
      </c>
      <c r="L85" s="88">
        <f>J85-K85</f>
        <v>0</v>
      </c>
    </row>
    <row r="86" spans="1:12" x14ac:dyDescent="0.2">
      <c r="A86" s="75" t="s">
        <v>128</v>
      </c>
      <c r="B86" s="86">
        <v>2021</v>
      </c>
      <c r="C86" s="75"/>
      <c r="D86" s="87">
        <v>43938328</v>
      </c>
      <c r="E86" s="87"/>
      <c r="F86" s="87">
        <v>42290792</v>
      </c>
      <c r="G86" s="84"/>
      <c r="H86" s="87">
        <f t="shared" ref="H86:H87" si="35">+D86-F86</f>
        <v>1647536</v>
      </c>
      <c r="I86" s="96"/>
      <c r="J86" s="96"/>
      <c r="K86" s="88"/>
    </row>
    <row r="87" spans="1:12" x14ac:dyDescent="0.2">
      <c r="A87" s="75" t="s">
        <v>128</v>
      </c>
      <c r="B87" s="86">
        <v>2022</v>
      </c>
      <c r="C87" s="75"/>
      <c r="D87" s="90">
        <v>43540444</v>
      </c>
      <c r="E87" s="90"/>
      <c r="F87" s="90">
        <v>41210926</v>
      </c>
      <c r="G87" s="94"/>
      <c r="H87" s="90">
        <f t="shared" si="35"/>
        <v>2329518</v>
      </c>
      <c r="I87" s="96"/>
      <c r="J87" s="96"/>
      <c r="K87" s="88"/>
    </row>
    <row r="88" spans="1:12" x14ac:dyDescent="0.2">
      <c r="A88" s="75"/>
      <c r="B88" s="86"/>
      <c r="C88" s="75"/>
      <c r="D88" s="87">
        <f>D85-D86+D87</f>
        <v>492537803</v>
      </c>
      <c r="E88" s="87"/>
      <c r="F88" s="87">
        <f t="shared" ref="F88" si="36">F85-F86+F87</f>
        <v>478338297</v>
      </c>
      <c r="G88" s="84"/>
      <c r="H88" s="87">
        <f>H85-H86+H87</f>
        <v>14199506</v>
      </c>
      <c r="I88" s="96"/>
      <c r="J88" s="88">
        <f>H88/D88</f>
        <v>2.8829271405183897E-2</v>
      </c>
      <c r="K88" s="88">
        <f>'Mthly Calc-Aug 22'!J25</f>
        <v>2.8829271405183897E-2</v>
      </c>
      <c r="L88" s="88">
        <f>J88-K88</f>
        <v>0</v>
      </c>
    </row>
    <row r="89" spans="1:12" x14ac:dyDescent="0.2">
      <c r="A89" s="75" t="s">
        <v>129</v>
      </c>
      <c r="B89" s="86">
        <v>2021</v>
      </c>
      <c r="C89" s="75"/>
      <c r="D89" s="87">
        <v>36525027</v>
      </c>
      <c r="E89" s="87"/>
      <c r="F89" s="87">
        <v>36385692</v>
      </c>
      <c r="G89" s="84"/>
      <c r="H89" s="87">
        <f t="shared" ref="H89:H90" si="37">+D89-F89</f>
        <v>139335</v>
      </c>
      <c r="I89" s="96"/>
      <c r="J89" s="96"/>
      <c r="K89" s="88"/>
    </row>
    <row r="90" spans="1:12" x14ac:dyDescent="0.2">
      <c r="A90" s="75" t="s">
        <v>129</v>
      </c>
      <c r="B90" s="86">
        <v>2022</v>
      </c>
      <c r="C90" s="75"/>
      <c r="D90" s="90">
        <v>35842984</v>
      </c>
      <c r="E90" s="90"/>
      <c r="F90" s="90">
        <v>35655610</v>
      </c>
      <c r="G90" s="94"/>
      <c r="H90" s="90">
        <f t="shared" si="37"/>
        <v>187374</v>
      </c>
      <c r="I90" s="96"/>
      <c r="J90" s="96"/>
      <c r="K90" s="88"/>
    </row>
    <row r="91" spans="1:12" x14ac:dyDescent="0.2">
      <c r="A91" s="75"/>
      <c r="B91" s="86"/>
      <c r="C91" s="75"/>
      <c r="D91" s="87">
        <f>D88-D89+D90</f>
        <v>491855760</v>
      </c>
      <c r="E91" s="87"/>
      <c r="F91" s="87">
        <f>F88-F89+F90</f>
        <v>477608215</v>
      </c>
      <c r="G91" s="84"/>
      <c r="H91" s="87">
        <f>H88-H89+H90</f>
        <v>14247545</v>
      </c>
      <c r="I91" s="96"/>
      <c r="J91" s="88">
        <f>H91/D91</f>
        <v>2.8966917049014534E-2</v>
      </c>
      <c r="K91" s="88">
        <f>'Mthly Calc-Sep 22'!J25</f>
        <v>2.8966917049014534E-2</v>
      </c>
      <c r="L91" s="88">
        <f>J91-K91</f>
        <v>0</v>
      </c>
    </row>
    <row r="92" spans="1:12" x14ac:dyDescent="0.2">
      <c r="A92" s="75" t="s">
        <v>118</v>
      </c>
      <c r="B92" s="86">
        <v>2021</v>
      </c>
      <c r="C92" s="75"/>
      <c r="D92" s="87">
        <v>34815803</v>
      </c>
      <c r="E92" s="87"/>
      <c r="F92" s="87">
        <v>34503128</v>
      </c>
      <c r="G92" s="84"/>
      <c r="H92" s="87">
        <f t="shared" ref="H92:H93" si="38">+D92-F92</f>
        <v>312675</v>
      </c>
      <c r="I92" s="96"/>
      <c r="J92" s="96"/>
      <c r="K92" s="88"/>
    </row>
    <row r="93" spans="1:12" x14ac:dyDescent="0.2">
      <c r="A93" s="75" t="s">
        <v>118</v>
      </c>
      <c r="B93" s="86">
        <v>2022</v>
      </c>
      <c r="C93" s="75"/>
      <c r="D93" s="90">
        <v>33695407</v>
      </c>
      <c r="E93" s="90"/>
      <c r="F93" s="90">
        <v>32685428</v>
      </c>
      <c r="G93" s="94"/>
      <c r="H93" s="90">
        <f t="shared" si="38"/>
        <v>1009979</v>
      </c>
      <c r="I93" s="96"/>
      <c r="J93" s="96"/>
      <c r="K93" s="88"/>
    </row>
    <row r="94" spans="1:12" x14ac:dyDescent="0.2">
      <c r="A94" s="75"/>
      <c r="B94" s="86"/>
      <c r="C94" s="75"/>
      <c r="D94" s="87">
        <f>D91-D92+D93</f>
        <v>490735364</v>
      </c>
      <c r="E94" s="87"/>
      <c r="F94" s="87">
        <f>F91-F92+F93</f>
        <v>475790515</v>
      </c>
      <c r="G94" s="84"/>
      <c r="H94" s="87">
        <f>H91-H92+H93</f>
        <v>14944849</v>
      </c>
      <c r="I94" s="96"/>
      <c r="J94" s="88">
        <f>H94/D94</f>
        <v>3.045398823142487E-2</v>
      </c>
      <c r="K94" s="88">
        <f>'Mthly Calc-Oct 22'!J25</f>
        <v>3.045398823142487E-2</v>
      </c>
      <c r="L94" s="88">
        <f>J94-K94</f>
        <v>0</v>
      </c>
    </row>
    <row r="95" spans="1:12" x14ac:dyDescent="0.2">
      <c r="A95" s="75"/>
      <c r="B95" s="86"/>
      <c r="C95" s="96"/>
      <c r="D95" s="96"/>
      <c r="E95" s="96"/>
      <c r="F95" s="96"/>
      <c r="G95" s="96"/>
      <c r="H95" s="96"/>
      <c r="I95" s="96"/>
      <c r="J95" s="96"/>
    </row>
    <row r="96" spans="1:12" x14ac:dyDescent="0.2">
      <c r="A96" s="75"/>
      <c r="B96" s="86"/>
      <c r="C96" s="96"/>
      <c r="D96" s="96"/>
      <c r="E96" s="96"/>
      <c r="F96" s="96"/>
      <c r="G96" s="96"/>
      <c r="H96" s="96"/>
      <c r="I96" s="96"/>
      <c r="J96" s="96"/>
    </row>
    <row r="97" spans="1:10" x14ac:dyDescent="0.2">
      <c r="A97" s="75"/>
      <c r="B97" s="86"/>
      <c r="C97" s="96"/>
      <c r="D97" s="96"/>
      <c r="E97" s="96"/>
      <c r="F97" s="96"/>
      <c r="G97" s="96"/>
      <c r="H97" s="96"/>
      <c r="I97" s="96"/>
      <c r="J97" s="96"/>
    </row>
    <row r="98" spans="1:10" x14ac:dyDescent="0.2">
      <c r="A98" s="75"/>
      <c r="B98" s="86"/>
      <c r="C98" s="96"/>
      <c r="D98" s="96"/>
      <c r="E98" s="96"/>
      <c r="F98" s="96"/>
      <c r="G98" s="96"/>
      <c r="H98" s="96"/>
      <c r="I98" s="96"/>
      <c r="J98" s="96"/>
    </row>
    <row r="99" spans="1:10" x14ac:dyDescent="0.2">
      <c r="A99" s="75"/>
      <c r="B99" s="86"/>
      <c r="C99" s="96"/>
      <c r="D99" s="96"/>
      <c r="E99" s="96"/>
      <c r="F99" s="96"/>
      <c r="G99" s="96"/>
      <c r="H99" s="96"/>
      <c r="I99" s="96"/>
      <c r="J99" s="96"/>
    </row>
    <row r="100" spans="1:10" x14ac:dyDescent="0.2">
      <c r="A100" s="96"/>
      <c r="B100" s="86"/>
      <c r="C100" s="96"/>
      <c r="D100" s="96"/>
      <c r="E100" s="96"/>
      <c r="F100" s="96"/>
      <c r="G100" s="96"/>
      <c r="H100" s="96"/>
      <c r="I100" s="96"/>
      <c r="J100" s="96"/>
    </row>
    <row r="101" spans="1:10" x14ac:dyDescent="0.2">
      <c r="A101" s="96"/>
      <c r="B101" s="86"/>
      <c r="C101" s="96"/>
      <c r="D101" s="96"/>
      <c r="E101" s="96"/>
      <c r="F101" s="96"/>
      <c r="G101" s="96"/>
      <c r="H101" s="96"/>
      <c r="I101" s="96"/>
      <c r="J101" s="96"/>
    </row>
    <row r="102" spans="1:10" x14ac:dyDescent="0.2">
      <c r="A102" s="96"/>
      <c r="B102" s="86"/>
      <c r="C102" s="96"/>
      <c r="D102" s="96"/>
      <c r="E102" s="96"/>
      <c r="F102" s="96"/>
      <c r="G102" s="96"/>
      <c r="H102" s="96"/>
      <c r="I102" s="96"/>
      <c r="J102" s="96"/>
    </row>
    <row r="103" spans="1:10" x14ac:dyDescent="0.2">
      <c r="A103" s="96"/>
      <c r="B103" s="86"/>
      <c r="C103" s="96"/>
      <c r="D103" s="96"/>
      <c r="E103" s="96"/>
      <c r="F103" s="96"/>
      <c r="G103" s="96"/>
      <c r="H103" s="96"/>
      <c r="I103" s="96"/>
      <c r="J103" s="96"/>
    </row>
    <row r="104" spans="1:10" x14ac:dyDescent="0.2">
      <c r="A104" s="96"/>
      <c r="B104" s="86"/>
      <c r="C104" s="96"/>
      <c r="D104" s="96"/>
      <c r="E104" s="96"/>
      <c r="F104" s="96"/>
      <c r="G104" s="96"/>
      <c r="H104" s="96"/>
      <c r="I104" s="96"/>
      <c r="J104" s="96"/>
    </row>
    <row r="105" spans="1:10" x14ac:dyDescent="0.2">
      <c r="A105" s="96"/>
      <c r="B105" s="86"/>
      <c r="C105" s="96"/>
      <c r="D105" s="96"/>
      <c r="E105" s="96"/>
      <c r="F105" s="96"/>
      <c r="G105" s="96"/>
      <c r="H105" s="96"/>
      <c r="I105" s="96"/>
      <c r="J105" s="96"/>
    </row>
    <row r="106" spans="1:10" x14ac:dyDescent="0.2">
      <c r="A106" s="96"/>
      <c r="B106" s="86"/>
      <c r="C106" s="96"/>
      <c r="D106" s="96"/>
      <c r="E106" s="96"/>
      <c r="F106" s="96"/>
      <c r="G106" s="96"/>
      <c r="H106" s="96"/>
      <c r="I106" s="96"/>
      <c r="J106" s="96"/>
    </row>
    <row r="107" spans="1:10" x14ac:dyDescent="0.2">
      <c r="A107" s="96"/>
      <c r="B107" s="86"/>
      <c r="C107" s="96"/>
      <c r="D107" s="96"/>
      <c r="E107" s="96"/>
      <c r="F107" s="96"/>
      <c r="G107" s="96"/>
      <c r="H107" s="96"/>
      <c r="I107" s="96"/>
      <c r="J107" s="96"/>
    </row>
    <row r="108" spans="1:10" x14ac:dyDescent="0.2">
      <c r="A108" s="96"/>
      <c r="B108" s="86"/>
      <c r="C108" s="96"/>
      <c r="D108" s="96"/>
      <c r="E108" s="96"/>
      <c r="F108" s="96"/>
      <c r="G108" s="96"/>
      <c r="H108" s="96"/>
      <c r="I108" s="96"/>
      <c r="J108" s="96"/>
    </row>
    <row r="109" spans="1:10" x14ac:dyDescent="0.2">
      <c r="A109" s="96"/>
      <c r="B109" s="86"/>
      <c r="C109" s="96"/>
      <c r="D109" s="96"/>
      <c r="E109" s="96"/>
      <c r="F109" s="96"/>
      <c r="G109" s="96"/>
      <c r="H109" s="96"/>
      <c r="I109" s="96"/>
      <c r="J109" s="96"/>
    </row>
    <row r="110" spans="1:10" x14ac:dyDescent="0.2">
      <c r="A110" s="96"/>
      <c r="B110" s="86"/>
      <c r="C110" s="96"/>
      <c r="D110" s="96"/>
      <c r="E110" s="96"/>
      <c r="F110" s="96"/>
      <c r="G110" s="96"/>
      <c r="H110" s="96"/>
      <c r="I110" s="96"/>
      <c r="J110" s="96"/>
    </row>
    <row r="111" spans="1:10" x14ac:dyDescent="0.2">
      <c r="A111" s="96"/>
      <c r="B111" s="86"/>
      <c r="C111" s="96"/>
      <c r="D111" s="96"/>
      <c r="E111" s="96"/>
      <c r="F111" s="96"/>
      <c r="G111" s="96"/>
      <c r="H111" s="96"/>
      <c r="I111" s="96"/>
      <c r="J111" s="96"/>
    </row>
    <row r="112" spans="1:10" x14ac:dyDescent="0.2">
      <c r="A112" s="96"/>
      <c r="B112" s="86"/>
      <c r="C112" s="96"/>
      <c r="D112" s="96"/>
      <c r="E112" s="96"/>
      <c r="F112" s="96"/>
      <c r="G112" s="96"/>
      <c r="H112" s="96"/>
      <c r="I112" s="96"/>
      <c r="J112" s="96"/>
    </row>
    <row r="113" spans="1:10" x14ac:dyDescent="0.2">
      <c r="A113" s="96"/>
      <c r="B113" s="86"/>
      <c r="C113" s="96"/>
      <c r="D113" s="96"/>
      <c r="E113" s="96"/>
      <c r="F113" s="96"/>
      <c r="G113" s="96"/>
      <c r="H113" s="96"/>
      <c r="I113" s="96"/>
      <c r="J113" s="96"/>
    </row>
    <row r="114" spans="1:10" x14ac:dyDescent="0.2">
      <c r="A114" s="96"/>
      <c r="B114" s="86"/>
      <c r="C114" s="96"/>
      <c r="D114" s="96"/>
      <c r="E114" s="96"/>
      <c r="F114" s="96"/>
      <c r="G114" s="96"/>
      <c r="H114" s="96"/>
      <c r="I114" s="96"/>
      <c r="J114" s="96"/>
    </row>
    <row r="115" spans="1:10" x14ac:dyDescent="0.2">
      <c r="A115" s="96"/>
      <c r="B115" s="86"/>
      <c r="C115" s="96"/>
      <c r="D115" s="96"/>
      <c r="E115" s="96"/>
      <c r="F115" s="96"/>
      <c r="G115" s="96"/>
      <c r="H115" s="96"/>
      <c r="I115" s="96"/>
      <c r="J115" s="96"/>
    </row>
    <row r="116" spans="1:10" x14ac:dyDescent="0.2">
      <c r="A116" s="96"/>
      <c r="B116" s="86"/>
      <c r="C116" s="96"/>
      <c r="D116" s="96"/>
      <c r="E116" s="96"/>
      <c r="F116" s="96"/>
      <c r="G116" s="96"/>
      <c r="H116" s="96"/>
      <c r="I116" s="96"/>
      <c r="J116" s="96"/>
    </row>
    <row r="117" spans="1:10" x14ac:dyDescent="0.2">
      <c r="A117" s="96"/>
      <c r="B117" s="86"/>
      <c r="C117" s="96"/>
      <c r="D117" s="96"/>
      <c r="E117" s="96"/>
      <c r="F117" s="96"/>
      <c r="G117" s="96"/>
      <c r="H117" s="96"/>
      <c r="I117" s="96"/>
      <c r="J117" s="96"/>
    </row>
    <row r="118" spans="1:10" x14ac:dyDescent="0.2">
      <c r="A118" s="96"/>
      <c r="B118" s="86"/>
      <c r="C118" s="96"/>
      <c r="D118" s="96"/>
      <c r="E118" s="96"/>
      <c r="F118" s="96"/>
      <c r="G118" s="96"/>
      <c r="H118" s="96"/>
      <c r="I118" s="96"/>
      <c r="J118" s="96"/>
    </row>
    <row r="119" spans="1:10" x14ac:dyDescent="0.2">
      <c r="A119" s="96"/>
      <c r="B119" s="86"/>
      <c r="C119" s="96"/>
      <c r="D119" s="96"/>
      <c r="E119" s="96"/>
      <c r="F119" s="96"/>
      <c r="G119" s="96"/>
      <c r="H119" s="96"/>
      <c r="I119" s="96"/>
      <c r="J119" s="96"/>
    </row>
    <row r="120" spans="1:10" x14ac:dyDescent="0.2">
      <c r="A120" s="96"/>
      <c r="B120" s="86"/>
      <c r="C120" s="96"/>
      <c r="D120" s="96"/>
      <c r="E120" s="96"/>
      <c r="F120" s="96"/>
      <c r="G120" s="96"/>
      <c r="H120" s="96"/>
      <c r="I120" s="96"/>
      <c r="J120" s="96"/>
    </row>
    <row r="121" spans="1:10" x14ac:dyDescent="0.2">
      <c r="A121" s="96"/>
      <c r="B121" s="86"/>
      <c r="C121" s="96"/>
      <c r="D121" s="96"/>
      <c r="E121" s="96"/>
      <c r="F121" s="96"/>
      <c r="G121" s="96"/>
      <c r="H121" s="96"/>
      <c r="I121" s="96"/>
      <c r="J121" s="96"/>
    </row>
    <row r="122" spans="1:10" x14ac:dyDescent="0.2">
      <c r="A122" s="96"/>
      <c r="B122" s="86"/>
      <c r="C122" s="96"/>
      <c r="D122" s="96"/>
      <c r="E122" s="96"/>
      <c r="F122" s="96"/>
      <c r="G122" s="96"/>
      <c r="H122" s="96"/>
      <c r="I122" s="96"/>
      <c r="J122" s="96"/>
    </row>
    <row r="123" spans="1:10" x14ac:dyDescent="0.2">
      <c r="A123" s="96"/>
      <c r="B123" s="86"/>
      <c r="C123" s="96"/>
      <c r="D123" s="96"/>
      <c r="E123" s="96"/>
      <c r="F123" s="96"/>
      <c r="G123" s="96"/>
      <c r="H123" s="96"/>
      <c r="I123" s="96"/>
      <c r="J123" s="96"/>
    </row>
    <row r="124" spans="1:10" x14ac:dyDescent="0.2">
      <c r="A124" s="96"/>
      <c r="B124" s="86"/>
      <c r="C124" s="96"/>
      <c r="D124" s="96"/>
      <c r="E124" s="96"/>
      <c r="F124" s="96"/>
      <c r="G124" s="96"/>
      <c r="H124" s="96"/>
      <c r="I124" s="96"/>
      <c r="J124" s="96"/>
    </row>
    <row r="125" spans="1:10" x14ac:dyDescent="0.2">
      <c r="A125" s="96"/>
      <c r="B125" s="86"/>
      <c r="C125" s="96"/>
      <c r="D125" s="96"/>
      <c r="E125" s="96"/>
      <c r="F125" s="96"/>
      <c r="G125" s="96"/>
      <c r="H125" s="96"/>
      <c r="I125" s="96"/>
      <c r="J125" s="96"/>
    </row>
    <row r="126" spans="1:10" x14ac:dyDescent="0.2">
      <c r="A126" s="96"/>
      <c r="B126" s="86"/>
      <c r="C126" s="96"/>
      <c r="D126" s="96"/>
      <c r="E126" s="96"/>
      <c r="F126" s="96"/>
      <c r="G126" s="96"/>
      <c r="H126" s="96"/>
      <c r="I126" s="96"/>
      <c r="J126" s="96"/>
    </row>
    <row r="127" spans="1:10" x14ac:dyDescent="0.2">
      <c r="A127" s="96"/>
      <c r="B127" s="86"/>
      <c r="C127" s="96"/>
      <c r="D127" s="96"/>
      <c r="E127" s="96"/>
      <c r="F127" s="96"/>
      <c r="G127" s="96"/>
      <c r="H127" s="96"/>
      <c r="I127" s="96"/>
      <c r="J127" s="96"/>
    </row>
    <row r="128" spans="1:10" x14ac:dyDescent="0.2">
      <c r="A128" s="96"/>
      <c r="B128" s="86"/>
      <c r="C128" s="96"/>
      <c r="D128" s="96"/>
      <c r="E128" s="96"/>
      <c r="F128" s="96"/>
      <c r="G128" s="96"/>
      <c r="H128" s="96"/>
      <c r="I128" s="96"/>
      <c r="J128" s="96"/>
    </row>
    <row r="129" spans="1:10" x14ac:dyDescent="0.2">
      <c r="A129" s="96"/>
      <c r="B129" s="86"/>
      <c r="C129" s="96"/>
      <c r="D129" s="96"/>
      <c r="E129" s="96"/>
      <c r="F129" s="96"/>
      <c r="G129" s="96"/>
      <c r="H129" s="96"/>
      <c r="I129" s="96"/>
      <c r="J129" s="96"/>
    </row>
    <row r="130" spans="1:10" x14ac:dyDescent="0.2">
      <c r="A130" s="96"/>
      <c r="B130" s="86"/>
      <c r="C130" s="96"/>
      <c r="D130" s="96"/>
      <c r="E130" s="96"/>
      <c r="F130" s="96"/>
      <c r="G130" s="96"/>
      <c r="H130" s="96"/>
      <c r="I130" s="96"/>
      <c r="J130" s="96"/>
    </row>
    <row r="131" spans="1:10" x14ac:dyDescent="0.2">
      <c r="A131" s="96"/>
      <c r="B131" s="86"/>
      <c r="C131" s="96"/>
      <c r="D131" s="96"/>
      <c r="E131" s="96"/>
      <c r="F131" s="96"/>
      <c r="G131" s="96"/>
      <c r="H131" s="96"/>
      <c r="I131" s="96"/>
      <c r="J131" s="96"/>
    </row>
    <row r="132" spans="1:10" x14ac:dyDescent="0.2">
      <c r="A132" s="96"/>
      <c r="B132" s="86"/>
      <c r="C132" s="96"/>
      <c r="D132" s="96"/>
      <c r="E132" s="96"/>
      <c r="F132" s="96"/>
      <c r="G132" s="96"/>
      <c r="H132" s="96"/>
      <c r="I132" s="96"/>
      <c r="J132" s="96"/>
    </row>
    <row r="133" spans="1:10" x14ac:dyDescent="0.2">
      <c r="A133" s="96"/>
      <c r="B133" s="86"/>
      <c r="C133" s="96"/>
      <c r="D133" s="96"/>
      <c r="E133" s="96"/>
      <c r="F133" s="96"/>
      <c r="G133" s="96"/>
      <c r="H133" s="96"/>
      <c r="I133" s="96"/>
      <c r="J133" s="96"/>
    </row>
    <row r="134" spans="1:10" x14ac:dyDescent="0.2">
      <c r="A134" s="96"/>
      <c r="B134" s="86"/>
      <c r="C134" s="96"/>
      <c r="D134" s="96"/>
      <c r="E134" s="96"/>
      <c r="F134" s="96"/>
      <c r="G134" s="96"/>
      <c r="H134" s="96"/>
      <c r="I134" s="96"/>
      <c r="J134" s="96"/>
    </row>
    <row r="135" spans="1:10" x14ac:dyDescent="0.2">
      <c r="A135" s="96"/>
      <c r="B135" s="86"/>
      <c r="C135" s="96"/>
      <c r="D135" s="96"/>
      <c r="E135" s="96"/>
      <c r="F135" s="96"/>
      <c r="G135" s="96"/>
      <c r="H135" s="96"/>
      <c r="I135" s="96"/>
      <c r="J135" s="96"/>
    </row>
    <row r="136" spans="1:10" x14ac:dyDescent="0.2">
      <c r="A136" s="96"/>
      <c r="B136" s="86"/>
      <c r="C136" s="96"/>
      <c r="D136" s="96"/>
      <c r="E136" s="96"/>
      <c r="F136" s="96"/>
      <c r="G136" s="96"/>
      <c r="H136" s="96"/>
      <c r="I136" s="96"/>
      <c r="J136" s="96"/>
    </row>
    <row r="137" spans="1:10" x14ac:dyDescent="0.2">
      <c r="A137" s="96"/>
      <c r="B137" s="86"/>
      <c r="C137" s="96"/>
      <c r="D137" s="96"/>
      <c r="E137" s="96"/>
      <c r="F137" s="96"/>
      <c r="G137" s="96"/>
      <c r="H137" s="96"/>
      <c r="I137" s="96"/>
      <c r="J137" s="96"/>
    </row>
    <row r="138" spans="1:10" x14ac:dyDescent="0.2">
      <c r="A138" s="96"/>
      <c r="B138" s="86"/>
      <c r="C138" s="96"/>
      <c r="D138" s="96"/>
      <c r="E138" s="96"/>
      <c r="F138" s="96"/>
      <c r="G138" s="96"/>
      <c r="H138" s="96"/>
      <c r="I138" s="96"/>
      <c r="J138" s="96"/>
    </row>
    <row r="139" spans="1:10" x14ac:dyDescent="0.2">
      <c r="A139" s="96"/>
      <c r="B139" s="86"/>
      <c r="C139" s="96"/>
      <c r="D139" s="96"/>
      <c r="E139" s="96"/>
      <c r="F139" s="96"/>
      <c r="G139" s="96"/>
      <c r="H139" s="96"/>
      <c r="I139" s="96"/>
      <c r="J139" s="96"/>
    </row>
    <row r="140" spans="1:10" x14ac:dyDescent="0.2">
      <c r="A140" s="96"/>
      <c r="B140" s="86"/>
      <c r="C140" s="96"/>
      <c r="D140" s="96"/>
      <c r="E140" s="96"/>
      <c r="F140" s="96"/>
      <c r="G140" s="96"/>
      <c r="H140" s="96"/>
      <c r="I140" s="96"/>
      <c r="J140" s="96"/>
    </row>
    <row r="141" spans="1:10" x14ac:dyDescent="0.2">
      <c r="A141" s="96"/>
      <c r="B141" s="86"/>
      <c r="C141" s="96"/>
      <c r="D141" s="96"/>
      <c r="E141" s="96"/>
      <c r="F141" s="96"/>
      <c r="G141" s="96"/>
      <c r="H141" s="96"/>
      <c r="I141" s="96"/>
      <c r="J141" s="96"/>
    </row>
    <row r="142" spans="1:10" x14ac:dyDescent="0.2">
      <c r="A142" s="96"/>
      <c r="B142" s="86"/>
      <c r="C142" s="96"/>
      <c r="D142" s="96"/>
      <c r="E142" s="96"/>
      <c r="F142" s="96"/>
      <c r="G142" s="96"/>
      <c r="H142" s="96"/>
      <c r="I142" s="96"/>
      <c r="J142" s="96"/>
    </row>
    <row r="143" spans="1:10" x14ac:dyDescent="0.2">
      <c r="A143" s="96"/>
      <c r="B143" s="86"/>
      <c r="C143" s="96"/>
      <c r="D143" s="96"/>
      <c r="E143" s="96"/>
      <c r="F143" s="96"/>
      <c r="G143" s="96"/>
      <c r="H143" s="96"/>
      <c r="I143" s="96"/>
      <c r="J143" s="96"/>
    </row>
    <row r="144" spans="1:10" x14ac:dyDescent="0.2">
      <c r="A144" s="96"/>
      <c r="B144" s="86"/>
      <c r="C144" s="96"/>
      <c r="D144" s="96"/>
      <c r="E144" s="96"/>
      <c r="F144" s="96"/>
      <c r="G144" s="96"/>
      <c r="H144" s="96"/>
      <c r="I144" s="96"/>
      <c r="J144" s="96"/>
    </row>
  </sheetData>
  <printOptions horizontalCentered="1"/>
  <pageMargins left="0.7" right="0.2" top="0.75" bottom="0.75" header="0" footer="0"/>
  <pageSetup scale="80" orientation="portrait" r:id="rId1"/>
  <headerFooter alignWithMargins="0"/>
  <rowBreaks count="1" manualBreakCount="1">
    <brk id="5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ECB8A-445D-40C3-AA02-FC047277F62B}">
  <sheetPr>
    <pageSetUpPr fitToPage="1"/>
  </sheetPr>
  <dimension ref="A1:K99"/>
  <sheetViews>
    <sheetView zoomScale="60" zoomScaleNormal="60" workbookViewId="0">
      <selection activeCell="J43" sqref="J43"/>
    </sheetView>
  </sheetViews>
  <sheetFormatPr defaultColWidth="9.6640625" defaultRowHeight="15" x14ac:dyDescent="0.2"/>
  <cols>
    <col min="1" max="1" width="11.33203125" style="1" customWidth="1"/>
    <col min="2" max="2" width="19.5546875" style="1" customWidth="1"/>
    <col min="3" max="3" width="19.33203125" style="1" customWidth="1"/>
    <col min="4" max="4" width="10" style="1" customWidth="1"/>
    <col min="5" max="5" width="17.6640625" style="1" customWidth="1"/>
    <col min="6" max="6" width="9.6640625" style="1" customWidth="1"/>
    <col min="7" max="7" width="8.5546875" style="1" customWidth="1"/>
    <col min="8" max="8" width="13.77734375" style="1" customWidth="1"/>
    <col min="9" max="9" width="19.88671875" style="1" customWidth="1"/>
    <col min="10" max="10" width="20.6640625" style="1" customWidth="1"/>
    <col min="11" max="16384" width="9.6640625" style="1"/>
  </cols>
  <sheetData>
    <row r="1" spans="1:11" x14ac:dyDescent="0.2">
      <c r="A1" s="2" t="s">
        <v>0</v>
      </c>
      <c r="B1" s="2" t="s">
        <v>23</v>
      </c>
      <c r="C1" s="2"/>
      <c r="D1" s="2"/>
      <c r="E1" s="2"/>
      <c r="F1" s="2"/>
      <c r="G1" s="2" t="s">
        <v>27</v>
      </c>
      <c r="H1" s="2"/>
      <c r="I1" s="2"/>
      <c r="J1" s="2"/>
    </row>
    <row r="2" spans="1:11" x14ac:dyDescent="0.2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</row>
    <row r="3" spans="1:11" x14ac:dyDescent="0.2">
      <c r="A3" s="3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</row>
    <row r="4" spans="1:11" ht="18" x14ac:dyDescent="0.25">
      <c r="A4" s="52" t="s">
        <v>2</v>
      </c>
      <c r="B4" s="52"/>
      <c r="C4" s="52"/>
      <c r="D4" s="52"/>
      <c r="E4" s="24" t="s">
        <v>89</v>
      </c>
      <c r="F4" s="52"/>
      <c r="G4" s="52" t="s">
        <v>28</v>
      </c>
      <c r="H4" s="52"/>
      <c r="I4" s="52" t="s">
        <v>51</v>
      </c>
      <c r="J4" s="25" t="str">
        <f>E4</f>
        <v>March</v>
      </c>
    </row>
    <row r="5" spans="1:11" ht="1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1" ht="18" x14ac:dyDescent="0.25">
      <c r="A6" s="52" t="s">
        <v>71</v>
      </c>
      <c r="B6" s="52"/>
      <c r="C6" s="52"/>
      <c r="D6" s="52"/>
      <c r="E6" s="26">
        <v>37902556</v>
      </c>
      <c r="F6" s="52"/>
      <c r="G6" s="52" t="s">
        <v>29</v>
      </c>
      <c r="H6" s="52"/>
      <c r="I6" s="52"/>
      <c r="J6" s="59"/>
      <c r="K6" s="55"/>
    </row>
    <row r="7" spans="1:11" ht="18" x14ac:dyDescent="0.25">
      <c r="A7" s="52"/>
      <c r="B7" s="52"/>
      <c r="C7" s="52"/>
      <c r="D7" s="52"/>
      <c r="E7" s="60"/>
      <c r="F7" s="52"/>
      <c r="G7" s="52"/>
      <c r="H7" s="52"/>
      <c r="I7" s="52"/>
      <c r="J7" s="52"/>
    </row>
    <row r="8" spans="1:11" ht="18" x14ac:dyDescent="0.25">
      <c r="A8" s="52" t="s">
        <v>72</v>
      </c>
      <c r="B8" s="52"/>
      <c r="C8" s="52"/>
      <c r="D8" s="52"/>
      <c r="E8" s="26">
        <v>36673793</v>
      </c>
      <c r="F8" s="52"/>
      <c r="G8" s="52" t="s">
        <v>30</v>
      </c>
      <c r="H8" s="52"/>
      <c r="I8" s="52"/>
      <c r="J8" s="54">
        <v>81489</v>
      </c>
    </row>
    <row r="9" spans="1:11" ht="18" x14ac:dyDescent="0.25">
      <c r="A9" s="52"/>
      <c r="B9" s="52"/>
      <c r="C9" s="52"/>
      <c r="D9" s="52"/>
      <c r="E9" s="60"/>
      <c r="F9" s="52"/>
      <c r="G9" s="52"/>
      <c r="H9" s="52" t="s">
        <v>26</v>
      </c>
      <c r="I9" s="52"/>
      <c r="J9" s="29" t="s">
        <v>26</v>
      </c>
    </row>
    <row r="10" spans="1:11" ht="18" x14ac:dyDescent="0.25">
      <c r="A10" s="52"/>
      <c r="B10" s="52"/>
      <c r="C10" s="52"/>
      <c r="D10" s="52"/>
      <c r="E10" s="60"/>
      <c r="F10" s="52"/>
      <c r="G10" s="52"/>
      <c r="H10" s="52" t="s">
        <v>26</v>
      </c>
      <c r="I10" s="52"/>
      <c r="J10" s="29" t="s">
        <v>26</v>
      </c>
    </row>
    <row r="11" spans="1:11" ht="18" x14ac:dyDescent="0.25">
      <c r="A11" s="52" t="s">
        <v>3</v>
      </c>
      <c r="B11" s="52"/>
      <c r="C11" s="52"/>
      <c r="D11" s="52"/>
      <c r="E11" s="60">
        <v>0</v>
      </c>
      <c r="F11" s="52"/>
      <c r="G11" s="52" t="s">
        <v>31</v>
      </c>
      <c r="H11" s="52"/>
      <c r="I11" s="52"/>
      <c r="J11" s="61">
        <f>E37</f>
        <v>-33898.476339999994</v>
      </c>
    </row>
    <row r="12" spans="1:11" ht="18" x14ac:dyDescent="0.25">
      <c r="A12" s="52"/>
      <c r="B12" s="52"/>
      <c r="C12" s="52"/>
      <c r="D12" s="52"/>
      <c r="E12" s="60"/>
      <c r="F12" s="52"/>
      <c r="G12" s="52"/>
      <c r="H12" s="52"/>
      <c r="I12" s="52"/>
      <c r="J12" s="59"/>
    </row>
    <row r="13" spans="1:11" ht="18" x14ac:dyDescent="0.25">
      <c r="A13" s="52" t="s">
        <v>4</v>
      </c>
      <c r="B13" s="52"/>
      <c r="C13" s="52"/>
      <c r="D13" s="52"/>
      <c r="E13" s="60">
        <f>SUM(E8:E11)</f>
        <v>36673793</v>
      </c>
      <c r="F13" s="52"/>
      <c r="G13" s="52" t="s">
        <v>32</v>
      </c>
      <c r="H13" s="52"/>
      <c r="I13" s="52"/>
      <c r="J13" s="59">
        <v>0</v>
      </c>
    </row>
    <row r="14" spans="1:11" ht="18" x14ac:dyDescent="0.25">
      <c r="A14" s="52"/>
      <c r="B14" s="52"/>
      <c r="C14" s="52"/>
      <c r="D14" s="52"/>
      <c r="E14" s="60"/>
      <c r="F14" s="52"/>
      <c r="G14" s="52"/>
      <c r="H14" s="52"/>
      <c r="I14" s="52"/>
      <c r="J14" s="59"/>
    </row>
    <row r="15" spans="1:11" ht="18" x14ac:dyDescent="0.25">
      <c r="A15" s="52" t="s">
        <v>5</v>
      </c>
      <c r="B15" s="52"/>
      <c r="C15" s="52"/>
      <c r="D15" s="52"/>
      <c r="E15" s="62">
        <f>E6-E13</f>
        <v>1228763</v>
      </c>
      <c r="F15" s="52"/>
      <c r="G15" s="52" t="s">
        <v>33</v>
      </c>
      <c r="H15" s="52"/>
      <c r="I15" s="52"/>
      <c r="J15" s="61">
        <f>ROUND((+J8+J11),4)</f>
        <v>47590.523699999998</v>
      </c>
    </row>
    <row r="16" spans="1:11" ht="18" x14ac:dyDescent="0.25">
      <c r="A16" s="52" t="s">
        <v>6</v>
      </c>
      <c r="B16" s="52"/>
      <c r="C16" s="52"/>
      <c r="D16" s="52"/>
      <c r="E16" s="60"/>
      <c r="F16" s="52"/>
      <c r="G16" s="52" t="s">
        <v>34</v>
      </c>
      <c r="H16" s="52"/>
      <c r="I16" s="52"/>
      <c r="J16" s="59"/>
    </row>
    <row r="17" spans="1:10" ht="18" x14ac:dyDescent="0.25">
      <c r="A17" s="52"/>
      <c r="B17" s="52"/>
      <c r="C17" s="52"/>
      <c r="D17" s="52"/>
      <c r="E17" s="60"/>
      <c r="F17" s="52"/>
      <c r="G17" s="52"/>
      <c r="H17" s="52"/>
      <c r="I17" s="52"/>
      <c r="J17" s="52"/>
    </row>
    <row r="18" spans="1:10" ht="18" x14ac:dyDescent="0.25">
      <c r="A18" s="63" t="s">
        <v>1</v>
      </c>
      <c r="B18" s="63" t="s">
        <v>1</v>
      </c>
      <c r="C18" s="63" t="s">
        <v>1</v>
      </c>
      <c r="D18" s="63" t="s">
        <v>1</v>
      </c>
      <c r="E18" s="64" t="s">
        <v>1</v>
      </c>
      <c r="F18" s="52"/>
      <c r="G18" s="52" t="s">
        <v>35</v>
      </c>
      <c r="H18" s="52"/>
      <c r="I18" s="52"/>
      <c r="J18" s="60">
        <f>E6</f>
        <v>37902556</v>
      </c>
    </row>
    <row r="19" spans="1:10" ht="18" x14ac:dyDescent="0.25">
      <c r="A19" s="63" t="s">
        <v>1</v>
      </c>
      <c r="B19" s="63" t="s">
        <v>1</v>
      </c>
      <c r="C19" s="63" t="s">
        <v>1</v>
      </c>
      <c r="D19" s="63" t="s">
        <v>1</v>
      </c>
      <c r="E19" s="64"/>
      <c r="F19" s="52"/>
      <c r="G19" s="52"/>
      <c r="H19" s="52"/>
      <c r="I19" s="52"/>
      <c r="J19" s="52"/>
    </row>
    <row r="20" spans="1:10" ht="18" x14ac:dyDescent="0.25">
      <c r="A20" s="52" t="s">
        <v>7</v>
      </c>
      <c r="B20" s="52"/>
      <c r="C20" s="52"/>
      <c r="D20" s="52" t="s">
        <v>25</v>
      </c>
      <c r="E20" s="24" t="s">
        <v>84</v>
      </c>
      <c r="F20" s="52"/>
      <c r="G20" s="52" t="s">
        <v>36</v>
      </c>
      <c r="H20" s="52"/>
      <c r="I20" s="52"/>
      <c r="J20" s="34">
        <f>ROUND((J8/J18),5)</f>
        <v>2.15E-3</v>
      </c>
    </row>
    <row r="21" spans="1:10" ht="18" x14ac:dyDescent="0.25">
      <c r="A21" s="52"/>
      <c r="B21" s="52"/>
      <c r="C21" s="52"/>
      <c r="D21" s="52"/>
      <c r="E21" s="60"/>
      <c r="F21" s="52"/>
      <c r="G21" s="52" t="s">
        <v>37</v>
      </c>
      <c r="H21" s="52"/>
      <c r="I21" s="52"/>
      <c r="J21" s="52"/>
    </row>
    <row r="22" spans="1:10" ht="18" x14ac:dyDescent="0.25">
      <c r="A22" s="52" t="s">
        <v>8</v>
      </c>
      <c r="B22" s="52"/>
      <c r="C22" s="52"/>
      <c r="D22" s="52"/>
      <c r="E22" s="53">
        <v>-3.0300000000000001E-3</v>
      </c>
      <c r="F22" s="52"/>
      <c r="G22" s="52"/>
      <c r="H22" s="52"/>
      <c r="I22" s="52"/>
      <c r="J22" s="52"/>
    </row>
    <row r="23" spans="1:10" ht="18" x14ac:dyDescent="0.25">
      <c r="A23" s="52"/>
      <c r="B23" s="52"/>
      <c r="C23" s="52"/>
      <c r="D23" s="52"/>
      <c r="E23" s="60"/>
      <c r="F23" s="52"/>
      <c r="G23" s="52" t="s">
        <v>38</v>
      </c>
      <c r="H23" s="52"/>
      <c r="I23" s="52"/>
      <c r="J23" s="52"/>
    </row>
    <row r="24" spans="1:10" ht="18" x14ac:dyDescent="0.25">
      <c r="A24" s="52" t="s">
        <v>9</v>
      </c>
      <c r="B24" s="52"/>
      <c r="C24" s="52"/>
      <c r="D24" s="52"/>
      <c r="E24" s="35">
        <v>36673871</v>
      </c>
      <c r="F24" s="52"/>
      <c r="G24" s="63" t="s">
        <v>1</v>
      </c>
      <c r="H24" s="52"/>
      <c r="I24" s="52"/>
      <c r="J24" s="52"/>
    </row>
    <row r="25" spans="1:10" ht="18" x14ac:dyDescent="0.25">
      <c r="A25" s="52"/>
      <c r="B25" s="52"/>
      <c r="C25" s="52"/>
      <c r="D25" s="52"/>
      <c r="E25" s="35"/>
      <c r="F25" s="52"/>
      <c r="G25" s="52" t="s">
        <v>39</v>
      </c>
      <c r="H25" s="52"/>
      <c r="I25" s="52"/>
      <c r="J25" s="58">
        <f>'12 Mth Avg-Mar 21'!E31</f>
        <v>3.3037253848927271E-2</v>
      </c>
    </row>
    <row r="26" spans="1:10" ht="18" x14ac:dyDescent="0.25">
      <c r="A26" s="52" t="s">
        <v>10</v>
      </c>
      <c r="B26" s="52"/>
      <c r="C26" s="52"/>
      <c r="D26" s="52"/>
      <c r="E26" s="35">
        <v>-78</v>
      </c>
      <c r="F26" s="52"/>
      <c r="G26" s="52"/>
      <c r="H26" s="52"/>
      <c r="I26" s="52"/>
      <c r="J26" s="52"/>
    </row>
    <row r="27" spans="1:10" ht="18" x14ac:dyDescent="0.25">
      <c r="A27" s="52"/>
      <c r="B27" s="52"/>
      <c r="C27" s="52"/>
      <c r="D27" s="52"/>
      <c r="E27" s="62"/>
      <c r="F27" s="52"/>
      <c r="G27" s="52" t="s">
        <v>40</v>
      </c>
      <c r="H27" s="52"/>
      <c r="I27" s="52"/>
      <c r="J27" s="36" t="str">
        <f>E4</f>
        <v>March</v>
      </c>
    </row>
    <row r="28" spans="1:10" ht="18" x14ac:dyDescent="0.25">
      <c r="A28" s="52" t="s">
        <v>11</v>
      </c>
      <c r="B28" s="52"/>
      <c r="C28" s="52"/>
      <c r="D28" s="52"/>
      <c r="E28" s="62">
        <f>SUM(E24:E27)</f>
        <v>36673793</v>
      </c>
      <c r="F28" s="52"/>
      <c r="G28" s="52"/>
      <c r="H28" s="52"/>
      <c r="I28" s="52"/>
      <c r="J28" s="52"/>
    </row>
    <row r="29" spans="1:10" ht="18" x14ac:dyDescent="0.25">
      <c r="A29" s="52" t="s">
        <v>12</v>
      </c>
      <c r="B29" s="52"/>
      <c r="C29" s="52"/>
      <c r="D29" s="52"/>
      <c r="E29" s="60"/>
      <c r="F29" s="52"/>
      <c r="G29" s="52" t="s">
        <v>41</v>
      </c>
      <c r="H29" s="52"/>
      <c r="I29" s="52"/>
      <c r="J29" s="65">
        <f>ROUND((+E15/E6),6)</f>
        <v>3.2419000000000003E-2</v>
      </c>
    </row>
    <row r="30" spans="1:10" ht="18" x14ac:dyDescent="0.25">
      <c r="A30" s="52"/>
      <c r="B30" s="52" t="s">
        <v>26</v>
      </c>
      <c r="C30" s="52"/>
      <c r="D30" s="52"/>
      <c r="E30" s="60"/>
      <c r="F30" s="52"/>
      <c r="G30" s="52" t="s">
        <v>42</v>
      </c>
      <c r="H30" s="52"/>
      <c r="I30" s="52"/>
      <c r="J30" s="52"/>
    </row>
    <row r="31" spans="1:10" ht="18" x14ac:dyDescent="0.25">
      <c r="A31" s="52" t="s">
        <v>13</v>
      </c>
      <c r="B31" s="52"/>
      <c r="C31" s="52"/>
      <c r="D31" s="52"/>
      <c r="E31" s="54">
        <v>-144937.09</v>
      </c>
      <c r="F31" s="52"/>
      <c r="G31" s="52"/>
      <c r="H31" s="52"/>
      <c r="I31" s="52"/>
      <c r="J31" s="52"/>
    </row>
    <row r="32" spans="1:10" ht="18" x14ac:dyDescent="0.25">
      <c r="A32" s="52" t="s">
        <v>14</v>
      </c>
      <c r="B32" s="52"/>
      <c r="C32" s="52"/>
      <c r="D32" s="52"/>
      <c r="E32" s="61"/>
      <c r="F32" s="52"/>
      <c r="G32" s="52" t="s">
        <v>43</v>
      </c>
      <c r="H32" s="52"/>
      <c r="I32" s="52"/>
      <c r="J32" s="52"/>
    </row>
    <row r="33" spans="1:10" ht="18" x14ac:dyDescent="0.25">
      <c r="A33" s="52"/>
      <c r="B33" s="52"/>
      <c r="C33" s="52"/>
      <c r="D33" s="52"/>
      <c r="E33" s="61"/>
      <c r="F33" s="52"/>
      <c r="G33" s="63" t="s">
        <v>1</v>
      </c>
      <c r="H33" s="63" t="s">
        <v>1</v>
      </c>
      <c r="I33" s="63" t="s">
        <v>1</v>
      </c>
      <c r="J33" s="52"/>
    </row>
    <row r="34" spans="1:10" ht="18" x14ac:dyDescent="0.25">
      <c r="A34" s="52" t="s">
        <v>15</v>
      </c>
      <c r="B34" s="52"/>
      <c r="C34" s="52"/>
      <c r="D34" s="52"/>
      <c r="E34" s="61">
        <f>(+E26*E22)+B41</f>
        <v>-111038.61366</v>
      </c>
      <c r="F34" s="52"/>
      <c r="G34" s="52" t="s">
        <v>44</v>
      </c>
      <c r="H34" s="52"/>
      <c r="I34" s="52"/>
      <c r="J34" s="65">
        <f>ROUND((1-J25),7)</f>
        <v>0.96696269999999995</v>
      </c>
    </row>
    <row r="35" spans="1:10" ht="18" x14ac:dyDescent="0.25">
      <c r="A35" s="52" t="s">
        <v>16</v>
      </c>
      <c r="B35" s="52"/>
      <c r="C35" s="52"/>
      <c r="D35" s="52"/>
      <c r="E35" s="61"/>
      <c r="F35" s="52"/>
      <c r="G35" s="52" t="s">
        <v>45</v>
      </c>
      <c r="H35" s="52"/>
      <c r="I35" s="52"/>
      <c r="J35" s="52"/>
    </row>
    <row r="36" spans="1:10" ht="18" x14ac:dyDescent="0.25">
      <c r="A36" s="52"/>
      <c r="B36" s="52"/>
      <c r="C36" s="52"/>
      <c r="D36" s="52"/>
      <c r="E36" s="61"/>
      <c r="F36" s="52"/>
      <c r="G36" s="52"/>
      <c r="H36" s="52"/>
      <c r="I36" s="52"/>
      <c r="J36" s="52"/>
    </row>
    <row r="37" spans="1:10" ht="18" x14ac:dyDescent="0.25">
      <c r="A37" s="52" t="s">
        <v>17</v>
      </c>
      <c r="B37" s="52"/>
      <c r="C37" s="52"/>
      <c r="D37" s="52"/>
      <c r="E37" s="61">
        <f>(E31-E34)</f>
        <v>-33898.476339999994</v>
      </c>
      <c r="F37" s="52"/>
      <c r="G37" s="52" t="s">
        <v>46</v>
      </c>
      <c r="H37" s="52"/>
      <c r="I37" s="52"/>
      <c r="J37" s="66">
        <f>ROUND((J15/J18),5)</f>
        <v>1.2600000000000001E-3</v>
      </c>
    </row>
    <row r="38" spans="1:10" ht="18" x14ac:dyDescent="0.25">
      <c r="A38" s="52" t="s">
        <v>18</v>
      </c>
      <c r="B38" s="52"/>
      <c r="C38" s="52"/>
      <c r="D38" s="52"/>
      <c r="E38" s="61"/>
      <c r="F38" s="52"/>
      <c r="G38" s="52" t="s">
        <v>47</v>
      </c>
      <c r="H38" s="52"/>
      <c r="I38" s="52"/>
      <c r="J38" s="66"/>
    </row>
    <row r="39" spans="1:10" ht="18" x14ac:dyDescent="0.25">
      <c r="A39" s="52"/>
      <c r="B39" s="52"/>
      <c r="C39" s="52"/>
      <c r="D39" s="52"/>
      <c r="E39" s="59"/>
      <c r="F39" s="52"/>
      <c r="G39" s="52"/>
      <c r="H39" s="52"/>
      <c r="I39" s="52"/>
      <c r="J39" s="66"/>
    </row>
    <row r="40" spans="1:10" ht="18" x14ac:dyDescent="0.25">
      <c r="A40" s="52"/>
      <c r="B40" s="39" t="s">
        <v>24</v>
      </c>
      <c r="C40" s="39"/>
      <c r="D40" s="39"/>
      <c r="E40" s="59"/>
      <c r="F40" s="52"/>
      <c r="G40" s="52" t="s">
        <v>48</v>
      </c>
      <c r="H40" s="52"/>
      <c r="I40" s="52"/>
      <c r="J40" s="40">
        <f>ROUND((J37/J34),7)</f>
        <v>1.3029999999999999E-3</v>
      </c>
    </row>
    <row r="41" spans="1:10" ht="18" x14ac:dyDescent="0.25">
      <c r="A41" s="52"/>
      <c r="B41" s="57">
        <v>-111038.85</v>
      </c>
      <c r="D41" s="41"/>
      <c r="E41" s="59"/>
      <c r="F41" s="52"/>
      <c r="G41" s="52"/>
      <c r="H41" s="52"/>
      <c r="I41" s="52"/>
      <c r="J41" s="52"/>
    </row>
    <row r="42" spans="1:10" ht="18" x14ac:dyDescent="0.25">
      <c r="A42" s="52"/>
      <c r="B42" s="52"/>
      <c r="C42" s="52"/>
      <c r="D42" s="52"/>
      <c r="E42" s="52"/>
      <c r="F42" s="52"/>
      <c r="G42" s="52" t="s">
        <v>49</v>
      </c>
      <c r="H42" s="52"/>
      <c r="I42" s="52"/>
      <c r="J42" s="67">
        <f>ROUND((+J40*100),3)</f>
        <v>0.13</v>
      </c>
    </row>
    <row r="43" spans="1:10" ht="18" x14ac:dyDescent="0.25">
      <c r="A43" s="63" t="s">
        <v>1</v>
      </c>
      <c r="B43" s="63" t="s">
        <v>1</v>
      </c>
      <c r="C43" s="63" t="s">
        <v>1</v>
      </c>
      <c r="D43" s="63" t="s">
        <v>1</v>
      </c>
      <c r="E43" s="63" t="s">
        <v>1</v>
      </c>
      <c r="F43" s="63" t="s">
        <v>1</v>
      </c>
      <c r="G43" s="63" t="s">
        <v>1</v>
      </c>
      <c r="H43" s="63" t="s">
        <v>1</v>
      </c>
      <c r="I43" s="63" t="s">
        <v>1</v>
      </c>
      <c r="J43" s="63" t="s">
        <v>1</v>
      </c>
    </row>
    <row r="44" spans="1:10" ht="18" x14ac:dyDescent="0.25">
      <c r="A44" s="52" t="s">
        <v>19</v>
      </c>
      <c r="B44" s="52"/>
      <c r="C44" s="52"/>
      <c r="D44" s="68">
        <f>J42</f>
        <v>0.13</v>
      </c>
      <c r="E44" s="52" t="s">
        <v>26</v>
      </c>
      <c r="F44" s="69"/>
      <c r="G44" s="52"/>
      <c r="H44" s="52"/>
      <c r="I44" s="52"/>
      <c r="J44" s="52"/>
    </row>
    <row r="45" spans="1:10" ht="18" x14ac:dyDescent="0.25">
      <c r="A45" s="52" t="s">
        <v>20</v>
      </c>
      <c r="B45" s="24" t="s">
        <v>90</v>
      </c>
      <c r="C45" s="52"/>
      <c r="D45" s="52" t="s">
        <v>26</v>
      </c>
      <c r="E45" s="52"/>
      <c r="F45" s="52"/>
      <c r="G45" s="52"/>
      <c r="H45" s="52"/>
      <c r="I45" s="52"/>
      <c r="J45" s="52"/>
    </row>
    <row r="46" spans="1:10" ht="18" x14ac:dyDescent="0.25">
      <c r="A46" s="52"/>
      <c r="B46" s="52"/>
      <c r="C46" s="52"/>
      <c r="D46" s="52"/>
      <c r="E46" s="36"/>
      <c r="F46" s="52"/>
      <c r="G46" s="52"/>
      <c r="H46" s="45" t="s">
        <v>50</v>
      </c>
      <c r="I46" s="24" t="s">
        <v>91</v>
      </c>
      <c r="J46" s="46"/>
    </row>
    <row r="47" spans="1:10" ht="18" x14ac:dyDescent="0.25">
      <c r="A47" s="52" t="s">
        <v>73</v>
      </c>
      <c r="B47" s="52"/>
      <c r="C47" s="52"/>
      <c r="D47" s="52"/>
      <c r="E47" s="52"/>
      <c r="F47" s="52"/>
      <c r="G47" s="52"/>
      <c r="H47" s="52" t="s">
        <v>74</v>
      </c>
      <c r="I47" s="52"/>
      <c r="J47" s="52"/>
    </row>
    <row r="48" spans="1:10" ht="18" x14ac:dyDescent="0.25">
      <c r="A48" s="52" t="s">
        <v>21</v>
      </c>
      <c r="B48" s="52"/>
      <c r="C48" s="52"/>
      <c r="D48" s="52"/>
      <c r="E48" s="52"/>
      <c r="F48" s="52"/>
      <c r="G48" s="52"/>
      <c r="H48" s="52" t="s">
        <v>75</v>
      </c>
      <c r="I48" s="52"/>
      <c r="J48" s="52"/>
    </row>
    <row r="49" spans="1:10" ht="15.75" x14ac:dyDescent="0.25">
      <c r="A49" s="6" t="s">
        <v>22</v>
      </c>
      <c r="B49" s="2"/>
      <c r="C49" s="2"/>
      <c r="D49" s="2"/>
      <c r="E49" s="2"/>
      <c r="F49" s="7"/>
      <c r="G49" s="2"/>
      <c r="H49" s="7"/>
      <c r="I49" s="2" t="s">
        <v>26</v>
      </c>
      <c r="J49" s="4"/>
    </row>
    <row r="50" spans="1:10" ht="15.75" x14ac:dyDescent="0.25">
      <c r="A50" s="2"/>
      <c r="B50" s="2"/>
      <c r="C50" s="2"/>
      <c r="D50" s="2"/>
      <c r="E50" s="2"/>
      <c r="F50" s="2"/>
      <c r="G50" s="2"/>
      <c r="H50" s="7"/>
      <c r="I50" s="7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8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5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5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5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5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5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5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5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5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5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5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5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5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5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5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5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5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5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5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5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5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5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5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5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10A16-006C-4F44-8D5B-6994EFD76BF9}">
  <dimension ref="A1:G40"/>
  <sheetViews>
    <sheetView workbookViewId="0">
      <selection activeCell="C28" sqref="C28"/>
    </sheetView>
  </sheetViews>
  <sheetFormatPr defaultRowHeight="15" x14ac:dyDescent="0.2"/>
  <cols>
    <col min="1" max="1" width="21" customWidth="1"/>
    <col min="3" max="3" width="11.5546875" customWidth="1"/>
    <col min="4" max="4" width="6.77734375" customWidth="1"/>
    <col min="5" max="5" width="9.6640625" bestFit="1" customWidth="1"/>
    <col min="6" max="6" width="3.77734375" customWidth="1"/>
    <col min="7" max="7" width="12" customWidth="1"/>
  </cols>
  <sheetData>
    <row r="1" spans="1:7" ht="15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59</v>
      </c>
      <c r="B2" s="15"/>
      <c r="C2" s="15"/>
      <c r="D2" s="15"/>
      <c r="E2" s="15"/>
      <c r="F2" s="15"/>
      <c r="G2" s="15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 t="s">
        <v>60</v>
      </c>
      <c r="B5" s="11"/>
      <c r="C5" s="11"/>
      <c r="D5" s="11"/>
      <c r="E5" s="11"/>
      <c r="F5" s="11"/>
      <c r="G5" s="11"/>
    </row>
    <row r="6" spans="1:7" ht="15.75" x14ac:dyDescent="0.25">
      <c r="A6" s="11" t="s">
        <v>61</v>
      </c>
      <c r="B6" s="11"/>
      <c r="C6" s="11"/>
      <c r="D6" s="11"/>
      <c r="E6" s="11"/>
      <c r="F6" s="11"/>
      <c r="G6" s="11"/>
    </row>
    <row r="7" spans="1:7" ht="15.75" x14ac:dyDescent="0.25">
      <c r="A7" s="11" t="s">
        <v>62</v>
      </c>
      <c r="B7" s="11"/>
      <c r="C7" s="11"/>
      <c r="D7" s="11"/>
      <c r="E7" s="11"/>
      <c r="F7" s="11"/>
      <c r="G7" s="11"/>
    </row>
    <row r="8" spans="1:7" ht="15.75" x14ac:dyDescent="0.25">
      <c r="A8" s="9"/>
      <c r="B8" s="9"/>
      <c r="C8" s="9"/>
      <c r="D8" s="9"/>
      <c r="E8" s="9"/>
      <c r="F8" s="9"/>
      <c r="G8" s="9"/>
    </row>
    <row r="9" spans="1:7" ht="15.75" x14ac:dyDescent="0.25">
      <c r="A9" s="19">
        <v>44286</v>
      </c>
      <c r="B9" s="11"/>
      <c r="C9" s="11"/>
      <c r="D9" s="11"/>
      <c r="E9" s="11"/>
      <c r="F9" s="11"/>
      <c r="G9" s="11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15"/>
      <c r="B11" s="15"/>
      <c r="C11" s="15"/>
      <c r="D11" s="15"/>
      <c r="E11" s="15"/>
      <c r="F11" s="15"/>
      <c r="G11" s="15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2"/>
      <c r="B13" s="12"/>
      <c r="C13" s="16" t="s">
        <v>63</v>
      </c>
      <c r="D13" s="12"/>
      <c r="E13" s="16" t="s">
        <v>66</v>
      </c>
      <c r="F13" s="16"/>
      <c r="G13" s="16" t="s">
        <v>69</v>
      </c>
    </row>
    <row r="14" spans="1:7" ht="15.75" x14ac:dyDescent="0.25">
      <c r="A14" s="12"/>
      <c r="B14" s="12"/>
      <c r="C14" s="16" t="s">
        <v>64</v>
      </c>
      <c r="D14" s="12"/>
      <c r="E14" s="16" t="s">
        <v>64</v>
      </c>
      <c r="F14" s="16"/>
      <c r="G14" s="16" t="s">
        <v>64</v>
      </c>
    </row>
    <row r="15" spans="1:7" ht="15.75" x14ac:dyDescent="0.25">
      <c r="A15" s="12"/>
      <c r="B15" s="12"/>
      <c r="C15" s="16" t="s">
        <v>65</v>
      </c>
      <c r="D15" s="12"/>
      <c r="E15" s="16" t="s">
        <v>67</v>
      </c>
      <c r="F15" s="16"/>
      <c r="G15" s="16" t="s">
        <v>68</v>
      </c>
    </row>
    <row r="16" spans="1:7" ht="15.75" x14ac:dyDescent="0.25">
      <c r="A16" s="12"/>
      <c r="B16" s="12"/>
      <c r="C16" s="16"/>
      <c r="D16" s="12"/>
      <c r="E16" s="16" t="s">
        <v>70</v>
      </c>
      <c r="F16" s="16"/>
      <c r="G16" s="16"/>
    </row>
    <row r="17" spans="1:7" ht="15.75" x14ac:dyDescent="0.25">
      <c r="A17" s="9"/>
      <c r="B17" s="9"/>
      <c r="C17" s="9"/>
      <c r="D17" s="9"/>
      <c r="E17" s="9"/>
      <c r="F17" s="9"/>
      <c r="G17" s="9"/>
    </row>
    <row r="18" spans="1:7" ht="15.75" x14ac:dyDescent="0.25">
      <c r="A18" s="9" t="s">
        <v>52</v>
      </c>
      <c r="B18" s="9"/>
      <c r="C18" s="9"/>
      <c r="D18" s="9"/>
      <c r="E18" s="9"/>
      <c r="F18" s="9"/>
      <c r="G18" s="9"/>
    </row>
    <row r="19" spans="1:7" ht="15.75" x14ac:dyDescent="0.25">
      <c r="A19" s="9" t="s">
        <v>53</v>
      </c>
      <c r="B19" s="9"/>
      <c r="C19" s="17">
        <v>493604011</v>
      </c>
      <c r="D19" s="18"/>
      <c r="E19" s="17">
        <v>477882479</v>
      </c>
      <c r="F19" s="14"/>
      <c r="G19" s="13">
        <f>C19-E19</f>
        <v>15721532</v>
      </c>
    </row>
    <row r="20" spans="1:7" ht="15.75" x14ac:dyDescent="0.25">
      <c r="A20" s="9"/>
      <c r="B20" s="9"/>
      <c r="C20" s="17"/>
      <c r="D20" s="18"/>
      <c r="E20" s="17"/>
      <c r="F20" s="14"/>
      <c r="G20" s="13"/>
    </row>
    <row r="21" spans="1:7" ht="15.75" x14ac:dyDescent="0.25">
      <c r="A21" s="9" t="s">
        <v>54</v>
      </c>
      <c r="B21" s="9"/>
      <c r="C21" s="17"/>
      <c r="D21" s="18"/>
      <c r="E21" s="17"/>
      <c r="F21" s="14"/>
      <c r="G21" s="13"/>
    </row>
    <row r="22" spans="1:7" ht="15.75" x14ac:dyDescent="0.25">
      <c r="A22" s="9" t="s">
        <v>55</v>
      </c>
      <c r="B22" s="9"/>
      <c r="C22" s="13">
        <v>39501297</v>
      </c>
      <c r="D22" s="14"/>
      <c r="E22" s="13">
        <v>38805505</v>
      </c>
      <c r="F22" s="14"/>
      <c r="G22" s="13">
        <f>C22-E22</f>
        <v>695792</v>
      </c>
    </row>
    <row r="23" spans="1:7" ht="15.75" x14ac:dyDescent="0.25">
      <c r="A23" s="9"/>
      <c r="B23" s="9"/>
      <c r="C23" s="13"/>
      <c r="D23" s="14"/>
      <c r="E23" s="13"/>
      <c r="F23" s="14"/>
      <c r="G23" s="13"/>
    </row>
    <row r="24" spans="1:7" ht="15.75" x14ac:dyDescent="0.25">
      <c r="A24" s="9" t="s">
        <v>56</v>
      </c>
      <c r="B24" s="9"/>
      <c r="C24" s="13"/>
      <c r="D24" s="14"/>
      <c r="E24" s="13"/>
      <c r="F24" s="14"/>
      <c r="G24" s="13"/>
    </row>
    <row r="25" spans="1:7" ht="15.75" x14ac:dyDescent="0.25">
      <c r="A25" s="9" t="s">
        <v>55</v>
      </c>
      <c r="B25" s="9"/>
      <c r="C25" s="13">
        <v>37902556</v>
      </c>
      <c r="D25" s="14"/>
      <c r="E25" s="13">
        <v>36673793</v>
      </c>
      <c r="F25" s="14"/>
      <c r="G25" s="13">
        <f>C25-E25</f>
        <v>1228763</v>
      </c>
    </row>
    <row r="26" spans="1:7" ht="15.75" x14ac:dyDescent="0.25">
      <c r="A26" s="9"/>
      <c r="B26" s="9"/>
      <c r="C26" s="10"/>
      <c r="D26" s="9"/>
      <c r="E26" s="10"/>
      <c r="F26" s="9"/>
      <c r="G26" s="10"/>
    </row>
    <row r="27" spans="1:7" ht="15.75" x14ac:dyDescent="0.25">
      <c r="A27" s="9" t="s">
        <v>57</v>
      </c>
      <c r="B27" s="9"/>
      <c r="C27" s="10"/>
      <c r="D27" s="9"/>
      <c r="E27" s="10"/>
      <c r="F27" s="9"/>
      <c r="G27" s="10"/>
    </row>
    <row r="28" spans="1:7" ht="15.75" x14ac:dyDescent="0.25">
      <c r="A28" s="9" t="s">
        <v>53</v>
      </c>
      <c r="B28" s="9"/>
      <c r="C28" s="10">
        <f>C19-C22+C25</f>
        <v>492005270</v>
      </c>
      <c r="D28" s="9"/>
      <c r="E28" s="10">
        <f>E19-E22+E25</f>
        <v>475750767</v>
      </c>
      <c r="F28" s="9"/>
      <c r="G28" s="10">
        <f>C28-E28</f>
        <v>16254503</v>
      </c>
    </row>
    <row r="29" spans="1:7" ht="15.75" x14ac:dyDescent="0.25">
      <c r="A29" s="9"/>
      <c r="B29" s="9"/>
      <c r="C29" s="10"/>
      <c r="D29" s="9"/>
      <c r="E29" s="10"/>
      <c r="F29" s="9"/>
      <c r="G29" s="10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 t="s">
        <v>58</v>
      </c>
      <c r="B31" s="9"/>
      <c r="C31" s="9"/>
      <c r="D31" s="9"/>
      <c r="E31" s="56">
        <f>G28/C28</f>
        <v>3.3037253848927271E-2</v>
      </c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9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</sheetData>
  <pageMargins left="0.75" right="0.75" top="1.2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B7106-50B3-44CF-A64F-B99471B4D457}">
  <sheetPr>
    <pageSetUpPr fitToPage="1"/>
  </sheetPr>
  <dimension ref="A1:K99"/>
  <sheetViews>
    <sheetView zoomScale="60" zoomScaleNormal="60" workbookViewId="0">
      <selection activeCell="E22" sqref="E22"/>
    </sheetView>
  </sheetViews>
  <sheetFormatPr defaultColWidth="9.6640625" defaultRowHeight="15" x14ac:dyDescent="0.2"/>
  <cols>
    <col min="1" max="1" width="11.33203125" style="1" customWidth="1"/>
    <col min="2" max="2" width="19.5546875" style="1" customWidth="1"/>
    <col min="3" max="3" width="19.33203125" style="1" customWidth="1"/>
    <col min="4" max="4" width="10" style="1" customWidth="1"/>
    <col min="5" max="5" width="17.6640625" style="1" customWidth="1"/>
    <col min="6" max="6" width="9.6640625" style="1" customWidth="1"/>
    <col min="7" max="7" width="8.5546875" style="1" customWidth="1"/>
    <col min="8" max="8" width="13.77734375" style="1" customWidth="1"/>
    <col min="9" max="9" width="19.88671875" style="1" customWidth="1"/>
    <col min="10" max="10" width="20.6640625" style="1" customWidth="1"/>
    <col min="11" max="16384" width="9.6640625" style="1"/>
  </cols>
  <sheetData>
    <row r="1" spans="1:11" x14ac:dyDescent="0.2">
      <c r="A1" s="2" t="s">
        <v>0</v>
      </c>
      <c r="B1" s="2" t="s">
        <v>23</v>
      </c>
      <c r="C1" s="2"/>
      <c r="D1" s="2"/>
      <c r="E1" s="2"/>
      <c r="F1" s="2"/>
      <c r="G1" s="2" t="s">
        <v>27</v>
      </c>
      <c r="H1" s="2"/>
      <c r="I1" s="2"/>
      <c r="J1" s="2"/>
    </row>
    <row r="2" spans="1:11" x14ac:dyDescent="0.2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</row>
    <row r="3" spans="1:11" x14ac:dyDescent="0.2">
      <c r="A3" s="3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</row>
    <row r="4" spans="1:11" ht="18" x14ac:dyDescent="0.25">
      <c r="A4" s="52" t="s">
        <v>2</v>
      </c>
      <c r="B4" s="52"/>
      <c r="C4" s="52"/>
      <c r="D4" s="52"/>
      <c r="E4" s="24" t="s">
        <v>92</v>
      </c>
      <c r="F4" s="52"/>
      <c r="G4" s="52" t="s">
        <v>28</v>
      </c>
      <c r="H4" s="52"/>
      <c r="I4" s="52" t="s">
        <v>51</v>
      </c>
      <c r="J4" s="25" t="str">
        <f>E4</f>
        <v>April</v>
      </c>
    </row>
    <row r="5" spans="1:11" ht="1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1" ht="18" x14ac:dyDescent="0.25">
      <c r="A6" s="52" t="s">
        <v>71</v>
      </c>
      <c r="B6" s="52"/>
      <c r="C6" s="52"/>
      <c r="D6" s="52"/>
      <c r="E6" s="26">
        <v>33923716</v>
      </c>
      <c r="F6" s="52"/>
      <c r="G6" s="52" t="s">
        <v>29</v>
      </c>
      <c r="H6" s="52"/>
      <c r="I6" s="52"/>
      <c r="J6" s="59"/>
      <c r="K6" s="55"/>
    </row>
    <row r="7" spans="1:11" ht="18" x14ac:dyDescent="0.25">
      <c r="A7" s="52"/>
      <c r="B7" s="52"/>
      <c r="C7" s="52"/>
      <c r="D7" s="52"/>
      <c r="E7" s="60"/>
      <c r="F7" s="52"/>
      <c r="G7" s="52"/>
      <c r="H7" s="52"/>
      <c r="I7" s="52"/>
      <c r="J7" s="52"/>
    </row>
    <row r="8" spans="1:11" ht="18" x14ac:dyDescent="0.25">
      <c r="A8" s="52" t="s">
        <v>72</v>
      </c>
      <c r="B8" s="52"/>
      <c r="C8" s="52"/>
      <c r="D8" s="52"/>
      <c r="E8" s="26">
        <v>33475970</v>
      </c>
      <c r="F8" s="52"/>
      <c r="G8" s="52" t="s">
        <v>30</v>
      </c>
      <c r="H8" s="52"/>
      <c r="I8" s="52"/>
      <c r="J8" s="54">
        <v>-142136</v>
      </c>
    </row>
    <row r="9" spans="1:11" ht="18" x14ac:dyDescent="0.25">
      <c r="A9" s="52"/>
      <c r="B9" s="52"/>
      <c r="C9" s="52"/>
      <c r="D9" s="52"/>
      <c r="E9" s="60"/>
      <c r="F9" s="52"/>
      <c r="G9" s="52"/>
      <c r="H9" s="52" t="s">
        <v>26</v>
      </c>
      <c r="I9" s="52"/>
      <c r="J9" s="29" t="s">
        <v>26</v>
      </c>
    </row>
    <row r="10" spans="1:11" ht="18" x14ac:dyDescent="0.25">
      <c r="A10" s="52"/>
      <c r="B10" s="52"/>
      <c r="C10" s="52"/>
      <c r="D10" s="52"/>
      <c r="E10" s="60"/>
      <c r="F10" s="52"/>
      <c r="G10" s="52"/>
      <c r="H10" s="52" t="s">
        <v>26</v>
      </c>
      <c r="I10" s="52"/>
      <c r="J10" s="29" t="s">
        <v>26</v>
      </c>
    </row>
    <row r="11" spans="1:11" ht="18" x14ac:dyDescent="0.25">
      <c r="A11" s="52" t="s">
        <v>3</v>
      </c>
      <c r="B11" s="52"/>
      <c r="C11" s="52"/>
      <c r="D11" s="52"/>
      <c r="E11" s="60">
        <v>0</v>
      </c>
      <c r="F11" s="52"/>
      <c r="G11" s="52" t="s">
        <v>31</v>
      </c>
      <c r="H11" s="52"/>
      <c r="I11" s="52"/>
      <c r="J11" s="61">
        <f>E37</f>
        <v>-70696.142419999989</v>
      </c>
    </row>
    <row r="12" spans="1:11" ht="18" x14ac:dyDescent="0.25">
      <c r="A12" s="52"/>
      <c r="B12" s="52"/>
      <c r="C12" s="52"/>
      <c r="D12" s="52"/>
      <c r="E12" s="60"/>
      <c r="F12" s="52"/>
      <c r="G12" s="52"/>
      <c r="H12" s="52"/>
      <c r="I12" s="52"/>
      <c r="J12" s="59"/>
    </row>
    <row r="13" spans="1:11" ht="18" x14ac:dyDescent="0.25">
      <c r="A13" s="52" t="s">
        <v>4</v>
      </c>
      <c r="B13" s="52"/>
      <c r="C13" s="52"/>
      <c r="D13" s="52"/>
      <c r="E13" s="60">
        <f>SUM(E8:E11)</f>
        <v>33475970</v>
      </c>
      <c r="F13" s="52"/>
      <c r="G13" s="52" t="s">
        <v>32</v>
      </c>
      <c r="H13" s="52"/>
      <c r="I13" s="52"/>
      <c r="J13" s="59">
        <v>0</v>
      </c>
    </row>
    <row r="14" spans="1:11" ht="18" x14ac:dyDescent="0.25">
      <c r="A14" s="52"/>
      <c r="B14" s="52"/>
      <c r="C14" s="52"/>
      <c r="D14" s="52"/>
      <c r="E14" s="60"/>
      <c r="F14" s="52"/>
      <c r="G14" s="52"/>
      <c r="H14" s="52"/>
      <c r="I14" s="52"/>
      <c r="J14" s="59"/>
    </row>
    <row r="15" spans="1:11" ht="18" x14ac:dyDescent="0.25">
      <c r="A15" s="52" t="s">
        <v>5</v>
      </c>
      <c r="B15" s="52"/>
      <c r="C15" s="52"/>
      <c r="D15" s="52"/>
      <c r="E15" s="62">
        <f>E6-E13</f>
        <v>447746</v>
      </c>
      <c r="F15" s="52"/>
      <c r="G15" s="52" t="s">
        <v>33</v>
      </c>
      <c r="H15" s="52"/>
      <c r="I15" s="52"/>
      <c r="J15" s="61">
        <f>ROUND((+J8+J11),4)</f>
        <v>-212832.14240000001</v>
      </c>
    </row>
    <row r="16" spans="1:11" ht="18" x14ac:dyDescent="0.25">
      <c r="A16" s="52" t="s">
        <v>6</v>
      </c>
      <c r="B16" s="52"/>
      <c r="C16" s="52"/>
      <c r="D16" s="52"/>
      <c r="E16" s="60"/>
      <c r="F16" s="52"/>
      <c r="G16" s="52" t="s">
        <v>34</v>
      </c>
      <c r="H16" s="52"/>
      <c r="I16" s="52"/>
      <c r="J16" s="59"/>
    </row>
    <row r="17" spans="1:10" ht="18" x14ac:dyDescent="0.25">
      <c r="A17" s="52"/>
      <c r="B17" s="52"/>
      <c r="C17" s="52"/>
      <c r="D17" s="52"/>
      <c r="E17" s="60"/>
      <c r="F17" s="52"/>
      <c r="G17" s="52"/>
      <c r="H17" s="52"/>
      <c r="I17" s="52"/>
      <c r="J17" s="52"/>
    </row>
    <row r="18" spans="1:10" ht="18" x14ac:dyDescent="0.25">
      <c r="A18" s="63" t="s">
        <v>1</v>
      </c>
      <c r="B18" s="63" t="s">
        <v>1</v>
      </c>
      <c r="C18" s="63" t="s">
        <v>1</v>
      </c>
      <c r="D18" s="63" t="s">
        <v>1</v>
      </c>
      <c r="E18" s="64" t="s">
        <v>1</v>
      </c>
      <c r="F18" s="52"/>
      <c r="G18" s="52" t="s">
        <v>35</v>
      </c>
      <c r="H18" s="52"/>
      <c r="I18" s="52"/>
      <c r="J18" s="60">
        <f>E6</f>
        <v>33923716</v>
      </c>
    </row>
    <row r="19" spans="1:10" ht="18" x14ac:dyDescent="0.25">
      <c r="A19" s="63" t="s">
        <v>1</v>
      </c>
      <c r="B19" s="63" t="s">
        <v>1</v>
      </c>
      <c r="C19" s="63" t="s">
        <v>1</v>
      </c>
      <c r="D19" s="63" t="s">
        <v>1</v>
      </c>
      <c r="E19" s="64"/>
      <c r="F19" s="52"/>
      <c r="G19" s="52"/>
      <c r="H19" s="52"/>
      <c r="I19" s="52"/>
      <c r="J19" s="52"/>
    </row>
    <row r="20" spans="1:10" ht="18" x14ac:dyDescent="0.25">
      <c r="A20" s="52" t="s">
        <v>7</v>
      </c>
      <c r="B20" s="52"/>
      <c r="C20" s="52"/>
      <c r="D20" s="52" t="s">
        <v>25</v>
      </c>
      <c r="E20" s="24" t="s">
        <v>86</v>
      </c>
      <c r="F20" s="52"/>
      <c r="G20" s="52" t="s">
        <v>36</v>
      </c>
      <c r="H20" s="52"/>
      <c r="I20" s="52"/>
      <c r="J20" s="34">
        <f>ROUND((J8/J18),5)</f>
        <v>-4.1900000000000001E-3</v>
      </c>
    </row>
    <row r="21" spans="1:10" ht="18" x14ac:dyDescent="0.25">
      <c r="A21" s="52"/>
      <c r="B21" s="52"/>
      <c r="C21" s="52"/>
      <c r="D21" s="52"/>
      <c r="E21" s="60"/>
      <c r="F21" s="52"/>
      <c r="G21" s="52" t="s">
        <v>37</v>
      </c>
      <c r="H21" s="52"/>
      <c r="I21" s="52"/>
      <c r="J21" s="52"/>
    </row>
    <row r="22" spans="1:10" ht="18" x14ac:dyDescent="0.25">
      <c r="A22" s="52" t="s">
        <v>8</v>
      </c>
      <c r="B22" s="52"/>
      <c r="C22" s="52"/>
      <c r="D22" s="52"/>
      <c r="E22" s="53">
        <v>-4.9699999999999996E-3</v>
      </c>
      <c r="F22" s="52"/>
      <c r="G22" s="52"/>
      <c r="H22" s="52"/>
      <c r="I22" s="52"/>
      <c r="J22" s="52"/>
    </row>
    <row r="23" spans="1:10" ht="18" x14ac:dyDescent="0.25">
      <c r="A23" s="52"/>
      <c r="B23" s="52"/>
      <c r="C23" s="52"/>
      <c r="D23" s="52"/>
      <c r="E23" s="60"/>
      <c r="F23" s="52"/>
      <c r="G23" s="52" t="s">
        <v>38</v>
      </c>
      <c r="H23" s="52"/>
      <c r="I23" s="52"/>
      <c r="J23" s="52"/>
    </row>
    <row r="24" spans="1:10" ht="18" x14ac:dyDescent="0.25">
      <c r="A24" s="52" t="s">
        <v>9</v>
      </c>
      <c r="B24" s="52"/>
      <c r="C24" s="52"/>
      <c r="D24" s="52"/>
      <c r="E24" s="35">
        <v>34195556</v>
      </c>
      <c r="F24" s="52"/>
      <c r="G24" s="63" t="s">
        <v>1</v>
      </c>
      <c r="H24" s="52"/>
      <c r="I24" s="52"/>
      <c r="J24" s="52"/>
    </row>
    <row r="25" spans="1:10" ht="18" x14ac:dyDescent="0.25">
      <c r="A25" s="52"/>
      <c r="B25" s="52"/>
      <c r="C25" s="52"/>
      <c r="D25" s="52"/>
      <c r="E25" s="35"/>
      <c r="F25" s="52"/>
      <c r="G25" s="52" t="s">
        <v>39</v>
      </c>
      <c r="H25" s="52"/>
      <c r="I25" s="52"/>
      <c r="J25" s="58">
        <f>'12 Mth Avg-Apr 21'!E31</f>
        <v>3.2249172109257443E-2</v>
      </c>
    </row>
    <row r="26" spans="1:10" ht="18" x14ac:dyDescent="0.25">
      <c r="A26" s="52" t="s">
        <v>10</v>
      </c>
      <c r="B26" s="52"/>
      <c r="C26" s="52"/>
      <c r="D26" s="52"/>
      <c r="E26" s="35">
        <f>-719619+33</f>
        <v>-719586</v>
      </c>
      <c r="F26" s="52"/>
      <c r="G26" s="52"/>
      <c r="H26" s="52"/>
      <c r="I26" s="52"/>
      <c r="J26" s="52"/>
    </row>
    <row r="27" spans="1:10" ht="18" x14ac:dyDescent="0.25">
      <c r="A27" s="52"/>
      <c r="B27" s="52"/>
      <c r="C27" s="52"/>
      <c r="D27" s="52"/>
      <c r="E27" s="62"/>
      <c r="F27" s="52"/>
      <c r="G27" s="52" t="s">
        <v>40</v>
      </c>
      <c r="H27" s="52"/>
      <c r="I27" s="52"/>
      <c r="J27" s="36" t="str">
        <f>E4</f>
        <v>April</v>
      </c>
    </row>
    <row r="28" spans="1:10" ht="18" x14ac:dyDescent="0.25">
      <c r="A28" s="52" t="s">
        <v>11</v>
      </c>
      <c r="B28" s="52"/>
      <c r="C28" s="52"/>
      <c r="D28" s="52"/>
      <c r="E28" s="62">
        <f>SUM(E24:E27)</f>
        <v>33475970</v>
      </c>
      <c r="F28" s="52"/>
      <c r="G28" s="52"/>
      <c r="H28" s="52"/>
      <c r="I28" s="52"/>
      <c r="J28" s="52"/>
    </row>
    <row r="29" spans="1:10" ht="18" x14ac:dyDescent="0.25">
      <c r="A29" s="52" t="s">
        <v>12</v>
      </c>
      <c r="B29" s="52"/>
      <c r="C29" s="52"/>
      <c r="D29" s="52"/>
      <c r="E29" s="60"/>
      <c r="F29" s="52"/>
      <c r="G29" s="52" t="s">
        <v>41</v>
      </c>
      <c r="H29" s="52"/>
      <c r="I29" s="52"/>
      <c r="J29" s="65">
        <f>ROUND((+E15/E6),6)</f>
        <v>1.3199000000000001E-2</v>
      </c>
    </row>
    <row r="30" spans="1:10" ht="18" x14ac:dyDescent="0.25">
      <c r="A30" s="52"/>
      <c r="B30" s="52" t="s">
        <v>26</v>
      </c>
      <c r="C30" s="52"/>
      <c r="D30" s="52"/>
      <c r="E30" s="60"/>
      <c r="F30" s="52"/>
      <c r="G30" s="52" t="s">
        <v>42</v>
      </c>
      <c r="H30" s="52"/>
      <c r="I30" s="52"/>
      <c r="J30" s="52"/>
    </row>
    <row r="31" spans="1:10" ht="18" x14ac:dyDescent="0.25">
      <c r="A31" s="52" t="s">
        <v>13</v>
      </c>
      <c r="B31" s="52"/>
      <c r="C31" s="52"/>
      <c r="D31" s="52"/>
      <c r="E31" s="54">
        <v>-230250.05</v>
      </c>
      <c r="F31" s="52"/>
      <c r="G31" s="52"/>
      <c r="H31" s="52"/>
      <c r="I31" s="52"/>
      <c r="J31" s="52"/>
    </row>
    <row r="32" spans="1:10" ht="18" x14ac:dyDescent="0.25">
      <c r="A32" s="52" t="s">
        <v>14</v>
      </c>
      <c r="B32" s="52"/>
      <c r="C32" s="52"/>
      <c r="D32" s="52"/>
      <c r="E32" s="61"/>
      <c r="F32" s="52"/>
      <c r="G32" s="52" t="s">
        <v>43</v>
      </c>
      <c r="H32" s="52"/>
      <c r="I32" s="52"/>
      <c r="J32" s="52"/>
    </row>
    <row r="33" spans="1:10" ht="18" x14ac:dyDescent="0.25">
      <c r="A33" s="52"/>
      <c r="B33" s="52"/>
      <c r="C33" s="52"/>
      <c r="D33" s="52"/>
      <c r="E33" s="61"/>
      <c r="F33" s="52"/>
      <c r="G33" s="63" t="s">
        <v>1</v>
      </c>
      <c r="H33" s="63" t="s">
        <v>1</v>
      </c>
      <c r="I33" s="63" t="s">
        <v>1</v>
      </c>
      <c r="J33" s="52"/>
    </row>
    <row r="34" spans="1:10" ht="18" x14ac:dyDescent="0.25">
      <c r="A34" s="52" t="s">
        <v>15</v>
      </c>
      <c r="B34" s="52"/>
      <c r="C34" s="52"/>
      <c r="D34" s="52"/>
      <c r="E34" s="61">
        <f>(+E26*E22)+B41</f>
        <v>-159553.90758</v>
      </c>
      <c r="F34" s="52"/>
      <c r="G34" s="52" t="s">
        <v>44</v>
      </c>
      <c r="H34" s="52"/>
      <c r="I34" s="52"/>
      <c r="J34" s="65">
        <f>ROUND((1-J25),7)</f>
        <v>0.96775080000000002</v>
      </c>
    </row>
    <row r="35" spans="1:10" ht="18" x14ac:dyDescent="0.25">
      <c r="A35" s="52" t="s">
        <v>16</v>
      </c>
      <c r="B35" s="52"/>
      <c r="C35" s="52"/>
      <c r="D35" s="52"/>
      <c r="E35" s="61"/>
      <c r="F35" s="52"/>
      <c r="G35" s="52" t="s">
        <v>45</v>
      </c>
      <c r="H35" s="52"/>
      <c r="I35" s="52"/>
      <c r="J35" s="52"/>
    </row>
    <row r="36" spans="1:10" ht="18" x14ac:dyDescent="0.25">
      <c r="A36" s="52"/>
      <c r="B36" s="52"/>
      <c r="C36" s="52"/>
      <c r="D36" s="52"/>
      <c r="E36" s="61"/>
      <c r="F36" s="52"/>
      <c r="G36" s="52"/>
      <c r="H36" s="52"/>
      <c r="I36" s="52"/>
      <c r="J36" s="52"/>
    </row>
    <row r="37" spans="1:10" ht="18" x14ac:dyDescent="0.25">
      <c r="A37" s="52" t="s">
        <v>17</v>
      </c>
      <c r="B37" s="52"/>
      <c r="C37" s="52"/>
      <c r="D37" s="52"/>
      <c r="E37" s="61">
        <f>(E31-E34)</f>
        <v>-70696.142419999989</v>
      </c>
      <c r="F37" s="52"/>
      <c r="G37" s="52" t="s">
        <v>46</v>
      </c>
      <c r="H37" s="52"/>
      <c r="I37" s="52"/>
      <c r="J37" s="66">
        <f>ROUND((J15/J18),5)</f>
        <v>-6.2700000000000004E-3</v>
      </c>
    </row>
    <row r="38" spans="1:10" ht="18" x14ac:dyDescent="0.25">
      <c r="A38" s="52" t="s">
        <v>18</v>
      </c>
      <c r="B38" s="52"/>
      <c r="C38" s="52"/>
      <c r="D38" s="52"/>
      <c r="E38" s="61"/>
      <c r="F38" s="52"/>
      <c r="G38" s="52" t="s">
        <v>47</v>
      </c>
      <c r="H38" s="52"/>
      <c r="I38" s="52"/>
      <c r="J38" s="66"/>
    </row>
    <row r="39" spans="1:10" ht="18" x14ac:dyDescent="0.25">
      <c r="A39" s="52"/>
      <c r="B39" s="52"/>
      <c r="C39" s="52"/>
      <c r="D39" s="52"/>
      <c r="E39" s="59"/>
      <c r="F39" s="52"/>
      <c r="G39" s="52"/>
      <c r="H39" s="52"/>
      <c r="I39" s="52"/>
      <c r="J39" s="66"/>
    </row>
    <row r="40" spans="1:10" ht="18" x14ac:dyDescent="0.25">
      <c r="A40" s="52"/>
      <c r="B40" s="39" t="s">
        <v>24</v>
      </c>
      <c r="C40" s="39"/>
      <c r="D40" s="39"/>
      <c r="E40" s="59"/>
      <c r="F40" s="52"/>
      <c r="G40" s="52" t="s">
        <v>48</v>
      </c>
      <c r="H40" s="52"/>
      <c r="I40" s="52"/>
      <c r="J40" s="40">
        <f>ROUND((J37/J34),7)</f>
        <v>-6.4789000000000001E-3</v>
      </c>
    </row>
    <row r="41" spans="1:10" ht="18" x14ac:dyDescent="0.25">
      <c r="A41" s="52"/>
      <c r="B41" s="57">
        <v>-163130.25</v>
      </c>
      <c r="D41" s="41"/>
      <c r="E41" s="59"/>
      <c r="F41" s="52"/>
      <c r="G41" s="52"/>
      <c r="H41" s="52"/>
      <c r="I41" s="52"/>
      <c r="J41" s="52"/>
    </row>
    <row r="42" spans="1:10" ht="18" x14ac:dyDescent="0.25">
      <c r="A42" s="52"/>
      <c r="B42" s="52"/>
      <c r="C42" s="52"/>
      <c r="D42" s="52"/>
      <c r="E42" s="52"/>
      <c r="F42" s="52"/>
      <c r="G42" s="52" t="s">
        <v>49</v>
      </c>
      <c r="H42" s="52"/>
      <c r="I42" s="52"/>
      <c r="J42" s="67">
        <f>ROUND((+J40*100),3)</f>
        <v>-0.64800000000000002</v>
      </c>
    </row>
    <row r="43" spans="1:10" ht="18" x14ac:dyDescent="0.25">
      <c r="A43" s="63" t="s">
        <v>1</v>
      </c>
      <c r="B43" s="63" t="s">
        <v>1</v>
      </c>
      <c r="C43" s="63" t="s">
        <v>1</v>
      </c>
      <c r="D43" s="63" t="s">
        <v>1</v>
      </c>
      <c r="E43" s="63" t="s">
        <v>1</v>
      </c>
      <c r="F43" s="63" t="s">
        <v>1</v>
      </c>
      <c r="G43" s="63" t="s">
        <v>1</v>
      </c>
      <c r="H43" s="63" t="s">
        <v>1</v>
      </c>
      <c r="I43" s="63" t="s">
        <v>1</v>
      </c>
      <c r="J43" s="63" t="s">
        <v>1</v>
      </c>
    </row>
    <row r="44" spans="1:10" ht="18" x14ac:dyDescent="0.25">
      <c r="A44" s="52" t="s">
        <v>19</v>
      </c>
      <c r="B44" s="52"/>
      <c r="C44" s="52"/>
      <c r="D44" s="68">
        <f>J42</f>
        <v>-0.64800000000000002</v>
      </c>
      <c r="E44" s="52" t="s">
        <v>26</v>
      </c>
      <c r="F44" s="69"/>
      <c r="G44" s="52"/>
      <c r="H44" s="52"/>
      <c r="I44" s="52"/>
      <c r="J44" s="52"/>
    </row>
    <row r="45" spans="1:10" ht="18" x14ac:dyDescent="0.25">
      <c r="A45" s="52" t="s">
        <v>20</v>
      </c>
      <c r="B45" s="24" t="s">
        <v>93</v>
      </c>
      <c r="C45" s="52"/>
      <c r="D45" s="52" t="s">
        <v>26</v>
      </c>
      <c r="E45" s="52"/>
      <c r="F45" s="52"/>
      <c r="G45" s="52"/>
      <c r="H45" s="52"/>
      <c r="I45" s="52"/>
      <c r="J45" s="52"/>
    </row>
    <row r="46" spans="1:10" ht="18" x14ac:dyDescent="0.25">
      <c r="A46" s="52"/>
      <c r="B46" s="52"/>
      <c r="C46" s="52"/>
      <c r="D46" s="52"/>
      <c r="E46" s="36"/>
      <c r="F46" s="52"/>
      <c r="G46" s="52"/>
      <c r="H46" s="45" t="s">
        <v>50</v>
      </c>
      <c r="I46" s="24" t="s">
        <v>90</v>
      </c>
      <c r="J46" s="46"/>
    </row>
    <row r="47" spans="1:10" ht="18" x14ac:dyDescent="0.25">
      <c r="A47" s="52" t="s">
        <v>73</v>
      </c>
      <c r="B47" s="52"/>
      <c r="C47" s="52"/>
      <c r="D47" s="52"/>
      <c r="E47" s="52"/>
      <c r="F47" s="52"/>
      <c r="G47" s="52"/>
      <c r="H47" s="52" t="s">
        <v>74</v>
      </c>
      <c r="I47" s="52"/>
      <c r="J47" s="52"/>
    </row>
    <row r="48" spans="1:10" ht="18" x14ac:dyDescent="0.25">
      <c r="A48" s="52" t="s">
        <v>21</v>
      </c>
      <c r="B48" s="52"/>
      <c r="C48" s="52"/>
      <c r="D48" s="52"/>
      <c r="E48" s="52"/>
      <c r="F48" s="52"/>
      <c r="G48" s="52"/>
      <c r="H48" s="52" t="s">
        <v>75</v>
      </c>
      <c r="I48" s="52"/>
      <c r="J48" s="52"/>
    </row>
    <row r="49" spans="1:10" ht="15.75" x14ac:dyDescent="0.25">
      <c r="A49" s="6" t="s">
        <v>22</v>
      </c>
      <c r="B49" s="2"/>
      <c r="C49" s="2"/>
      <c r="D49" s="2"/>
      <c r="E49" s="2"/>
      <c r="F49" s="7"/>
      <c r="G49" s="2"/>
      <c r="H49" s="7"/>
      <c r="I49" s="2" t="s">
        <v>26</v>
      </c>
      <c r="J49" s="4"/>
    </row>
    <row r="50" spans="1:10" ht="15.75" x14ac:dyDescent="0.25">
      <c r="A50" s="2"/>
      <c r="B50" s="2"/>
      <c r="C50" s="2"/>
      <c r="D50" s="2"/>
      <c r="E50" s="2"/>
      <c r="F50" s="2"/>
      <c r="G50" s="2"/>
      <c r="H50" s="7"/>
      <c r="I50" s="7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8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5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5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5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5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5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5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5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5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5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5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5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5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5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5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5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5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5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5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5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5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5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5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5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D9964-8180-4DE5-BA01-22728A07C480}">
  <dimension ref="A1:G40"/>
  <sheetViews>
    <sheetView topLeftCell="A3" workbookViewId="0">
      <selection activeCell="E15" sqref="E15"/>
    </sheetView>
  </sheetViews>
  <sheetFormatPr defaultRowHeight="15" x14ac:dyDescent="0.2"/>
  <cols>
    <col min="1" max="1" width="21" customWidth="1"/>
    <col min="3" max="3" width="11.5546875" customWidth="1"/>
    <col min="4" max="4" width="6.77734375" customWidth="1"/>
    <col min="5" max="5" width="9.6640625" bestFit="1" customWidth="1"/>
    <col min="6" max="6" width="3.77734375" customWidth="1"/>
    <col min="7" max="7" width="12" customWidth="1"/>
  </cols>
  <sheetData>
    <row r="1" spans="1:7" ht="15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59</v>
      </c>
      <c r="B2" s="15"/>
      <c r="C2" s="15"/>
      <c r="D2" s="15"/>
      <c r="E2" s="15"/>
      <c r="F2" s="15"/>
      <c r="G2" s="15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 t="s">
        <v>60</v>
      </c>
      <c r="B5" s="11"/>
      <c r="C5" s="11"/>
      <c r="D5" s="11"/>
      <c r="E5" s="11"/>
      <c r="F5" s="11"/>
      <c r="G5" s="11"/>
    </row>
    <row r="6" spans="1:7" ht="15.75" x14ac:dyDescent="0.25">
      <c r="A6" s="11" t="s">
        <v>61</v>
      </c>
      <c r="B6" s="11"/>
      <c r="C6" s="11"/>
      <c r="D6" s="11"/>
      <c r="E6" s="11"/>
      <c r="F6" s="11"/>
      <c r="G6" s="11"/>
    </row>
    <row r="7" spans="1:7" ht="15.75" x14ac:dyDescent="0.25">
      <c r="A7" s="11" t="s">
        <v>62</v>
      </c>
      <c r="B7" s="11"/>
      <c r="C7" s="11"/>
      <c r="D7" s="11"/>
      <c r="E7" s="11"/>
      <c r="F7" s="11"/>
      <c r="G7" s="11"/>
    </row>
    <row r="8" spans="1:7" ht="15.75" x14ac:dyDescent="0.25">
      <c r="A8" s="9"/>
      <c r="B8" s="9"/>
      <c r="C8" s="9"/>
      <c r="D8" s="9"/>
      <c r="E8" s="9"/>
      <c r="F8" s="9"/>
      <c r="G8" s="9"/>
    </row>
    <row r="9" spans="1:7" ht="15.75" x14ac:dyDescent="0.25">
      <c r="A9" s="19">
        <v>44316</v>
      </c>
      <c r="B9" s="11"/>
      <c r="C9" s="11"/>
      <c r="D9" s="11"/>
      <c r="E9" s="11"/>
      <c r="F9" s="11"/>
      <c r="G9" s="11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15"/>
      <c r="B11" s="15"/>
      <c r="C11" s="15"/>
      <c r="D11" s="15"/>
      <c r="E11" s="15"/>
      <c r="F11" s="15"/>
      <c r="G11" s="15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2"/>
      <c r="B13" s="12"/>
      <c r="C13" s="16" t="s">
        <v>63</v>
      </c>
      <c r="D13" s="12"/>
      <c r="E13" s="16" t="s">
        <v>66</v>
      </c>
      <c r="F13" s="16"/>
      <c r="G13" s="16" t="s">
        <v>69</v>
      </c>
    </row>
    <row r="14" spans="1:7" ht="15.75" x14ac:dyDescent="0.25">
      <c r="A14" s="12"/>
      <c r="B14" s="12"/>
      <c r="C14" s="16" t="s">
        <v>64</v>
      </c>
      <c r="D14" s="12"/>
      <c r="E14" s="16" t="s">
        <v>64</v>
      </c>
      <c r="F14" s="16"/>
      <c r="G14" s="16" t="s">
        <v>64</v>
      </c>
    </row>
    <row r="15" spans="1:7" ht="15.75" x14ac:dyDescent="0.25">
      <c r="A15" s="12"/>
      <c r="B15" s="12"/>
      <c r="C15" s="16" t="s">
        <v>65</v>
      </c>
      <c r="D15" s="12"/>
      <c r="E15" s="16" t="s">
        <v>67</v>
      </c>
      <c r="F15" s="16"/>
      <c r="G15" s="16" t="s">
        <v>68</v>
      </c>
    </row>
    <row r="16" spans="1:7" ht="15.75" x14ac:dyDescent="0.25">
      <c r="A16" s="12"/>
      <c r="B16" s="12"/>
      <c r="C16" s="16"/>
      <c r="D16" s="12"/>
      <c r="E16" s="16" t="s">
        <v>70</v>
      </c>
      <c r="F16" s="16"/>
      <c r="G16" s="16"/>
    </row>
    <row r="17" spans="1:7" ht="15.75" x14ac:dyDescent="0.25">
      <c r="A17" s="9"/>
      <c r="B17" s="9"/>
      <c r="C17" s="9"/>
      <c r="D17" s="9"/>
      <c r="E17" s="9"/>
      <c r="F17" s="9"/>
      <c r="G17" s="9"/>
    </row>
    <row r="18" spans="1:7" ht="15.75" x14ac:dyDescent="0.25">
      <c r="A18" s="9" t="s">
        <v>52</v>
      </c>
      <c r="B18" s="9"/>
      <c r="C18" s="9"/>
      <c r="D18" s="9"/>
      <c r="E18" s="9"/>
      <c r="F18" s="9"/>
      <c r="G18" s="9"/>
    </row>
    <row r="19" spans="1:7" ht="15.75" x14ac:dyDescent="0.25">
      <c r="A19" s="9" t="s">
        <v>53</v>
      </c>
      <c r="B19" s="9"/>
      <c r="C19" s="17">
        <v>492005270</v>
      </c>
      <c r="D19" s="18"/>
      <c r="E19" s="17">
        <v>475750767</v>
      </c>
      <c r="F19" s="14"/>
      <c r="G19" s="13">
        <f>C19-E19</f>
        <v>16254503</v>
      </c>
    </row>
    <row r="20" spans="1:7" ht="15.75" x14ac:dyDescent="0.25">
      <c r="A20" s="9"/>
      <c r="B20" s="9"/>
      <c r="C20" s="17"/>
      <c r="D20" s="18"/>
      <c r="E20" s="17"/>
      <c r="F20" s="14"/>
      <c r="G20" s="13"/>
    </row>
    <row r="21" spans="1:7" ht="15.75" x14ac:dyDescent="0.25">
      <c r="A21" s="9" t="s">
        <v>54</v>
      </c>
      <c r="B21" s="9"/>
      <c r="C21" s="17"/>
      <c r="D21" s="18"/>
      <c r="E21" s="17"/>
      <c r="F21" s="14"/>
      <c r="G21" s="13"/>
    </row>
    <row r="22" spans="1:7" ht="15.75" x14ac:dyDescent="0.25">
      <c r="A22" s="9" t="s">
        <v>55</v>
      </c>
      <c r="B22" s="9"/>
      <c r="C22" s="13">
        <v>34237294</v>
      </c>
      <c r="D22" s="14"/>
      <c r="E22" s="13">
        <v>33391695</v>
      </c>
      <c r="F22" s="14"/>
      <c r="G22" s="13">
        <f>C22-E22</f>
        <v>845599</v>
      </c>
    </row>
    <row r="23" spans="1:7" ht="15.75" x14ac:dyDescent="0.25">
      <c r="A23" s="9"/>
      <c r="B23" s="9"/>
      <c r="C23" s="13"/>
      <c r="D23" s="14"/>
      <c r="E23" s="13"/>
      <c r="F23" s="14"/>
      <c r="G23" s="13"/>
    </row>
    <row r="24" spans="1:7" ht="15.75" x14ac:dyDescent="0.25">
      <c r="A24" s="9" t="s">
        <v>56</v>
      </c>
      <c r="B24" s="9"/>
      <c r="C24" s="13"/>
      <c r="D24" s="14"/>
      <c r="E24" s="13"/>
      <c r="F24" s="14"/>
      <c r="G24" s="13"/>
    </row>
    <row r="25" spans="1:7" ht="15.75" x14ac:dyDescent="0.25">
      <c r="A25" s="9" t="s">
        <v>55</v>
      </c>
      <c r="B25" s="9"/>
      <c r="C25" s="13">
        <v>33923716</v>
      </c>
      <c r="D25" s="14"/>
      <c r="E25" s="13">
        <v>33475970</v>
      </c>
      <c r="F25" s="14"/>
      <c r="G25" s="13">
        <f>C25-E25</f>
        <v>447746</v>
      </c>
    </row>
    <row r="26" spans="1:7" ht="15.75" x14ac:dyDescent="0.25">
      <c r="A26" s="9"/>
      <c r="B26" s="9"/>
      <c r="C26" s="10"/>
      <c r="D26" s="9"/>
      <c r="E26" s="10"/>
      <c r="F26" s="9"/>
      <c r="G26" s="10"/>
    </row>
    <row r="27" spans="1:7" ht="15.75" x14ac:dyDescent="0.25">
      <c r="A27" s="9" t="s">
        <v>57</v>
      </c>
      <c r="B27" s="9"/>
      <c r="C27" s="10"/>
      <c r="D27" s="9"/>
      <c r="E27" s="10"/>
      <c r="F27" s="9"/>
      <c r="G27" s="10"/>
    </row>
    <row r="28" spans="1:7" ht="15.75" x14ac:dyDescent="0.25">
      <c r="A28" s="9" t="s">
        <v>53</v>
      </c>
      <c r="B28" s="9"/>
      <c r="C28" s="10">
        <f>C19-C22+C25</f>
        <v>491691692</v>
      </c>
      <c r="D28" s="9"/>
      <c r="E28" s="10">
        <f>E19-E22+E25</f>
        <v>475835042</v>
      </c>
      <c r="F28" s="9"/>
      <c r="G28" s="10">
        <f>C28-E28</f>
        <v>15856650</v>
      </c>
    </row>
    <row r="29" spans="1:7" ht="15.75" x14ac:dyDescent="0.25">
      <c r="A29" s="9"/>
      <c r="B29" s="9"/>
      <c r="C29" s="10"/>
      <c r="D29" s="9"/>
      <c r="E29" s="10"/>
      <c r="F29" s="9"/>
      <c r="G29" s="10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 t="s">
        <v>58</v>
      </c>
      <c r="B31" s="9"/>
      <c r="C31" s="9"/>
      <c r="D31" s="9"/>
      <c r="E31" s="56">
        <f>G28/C28</f>
        <v>3.2249172109257443E-2</v>
      </c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9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</sheetData>
  <pageMargins left="0.75" right="0.75" top="1.2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6099E-6352-4EE4-829B-EC837472F6C4}">
  <sheetPr>
    <pageSetUpPr fitToPage="1"/>
  </sheetPr>
  <dimension ref="A1:K99"/>
  <sheetViews>
    <sheetView zoomScale="60" zoomScaleNormal="60" workbookViewId="0">
      <selection activeCell="J40" sqref="J40"/>
    </sheetView>
  </sheetViews>
  <sheetFormatPr defaultColWidth="9.6640625" defaultRowHeight="15" x14ac:dyDescent="0.2"/>
  <cols>
    <col min="1" max="1" width="11.33203125" style="1" customWidth="1"/>
    <col min="2" max="2" width="19.5546875" style="1" customWidth="1"/>
    <col min="3" max="3" width="19.33203125" style="1" customWidth="1"/>
    <col min="4" max="4" width="10" style="1" customWidth="1"/>
    <col min="5" max="5" width="17.6640625" style="1" customWidth="1"/>
    <col min="6" max="6" width="9.6640625" style="1" customWidth="1"/>
    <col min="7" max="7" width="8.5546875" style="1" customWidth="1"/>
    <col min="8" max="8" width="13.77734375" style="1" customWidth="1"/>
    <col min="9" max="9" width="19.88671875" style="1" customWidth="1"/>
    <col min="10" max="10" width="20.6640625" style="1" customWidth="1"/>
    <col min="11" max="16384" width="9.6640625" style="1"/>
  </cols>
  <sheetData>
    <row r="1" spans="1:11" x14ac:dyDescent="0.2">
      <c r="A1" s="2" t="s">
        <v>0</v>
      </c>
      <c r="B1" s="2" t="s">
        <v>23</v>
      </c>
      <c r="C1" s="2"/>
      <c r="D1" s="2"/>
      <c r="E1" s="2"/>
      <c r="F1" s="2"/>
      <c r="G1" s="2" t="s">
        <v>27</v>
      </c>
      <c r="H1" s="2"/>
      <c r="I1" s="2"/>
      <c r="J1" s="2"/>
    </row>
    <row r="2" spans="1:11" x14ac:dyDescent="0.2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</row>
    <row r="3" spans="1:11" x14ac:dyDescent="0.2">
      <c r="A3" s="3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</row>
    <row r="4" spans="1:11" ht="18" x14ac:dyDescent="0.25">
      <c r="A4" s="52" t="s">
        <v>2</v>
      </c>
      <c r="B4" s="52"/>
      <c r="C4" s="52"/>
      <c r="D4" s="52"/>
      <c r="E4" s="24" t="s">
        <v>94</v>
      </c>
      <c r="F4" s="52"/>
      <c r="G4" s="52" t="s">
        <v>28</v>
      </c>
      <c r="H4" s="52"/>
      <c r="I4" s="52" t="s">
        <v>51</v>
      </c>
      <c r="J4" s="25" t="str">
        <f>E4</f>
        <v>May</v>
      </c>
    </row>
    <row r="5" spans="1:11" ht="1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1" ht="18" x14ac:dyDescent="0.25">
      <c r="A6" s="52" t="s">
        <v>71</v>
      </c>
      <c r="B6" s="52"/>
      <c r="C6" s="52"/>
      <c r="D6" s="52"/>
      <c r="E6" s="26">
        <v>34558196</v>
      </c>
      <c r="F6" s="52"/>
      <c r="G6" s="52" t="s">
        <v>29</v>
      </c>
      <c r="H6" s="52"/>
      <c r="I6" s="52"/>
      <c r="J6" s="59"/>
      <c r="K6" s="55"/>
    </row>
    <row r="7" spans="1:11" ht="18" x14ac:dyDescent="0.25">
      <c r="A7" s="52"/>
      <c r="B7" s="52"/>
      <c r="C7" s="52"/>
      <c r="D7" s="52"/>
      <c r="E7" s="60"/>
      <c r="F7" s="52"/>
      <c r="G7" s="52"/>
      <c r="H7" s="52"/>
      <c r="I7" s="52"/>
      <c r="J7" s="52"/>
    </row>
    <row r="8" spans="1:11" ht="18" x14ac:dyDescent="0.25">
      <c r="A8" s="52" t="s">
        <v>72</v>
      </c>
      <c r="B8" s="52"/>
      <c r="C8" s="52"/>
      <c r="D8" s="52"/>
      <c r="E8" s="26">
        <v>33999227</v>
      </c>
      <c r="F8" s="52"/>
      <c r="G8" s="52" t="s">
        <v>30</v>
      </c>
      <c r="H8" s="52"/>
      <c r="I8" s="52"/>
      <c r="J8" s="54">
        <v>-244326</v>
      </c>
    </row>
    <row r="9" spans="1:11" ht="18" x14ac:dyDescent="0.25">
      <c r="A9" s="52"/>
      <c r="B9" s="52"/>
      <c r="C9" s="52"/>
      <c r="D9" s="52"/>
      <c r="E9" s="60"/>
      <c r="F9" s="52"/>
      <c r="G9" s="52"/>
      <c r="H9" s="52" t="s">
        <v>26</v>
      </c>
      <c r="I9" s="52"/>
      <c r="J9" s="29" t="s">
        <v>26</v>
      </c>
    </row>
    <row r="10" spans="1:11" ht="18" x14ac:dyDescent="0.25">
      <c r="A10" s="52"/>
      <c r="B10" s="52"/>
      <c r="C10" s="52"/>
      <c r="D10" s="52"/>
      <c r="E10" s="60"/>
      <c r="F10" s="52"/>
      <c r="G10" s="52"/>
      <c r="H10" s="52" t="s">
        <v>26</v>
      </c>
      <c r="I10" s="52"/>
      <c r="J10" s="29" t="s">
        <v>26</v>
      </c>
    </row>
    <row r="11" spans="1:11" ht="18" x14ac:dyDescent="0.25">
      <c r="A11" s="52" t="s">
        <v>3</v>
      </c>
      <c r="B11" s="52"/>
      <c r="C11" s="52"/>
      <c r="D11" s="52"/>
      <c r="E11" s="60">
        <v>0</v>
      </c>
      <c r="F11" s="52"/>
      <c r="G11" s="52" t="s">
        <v>31</v>
      </c>
      <c r="H11" s="52"/>
      <c r="I11" s="52"/>
      <c r="J11" s="61">
        <f>E37</f>
        <v>3857.1181999999972</v>
      </c>
    </row>
    <row r="12" spans="1:11" ht="18" x14ac:dyDescent="0.25">
      <c r="A12" s="52"/>
      <c r="B12" s="52"/>
      <c r="C12" s="52"/>
      <c r="D12" s="52"/>
      <c r="E12" s="60"/>
      <c r="F12" s="52"/>
      <c r="G12" s="52"/>
      <c r="H12" s="52"/>
      <c r="I12" s="52"/>
      <c r="J12" s="59"/>
    </row>
    <row r="13" spans="1:11" ht="18" x14ac:dyDescent="0.25">
      <c r="A13" s="52" t="s">
        <v>4</v>
      </c>
      <c r="B13" s="52"/>
      <c r="C13" s="52"/>
      <c r="D13" s="52"/>
      <c r="E13" s="60">
        <f>SUM(E8:E11)</f>
        <v>33999227</v>
      </c>
      <c r="F13" s="52"/>
      <c r="G13" s="52" t="s">
        <v>32</v>
      </c>
      <c r="H13" s="52"/>
      <c r="I13" s="52"/>
      <c r="J13" s="59">
        <v>0</v>
      </c>
    </row>
    <row r="14" spans="1:11" ht="18" x14ac:dyDescent="0.25">
      <c r="A14" s="52"/>
      <c r="B14" s="52"/>
      <c r="C14" s="52"/>
      <c r="D14" s="52"/>
      <c r="E14" s="60"/>
      <c r="F14" s="52"/>
      <c r="G14" s="52"/>
      <c r="H14" s="52"/>
      <c r="I14" s="52"/>
      <c r="J14" s="59"/>
    </row>
    <row r="15" spans="1:11" ht="18" x14ac:dyDescent="0.25">
      <c r="A15" s="52" t="s">
        <v>5</v>
      </c>
      <c r="B15" s="52"/>
      <c r="C15" s="52"/>
      <c r="D15" s="52"/>
      <c r="E15" s="62">
        <f>E6-E13</f>
        <v>558969</v>
      </c>
      <c r="F15" s="52"/>
      <c r="G15" s="52" t="s">
        <v>33</v>
      </c>
      <c r="H15" s="52"/>
      <c r="I15" s="52"/>
      <c r="J15" s="61">
        <f>ROUND((+J8+J11),4)</f>
        <v>-240468.8818</v>
      </c>
    </row>
    <row r="16" spans="1:11" ht="18" x14ac:dyDescent="0.25">
      <c r="A16" s="52" t="s">
        <v>6</v>
      </c>
      <c r="B16" s="52"/>
      <c r="C16" s="52"/>
      <c r="D16" s="52"/>
      <c r="E16" s="60"/>
      <c r="F16" s="52"/>
      <c r="G16" s="52" t="s">
        <v>34</v>
      </c>
      <c r="H16" s="52"/>
      <c r="I16" s="52"/>
      <c r="J16" s="59"/>
    </row>
    <row r="17" spans="1:10" ht="18" x14ac:dyDescent="0.25">
      <c r="A17" s="52"/>
      <c r="B17" s="52"/>
      <c r="C17" s="52"/>
      <c r="D17" s="52"/>
      <c r="E17" s="60"/>
      <c r="F17" s="52"/>
      <c r="G17" s="52"/>
      <c r="H17" s="52"/>
      <c r="I17" s="52"/>
      <c r="J17" s="52"/>
    </row>
    <row r="18" spans="1:10" ht="18" x14ac:dyDescent="0.25">
      <c r="A18" s="63" t="s">
        <v>1</v>
      </c>
      <c r="B18" s="63" t="s">
        <v>1</v>
      </c>
      <c r="C18" s="63" t="s">
        <v>1</v>
      </c>
      <c r="D18" s="63" t="s">
        <v>1</v>
      </c>
      <c r="E18" s="64" t="s">
        <v>1</v>
      </c>
      <c r="F18" s="52"/>
      <c r="G18" s="52" t="s">
        <v>35</v>
      </c>
      <c r="H18" s="52"/>
      <c r="I18" s="52"/>
      <c r="J18" s="60">
        <f>E6</f>
        <v>34558196</v>
      </c>
    </row>
    <row r="19" spans="1:10" ht="18" x14ac:dyDescent="0.25">
      <c r="A19" s="63" t="s">
        <v>1</v>
      </c>
      <c r="B19" s="63" t="s">
        <v>1</v>
      </c>
      <c r="C19" s="63" t="s">
        <v>1</v>
      </c>
      <c r="D19" s="63" t="s">
        <v>1</v>
      </c>
      <c r="E19" s="64"/>
      <c r="F19" s="52"/>
      <c r="G19" s="52"/>
      <c r="H19" s="52"/>
      <c r="I19" s="52"/>
      <c r="J19" s="52"/>
    </row>
    <row r="20" spans="1:10" ht="18" x14ac:dyDescent="0.25">
      <c r="A20" s="52" t="s">
        <v>7</v>
      </c>
      <c r="B20" s="52"/>
      <c r="C20" s="52"/>
      <c r="D20" s="52" t="s">
        <v>25</v>
      </c>
      <c r="E20" s="24" t="s">
        <v>89</v>
      </c>
      <c r="F20" s="52"/>
      <c r="G20" s="52" t="s">
        <v>36</v>
      </c>
      <c r="H20" s="52"/>
      <c r="I20" s="52"/>
      <c r="J20" s="34">
        <f>ROUND((J8/J18),5)</f>
        <v>-7.0699999999999999E-3</v>
      </c>
    </row>
    <row r="21" spans="1:10" ht="18" x14ac:dyDescent="0.25">
      <c r="A21" s="52"/>
      <c r="B21" s="52"/>
      <c r="C21" s="52"/>
      <c r="D21" s="52"/>
      <c r="E21" s="60"/>
      <c r="F21" s="52"/>
      <c r="G21" s="52" t="s">
        <v>37</v>
      </c>
      <c r="H21" s="52"/>
      <c r="I21" s="52"/>
      <c r="J21" s="52"/>
    </row>
    <row r="22" spans="1:10" ht="18" x14ac:dyDescent="0.25">
      <c r="A22" s="52" t="s">
        <v>8</v>
      </c>
      <c r="B22" s="52"/>
      <c r="C22" s="52"/>
      <c r="D22" s="52"/>
      <c r="E22" s="53">
        <v>1.2999999999999999E-3</v>
      </c>
      <c r="F22" s="52"/>
      <c r="G22" s="52"/>
      <c r="H22" s="52"/>
      <c r="I22" s="52"/>
      <c r="J22" s="52"/>
    </row>
    <row r="23" spans="1:10" ht="18" x14ac:dyDescent="0.25">
      <c r="A23" s="52"/>
      <c r="B23" s="52"/>
      <c r="C23" s="52"/>
      <c r="D23" s="52"/>
      <c r="E23" s="60"/>
      <c r="F23" s="52"/>
      <c r="G23" s="52" t="s">
        <v>38</v>
      </c>
      <c r="H23" s="52"/>
      <c r="I23" s="52"/>
      <c r="J23" s="52"/>
    </row>
    <row r="24" spans="1:10" ht="18" x14ac:dyDescent="0.25">
      <c r="A24" s="52" t="s">
        <v>9</v>
      </c>
      <c r="B24" s="52"/>
      <c r="C24" s="52"/>
      <c r="D24" s="52"/>
      <c r="E24" s="35">
        <v>34035341</v>
      </c>
      <c r="F24" s="52"/>
      <c r="G24" s="63" t="s">
        <v>1</v>
      </c>
      <c r="H24" s="52"/>
      <c r="I24" s="52"/>
      <c r="J24" s="52"/>
    </row>
    <row r="25" spans="1:10" ht="18" x14ac:dyDescent="0.25">
      <c r="A25" s="52"/>
      <c r="B25" s="52"/>
      <c r="C25" s="52"/>
      <c r="D25" s="52"/>
      <c r="E25" s="35"/>
      <c r="F25" s="52"/>
      <c r="G25" s="52" t="s">
        <v>39</v>
      </c>
      <c r="H25" s="52"/>
      <c r="I25" s="52"/>
      <c r="J25" s="58">
        <f>'12 Mth Avg-May 21'!E31</f>
        <v>2.9734022009082442E-2</v>
      </c>
    </row>
    <row r="26" spans="1:10" ht="18" x14ac:dyDescent="0.25">
      <c r="A26" s="52" t="s">
        <v>10</v>
      </c>
      <c r="B26" s="52"/>
      <c r="C26" s="52"/>
      <c r="D26" s="52"/>
      <c r="E26" s="35">
        <f>-30864-4410-70-770</f>
        <v>-36114</v>
      </c>
      <c r="F26" s="52"/>
      <c r="G26" s="52"/>
      <c r="H26" s="52"/>
      <c r="I26" s="52"/>
      <c r="J26" s="52"/>
    </row>
    <row r="27" spans="1:10" ht="18" x14ac:dyDescent="0.25">
      <c r="A27" s="52"/>
      <c r="B27" s="52"/>
      <c r="C27" s="52"/>
      <c r="D27" s="52"/>
      <c r="E27" s="62"/>
      <c r="F27" s="52"/>
      <c r="G27" s="52" t="s">
        <v>40</v>
      </c>
      <c r="H27" s="52"/>
      <c r="I27" s="52"/>
      <c r="J27" s="36" t="str">
        <f>E4</f>
        <v>May</v>
      </c>
    </row>
    <row r="28" spans="1:10" ht="18" x14ac:dyDescent="0.25">
      <c r="A28" s="52" t="s">
        <v>11</v>
      </c>
      <c r="B28" s="52"/>
      <c r="C28" s="52"/>
      <c r="D28" s="52"/>
      <c r="E28" s="62">
        <f>SUM(E24:E27)</f>
        <v>33999227</v>
      </c>
      <c r="F28" s="52"/>
      <c r="G28" s="52"/>
      <c r="H28" s="52"/>
      <c r="I28" s="52"/>
      <c r="J28" s="52"/>
    </row>
    <row r="29" spans="1:10" ht="18" x14ac:dyDescent="0.25">
      <c r="A29" s="52" t="s">
        <v>12</v>
      </c>
      <c r="B29" s="52"/>
      <c r="C29" s="52"/>
      <c r="D29" s="52"/>
      <c r="E29" s="60"/>
      <c r="F29" s="52"/>
      <c r="G29" s="52" t="s">
        <v>41</v>
      </c>
      <c r="H29" s="52"/>
      <c r="I29" s="52"/>
      <c r="J29" s="65">
        <f>ROUND((+E15/E6),6)</f>
        <v>1.6174999999999998E-2</v>
      </c>
    </row>
    <row r="30" spans="1:10" ht="18" x14ac:dyDescent="0.25">
      <c r="A30" s="52"/>
      <c r="B30" s="52" t="s">
        <v>26</v>
      </c>
      <c r="C30" s="52"/>
      <c r="D30" s="52"/>
      <c r="E30" s="60"/>
      <c r="F30" s="52"/>
      <c r="G30" s="52" t="s">
        <v>42</v>
      </c>
      <c r="H30" s="52"/>
      <c r="I30" s="52"/>
      <c r="J30" s="52"/>
    </row>
    <row r="31" spans="1:10" ht="18" x14ac:dyDescent="0.25">
      <c r="A31" s="52" t="s">
        <v>13</v>
      </c>
      <c r="B31" s="52"/>
      <c r="C31" s="52"/>
      <c r="D31" s="52"/>
      <c r="E31" s="54">
        <v>47590.52</v>
      </c>
      <c r="F31" s="52"/>
      <c r="G31" s="52"/>
      <c r="H31" s="52"/>
      <c r="I31" s="52"/>
      <c r="J31" s="52"/>
    </row>
    <row r="32" spans="1:10" ht="18" x14ac:dyDescent="0.25">
      <c r="A32" s="52" t="s">
        <v>14</v>
      </c>
      <c r="B32" s="52"/>
      <c r="C32" s="52"/>
      <c r="D32" s="52"/>
      <c r="E32" s="61"/>
      <c r="F32" s="52"/>
      <c r="G32" s="52" t="s">
        <v>43</v>
      </c>
      <c r="H32" s="52"/>
      <c r="I32" s="52"/>
      <c r="J32" s="52"/>
    </row>
    <row r="33" spans="1:10" ht="18" x14ac:dyDescent="0.25">
      <c r="A33" s="52"/>
      <c r="B33" s="52"/>
      <c r="C33" s="52"/>
      <c r="D33" s="52"/>
      <c r="E33" s="61"/>
      <c r="F33" s="52"/>
      <c r="G33" s="63" t="s">
        <v>1</v>
      </c>
      <c r="H33" s="63" t="s">
        <v>1</v>
      </c>
      <c r="I33" s="63" t="s">
        <v>1</v>
      </c>
      <c r="J33" s="52"/>
    </row>
    <row r="34" spans="1:10" ht="18" x14ac:dyDescent="0.25">
      <c r="A34" s="52" t="s">
        <v>15</v>
      </c>
      <c r="B34" s="52"/>
      <c r="C34" s="52"/>
      <c r="D34" s="52"/>
      <c r="E34" s="61">
        <f>(+E26*E22)+B41</f>
        <v>43733.4018</v>
      </c>
      <c r="F34" s="52"/>
      <c r="G34" s="52" t="s">
        <v>44</v>
      </c>
      <c r="H34" s="52"/>
      <c r="I34" s="52"/>
      <c r="J34" s="65">
        <f>ROUND((1-J25),7)</f>
        <v>0.97026599999999996</v>
      </c>
    </row>
    <row r="35" spans="1:10" ht="18" x14ac:dyDescent="0.25">
      <c r="A35" s="52" t="s">
        <v>16</v>
      </c>
      <c r="B35" s="52"/>
      <c r="C35" s="52"/>
      <c r="D35" s="52"/>
      <c r="E35" s="61"/>
      <c r="F35" s="52"/>
      <c r="G35" s="52" t="s">
        <v>45</v>
      </c>
      <c r="H35" s="52"/>
      <c r="I35" s="52"/>
      <c r="J35" s="52"/>
    </row>
    <row r="36" spans="1:10" ht="18" x14ac:dyDescent="0.25">
      <c r="A36" s="52"/>
      <c r="B36" s="52"/>
      <c r="C36" s="52"/>
      <c r="D36" s="52"/>
      <c r="E36" s="61"/>
      <c r="F36" s="52"/>
      <c r="G36" s="52"/>
      <c r="H36" s="52"/>
      <c r="I36" s="52"/>
      <c r="J36" s="52"/>
    </row>
    <row r="37" spans="1:10" ht="18" x14ac:dyDescent="0.25">
      <c r="A37" s="52" t="s">
        <v>17</v>
      </c>
      <c r="B37" s="52"/>
      <c r="C37" s="52"/>
      <c r="D37" s="52"/>
      <c r="E37" s="61">
        <f>(E31-E34)</f>
        <v>3857.1181999999972</v>
      </c>
      <c r="F37" s="52"/>
      <c r="G37" s="52" t="s">
        <v>46</v>
      </c>
      <c r="H37" s="52"/>
      <c r="I37" s="52"/>
      <c r="J37" s="66">
        <f>ROUND((J15/J18),5)</f>
        <v>-6.96E-3</v>
      </c>
    </row>
    <row r="38" spans="1:10" ht="18" x14ac:dyDescent="0.25">
      <c r="A38" s="52" t="s">
        <v>18</v>
      </c>
      <c r="B38" s="52"/>
      <c r="C38" s="52"/>
      <c r="D38" s="52"/>
      <c r="E38" s="61"/>
      <c r="F38" s="52"/>
      <c r="G38" s="52" t="s">
        <v>47</v>
      </c>
      <c r="H38" s="52"/>
      <c r="I38" s="52"/>
      <c r="J38" s="66"/>
    </row>
    <row r="39" spans="1:10" ht="18" x14ac:dyDescent="0.25">
      <c r="A39" s="52"/>
      <c r="B39" s="52"/>
      <c r="C39" s="52"/>
      <c r="D39" s="52"/>
      <c r="E39" s="59"/>
      <c r="F39" s="52"/>
      <c r="G39" s="52"/>
      <c r="H39" s="52"/>
      <c r="I39" s="52"/>
      <c r="J39" s="66"/>
    </row>
    <row r="40" spans="1:10" ht="18" x14ac:dyDescent="0.25">
      <c r="A40" s="52"/>
      <c r="B40" s="39" t="s">
        <v>24</v>
      </c>
      <c r="C40" s="39"/>
      <c r="D40" s="39"/>
      <c r="E40" s="59"/>
      <c r="F40" s="52"/>
      <c r="G40" s="52" t="s">
        <v>48</v>
      </c>
      <c r="H40" s="52"/>
      <c r="I40" s="52"/>
      <c r="J40" s="40">
        <f>ROUND((J37/J34),7)</f>
        <v>-7.1732999999999996E-3</v>
      </c>
    </row>
    <row r="41" spans="1:10" ht="18" x14ac:dyDescent="0.25">
      <c r="A41" s="52"/>
      <c r="B41" s="57">
        <v>43780.35</v>
      </c>
      <c r="D41" s="41"/>
      <c r="E41" s="59"/>
      <c r="F41" s="52"/>
      <c r="G41" s="52"/>
      <c r="H41" s="52"/>
      <c r="I41" s="52"/>
      <c r="J41" s="52"/>
    </row>
    <row r="42" spans="1:10" ht="18" x14ac:dyDescent="0.25">
      <c r="A42" s="52"/>
      <c r="B42" s="52"/>
      <c r="C42" s="52"/>
      <c r="D42" s="52"/>
      <c r="E42" s="52"/>
      <c r="F42" s="52"/>
      <c r="G42" s="52" t="s">
        <v>49</v>
      </c>
      <c r="H42" s="52"/>
      <c r="I42" s="52"/>
      <c r="J42" s="67">
        <f>ROUND((+J40*100),3)</f>
        <v>-0.71699999999999997</v>
      </c>
    </row>
    <row r="43" spans="1:10" ht="18" x14ac:dyDescent="0.25">
      <c r="A43" s="63" t="s">
        <v>1</v>
      </c>
      <c r="B43" s="63" t="s">
        <v>1</v>
      </c>
      <c r="C43" s="63" t="s">
        <v>1</v>
      </c>
      <c r="D43" s="63" t="s">
        <v>1</v>
      </c>
      <c r="E43" s="63" t="s">
        <v>1</v>
      </c>
      <c r="F43" s="63" t="s">
        <v>1</v>
      </c>
      <c r="G43" s="63" t="s">
        <v>1</v>
      </c>
      <c r="H43" s="63" t="s">
        <v>1</v>
      </c>
      <c r="I43" s="63" t="s">
        <v>1</v>
      </c>
      <c r="J43" s="63" t="s">
        <v>1</v>
      </c>
    </row>
    <row r="44" spans="1:10" ht="18" x14ac:dyDescent="0.25">
      <c r="A44" s="52" t="s">
        <v>19</v>
      </c>
      <c r="B44" s="52"/>
      <c r="C44" s="52"/>
      <c r="D44" s="68">
        <f>J42</f>
        <v>-0.71699999999999997</v>
      </c>
      <c r="E44" s="52" t="s">
        <v>26</v>
      </c>
      <c r="F44" s="69"/>
      <c r="G44" s="52"/>
      <c r="H44" s="52"/>
      <c r="I44" s="52"/>
      <c r="J44" s="52"/>
    </row>
    <row r="45" spans="1:10" ht="18" x14ac:dyDescent="0.25">
      <c r="A45" s="52" t="s">
        <v>20</v>
      </c>
      <c r="B45" s="24" t="s">
        <v>95</v>
      </c>
      <c r="C45" s="52"/>
      <c r="D45" s="52" t="s">
        <v>26</v>
      </c>
      <c r="E45" s="52"/>
      <c r="F45" s="52"/>
      <c r="G45" s="52"/>
      <c r="H45" s="52"/>
      <c r="I45" s="52"/>
      <c r="J45" s="52"/>
    </row>
    <row r="46" spans="1:10" ht="18" x14ac:dyDescent="0.25">
      <c r="A46" s="52"/>
      <c r="B46" s="52"/>
      <c r="C46" s="52"/>
      <c r="D46" s="52"/>
      <c r="E46" s="36"/>
      <c r="F46" s="52"/>
      <c r="G46" s="52"/>
      <c r="H46" s="45" t="s">
        <v>50</v>
      </c>
      <c r="I46" s="24" t="s">
        <v>96</v>
      </c>
      <c r="J46" s="46"/>
    </row>
    <row r="47" spans="1:10" ht="18" x14ac:dyDescent="0.25">
      <c r="A47" s="52" t="s">
        <v>73</v>
      </c>
      <c r="B47" s="52"/>
      <c r="C47" s="52"/>
      <c r="D47" s="52"/>
      <c r="E47" s="52"/>
      <c r="F47" s="52"/>
      <c r="G47" s="52"/>
      <c r="H47" s="52" t="s">
        <v>74</v>
      </c>
      <c r="I47" s="52"/>
      <c r="J47" s="52"/>
    </row>
    <row r="48" spans="1:10" ht="18" x14ac:dyDescent="0.25">
      <c r="A48" s="52" t="s">
        <v>21</v>
      </c>
      <c r="B48" s="52"/>
      <c r="C48" s="52"/>
      <c r="D48" s="52"/>
      <c r="E48" s="52"/>
      <c r="F48" s="52"/>
      <c r="G48" s="52"/>
      <c r="H48" s="52" t="s">
        <v>75</v>
      </c>
      <c r="I48" s="52"/>
      <c r="J48" s="52"/>
    </row>
    <row r="49" spans="1:10" ht="15.75" x14ac:dyDescent="0.25">
      <c r="A49" s="6" t="s">
        <v>22</v>
      </c>
      <c r="B49" s="2"/>
      <c r="C49" s="2"/>
      <c r="D49" s="2"/>
      <c r="E49" s="2"/>
      <c r="F49" s="7"/>
      <c r="G49" s="2"/>
      <c r="H49" s="7"/>
      <c r="I49" s="2" t="s">
        <v>26</v>
      </c>
      <c r="J49" s="4"/>
    </row>
    <row r="50" spans="1:10" ht="15.75" x14ac:dyDescent="0.25">
      <c r="A50" s="2"/>
      <c r="B50" s="2"/>
      <c r="C50" s="2"/>
      <c r="D50" s="2"/>
      <c r="E50" s="2"/>
      <c r="F50" s="2"/>
      <c r="G50" s="2"/>
      <c r="H50" s="7"/>
      <c r="I50" s="7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8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5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5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5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5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5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5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5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5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5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5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5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5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5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5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5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5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5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5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5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5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5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5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5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72012-8B59-4276-9641-66D9517B68B4}">
  <dimension ref="A1:G40"/>
  <sheetViews>
    <sheetView topLeftCell="A13" workbookViewId="0">
      <selection activeCell="E26" sqref="E26"/>
    </sheetView>
  </sheetViews>
  <sheetFormatPr defaultRowHeight="15" x14ac:dyDescent="0.2"/>
  <cols>
    <col min="1" max="1" width="21" customWidth="1"/>
    <col min="3" max="3" width="11.5546875" customWidth="1"/>
    <col min="4" max="4" width="6.77734375" customWidth="1"/>
    <col min="5" max="5" width="9.6640625" bestFit="1" customWidth="1"/>
    <col min="6" max="6" width="3.77734375" customWidth="1"/>
    <col min="7" max="7" width="12" customWidth="1"/>
  </cols>
  <sheetData>
    <row r="1" spans="1:7" ht="15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59</v>
      </c>
      <c r="B2" s="15"/>
      <c r="C2" s="15"/>
      <c r="D2" s="15"/>
      <c r="E2" s="15"/>
      <c r="F2" s="15"/>
      <c r="G2" s="15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 t="s">
        <v>60</v>
      </c>
      <c r="B5" s="11"/>
      <c r="C5" s="11"/>
      <c r="D5" s="11"/>
      <c r="E5" s="11"/>
      <c r="F5" s="11"/>
      <c r="G5" s="11"/>
    </row>
    <row r="6" spans="1:7" ht="15.75" x14ac:dyDescent="0.25">
      <c r="A6" s="11" t="s">
        <v>61</v>
      </c>
      <c r="B6" s="11"/>
      <c r="C6" s="11"/>
      <c r="D6" s="11"/>
      <c r="E6" s="11"/>
      <c r="F6" s="11"/>
      <c r="G6" s="11"/>
    </row>
    <row r="7" spans="1:7" ht="15.75" x14ac:dyDescent="0.25">
      <c r="A7" s="11" t="s">
        <v>62</v>
      </c>
      <c r="B7" s="11"/>
      <c r="C7" s="11"/>
      <c r="D7" s="11"/>
      <c r="E7" s="11"/>
      <c r="F7" s="11"/>
      <c r="G7" s="11"/>
    </row>
    <row r="8" spans="1:7" ht="15.75" x14ac:dyDescent="0.25">
      <c r="A8" s="9"/>
      <c r="B8" s="9"/>
      <c r="C8" s="9"/>
      <c r="D8" s="9"/>
      <c r="E8" s="9"/>
      <c r="F8" s="9"/>
      <c r="G8" s="9"/>
    </row>
    <row r="9" spans="1:7" ht="15.75" x14ac:dyDescent="0.25">
      <c r="A9" s="19">
        <v>44347</v>
      </c>
      <c r="B9" s="11"/>
      <c r="C9" s="11"/>
      <c r="D9" s="11"/>
      <c r="E9" s="11"/>
      <c r="F9" s="11"/>
      <c r="G9" s="11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15"/>
      <c r="B11" s="15"/>
      <c r="C11" s="15"/>
      <c r="D11" s="15"/>
      <c r="E11" s="15"/>
      <c r="F11" s="15"/>
      <c r="G11" s="15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2"/>
      <c r="B13" s="12"/>
      <c r="C13" s="16" t="s">
        <v>63</v>
      </c>
      <c r="D13" s="12"/>
      <c r="E13" s="16" t="s">
        <v>66</v>
      </c>
      <c r="F13" s="16"/>
      <c r="G13" s="16" t="s">
        <v>69</v>
      </c>
    </row>
    <row r="14" spans="1:7" ht="15.75" x14ac:dyDescent="0.25">
      <c r="A14" s="12"/>
      <c r="B14" s="12"/>
      <c r="C14" s="16" t="s">
        <v>64</v>
      </c>
      <c r="D14" s="12"/>
      <c r="E14" s="16" t="s">
        <v>64</v>
      </c>
      <c r="F14" s="16"/>
      <c r="G14" s="16" t="s">
        <v>64</v>
      </c>
    </row>
    <row r="15" spans="1:7" ht="15.75" x14ac:dyDescent="0.25">
      <c r="A15" s="12"/>
      <c r="B15" s="12"/>
      <c r="C15" s="16" t="s">
        <v>65</v>
      </c>
      <c r="D15" s="12"/>
      <c r="E15" s="16" t="s">
        <v>67</v>
      </c>
      <c r="F15" s="16"/>
      <c r="G15" s="16" t="s">
        <v>68</v>
      </c>
    </row>
    <row r="16" spans="1:7" ht="15.75" x14ac:dyDescent="0.25">
      <c r="A16" s="12"/>
      <c r="B16" s="12"/>
      <c r="C16" s="16"/>
      <c r="D16" s="12"/>
      <c r="E16" s="16" t="s">
        <v>70</v>
      </c>
      <c r="F16" s="16"/>
      <c r="G16" s="16"/>
    </row>
    <row r="17" spans="1:7" ht="15.75" x14ac:dyDescent="0.25">
      <c r="A17" s="9"/>
      <c r="B17" s="9"/>
      <c r="C17" s="9"/>
      <c r="D17" s="9"/>
      <c r="E17" s="9"/>
      <c r="F17" s="9"/>
      <c r="G17" s="9"/>
    </row>
    <row r="18" spans="1:7" ht="15.75" x14ac:dyDescent="0.25">
      <c r="A18" s="9" t="s">
        <v>52</v>
      </c>
      <c r="B18" s="9"/>
      <c r="C18" s="9"/>
      <c r="D18" s="9"/>
      <c r="E18" s="9"/>
      <c r="F18" s="9"/>
      <c r="G18" s="9"/>
    </row>
    <row r="19" spans="1:7" ht="15.75" x14ac:dyDescent="0.25">
      <c r="A19" s="9" t="s">
        <v>53</v>
      </c>
      <c r="B19" s="9"/>
      <c r="C19" s="17">
        <v>491691692</v>
      </c>
      <c r="D19" s="18"/>
      <c r="E19" s="17">
        <v>475835042</v>
      </c>
      <c r="F19" s="14"/>
      <c r="G19" s="13">
        <f>C19-E19</f>
        <v>15856650</v>
      </c>
    </row>
    <row r="20" spans="1:7" ht="15.75" x14ac:dyDescent="0.25">
      <c r="A20" s="9"/>
      <c r="B20" s="9"/>
      <c r="C20" s="17"/>
      <c r="D20" s="18"/>
      <c r="E20" s="17"/>
      <c r="F20" s="14"/>
      <c r="G20" s="13"/>
    </row>
    <row r="21" spans="1:7" ht="15.75" x14ac:dyDescent="0.25">
      <c r="A21" s="9" t="s">
        <v>54</v>
      </c>
      <c r="B21" s="9"/>
      <c r="C21" s="17"/>
      <c r="D21" s="18"/>
      <c r="E21" s="17"/>
      <c r="F21" s="14"/>
      <c r="G21" s="13"/>
    </row>
    <row r="22" spans="1:7" ht="15.75" x14ac:dyDescent="0.25">
      <c r="A22" s="9" t="s">
        <v>55</v>
      </c>
      <c r="B22" s="9"/>
      <c r="C22" s="13">
        <v>35507667</v>
      </c>
      <c r="D22" s="14"/>
      <c r="E22" s="13">
        <v>33683788</v>
      </c>
      <c r="F22" s="14"/>
      <c r="G22" s="13">
        <f>C22-E22</f>
        <v>1823879</v>
      </c>
    </row>
    <row r="23" spans="1:7" ht="15.75" x14ac:dyDescent="0.25">
      <c r="A23" s="9"/>
      <c r="B23" s="9"/>
      <c r="C23" s="13"/>
      <c r="D23" s="14"/>
      <c r="E23" s="13"/>
      <c r="F23" s="14"/>
      <c r="G23" s="13"/>
    </row>
    <row r="24" spans="1:7" ht="15.75" x14ac:dyDescent="0.25">
      <c r="A24" s="9" t="s">
        <v>56</v>
      </c>
      <c r="B24" s="9"/>
      <c r="C24" s="13"/>
      <c r="D24" s="14"/>
      <c r="E24" s="13"/>
      <c r="F24" s="14"/>
      <c r="G24" s="13"/>
    </row>
    <row r="25" spans="1:7" ht="15.75" x14ac:dyDescent="0.25">
      <c r="A25" s="9" t="s">
        <v>55</v>
      </c>
      <c r="B25" s="9"/>
      <c r="C25" s="13">
        <v>34558196</v>
      </c>
      <c r="D25" s="14"/>
      <c r="E25" s="13">
        <v>33999227</v>
      </c>
      <c r="F25" s="14"/>
      <c r="G25" s="13">
        <f>C25-E25</f>
        <v>558969</v>
      </c>
    </row>
    <row r="26" spans="1:7" ht="15.75" x14ac:dyDescent="0.25">
      <c r="A26" s="9"/>
      <c r="B26" s="9"/>
      <c r="C26" s="10"/>
      <c r="D26" s="9"/>
      <c r="E26" s="10"/>
      <c r="F26" s="9"/>
      <c r="G26" s="10"/>
    </row>
    <row r="27" spans="1:7" ht="15.75" x14ac:dyDescent="0.25">
      <c r="A27" s="9" t="s">
        <v>57</v>
      </c>
      <c r="B27" s="9"/>
      <c r="C27" s="10"/>
      <c r="D27" s="9"/>
      <c r="E27" s="10"/>
      <c r="F27" s="9"/>
      <c r="G27" s="10"/>
    </row>
    <row r="28" spans="1:7" ht="15.75" x14ac:dyDescent="0.25">
      <c r="A28" s="9" t="s">
        <v>53</v>
      </c>
      <c r="B28" s="9"/>
      <c r="C28" s="10">
        <f>C19-C22+C25</f>
        <v>490742221</v>
      </c>
      <c r="D28" s="9"/>
      <c r="E28" s="10">
        <f>E19-E22+E25</f>
        <v>476150481</v>
      </c>
      <c r="F28" s="9"/>
      <c r="G28" s="10">
        <f>C28-E28</f>
        <v>14591740</v>
      </c>
    </row>
    <row r="29" spans="1:7" ht="15.75" x14ac:dyDescent="0.25">
      <c r="A29" s="9"/>
      <c r="B29" s="9"/>
      <c r="C29" s="10"/>
      <c r="D29" s="9"/>
      <c r="E29" s="10"/>
      <c r="F29" s="9"/>
      <c r="G29" s="10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 t="s">
        <v>58</v>
      </c>
      <c r="B31" s="9"/>
      <c r="C31" s="9"/>
      <c r="D31" s="9"/>
      <c r="E31" s="56">
        <f>G28/C28</f>
        <v>2.9734022009082442E-2</v>
      </c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9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</sheetData>
  <pageMargins left="0.75" right="0.75" top="1.2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D4403-8050-445E-B014-680D427AD08B}">
  <sheetPr>
    <pageSetUpPr fitToPage="1"/>
  </sheetPr>
  <dimension ref="A1:K99"/>
  <sheetViews>
    <sheetView zoomScale="60" zoomScaleNormal="60" workbookViewId="0">
      <selection activeCell="J40" sqref="J40"/>
    </sheetView>
  </sheetViews>
  <sheetFormatPr defaultColWidth="9.6640625" defaultRowHeight="15" x14ac:dyDescent="0.2"/>
  <cols>
    <col min="1" max="1" width="11.33203125" style="1" customWidth="1"/>
    <col min="2" max="2" width="19.5546875" style="1" customWidth="1"/>
    <col min="3" max="3" width="19.33203125" style="1" customWidth="1"/>
    <col min="4" max="4" width="10" style="1" customWidth="1"/>
    <col min="5" max="5" width="17.6640625" style="1" customWidth="1"/>
    <col min="6" max="6" width="9.6640625" style="1" customWidth="1"/>
    <col min="7" max="7" width="8.5546875" style="1" customWidth="1"/>
    <col min="8" max="8" width="13.77734375" style="1" customWidth="1"/>
    <col min="9" max="9" width="19.88671875" style="1" customWidth="1"/>
    <col min="10" max="10" width="20.6640625" style="1" customWidth="1"/>
    <col min="11" max="16384" width="9.6640625" style="1"/>
  </cols>
  <sheetData>
    <row r="1" spans="1:11" x14ac:dyDescent="0.2">
      <c r="A1" s="2" t="s">
        <v>0</v>
      </c>
      <c r="B1" s="2" t="s">
        <v>23</v>
      </c>
      <c r="C1" s="2"/>
      <c r="D1" s="2"/>
      <c r="E1" s="2"/>
      <c r="F1" s="2"/>
      <c r="G1" s="2" t="s">
        <v>27</v>
      </c>
      <c r="H1" s="2"/>
      <c r="I1" s="2"/>
      <c r="J1" s="2"/>
    </row>
    <row r="2" spans="1:11" x14ac:dyDescent="0.2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</row>
    <row r="3" spans="1:11" x14ac:dyDescent="0.2">
      <c r="A3" s="3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</row>
    <row r="4" spans="1:11" ht="18" x14ac:dyDescent="0.25">
      <c r="A4" s="52" t="s">
        <v>2</v>
      </c>
      <c r="B4" s="52"/>
      <c r="C4" s="52"/>
      <c r="D4" s="52"/>
      <c r="E4" s="24" t="s">
        <v>97</v>
      </c>
      <c r="F4" s="52"/>
      <c r="G4" s="52" t="s">
        <v>28</v>
      </c>
      <c r="H4" s="52"/>
      <c r="I4" s="52" t="s">
        <v>51</v>
      </c>
      <c r="J4" s="25" t="str">
        <f>E4</f>
        <v>June</v>
      </c>
    </row>
    <row r="5" spans="1:11" ht="1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1" ht="18" x14ac:dyDescent="0.25">
      <c r="A6" s="52" t="s">
        <v>71</v>
      </c>
      <c r="B6" s="52"/>
      <c r="C6" s="52"/>
      <c r="D6" s="52"/>
      <c r="E6" s="26">
        <v>39519371</v>
      </c>
      <c r="F6" s="52"/>
      <c r="G6" s="52" t="s">
        <v>29</v>
      </c>
      <c r="H6" s="52"/>
      <c r="I6" s="52"/>
      <c r="J6" s="59"/>
      <c r="K6" s="55"/>
    </row>
    <row r="7" spans="1:11" ht="18" x14ac:dyDescent="0.25">
      <c r="A7" s="52"/>
      <c r="B7" s="52"/>
      <c r="C7" s="52"/>
      <c r="D7" s="52"/>
      <c r="E7" s="60"/>
      <c r="F7" s="52"/>
      <c r="G7" s="52"/>
      <c r="H7" s="52"/>
      <c r="I7" s="52"/>
      <c r="J7" s="52"/>
    </row>
    <row r="8" spans="1:11" ht="18" x14ac:dyDescent="0.25">
      <c r="A8" s="52" t="s">
        <v>72</v>
      </c>
      <c r="B8" s="52"/>
      <c r="C8" s="52"/>
      <c r="D8" s="52"/>
      <c r="E8" s="26">
        <v>38207657</v>
      </c>
      <c r="F8" s="52"/>
      <c r="G8" s="52" t="s">
        <v>30</v>
      </c>
      <c r="H8" s="52"/>
      <c r="I8" s="52"/>
      <c r="J8" s="54">
        <v>-182481</v>
      </c>
    </row>
    <row r="9" spans="1:11" ht="18" x14ac:dyDescent="0.25">
      <c r="A9" s="52"/>
      <c r="B9" s="52"/>
      <c r="C9" s="52"/>
      <c r="D9" s="52"/>
      <c r="E9" s="60"/>
      <c r="F9" s="52"/>
      <c r="G9" s="52"/>
      <c r="H9" s="52" t="s">
        <v>26</v>
      </c>
      <c r="I9" s="52"/>
      <c r="J9" s="29" t="s">
        <v>26</v>
      </c>
    </row>
    <row r="10" spans="1:11" ht="18" x14ac:dyDescent="0.25">
      <c r="A10" s="52"/>
      <c r="B10" s="52"/>
      <c r="C10" s="52"/>
      <c r="D10" s="52"/>
      <c r="E10" s="60"/>
      <c r="F10" s="52"/>
      <c r="G10" s="52"/>
      <c r="H10" s="52" t="s">
        <v>26</v>
      </c>
      <c r="I10" s="52"/>
      <c r="J10" s="29" t="s">
        <v>26</v>
      </c>
    </row>
    <row r="11" spans="1:11" ht="18" x14ac:dyDescent="0.25">
      <c r="A11" s="52" t="s">
        <v>3</v>
      </c>
      <c r="B11" s="52"/>
      <c r="C11" s="52"/>
      <c r="D11" s="52"/>
      <c r="E11" s="60">
        <v>0</v>
      </c>
      <c r="F11" s="52"/>
      <c r="G11" s="52" t="s">
        <v>31</v>
      </c>
      <c r="H11" s="52"/>
      <c r="I11" s="52"/>
      <c r="J11" s="61">
        <f>E37</f>
        <v>28665.195919999969</v>
      </c>
    </row>
    <row r="12" spans="1:11" ht="18" x14ac:dyDescent="0.25">
      <c r="A12" s="52"/>
      <c r="B12" s="52"/>
      <c r="C12" s="52"/>
      <c r="D12" s="52"/>
      <c r="E12" s="60"/>
      <c r="F12" s="52"/>
      <c r="G12" s="52"/>
      <c r="H12" s="52"/>
      <c r="I12" s="52"/>
      <c r="J12" s="59"/>
    </row>
    <row r="13" spans="1:11" ht="18" x14ac:dyDescent="0.25">
      <c r="A13" s="52" t="s">
        <v>4</v>
      </c>
      <c r="B13" s="52"/>
      <c r="C13" s="52"/>
      <c r="D13" s="52"/>
      <c r="E13" s="60">
        <f>SUM(E8:E11)</f>
        <v>38207657</v>
      </c>
      <c r="F13" s="52"/>
      <c r="G13" s="52" t="s">
        <v>32</v>
      </c>
      <c r="H13" s="52"/>
      <c r="I13" s="52"/>
      <c r="J13" s="59">
        <v>0</v>
      </c>
    </row>
    <row r="14" spans="1:11" ht="18" x14ac:dyDescent="0.25">
      <c r="A14" s="52"/>
      <c r="B14" s="52"/>
      <c r="C14" s="52"/>
      <c r="D14" s="52"/>
      <c r="E14" s="60"/>
      <c r="F14" s="52"/>
      <c r="G14" s="52"/>
      <c r="H14" s="52"/>
      <c r="I14" s="52"/>
      <c r="J14" s="59"/>
    </row>
    <row r="15" spans="1:11" ht="18" x14ac:dyDescent="0.25">
      <c r="A15" s="52" t="s">
        <v>5</v>
      </c>
      <c r="B15" s="52"/>
      <c r="C15" s="52"/>
      <c r="D15" s="52"/>
      <c r="E15" s="62">
        <f>E6-E13</f>
        <v>1311714</v>
      </c>
      <c r="F15" s="52"/>
      <c r="G15" s="52" t="s">
        <v>33</v>
      </c>
      <c r="H15" s="52"/>
      <c r="I15" s="52"/>
      <c r="J15" s="61">
        <f>ROUND((+J8+J11),4)</f>
        <v>-153815.80410000001</v>
      </c>
    </row>
    <row r="16" spans="1:11" ht="18" x14ac:dyDescent="0.25">
      <c r="A16" s="52" t="s">
        <v>6</v>
      </c>
      <c r="B16" s="52"/>
      <c r="C16" s="52"/>
      <c r="D16" s="52"/>
      <c r="E16" s="60"/>
      <c r="F16" s="52"/>
      <c r="G16" s="52" t="s">
        <v>34</v>
      </c>
      <c r="H16" s="52"/>
      <c r="I16" s="52"/>
      <c r="J16" s="59"/>
    </row>
    <row r="17" spans="1:10" ht="18" x14ac:dyDescent="0.25">
      <c r="A17" s="52"/>
      <c r="B17" s="52"/>
      <c r="C17" s="52"/>
      <c r="D17" s="52"/>
      <c r="E17" s="60"/>
      <c r="F17" s="52"/>
      <c r="G17" s="52"/>
      <c r="H17" s="52"/>
      <c r="I17" s="52"/>
      <c r="J17" s="52"/>
    </row>
    <row r="18" spans="1:10" ht="18" x14ac:dyDescent="0.25">
      <c r="A18" s="63" t="s">
        <v>1</v>
      </c>
      <c r="B18" s="63" t="s">
        <v>1</v>
      </c>
      <c r="C18" s="63" t="s">
        <v>1</v>
      </c>
      <c r="D18" s="63" t="s">
        <v>1</v>
      </c>
      <c r="E18" s="64" t="s">
        <v>1</v>
      </c>
      <c r="F18" s="52"/>
      <c r="G18" s="52" t="s">
        <v>35</v>
      </c>
      <c r="H18" s="52"/>
      <c r="I18" s="52"/>
      <c r="J18" s="60">
        <f>E6</f>
        <v>39519371</v>
      </c>
    </row>
    <row r="19" spans="1:10" ht="18" x14ac:dyDescent="0.25">
      <c r="A19" s="63" t="s">
        <v>1</v>
      </c>
      <c r="B19" s="63" t="s">
        <v>1</v>
      </c>
      <c r="C19" s="63" t="s">
        <v>1</v>
      </c>
      <c r="D19" s="63" t="s">
        <v>1</v>
      </c>
      <c r="E19" s="64"/>
      <c r="F19" s="52"/>
      <c r="G19" s="52"/>
      <c r="H19" s="52"/>
      <c r="I19" s="52"/>
      <c r="J19" s="52"/>
    </row>
    <row r="20" spans="1:10" ht="18" x14ac:dyDescent="0.25">
      <c r="A20" s="52" t="s">
        <v>7</v>
      </c>
      <c r="B20" s="52"/>
      <c r="C20" s="52"/>
      <c r="D20" s="52" t="s">
        <v>25</v>
      </c>
      <c r="E20" s="24" t="s">
        <v>92</v>
      </c>
      <c r="F20" s="52"/>
      <c r="G20" s="52" t="s">
        <v>36</v>
      </c>
      <c r="H20" s="52"/>
      <c r="I20" s="52"/>
      <c r="J20" s="34">
        <f>ROUND((J8/J18),5)</f>
        <v>-4.62E-3</v>
      </c>
    </row>
    <row r="21" spans="1:10" ht="18" x14ac:dyDescent="0.25">
      <c r="A21" s="52"/>
      <c r="B21" s="52"/>
      <c r="C21" s="52"/>
      <c r="D21" s="52"/>
      <c r="E21" s="60"/>
      <c r="F21" s="52"/>
      <c r="G21" s="52" t="s">
        <v>37</v>
      </c>
      <c r="H21" s="52"/>
      <c r="I21" s="52"/>
      <c r="J21" s="52"/>
    </row>
    <row r="22" spans="1:10" ht="18" x14ac:dyDescent="0.25">
      <c r="A22" s="52" t="s">
        <v>8</v>
      </c>
      <c r="B22" s="52"/>
      <c r="C22" s="52"/>
      <c r="D22" s="52"/>
      <c r="E22" s="53">
        <v>-6.4799999999999996E-3</v>
      </c>
      <c r="F22" s="52"/>
      <c r="G22" s="52"/>
      <c r="H22" s="52"/>
      <c r="I22" s="52"/>
      <c r="J22" s="52"/>
    </row>
    <row r="23" spans="1:10" ht="18" x14ac:dyDescent="0.25">
      <c r="A23" s="52"/>
      <c r="B23" s="52"/>
      <c r="C23" s="52"/>
      <c r="D23" s="52"/>
      <c r="E23" s="60"/>
      <c r="F23" s="52"/>
      <c r="G23" s="52" t="s">
        <v>38</v>
      </c>
      <c r="H23" s="52"/>
      <c r="I23" s="52"/>
      <c r="J23" s="52"/>
    </row>
    <row r="24" spans="1:10" ht="18" x14ac:dyDescent="0.25">
      <c r="A24" s="52" t="s">
        <v>9</v>
      </c>
      <c r="B24" s="52"/>
      <c r="C24" s="52"/>
      <c r="D24" s="52"/>
      <c r="E24" s="35">
        <v>38216028</v>
      </c>
      <c r="F24" s="52"/>
      <c r="G24" s="63" t="s">
        <v>1</v>
      </c>
      <c r="H24" s="52"/>
      <c r="I24" s="52"/>
      <c r="J24" s="52"/>
    </row>
    <row r="25" spans="1:10" ht="18" x14ac:dyDescent="0.25">
      <c r="A25" s="52"/>
      <c r="B25" s="52"/>
      <c r="C25" s="52"/>
      <c r="D25" s="52"/>
      <c r="E25" s="35"/>
      <c r="F25" s="52"/>
      <c r="G25" s="52" t="s">
        <v>39</v>
      </c>
      <c r="H25" s="52"/>
      <c r="I25" s="52"/>
      <c r="J25" s="58">
        <f>'12 Mth Avg-Jun 21'!E31</f>
        <v>3.0985652457373565E-2</v>
      </c>
    </row>
    <row r="26" spans="1:10" ht="18" x14ac:dyDescent="0.25">
      <c r="A26" s="52" t="s">
        <v>10</v>
      </c>
      <c r="B26" s="52"/>
      <c r="C26" s="52"/>
      <c r="D26" s="52"/>
      <c r="E26" s="35">
        <f>-1225-7146</f>
        <v>-8371</v>
      </c>
      <c r="F26" s="52"/>
      <c r="G26" s="52"/>
      <c r="H26" s="52"/>
      <c r="I26" s="52"/>
      <c r="J26" s="52"/>
    </row>
    <row r="27" spans="1:10" ht="18" x14ac:dyDescent="0.25">
      <c r="A27" s="52"/>
      <c r="B27" s="52"/>
      <c r="C27" s="52"/>
      <c r="D27" s="52"/>
      <c r="E27" s="62"/>
      <c r="F27" s="52"/>
      <c r="G27" s="52" t="s">
        <v>40</v>
      </c>
      <c r="H27" s="52"/>
      <c r="I27" s="52"/>
      <c r="J27" s="36" t="str">
        <f>E4</f>
        <v>June</v>
      </c>
    </row>
    <row r="28" spans="1:10" ht="18" x14ac:dyDescent="0.25">
      <c r="A28" s="52" t="s">
        <v>11</v>
      </c>
      <c r="B28" s="52"/>
      <c r="C28" s="52"/>
      <c r="D28" s="52"/>
      <c r="E28" s="62">
        <f>SUM(E24:E27)</f>
        <v>38207657</v>
      </c>
      <c r="F28" s="52"/>
      <c r="G28" s="52"/>
      <c r="H28" s="52"/>
      <c r="I28" s="52"/>
      <c r="J28" s="52"/>
    </row>
    <row r="29" spans="1:10" ht="18" x14ac:dyDescent="0.25">
      <c r="A29" s="52" t="s">
        <v>12</v>
      </c>
      <c r="B29" s="52"/>
      <c r="C29" s="52"/>
      <c r="D29" s="52"/>
      <c r="E29" s="60"/>
      <c r="F29" s="52"/>
      <c r="G29" s="52" t="s">
        <v>41</v>
      </c>
      <c r="H29" s="52"/>
      <c r="I29" s="52"/>
      <c r="J29" s="65">
        <f>ROUND((+E15/E6),6)</f>
        <v>3.3191999999999999E-2</v>
      </c>
    </row>
    <row r="30" spans="1:10" ht="18" x14ac:dyDescent="0.25">
      <c r="A30" s="52"/>
      <c r="B30" s="52" t="s">
        <v>26</v>
      </c>
      <c r="C30" s="52"/>
      <c r="D30" s="52"/>
      <c r="E30" s="60"/>
      <c r="F30" s="52"/>
      <c r="G30" s="52" t="s">
        <v>42</v>
      </c>
      <c r="H30" s="52"/>
      <c r="I30" s="52"/>
      <c r="J30" s="52"/>
    </row>
    <row r="31" spans="1:10" ht="18" x14ac:dyDescent="0.25">
      <c r="A31" s="52" t="s">
        <v>13</v>
      </c>
      <c r="B31" s="52"/>
      <c r="C31" s="52"/>
      <c r="D31" s="52"/>
      <c r="E31" s="54">
        <v>-212832.14</v>
      </c>
      <c r="F31" s="52"/>
      <c r="G31" s="52"/>
      <c r="H31" s="52"/>
      <c r="I31" s="52"/>
      <c r="J31" s="52"/>
    </row>
    <row r="32" spans="1:10" ht="18" x14ac:dyDescent="0.25">
      <c r="A32" s="52" t="s">
        <v>14</v>
      </c>
      <c r="B32" s="52"/>
      <c r="C32" s="52"/>
      <c r="D32" s="52"/>
      <c r="E32" s="61"/>
      <c r="F32" s="52"/>
      <c r="G32" s="52" t="s">
        <v>43</v>
      </c>
      <c r="H32" s="52"/>
      <c r="I32" s="52"/>
      <c r="J32" s="52"/>
    </row>
    <row r="33" spans="1:10" ht="18" x14ac:dyDescent="0.25">
      <c r="A33" s="52"/>
      <c r="B33" s="52"/>
      <c r="C33" s="52"/>
      <c r="D33" s="52"/>
      <c r="E33" s="61"/>
      <c r="F33" s="52"/>
      <c r="G33" s="63" t="s">
        <v>1</v>
      </c>
      <c r="H33" s="63" t="s">
        <v>1</v>
      </c>
      <c r="I33" s="63" t="s">
        <v>1</v>
      </c>
      <c r="J33" s="52"/>
    </row>
    <row r="34" spans="1:10" ht="18" x14ac:dyDescent="0.25">
      <c r="A34" s="52" t="s">
        <v>15</v>
      </c>
      <c r="B34" s="52"/>
      <c r="C34" s="52"/>
      <c r="D34" s="52"/>
      <c r="E34" s="61">
        <f>(+E26*E22)+B41</f>
        <v>-241497.33591999998</v>
      </c>
      <c r="F34" s="52"/>
      <c r="G34" s="52" t="s">
        <v>44</v>
      </c>
      <c r="H34" s="52"/>
      <c r="I34" s="52"/>
      <c r="J34" s="65">
        <f>ROUND((1-J25),7)</f>
        <v>0.9690143</v>
      </c>
    </row>
    <row r="35" spans="1:10" ht="18" x14ac:dyDescent="0.25">
      <c r="A35" s="52" t="s">
        <v>16</v>
      </c>
      <c r="B35" s="52"/>
      <c r="C35" s="52"/>
      <c r="D35" s="52"/>
      <c r="E35" s="61"/>
      <c r="F35" s="52"/>
      <c r="G35" s="52" t="s">
        <v>45</v>
      </c>
      <c r="H35" s="52"/>
      <c r="I35" s="52"/>
      <c r="J35" s="52"/>
    </row>
    <row r="36" spans="1:10" ht="18" x14ac:dyDescent="0.25">
      <c r="A36" s="52"/>
      <c r="B36" s="52"/>
      <c r="C36" s="52"/>
      <c r="D36" s="52"/>
      <c r="E36" s="61"/>
      <c r="F36" s="52"/>
      <c r="G36" s="52"/>
      <c r="H36" s="52"/>
      <c r="I36" s="52"/>
      <c r="J36" s="52"/>
    </row>
    <row r="37" spans="1:10" ht="18" x14ac:dyDescent="0.25">
      <c r="A37" s="52" t="s">
        <v>17</v>
      </c>
      <c r="B37" s="52"/>
      <c r="C37" s="52"/>
      <c r="D37" s="52"/>
      <c r="E37" s="61">
        <f>(E31-E34)</f>
        <v>28665.195919999969</v>
      </c>
      <c r="F37" s="52"/>
      <c r="G37" s="52" t="s">
        <v>46</v>
      </c>
      <c r="H37" s="52"/>
      <c r="I37" s="52"/>
      <c r="J37" s="66">
        <f>ROUND((J15/J18),5)</f>
        <v>-3.8899999999999998E-3</v>
      </c>
    </row>
    <row r="38" spans="1:10" ht="18" x14ac:dyDescent="0.25">
      <c r="A38" s="52" t="s">
        <v>18</v>
      </c>
      <c r="B38" s="52"/>
      <c r="C38" s="52"/>
      <c r="D38" s="52"/>
      <c r="E38" s="61"/>
      <c r="F38" s="52"/>
      <c r="G38" s="52" t="s">
        <v>47</v>
      </c>
      <c r="H38" s="52"/>
      <c r="I38" s="52"/>
      <c r="J38" s="66"/>
    </row>
    <row r="39" spans="1:10" ht="18" x14ac:dyDescent="0.25">
      <c r="A39" s="52"/>
      <c r="B39" s="52"/>
      <c r="C39" s="52"/>
      <c r="D39" s="52"/>
      <c r="E39" s="59"/>
      <c r="F39" s="52"/>
      <c r="G39" s="52"/>
      <c r="H39" s="52"/>
      <c r="I39" s="52"/>
      <c r="J39" s="66"/>
    </row>
    <row r="40" spans="1:10" ht="18" x14ac:dyDescent="0.25">
      <c r="A40" s="52"/>
      <c r="B40" s="39" t="s">
        <v>24</v>
      </c>
      <c r="C40" s="39"/>
      <c r="D40" s="39"/>
      <c r="E40" s="59"/>
      <c r="F40" s="52"/>
      <c r="G40" s="52" t="s">
        <v>48</v>
      </c>
      <c r="H40" s="52"/>
      <c r="I40" s="52"/>
      <c r="J40" s="40">
        <f>ROUND((J37/J34),7)</f>
        <v>-4.0144000000000004E-3</v>
      </c>
    </row>
    <row r="41" spans="1:10" ht="18" x14ac:dyDescent="0.25">
      <c r="A41" s="52"/>
      <c r="B41" s="57">
        <v>-241551.58</v>
      </c>
      <c r="D41" s="41"/>
      <c r="E41" s="59"/>
      <c r="F41" s="52"/>
      <c r="G41" s="52"/>
      <c r="H41" s="52"/>
      <c r="I41" s="52"/>
      <c r="J41" s="52"/>
    </row>
    <row r="42" spans="1:10" ht="18" x14ac:dyDescent="0.25">
      <c r="A42" s="52"/>
      <c r="B42" s="52"/>
      <c r="C42" s="52"/>
      <c r="D42" s="52"/>
      <c r="E42" s="52"/>
      <c r="F42" s="52"/>
      <c r="G42" s="52" t="s">
        <v>49</v>
      </c>
      <c r="H42" s="52"/>
      <c r="I42" s="52"/>
      <c r="J42" s="67">
        <f>ROUND((+J40*100),3)</f>
        <v>-0.40100000000000002</v>
      </c>
    </row>
    <row r="43" spans="1:10" ht="18" x14ac:dyDescent="0.25">
      <c r="A43" s="63" t="s">
        <v>1</v>
      </c>
      <c r="B43" s="63" t="s">
        <v>1</v>
      </c>
      <c r="C43" s="63" t="s">
        <v>1</v>
      </c>
      <c r="D43" s="63" t="s">
        <v>1</v>
      </c>
      <c r="E43" s="63" t="s">
        <v>1</v>
      </c>
      <c r="F43" s="63" t="s">
        <v>1</v>
      </c>
      <c r="G43" s="63" t="s">
        <v>1</v>
      </c>
      <c r="H43" s="63" t="s">
        <v>1</v>
      </c>
      <c r="I43" s="63" t="s">
        <v>1</v>
      </c>
      <c r="J43" s="63" t="s">
        <v>1</v>
      </c>
    </row>
    <row r="44" spans="1:10" ht="18" x14ac:dyDescent="0.25">
      <c r="A44" s="52" t="s">
        <v>19</v>
      </c>
      <c r="B44" s="52"/>
      <c r="C44" s="52"/>
      <c r="D44" s="68">
        <f>J42</f>
        <v>-0.40100000000000002</v>
      </c>
      <c r="E44" s="52" t="s">
        <v>26</v>
      </c>
      <c r="F44" s="69"/>
      <c r="G44" s="52"/>
      <c r="H44" s="52"/>
      <c r="I44" s="52"/>
      <c r="J44" s="52"/>
    </row>
    <row r="45" spans="1:10" ht="18" x14ac:dyDescent="0.25">
      <c r="A45" s="52" t="s">
        <v>20</v>
      </c>
      <c r="B45" s="24" t="s">
        <v>98</v>
      </c>
      <c r="C45" s="52"/>
      <c r="D45" s="52" t="s">
        <v>26</v>
      </c>
      <c r="E45" s="52"/>
      <c r="F45" s="52"/>
      <c r="G45" s="52"/>
      <c r="H45" s="52"/>
      <c r="I45" s="52"/>
      <c r="J45" s="52"/>
    </row>
    <row r="46" spans="1:10" ht="18" x14ac:dyDescent="0.25">
      <c r="A46" s="52"/>
      <c r="B46" s="52"/>
      <c r="C46" s="52"/>
      <c r="D46" s="52"/>
      <c r="E46" s="36"/>
      <c r="F46" s="52"/>
      <c r="G46" s="52"/>
      <c r="H46" s="45" t="s">
        <v>50</v>
      </c>
      <c r="I46" s="24" t="s">
        <v>99</v>
      </c>
      <c r="J46" s="46"/>
    </row>
    <row r="47" spans="1:10" ht="18" x14ac:dyDescent="0.25">
      <c r="A47" s="52" t="s">
        <v>100</v>
      </c>
      <c r="B47" s="52" t="s">
        <v>101</v>
      </c>
      <c r="C47" s="52"/>
      <c r="D47" s="52"/>
      <c r="E47" s="52"/>
      <c r="F47" s="52"/>
      <c r="G47" s="52"/>
      <c r="H47" s="52" t="s">
        <v>102</v>
      </c>
      <c r="I47" s="52"/>
      <c r="J47" s="52"/>
    </row>
    <row r="48" spans="1:10" ht="18" x14ac:dyDescent="0.25">
      <c r="A48" s="52" t="s">
        <v>21</v>
      </c>
      <c r="B48" s="52"/>
      <c r="C48" s="52"/>
      <c r="D48" s="52"/>
      <c r="E48" s="52"/>
      <c r="F48" s="52"/>
      <c r="G48" s="52"/>
      <c r="H48" s="52" t="s">
        <v>103</v>
      </c>
      <c r="I48" s="52"/>
      <c r="J48" s="52"/>
    </row>
    <row r="49" spans="1:10" ht="15.75" x14ac:dyDescent="0.25">
      <c r="A49" s="6" t="s">
        <v>22</v>
      </c>
      <c r="B49" s="2"/>
      <c r="C49" s="2"/>
      <c r="D49" s="2"/>
      <c r="E49" s="2"/>
      <c r="F49" s="7"/>
      <c r="G49" s="2"/>
      <c r="H49" s="7"/>
      <c r="I49" s="2" t="s">
        <v>26</v>
      </c>
      <c r="J49" s="4"/>
    </row>
    <row r="50" spans="1:10" ht="15.75" x14ac:dyDescent="0.25">
      <c r="A50" s="2"/>
      <c r="B50" s="2"/>
      <c r="C50" s="2"/>
      <c r="D50" s="2"/>
      <c r="E50" s="2"/>
      <c r="F50" s="2"/>
      <c r="G50" s="2"/>
      <c r="H50" s="7"/>
      <c r="I50" s="7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8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5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5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5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5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5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5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5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5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5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5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5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5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5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5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5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5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5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5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5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5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5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5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5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55FAA-4F28-4332-ABCA-17F0907B90A9}">
  <dimension ref="A1:G40"/>
  <sheetViews>
    <sheetView topLeftCell="A13" workbookViewId="0">
      <selection activeCell="G28" sqref="G28"/>
    </sheetView>
  </sheetViews>
  <sheetFormatPr defaultRowHeight="15" x14ac:dyDescent="0.2"/>
  <cols>
    <col min="1" max="1" width="21" customWidth="1"/>
    <col min="3" max="3" width="11.5546875" customWidth="1"/>
    <col min="4" max="4" width="6.77734375" customWidth="1"/>
    <col min="5" max="5" width="9.6640625" bestFit="1" customWidth="1"/>
    <col min="6" max="6" width="3.77734375" customWidth="1"/>
    <col min="7" max="7" width="12" customWidth="1"/>
  </cols>
  <sheetData>
    <row r="1" spans="1:7" ht="15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59</v>
      </c>
      <c r="B2" s="15"/>
      <c r="C2" s="15"/>
      <c r="D2" s="15"/>
      <c r="E2" s="15"/>
      <c r="F2" s="15"/>
      <c r="G2" s="15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 t="s">
        <v>60</v>
      </c>
      <c r="B5" s="11"/>
      <c r="C5" s="11"/>
      <c r="D5" s="11"/>
      <c r="E5" s="11"/>
      <c r="F5" s="11"/>
      <c r="G5" s="11"/>
    </row>
    <row r="6" spans="1:7" ht="15.75" x14ac:dyDescent="0.25">
      <c r="A6" s="11" t="s">
        <v>61</v>
      </c>
      <c r="B6" s="11"/>
      <c r="C6" s="11"/>
      <c r="D6" s="11"/>
      <c r="E6" s="11"/>
      <c r="F6" s="11"/>
      <c r="G6" s="11"/>
    </row>
    <row r="7" spans="1:7" ht="15.75" x14ac:dyDescent="0.25">
      <c r="A7" s="11" t="s">
        <v>62</v>
      </c>
      <c r="B7" s="11"/>
      <c r="C7" s="11"/>
      <c r="D7" s="11"/>
      <c r="E7" s="11"/>
      <c r="F7" s="11"/>
      <c r="G7" s="11"/>
    </row>
    <row r="8" spans="1:7" ht="15.75" x14ac:dyDescent="0.25">
      <c r="A8" s="9"/>
      <c r="B8" s="9"/>
      <c r="C8" s="9"/>
      <c r="D8" s="9"/>
      <c r="E8" s="9"/>
      <c r="F8" s="9"/>
      <c r="G8" s="9"/>
    </row>
    <row r="9" spans="1:7" ht="15.75" x14ac:dyDescent="0.25">
      <c r="A9" s="19">
        <v>44377</v>
      </c>
      <c r="B9" s="11"/>
      <c r="C9" s="11"/>
      <c r="D9" s="11"/>
      <c r="E9" s="11"/>
      <c r="F9" s="11"/>
      <c r="G9" s="11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15"/>
      <c r="B11" s="15"/>
      <c r="C11" s="15"/>
      <c r="D11" s="15"/>
      <c r="E11" s="15"/>
      <c r="F11" s="15"/>
      <c r="G11" s="15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2"/>
      <c r="B13" s="12"/>
      <c r="C13" s="16" t="s">
        <v>63</v>
      </c>
      <c r="D13" s="12"/>
      <c r="E13" s="16" t="s">
        <v>66</v>
      </c>
      <c r="F13" s="16"/>
      <c r="G13" s="16" t="s">
        <v>69</v>
      </c>
    </row>
    <row r="14" spans="1:7" ht="15.75" x14ac:dyDescent="0.25">
      <c r="A14" s="12"/>
      <c r="B14" s="12"/>
      <c r="C14" s="16" t="s">
        <v>64</v>
      </c>
      <c r="D14" s="12"/>
      <c r="E14" s="16" t="s">
        <v>64</v>
      </c>
      <c r="F14" s="16"/>
      <c r="G14" s="16" t="s">
        <v>64</v>
      </c>
    </row>
    <row r="15" spans="1:7" ht="15.75" x14ac:dyDescent="0.25">
      <c r="A15" s="12"/>
      <c r="B15" s="12"/>
      <c r="C15" s="16" t="s">
        <v>65</v>
      </c>
      <c r="D15" s="12"/>
      <c r="E15" s="16" t="s">
        <v>67</v>
      </c>
      <c r="F15" s="16"/>
      <c r="G15" s="16" t="s">
        <v>68</v>
      </c>
    </row>
    <row r="16" spans="1:7" ht="15.75" x14ac:dyDescent="0.25">
      <c r="A16" s="12"/>
      <c r="B16" s="12"/>
      <c r="C16" s="16"/>
      <c r="D16" s="12"/>
      <c r="E16" s="16" t="s">
        <v>70</v>
      </c>
      <c r="F16" s="16"/>
      <c r="G16" s="16"/>
    </row>
    <row r="17" spans="1:7" ht="15.75" x14ac:dyDescent="0.25">
      <c r="A17" s="9"/>
      <c r="B17" s="9"/>
      <c r="C17" s="9"/>
      <c r="D17" s="9"/>
      <c r="E17" s="9"/>
      <c r="F17" s="9"/>
      <c r="G17" s="9"/>
    </row>
    <row r="18" spans="1:7" ht="15.75" x14ac:dyDescent="0.25">
      <c r="A18" s="9" t="s">
        <v>52</v>
      </c>
      <c r="B18" s="9"/>
      <c r="C18" s="9"/>
      <c r="D18" s="9"/>
      <c r="E18" s="9"/>
      <c r="F18" s="9"/>
      <c r="G18" s="9"/>
    </row>
    <row r="19" spans="1:7" ht="15.75" x14ac:dyDescent="0.25">
      <c r="A19" s="9" t="s">
        <v>53</v>
      </c>
      <c r="B19" s="9"/>
      <c r="C19" s="17">
        <v>490742221</v>
      </c>
      <c r="D19" s="18"/>
      <c r="E19" s="17">
        <v>476150481</v>
      </c>
      <c r="F19" s="14"/>
      <c r="G19" s="13">
        <f>C19-E19</f>
        <v>14591740</v>
      </c>
    </row>
    <row r="20" spans="1:7" ht="15.75" x14ac:dyDescent="0.25">
      <c r="A20" s="9"/>
      <c r="B20" s="9"/>
      <c r="C20" s="17"/>
      <c r="D20" s="18"/>
      <c r="E20" s="17"/>
      <c r="F20" s="14"/>
      <c r="G20" s="13"/>
    </row>
    <row r="21" spans="1:7" ht="15.75" x14ac:dyDescent="0.25">
      <c r="A21" s="9" t="s">
        <v>54</v>
      </c>
      <c r="B21" s="9"/>
      <c r="C21" s="17"/>
      <c r="D21" s="18"/>
      <c r="E21" s="17"/>
      <c r="F21" s="14"/>
      <c r="G21" s="13"/>
    </row>
    <row r="22" spans="1:7" ht="15.75" x14ac:dyDescent="0.25">
      <c r="A22" s="9" t="s">
        <v>55</v>
      </c>
      <c r="B22" s="9"/>
      <c r="C22" s="13">
        <v>40422657</v>
      </c>
      <c r="D22" s="14"/>
      <c r="E22" s="13">
        <v>39697182</v>
      </c>
      <c r="F22" s="14"/>
      <c r="G22" s="13">
        <f>C22-E22</f>
        <v>725475</v>
      </c>
    </row>
    <row r="23" spans="1:7" ht="15.75" x14ac:dyDescent="0.25">
      <c r="A23" s="9"/>
      <c r="B23" s="9"/>
      <c r="C23" s="13"/>
      <c r="D23" s="14"/>
      <c r="E23" s="13"/>
      <c r="F23" s="14"/>
      <c r="G23" s="13"/>
    </row>
    <row r="24" spans="1:7" ht="15.75" x14ac:dyDescent="0.25">
      <c r="A24" s="9" t="s">
        <v>56</v>
      </c>
      <c r="B24" s="9"/>
      <c r="C24" s="13"/>
      <c r="D24" s="14"/>
      <c r="E24" s="13"/>
      <c r="F24" s="14"/>
      <c r="G24" s="13"/>
    </row>
    <row r="25" spans="1:7" ht="15.75" x14ac:dyDescent="0.25">
      <c r="A25" s="9" t="s">
        <v>55</v>
      </c>
      <c r="B25" s="9"/>
      <c r="C25" s="13">
        <v>39519371</v>
      </c>
      <c r="D25" s="14"/>
      <c r="E25" s="13">
        <v>38207657</v>
      </c>
      <c r="F25" s="14"/>
      <c r="G25" s="13">
        <f>C25-E25</f>
        <v>1311714</v>
      </c>
    </row>
    <row r="26" spans="1:7" ht="15.75" x14ac:dyDescent="0.25">
      <c r="A26" s="9"/>
      <c r="B26" s="9"/>
      <c r="C26" s="10"/>
      <c r="D26" s="9"/>
      <c r="E26" s="10"/>
      <c r="F26" s="9"/>
      <c r="G26" s="10"/>
    </row>
    <row r="27" spans="1:7" ht="15.75" x14ac:dyDescent="0.25">
      <c r="A27" s="9" t="s">
        <v>57</v>
      </c>
      <c r="B27" s="9"/>
      <c r="C27" s="10"/>
      <c r="D27" s="9"/>
      <c r="E27" s="10"/>
      <c r="F27" s="9"/>
      <c r="G27" s="10"/>
    </row>
    <row r="28" spans="1:7" ht="15.75" x14ac:dyDescent="0.25">
      <c r="A28" s="9" t="s">
        <v>53</v>
      </c>
      <c r="B28" s="9"/>
      <c r="C28" s="10">
        <f>C19-C22+C25</f>
        <v>489838935</v>
      </c>
      <c r="D28" s="9"/>
      <c r="E28" s="10">
        <f>E19-E22+E25</f>
        <v>474660956</v>
      </c>
      <c r="F28" s="9"/>
      <c r="G28" s="10">
        <f>C28-E28</f>
        <v>15177979</v>
      </c>
    </row>
    <row r="29" spans="1:7" ht="15.75" x14ac:dyDescent="0.25">
      <c r="A29" s="9"/>
      <c r="B29" s="9"/>
      <c r="C29" s="10"/>
      <c r="D29" s="9"/>
      <c r="E29" s="10"/>
      <c r="F29" s="9"/>
      <c r="G29" s="10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 t="s">
        <v>58</v>
      </c>
      <c r="B31" s="9"/>
      <c r="C31" s="9"/>
      <c r="D31" s="9"/>
      <c r="E31" s="56">
        <f>G28/C28</f>
        <v>3.0985652457373565E-2</v>
      </c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9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</sheetData>
  <pageMargins left="0.75" right="0.75" top="1.2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DABA5-E317-4D1A-A5C7-BC60DCC09DB6}">
  <sheetPr>
    <pageSetUpPr fitToPage="1"/>
  </sheetPr>
  <dimension ref="A1:M99"/>
  <sheetViews>
    <sheetView zoomScale="60" zoomScaleNormal="60" workbookViewId="0">
      <selection activeCell="J40" sqref="J40"/>
    </sheetView>
  </sheetViews>
  <sheetFormatPr defaultColWidth="9.6640625" defaultRowHeight="15" x14ac:dyDescent="0.2"/>
  <cols>
    <col min="1" max="1" width="11.33203125" style="1" customWidth="1"/>
    <col min="2" max="2" width="28.77734375" style="1" customWidth="1"/>
    <col min="3" max="3" width="19.33203125" style="1" customWidth="1"/>
    <col min="4" max="4" width="10" style="1" customWidth="1"/>
    <col min="5" max="5" width="17.6640625" style="1" customWidth="1"/>
    <col min="6" max="6" width="9.6640625" style="1" customWidth="1"/>
    <col min="7" max="7" width="8.5546875" style="1" customWidth="1"/>
    <col min="8" max="8" width="13.77734375" style="1" customWidth="1"/>
    <col min="9" max="9" width="18.77734375" style="1" customWidth="1"/>
    <col min="10" max="10" width="20.6640625" style="1" customWidth="1"/>
    <col min="11" max="16384" width="9.6640625" style="1"/>
  </cols>
  <sheetData>
    <row r="1" spans="1:11" x14ac:dyDescent="0.2">
      <c r="A1" s="2" t="s">
        <v>0</v>
      </c>
      <c r="B1" s="2" t="s">
        <v>23</v>
      </c>
      <c r="C1" s="2"/>
      <c r="D1" s="2"/>
      <c r="E1" s="2"/>
      <c r="F1" s="2"/>
      <c r="G1" s="2" t="s">
        <v>27</v>
      </c>
      <c r="H1" s="2"/>
      <c r="I1" s="2"/>
      <c r="J1" s="2"/>
    </row>
    <row r="2" spans="1:11" x14ac:dyDescent="0.2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</row>
    <row r="3" spans="1:11" x14ac:dyDescent="0.2">
      <c r="A3" s="3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</row>
    <row r="4" spans="1:11" ht="18" x14ac:dyDescent="0.25">
      <c r="A4" s="52" t="s">
        <v>2</v>
      </c>
      <c r="B4" s="52"/>
      <c r="C4" s="52"/>
      <c r="D4" s="52"/>
      <c r="E4" s="24" t="s">
        <v>104</v>
      </c>
      <c r="F4" s="52"/>
      <c r="G4" s="52" t="s">
        <v>28</v>
      </c>
      <c r="H4" s="52"/>
      <c r="I4" s="52" t="s">
        <v>51</v>
      </c>
      <c r="J4" s="25" t="str">
        <f>E4</f>
        <v>July</v>
      </c>
    </row>
    <row r="5" spans="1:11" ht="1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1" ht="18" x14ac:dyDescent="0.25">
      <c r="A6" s="52" t="s">
        <v>71</v>
      </c>
      <c r="B6" s="52"/>
      <c r="C6" s="52"/>
      <c r="D6" s="52"/>
      <c r="E6" s="26">
        <v>42774079</v>
      </c>
      <c r="F6" s="52"/>
      <c r="G6" s="52" t="s">
        <v>29</v>
      </c>
      <c r="H6" s="52"/>
      <c r="I6" s="52"/>
      <c r="J6" s="59"/>
      <c r="K6" s="55"/>
    </row>
    <row r="7" spans="1:11" ht="18" x14ac:dyDescent="0.25">
      <c r="A7" s="52"/>
      <c r="B7" s="52"/>
      <c r="C7" s="52"/>
      <c r="D7" s="52"/>
      <c r="E7" s="60"/>
      <c r="F7" s="52"/>
      <c r="G7" s="52"/>
      <c r="H7" s="52"/>
      <c r="I7" s="52"/>
      <c r="J7" s="52"/>
    </row>
    <row r="8" spans="1:11" ht="18" x14ac:dyDescent="0.25">
      <c r="A8" s="52" t="s">
        <v>72</v>
      </c>
      <c r="B8" s="52"/>
      <c r="C8" s="52"/>
      <c r="D8" s="52"/>
      <c r="E8" s="26">
        <v>40997285</v>
      </c>
      <c r="F8" s="52"/>
      <c r="G8" s="52" t="s">
        <v>30</v>
      </c>
      <c r="H8" s="52"/>
      <c r="I8" s="52"/>
      <c r="J8" s="54">
        <v>-172227</v>
      </c>
    </row>
    <row r="9" spans="1:11" ht="18" x14ac:dyDescent="0.25">
      <c r="A9" s="52"/>
      <c r="B9" s="52"/>
      <c r="C9" s="52"/>
      <c r="D9" s="52"/>
      <c r="E9" s="60"/>
      <c r="F9" s="52"/>
      <c r="G9" s="52"/>
      <c r="H9" s="52" t="s">
        <v>26</v>
      </c>
      <c r="I9" s="52"/>
      <c r="J9" s="29" t="s">
        <v>26</v>
      </c>
    </row>
    <row r="10" spans="1:11" ht="18" x14ac:dyDescent="0.25">
      <c r="A10" s="52"/>
      <c r="B10" s="52"/>
      <c r="C10" s="52"/>
      <c r="D10" s="52"/>
      <c r="E10" s="60"/>
      <c r="F10" s="52"/>
      <c r="G10" s="52"/>
      <c r="H10" s="52" t="s">
        <v>26</v>
      </c>
      <c r="I10" s="52"/>
      <c r="J10" s="29" t="s">
        <v>26</v>
      </c>
    </row>
    <row r="11" spans="1:11" ht="18" x14ac:dyDescent="0.25">
      <c r="A11" s="52" t="s">
        <v>3</v>
      </c>
      <c r="B11" s="52"/>
      <c r="C11" s="52"/>
      <c r="D11" s="52"/>
      <c r="E11" s="60">
        <v>0</v>
      </c>
      <c r="F11" s="52"/>
      <c r="G11" s="52" t="s">
        <v>31</v>
      </c>
      <c r="H11" s="52"/>
      <c r="I11" s="52"/>
      <c r="J11" s="61">
        <f>E37</f>
        <v>50387.672140000039</v>
      </c>
    </row>
    <row r="12" spans="1:11" ht="18" x14ac:dyDescent="0.25">
      <c r="A12" s="52"/>
      <c r="B12" s="52"/>
      <c r="C12" s="52"/>
      <c r="D12" s="52"/>
      <c r="E12" s="60"/>
      <c r="F12" s="52"/>
      <c r="G12" s="52"/>
      <c r="H12" s="52"/>
      <c r="I12" s="52"/>
      <c r="J12" s="59"/>
    </row>
    <row r="13" spans="1:11" ht="18" x14ac:dyDescent="0.25">
      <c r="A13" s="52" t="s">
        <v>4</v>
      </c>
      <c r="B13" s="52"/>
      <c r="C13" s="52"/>
      <c r="D13" s="52"/>
      <c r="E13" s="60">
        <f>SUM(E8:E11)</f>
        <v>40997285</v>
      </c>
      <c r="F13" s="52"/>
      <c r="G13" s="52" t="s">
        <v>32</v>
      </c>
      <c r="H13" s="52"/>
      <c r="I13" s="52"/>
      <c r="J13" s="59">
        <v>0</v>
      </c>
    </row>
    <row r="14" spans="1:11" ht="18" x14ac:dyDescent="0.25">
      <c r="A14" s="52"/>
      <c r="B14" s="52"/>
      <c r="C14" s="52"/>
      <c r="D14" s="52"/>
      <c r="E14" s="60"/>
      <c r="F14" s="52"/>
      <c r="G14" s="52"/>
      <c r="H14" s="52"/>
      <c r="I14" s="52"/>
      <c r="J14" s="59"/>
    </row>
    <row r="15" spans="1:11" ht="18" x14ac:dyDescent="0.25">
      <c r="A15" s="52" t="s">
        <v>5</v>
      </c>
      <c r="B15" s="52"/>
      <c r="C15" s="52"/>
      <c r="D15" s="52"/>
      <c r="E15" s="62">
        <f>E6-E13</f>
        <v>1776794</v>
      </c>
      <c r="F15" s="52"/>
      <c r="G15" s="52" t="s">
        <v>33</v>
      </c>
      <c r="H15" s="52"/>
      <c r="I15" s="52"/>
      <c r="J15" s="61">
        <f>ROUND((+J8+J11),4)</f>
        <v>-121839.3279</v>
      </c>
    </row>
    <row r="16" spans="1:11" ht="18" x14ac:dyDescent="0.25">
      <c r="A16" s="52" t="s">
        <v>6</v>
      </c>
      <c r="B16" s="52"/>
      <c r="C16" s="52"/>
      <c r="D16" s="52"/>
      <c r="E16" s="60"/>
      <c r="F16" s="52"/>
      <c r="G16" s="52" t="s">
        <v>34</v>
      </c>
      <c r="H16" s="52"/>
      <c r="I16" s="52"/>
      <c r="J16" s="59"/>
    </row>
    <row r="17" spans="1:13" ht="18" x14ac:dyDescent="0.25">
      <c r="A17" s="52"/>
      <c r="B17" s="52"/>
      <c r="C17" s="52"/>
      <c r="D17" s="52"/>
      <c r="E17" s="60"/>
      <c r="F17" s="52"/>
      <c r="G17" s="52"/>
      <c r="H17" s="52"/>
      <c r="I17" s="52"/>
      <c r="J17" s="52"/>
    </row>
    <row r="18" spans="1:13" ht="18" x14ac:dyDescent="0.25">
      <c r="A18" s="63" t="s">
        <v>1</v>
      </c>
      <c r="B18" s="63" t="s">
        <v>1</v>
      </c>
      <c r="C18" s="63" t="s">
        <v>1</v>
      </c>
      <c r="D18" s="63" t="s">
        <v>1</v>
      </c>
      <c r="E18" s="64" t="s">
        <v>1</v>
      </c>
      <c r="F18" s="52"/>
      <c r="G18" s="52" t="s">
        <v>35</v>
      </c>
      <c r="H18" s="52"/>
      <c r="I18" s="52"/>
      <c r="J18" s="60">
        <f>E6</f>
        <v>42774079</v>
      </c>
    </row>
    <row r="19" spans="1:13" ht="18" x14ac:dyDescent="0.25">
      <c r="A19" s="63" t="s">
        <v>1</v>
      </c>
      <c r="B19" s="63" t="s">
        <v>1</v>
      </c>
      <c r="C19" s="63" t="s">
        <v>1</v>
      </c>
      <c r="D19" s="63" t="s">
        <v>1</v>
      </c>
      <c r="E19" s="64"/>
      <c r="F19" s="52"/>
      <c r="G19" s="52"/>
      <c r="H19" s="52"/>
      <c r="I19" s="52"/>
      <c r="J19" s="52"/>
    </row>
    <row r="20" spans="1:13" ht="18" x14ac:dyDescent="0.25">
      <c r="A20" s="52" t="s">
        <v>7</v>
      </c>
      <c r="B20" s="52"/>
      <c r="C20" s="52"/>
      <c r="D20" s="52" t="s">
        <v>25</v>
      </c>
      <c r="E20" s="24" t="s">
        <v>94</v>
      </c>
      <c r="F20" s="52"/>
      <c r="G20" s="52" t="s">
        <v>36</v>
      </c>
      <c r="H20" s="52"/>
      <c r="I20" s="52"/>
      <c r="J20" s="34">
        <f>ROUND((J8/J18),5)</f>
        <v>-4.0299999999999997E-3</v>
      </c>
    </row>
    <row r="21" spans="1:13" ht="18" x14ac:dyDescent="0.25">
      <c r="A21" s="52"/>
      <c r="B21" s="52"/>
      <c r="C21" s="52"/>
      <c r="D21" s="52"/>
      <c r="E21" s="60"/>
      <c r="F21" s="52"/>
      <c r="G21" s="52" t="s">
        <v>37</v>
      </c>
      <c r="H21" s="52"/>
      <c r="I21" s="52"/>
      <c r="J21" s="52"/>
    </row>
    <row r="22" spans="1:13" ht="18" x14ac:dyDescent="0.25">
      <c r="A22" s="52" t="s">
        <v>8</v>
      </c>
      <c r="B22" s="52"/>
      <c r="C22" s="52"/>
      <c r="D22" s="52"/>
      <c r="E22" s="53">
        <v>-7.1700000000000002E-3</v>
      </c>
      <c r="F22" s="52"/>
      <c r="G22" s="52"/>
      <c r="H22" s="52"/>
      <c r="I22" s="52"/>
      <c r="J22" s="52"/>
    </row>
    <row r="23" spans="1:13" ht="18" x14ac:dyDescent="0.25">
      <c r="A23" s="52"/>
      <c r="B23" s="52"/>
      <c r="C23" s="52"/>
      <c r="D23" s="52"/>
      <c r="E23" s="60"/>
      <c r="F23" s="52"/>
      <c r="G23" s="52" t="s">
        <v>38</v>
      </c>
      <c r="H23" s="52"/>
      <c r="I23" s="52"/>
      <c r="J23" s="52"/>
    </row>
    <row r="24" spans="1:13" ht="18" x14ac:dyDescent="0.25">
      <c r="A24" s="52" t="s">
        <v>9</v>
      </c>
      <c r="B24" s="52"/>
      <c r="C24" s="52"/>
      <c r="D24" s="52"/>
      <c r="E24" s="35">
        <v>41090943</v>
      </c>
      <c r="F24" s="52"/>
      <c r="G24" s="63" t="s">
        <v>1</v>
      </c>
      <c r="H24" s="52"/>
      <c r="I24" s="52"/>
      <c r="J24" s="52"/>
    </row>
    <row r="25" spans="1:13" ht="18" x14ac:dyDescent="0.25">
      <c r="A25" s="52"/>
      <c r="B25" s="52"/>
      <c r="C25" s="52"/>
      <c r="D25" s="52"/>
      <c r="E25" s="35"/>
      <c r="F25" s="52"/>
      <c r="G25" s="52" t="s">
        <v>39</v>
      </c>
      <c r="H25" s="52"/>
      <c r="I25" s="52"/>
      <c r="J25" s="58">
        <f>'12 Mth Avg-Jul 21'!E31</f>
        <v>2.8554965307418446E-2</v>
      </c>
    </row>
    <row r="26" spans="1:13" ht="18" x14ac:dyDescent="0.25">
      <c r="A26" s="52" t="s">
        <v>10</v>
      </c>
      <c r="B26" s="52"/>
      <c r="C26" s="52"/>
      <c r="D26" s="52"/>
      <c r="E26" s="35">
        <f>-95386+1845-117</f>
        <v>-93658</v>
      </c>
      <c r="F26" s="52"/>
      <c r="G26" s="52"/>
      <c r="H26" s="52"/>
      <c r="I26" s="52"/>
      <c r="J26" s="52"/>
      <c r="M26" s="70"/>
    </row>
    <row r="27" spans="1:13" ht="18" x14ac:dyDescent="0.25">
      <c r="A27" s="52"/>
      <c r="B27" s="52"/>
      <c r="C27" s="52"/>
      <c r="D27" s="52"/>
      <c r="E27" s="62"/>
      <c r="F27" s="52"/>
      <c r="G27" s="52" t="s">
        <v>40</v>
      </c>
      <c r="H27" s="52"/>
      <c r="I27" s="52"/>
      <c r="J27" s="36" t="str">
        <f>E4</f>
        <v>July</v>
      </c>
    </row>
    <row r="28" spans="1:13" ht="18" x14ac:dyDescent="0.25">
      <c r="A28" s="52" t="s">
        <v>11</v>
      </c>
      <c r="B28" s="52"/>
      <c r="C28" s="52"/>
      <c r="D28" s="52"/>
      <c r="E28" s="62">
        <f>SUM(E24:E27)</f>
        <v>40997285</v>
      </c>
      <c r="F28" s="52"/>
      <c r="G28" s="52"/>
      <c r="H28" s="52"/>
      <c r="I28" s="52"/>
      <c r="J28" s="52"/>
    </row>
    <row r="29" spans="1:13" ht="18" x14ac:dyDescent="0.25">
      <c r="A29" s="52" t="s">
        <v>12</v>
      </c>
      <c r="B29" s="52"/>
      <c r="C29" s="52"/>
      <c r="D29" s="52"/>
      <c r="E29" s="60"/>
      <c r="F29" s="52"/>
      <c r="G29" s="52" t="s">
        <v>41</v>
      </c>
      <c r="H29" s="52"/>
      <c r="I29" s="52"/>
      <c r="J29" s="65">
        <f>ROUND((+E15/E6),6)</f>
        <v>4.1539E-2</v>
      </c>
    </row>
    <row r="30" spans="1:13" ht="18" x14ac:dyDescent="0.25">
      <c r="A30" s="52"/>
      <c r="B30" s="52" t="s">
        <v>26</v>
      </c>
      <c r="C30" s="52"/>
      <c r="D30" s="52"/>
      <c r="E30" s="60"/>
      <c r="F30" s="52"/>
      <c r="G30" s="52" t="s">
        <v>42</v>
      </c>
      <c r="H30" s="52"/>
      <c r="I30" s="52"/>
      <c r="J30" s="52"/>
    </row>
    <row r="31" spans="1:13" ht="18" x14ac:dyDescent="0.25">
      <c r="A31" s="52" t="s">
        <v>13</v>
      </c>
      <c r="B31" s="52"/>
      <c r="C31" s="52"/>
      <c r="D31" s="52"/>
      <c r="E31" s="54">
        <v>-240468.88</v>
      </c>
      <c r="F31" s="52"/>
      <c r="G31" s="52"/>
      <c r="H31" s="52"/>
      <c r="I31" s="52"/>
      <c r="J31" s="52"/>
    </row>
    <row r="32" spans="1:13" ht="18" x14ac:dyDescent="0.25">
      <c r="A32" s="52" t="s">
        <v>14</v>
      </c>
      <c r="B32" s="52"/>
      <c r="C32" s="52"/>
      <c r="D32" s="52"/>
      <c r="E32" s="61"/>
      <c r="F32" s="52"/>
      <c r="G32" s="52" t="s">
        <v>43</v>
      </c>
      <c r="H32" s="52"/>
      <c r="I32" s="52"/>
      <c r="J32" s="52"/>
    </row>
    <row r="33" spans="1:10" ht="18" x14ac:dyDescent="0.25">
      <c r="A33" s="52"/>
      <c r="B33" s="52"/>
      <c r="C33" s="52"/>
      <c r="D33" s="52"/>
      <c r="E33" s="61"/>
      <c r="F33" s="52"/>
      <c r="G33" s="63" t="s">
        <v>1</v>
      </c>
      <c r="H33" s="63" t="s">
        <v>1</v>
      </c>
      <c r="I33" s="63" t="s">
        <v>1</v>
      </c>
      <c r="J33" s="52"/>
    </row>
    <row r="34" spans="1:10" ht="18" x14ac:dyDescent="0.25">
      <c r="A34" s="52" t="s">
        <v>15</v>
      </c>
      <c r="B34" s="52"/>
      <c r="C34" s="52"/>
      <c r="D34" s="52"/>
      <c r="E34" s="61">
        <f>(+E26*E22)+B41</f>
        <v>-290856.55214000004</v>
      </c>
      <c r="F34" s="52"/>
      <c r="G34" s="52" t="s">
        <v>44</v>
      </c>
      <c r="H34" s="52"/>
      <c r="I34" s="52"/>
      <c r="J34" s="65">
        <f>ROUND((1-J25),7)</f>
        <v>0.971445</v>
      </c>
    </row>
    <row r="35" spans="1:10" ht="18" x14ac:dyDescent="0.25">
      <c r="A35" s="52" t="s">
        <v>16</v>
      </c>
      <c r="B35" s="52"/>
      <c r="C35" s="52"/>
      <c r="D35" s="52"/>
      <c r="E35" s="61"/>
      <c r="F35" s="52"/>
      <c r="G35" s="52" t="s">
        <v>45</v>
      </c>
      <c r="H35" s="52"/>
      <c r="I35" s="52"/>
      <c r="J35" s="52"/>
    </row>
    <row r="36" spans="1:10" ht="18" x14ac:dyDescent="0.25">
      <c r="A36" s="52"/>
      <c r="B36" s="52"/>
      <c r="C36" s="52"/>
      <c r="D36" s="52"/>
      <c r="E36" s="61"/>
      <c r="F36" s="52"/>
      <c r="G36" s="52"/>
      <c r="H36" s="52"/>
      <c r="I36" s="52"/>
      <c r="J36" s="52"/>
    </row>
    <row r="37" spans="1:10" ht="18" x14ac:dyDescent="0.25">
      <c r="A37" s="52" t="s">
        <v>17</v>
      </c>
      <c r="B37" s="52"/>
      <c r="C37" s="52"/>
      <c r="D37" s="52"/>
      <c r="E37" s="61">
        <f>(E31-E34)</f>
        <v>50387.672140000039</v>
      </c>
      <c r="F37" s="52"/>
      <c r="G37" s="52" t="s">
        <v>46</v>
      </c>
      <c r="H37" s="52"/>
      <c r="I37" s="52"/>
      <c r="J37" s="66">
        <f>ROUND((J15/J18),5)</f>
        <v>-2.8500000000000001E-3</v>
      </c>
    </row>
    <row r="38" spans="1:10" ht="18" x14ac:dyDescent="0.25">
      <c r="A38" s="52" t="s">
        <v>18</v>
      </c>
      <c r="B38" s="52"/>
      <c r="C38" s="52"/>
      <c r="D38" s="52"/>
      <c r="E38" s="61"/>
      <c r="F38" s="52"/>
      <c r="G38" s="52" t="s">
        <v>47</v>
      </c>
      <c r="H38" s="52"/>
      <c r="I38" s="52"/>
      <c r="J38" s="66"/>
    </row>
    <row r="39" spans="1:10" ht="18" x14ac:dyDescent="0.25">
      <c r="A39" s="52"/>
      <c r="B39" s="52"/>
      <c r="C39" s="52"/>
      <c r="D39" s="52"/>
      <c r="E39" s="59"/>
      <c r="F39" s="52"/>
      <c r="G39" s="52"/>
      <c r="H39" s="52"/>
      <c r="I39" s="52"/>
      <c r="J39" s="66"/>
    </row>
    <row r="40" spans="1:10" ht="18" x14ac:dyDescent="0.25">
      <c r="A40" s="52"/>
      <c r="B40" s="39" t="s">
        <v>24</v>
      </c>
      <c r="C40" s="39"/>
      <c r="D40" s="39"/>
      <c r="E40" s="59"/>
      <c r="F40" s="52"/>
      <c r="G40" s="52" t="s">
        <v>48</v>
      </c>
      <c r="H40" s="52"/>
      <c r="I40" s="52"/>
      <c r="J40" s="40">
        <f>ROUND((J37/J34),7)</f>
        <v>-2.9337999999999999E-3</v>
      </c>
    </row>
    <row r="41" spans="1:10" ht="18" x14ac:dyDescent="0.25">
      <c r="A41" s="52"/>
      <c r="B41" s="57">
        <v>-291528.08</v>
      </c>
      <c r="D41" s="41"/>
      <c r="E41" s="59"/>
      <c r="F41" s="52"/>
      <c r="G41" s="52"/>
      <c r="H41" s="52"/>
      <c r="I41" s="52"/>
      <c r="J41" s="52"/>
    </row>
    <row r="42" spans="1:10" ht="18" x14ac:dyDescent="0.25">
      <c r="A42" s="52"/>
      <c r="B42" s="52"/>
      <c r="C42" s="52"/>
      <c r="D42" s="52"/>
      <c r="E42" s="52"/>
      <c r="F42" s="52"/>
      <c r="G42" s="52" t="s">
        <v>49</v>
      </c>
      <c r="H42" s="52"/>
      <c r="I42" s="52"/>
      <c r="J42" s="67">
        <f>ROUND((+J40*100),3)</f>
        <v>-0.29299999999999998</v>
      </c>
    </row>
    <row r="43" spans="1:10" ht="18" x14ac:dyDescent="0.25">
      <c r="A43" s="63" t="s">
        <v>1</v>
      </c>
      <c r="B43" s="63" t="s">
        <v>1</v>
      </c>
      <c r="C43" s="63" t="s">
        <v>1</v>
      </c>
      <c r="D43" s="63" t="s">
        <v>1</v>
      </c>
      <c r="E43" s="63" t="s">
        <v>1</v>
      </c>
      <c r="F43" s="63" t="s">
        <v>1</v>
      </c>
      <c r="G43" s="63" t="s">
        <v>1</v>
      </c>
      <c r="H43" s="63" t="s">
        <v>1</v>
      </c>
      <c r="I43" s="63" t="s">
        <v>1</v>
      </c>
      <c r="J43" s="63" t="s">
        <v>1</v>
      </c>
    </row>
    <row r="44" spans="1:10" ht="18" x14ac:dyDescent="0.25">
      <c r="A44" s="52" t="s">
        <v>19</v>
      </c>
      <c r="B44" s="52"/>
      <c r="C44" s="52"/>
      <c r="D44" s="68">
        <f>J42</f>
        <v>-0.29299999999999998</v>
      </c>
      <c r="E44" s="52" t="s">
        <v>26</v>
      </c>
      <c r="F44" s="69"/>
      <c r="G44" s="52"/>
      <c r="H44" s="52"/>
      <c r="I44" s="52"/>
      <c r="J44" s="52"/>
    </row>
    <row r="45" spans="1:10" ht="18" x14ac:dyDescent="0.25">
      <c r="A45" s="52" t="s">
        <v>20</v>
      </c>
      <c r="B45" s="71">
        <f>I46+24</f>
        <v>44459</v>
      </c>
      <c r="C45" s="52"/>
      <c r="D45" s="52" t="s">
        <v>26</v>
      </c>
      <c r="E45" s="52"/>
      <c r="F45" s="52"/>
      <c r="G45" s="52"/>
      <c r="H45" s="52"/>
      <c r="I45" s="52"/>
      <c r="J45" s="52"/>
    </row>
    <row r="46" spans="1:10" ht="18" x14ac:dyDescent="0.25">
      <c r="A46" s="52"/>
      <c r="B46" s="52"/>
      <c r="C46" s="52"/>
      <c r="D46" s="52"/>
      <c r="E46" s="36"/>
      <c r="F46" s="52"/>
      <c r="G46" s="52"/>
      <c r="H46" s="45" t="s">
        <v>50</v>
      </c>
      <c r="I46" s="71">
        <v>44435</v>
      </c>
      <c r="J46" s="46"/>
    </row>
    <row r="47" spans="1:10" ht="18" x14ac:dyDescent="0.25">
      <c r="A47" s="52" t="s">
        <v>100</v>
      </c>
      <c r="B47" s="52" t="s">
        <v>105</v>
      </c>
      <c r="C47" s="52"/>
      <c r="D47" s="52"/>
      <c r="E47" s="52"/>
      <c r="F47" s="52"/>
      <c r="G47" s="52"/>
      <c r="H47" s="52" t="s">
        <v>106</v>
      </c>
      <c r="I47" s="52"/>
      <c r="J47" s="52"/>
    </row>
    <row r="48" spans="1:10" ht="18" x14ac:dyDescent="0.25">
      <c r="A48" s="52" t="s">
        <v>21</v>
      </c>
      <c r="B48" s="52"/>
      <c r="C48" s="52"/>
      <c r="D48" s="52"/>
      <c r="E48" s="52"/>
      <c r="F48" s="52"/>
      <c r="G48" s="52"/>
      <c r="H48" s="52" t="s">
        <v>103</v>
      </c>
      <c r="I48" s="52"/>
      <c r="J48" s="52"/>
    </row>
    <row r="49" spans="1:10" ht="15.75" x14ac:dyDescent="0.25">
      <c r="A49" s="6" t="s">
        <v>22</v>
      </c>
      <c r="B49" s="2"/>
      <c r="C49" s="2"/>
      <c r="D49" s="2"/>
      <c r="E49" s="2"/>
      <c r="F49" s="7"/>
      <c r="G49" s="2"/>
      <c r="H49" s="7"/>
      <c r="I49" s="2" t="s">
        <v>26</v>
      </c>
      <c r="J49" s="4"/>
    </row>
    <row r="50" spans="1:10" ht="15.75" x14ac:dyDescent="0.25">
      <c r="A50" s="2"/>
      <c r="B50" s="2"/>
      <c r="C50" s="2"/>
      <c r="D50" s="2"/>
      <c r="E50" s="2"/>
      <c r="F50" s="2"/>
      <c r="G50" s="2"/>
      <c r="H50" s="7"/>
      <c r="I50" s="7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8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5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5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5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5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5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5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5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5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5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5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5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5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5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5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5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5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5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5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5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5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5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5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5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2810F-12DB-49BE-939B-A45C791BD012}">
  <dimension ref="A1:G40"/>
  <sheetViews>
    <sheetView workbookViewId="0">
      <selection activeCell="N28" sqref="N28"/>
    </sheetView>
  </sheetViews>
  <sheetFormatPr defaultRowHeight="15" x14ac:dyDescent="0.2"/>
  <cols>
    <col min="1" max="1" width="21" customWidth="1"/>
    <col min="3" max="3" width="11.5546875" customWidth="1"/>
    <col min="4" max="4" width="6.77734375" customWidth="1"/>
    <col min="5" max="5" width="9.6640625" bestFit="1" customWidth="1"/>
    <col min="6" max="6" width="3.77734375" customWidth="1"/>
    <col min="7" max="7" width="12" customWidth="1"/>
  </cols>
  <sheetData>
    <row r="1" spans="1:7" ht="15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59</v>
      </c>
      <c r="B2" s="15"/>
      <c r="C2" s="15"/>
      <c r="D2" s="15"/>
      <c r="E2" s="15"/>
      <c r="F2" s="15"/>
      <c r="G2" s="15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 t="s">
        <v>60</v>
      </c>
      <c r="B5" s="11"/>
      <c r="C5" s="11"/>
      <c r="D5" s="11"/>
      <c r="E5" s="11"/>
      <c r="F5" s="11"/>
      <c r="G5" s="11"/>
    </row>
    <row r="6" spans="1:7" ht="15.75" x14ac:dyDescent="0.25">
      <c r="A6" s="11" t="s">
        <v>61</v>
      </c>
      <c r="B6" s="11"/>
      <c r="C6" s="11"/>
      <c r="D6" s="11"/>
      <c r="E6" s="11"/>
      <c r="F6" s="11"/>
      <c r="G6" s="11"/>
    </row>
    <row r="7" spans="1:7" ht="15.75" x14ac:dyDescent="0.25">
      <c r="A7" s="11" t="s">
        <v>62</v>
      </c>
      <c r="B7" s="11"/>
      <c r="C7" s="11"/>
      <c r="D7" s="11"/>
      <c r="E7" s="11"/>
      <c r="F7" s="11"/>
      <c r="G7" s="11"/>
    </row>
    <row r="8" spans="1:7" ht="15.75" x14ac:dyDescent="0.25">
      <c r="A8" s="9"/>
      <c r="B8" s="9"/>
      <c r="C8" s="9"/>
      <c r="D8" s="9"/>
      <c r="E8" s="9"/>
      <c r="F8" s="9"/>
      <c r="G8" s="9"/>
    </row>
    <row r="9" spans="1:7" ht="15.75" x14ac:dyDescent="0.25">
      <c r="A9" s="19">
        <v>44408</v>
      </c>
      <c r="B9" s="11"/>
      <c r="C9" s="11"/>
      <c r="D9" s="11"/>
      <c r="E9" s="11"/>
      <c r="F9" s="11"/>
      <c r="G9" s="11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15"/>
      <c r="B11" s="15"/>
      <c r="C11" s="15"/>
      <c r="D11" s="15"/>
      <c r="E11" s="15"/>
      <c r="F11" s="15"/>
      <c r="G11" s="15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2"/>
      <c r="B13" s="12"/>
      <c r="C13" s="16" t="s">
        <v>63</v>
      </c>
      <c r="D13" s="12"/>
      <c r="E13" s="16" t="s">
        <v>66</v>
      </c>
      <c r="F13" s="16"/>
      <c r="G13" s="16" t="s">
        <v>69</v>
      </c>
    </row>
    <row r="14" spans="1:7" ht="15.75" x14ac:dyDescent="0.25">
      <c r="A14" s="12"/>
      <c r="B14" s="12"/>
      <c r="C14" s="16" t="s">
        <v>64</v>
      </c>
      <c r="D14" s="12"/>
      <c r="E14" s="16" t="s">
        <v>64</v>
      </c>
      <c r="F14" s="16"/>
      <c r="G14" s="16" t="s">
        <v>64</v>
      </c>
    </row>
    <row r="15" spans="1:7" ht="15.75" x14ac:dyDescent="0.25">
      <c r="A15" s="12"/>
      <c r="B15" s="12"/>
      <c r="C15" s="16" t="s">
        <v>65</v>
      </c>
      <c r="D15" s="12"/>
      <c r="E15" s="16" t="s">
        <v>67</v>
      </c>
      <c r="F15" s="16"/>
      <c r="G15" s="16" t="s">
        <v>68</v>
      </c>
    </row>
    <row r="16" spans="1:7" ht="15.75" x14ac:dyDescent="0.25">
      <c r="A16" s="12"/>
      <c r="B16" s="12"/>
      <c r="C16" s="16"/>
      <c r="D16" s="12"/>
      <c r="E16" s="16" t="s">
        <v>70</v>
      </c>
      <c r="F16" s="16"/>
      <c r="G16" s="16"/>
    </row>
    <row r="17" spans="1:7" ht="15.75" x14ac:dyDescent="0.25">
      <c r="A17" s="9"/>
      <c r="B17" s="9"/>
      <c r="C17" s="9"/>
      <c r="D17" s="9"/>
      <c r="E17" s="9"/>
      <c r="F17" s="9"/>
      <c r="G17" s="9"/>
    </row>
    <row r="18" spans="1:7" ht="15.75" x14ac:dyDescent="0.25">
      <c r="A18" s="9" t="s">
        <v>52</v>
      </c>
      <c r="B18" s="9"/>
      <c r="C18" s="9"/>
      <c r="D18" s="9"/>
      <c r="E18" s="9"/>
      <c r="F18" s="9"/>
      <c r="G18" s="9"/>
    </row>
    <row r="19" spans="1:7" ht="15.75" x14ac:dyDescent="0.25">
      <c r="A19" s="9" t="s">
        <v>53</v>
      </c>
      <c r="B19" s="9"/>
      <c r="C19" s="17">
        <v>489838935</v>
      </c>
      <c r="D19" s="18"/>
      <c r="E19" s="17">
        <v>474660956</v>
      </c>
      <c r="F19" s="14"/>
      <c r="G19" s="13">
        <f>C19-E19</f>
        <v>15177979</v>
      </c>
    </row>
    <row r="20" spans="1:7" ht="15.75" x14ac:dyDescent="0.25">
      <c r="A20" s="9"/>
      <c r="B20" s="9"/>
      <c r="C20" s="17"/>
      <c r="D20" s="18"/>
      <c r="E20" s="17"/>
      <c r="F20" s="14"/>
      <c r="G20" s="13"/>
    </row>
    <row r="21" spans="1:7" ht="15.75" x14ac:dyDescent="0.25">
      <c r="A21" s="9" t="s">
        <v>54</v>
      </c>
      <c r="B21" s="9"/>
      <c r="C21" s="17"/>
      <c r="D21" s="18"/>
      <c r="E21" s="17"/>
      <c r="F21" s="14"/>
      <c r="G21" s="13"/>
    </row>
    <row r="22" spans="1:7" ht="15.75" x14ac:dyDescent="0.25">
      <c r="A22" s="9" t="s">
        <v>55</v>
      </c>
      <c r="B22" s="9"/>
      <c r="C22" s="13">
        <v>47050561</v>
      </c>
      <c r="D22" s="14"/>
      <c r="E22" s="13">
        <v>43961007</v>
      </c>
      <c r="F22" s="14"/>
      <c r="G22" s="13">
        <f>C22-E22</f>
        <v>3089554</v>
      </c>
    </row>
    <row r="23" spans="1:7" ht="15.75" x14ac:dyDescent="0.25">
      <c r="A23" s="9"/>
      <c r="B23" s="9"/>
      <c r="C23" s="13"/>
      <c r="D23" s="14"/>
      <c r="E23" s="13"/>
      <c r="F23" s="14"/>
      <c r="G23" s="13"/>
    </row>
    <row r="24" spans="1:7" ht="15.75" x14ac:dyDescent="0.25">
      <c r="A24" s="9" t="s">
        <v>56</v>
      </c>
      <c r="B24" s="9"/>
      <c r="C24" s="13"/>
      <c r="D24" s="14"/>
      <c r="E24" s="13"/>
      <c r="F24" s="14"/>
      <c r="G24" s="13"/>
    </row>
    <row r="25" spans="1:7" ht="15.75" x14ac:dyDescent="0.25">
      <c r="A25" s="9" t="s">
        <v>55</v>
      </c>
      <c r="B25" s="9"/>
      <c r="C25" s="13">
        <v>42774079</v>
      </c>
      <c r="D25" s="14"/>
      <c r="E25" s="13">
        <v>40997285</v>
      </c>
      <c r="F25" s="14"/>
      <c r="G25" s="13">
        <f>C25-E25</f>
        <v>1776794</v>
      </c>
    </row>
    <row r="26" spans="1:7" ht="15.75" x14ac:dyDescent="0.25">
      <c r="A26" s="9"/>
      <c r="B26" s="9"/>
      <c r="C26" s="10"/>
      <c r="D26" s="9"/>
      <c r="E26" s="10"/>
      <c r="F26" s="9"/>
      <c r="G26" s="10"/>
    </row>
    <row r="27" spans="1:7" ht="15.75" x14ac:dyDescent="0.25">
      <c r="A27" s="9" t="s">
        <v>57</v>
      </c>
      <c r="B27" s="9"/>
      <c r="C27" s="10"/>
      <c r="D27" s="9"/>
      <c r="E27" s="10"/>
      <c r="F27" s="9"/>
      <c r="G27" s="10"/>
    </row>
    <row r="28" spans="1:7" ht="15.75" x14ac:dyDescent="0.25">
      <c r="A28" s="9" t="s">
        <v>53</v>
      </c>
      <c r="B28" s="9"/>
      <c r="C28" s="10">
        <f>C19-C22+C25</f>
        <v>485562453</v>
      </c>
      <c r="D28" s="9"/>
      <c r="E28" s="10">
        <f>E19-E22+E25</f>
        <v>471697234</v>
      </c>
      <c r="F28" s="9"/>
      <c r="G28" s="10">
        <f>C28-E28</f>
        <v>13865219</v>
      </c>
    </row>
    <row r="29" spans="1:7" ht="15.75" x14ac:dyDescent="0.25">
      <c r="A29" s="9"/>
      <c r="B29" s="9"/>
      <c r="C29" s="10"/>
      <c r="D29" s="9"/>
      <c r="E29" s="10"/>
      <c r="F29" s="9"/>
      <c r="G29" s="10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 t="s">
        <v>58</v>
      </c>
      <c r="B31" s="9"/>
      <c r="C31" s="9"/>
      <c r="D31" s="9"/>
      <c r="E31" s="56">
        <f>G28/C28</f>
        <v>2.8554965307418446E-2</v>
      </c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9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</sheetData>
  <pageMargins left="0.75" right="0.75" top="1.2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9"/>
  <sheetViews>
    <sheetView zoomScale="60" zoomScaleNormal="60" workbookViewId="0">
      <selection activeCell="N39" sqref="N39"/>
    </sheetView>
  </sheetViews>
  <sheetFormatPr defaultColWidth="9.6640625" defaultRowHeight="15" x14ac:dyDescent="0.2"/>
  <cols>
    <col min="1" max="1" width="11.33203125" style="21" customWidth="1"/>
    <col min="2" max="2" width="19.5546875" style="21" customWidth="1"/>
    <col min="3" max="3" width="19.33203125" style="21" customWidth="1"/>
    <col min="4" max="4" width="10" style="21" customWidth="1"/>
    <col min="5" max="5" width="17.6640625" style="21" customWidth="1"/>
    <col min="6" max="6" width="9.6640625" style="21" customWidth="1"/>
    <col min="7" max="7" width="8.5546875" style="21" customWidth="1"/>
    <col min="8" max="8" width="13.77734375" style="21" customWidth="1"/>
    <col min="9" max="9" width="19.88671875" style="21" customWidth="1"/>
    <col min="10" max="10" width="20.6640625" style="21" customWidth="1"/>
    <col min="11" max="16384" width="9.6640625" style="21"/>
  </cols>
  <sheetData>
    <row r="1" spans="1:11" x14ac:dyDescent="0.2">
      <c r="A1" s="20" t="s">
        <v>0</v>
      </c>
      <c r="B1" s="20" t="s">
        <v>23</v>
      </c>
      <c r="C1" s="20"/>
      <c r="D1" s="20"/>
      <c r="E1" s="20"/>
      <c r="F1" s="20"/>
      <c r="G1" s="20" t="s">
        <v>27</v>
      </c>
      <c r="H1" s="20"/>
      <c r="I1" s="20"/>
      <c r="J1" s="20"/>
    </row>
    <row r="2" spans="1:11" x14ac:dyDescent="0.2">
      <c r="A2" s="22" t="s">
        <v>1</v>
      </c>
      <c r="B2" s="22" t="s">
        <v>1</v>
      </c>
      <c r="C2" s="22" t="s">
        <v>1</v>
      </c>
      <c r="D2" s="22" t="s">
        <v>1</v>
      </c>
      <c r="E2" s="22" t="s">
        <v>1</v>
      </c>
      <c r="F2" s="22" t="s">
        <v>1</v>
      </c>
      <c r="G2" s="22" t="s">
        <v>1</v>
      </c>
      <c r="H2" s="22" t="s">
        <v>1</v>
      </c>
      <c r="I2" s="22" t="s">
        <v>1</v>
      </c>
      <c r="J2" s="22" t="s">
        <v>1</v>
      </c>
    </row>
    <row r="3" spans="1:11" x14ac:dyDescent="0.2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</row>
    <row r="4" spans="1:11" ht="18" x14ac:dyDescent="0.25">
      <c r="A4" s="23" t="s">
        <v>2</v>
      </c>
      <c r="B4" s="23"/>
      <c r="C4" s="23"/>
      <c r="D4" s="23"/>
      <c r="E4" s="24" t="s">
        <v>76</v>
      </c>
      <c r="F4" s="23"/>
      <c r="G4" s="23" t="s">
        <v>28</v>
      </c>
      <c r="H4" s="23"/>
      <c r="I4" s="23" t="s">
        <v>51</v>
      </c>
      <c r="J4" s="25" t="str">
        <f>E4</f>
        <v>November</v>
      </c>
    </row>
    <row r="5" spans="1:11" ht="18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1" ht="18" x14ac:dyDescent="0.25">
      <c r="A6" s="23" t="s">
        <v>71</v>
      </c>
      <c r="B6" s="23"/>
      <c r="C6" s="23"/>
      <c r="D6" s="23"/>
      <c r="E6" s="26">
        <v>37575964</v>
      </c>
      <c r="F6" s="23"/>
      <c r="G6" s="23" t="s">
        <v>29</v>
      </c>
      <c r="H6" s="23"/>
      <c r="I6" s="23"/>
      <c r="J6" s="27"/>
      <c r="K6" s="55"/>
    </row>
    <row r="7" spans="1:11" ht="18" x14ac:dyDescent="0.25">
      <c r="A7" s="23"/>
      <c r="B7" s="23"/>
      <c r="C7" s="23"/>
      <c r="D7" s="23"/>
      <c r="E7" s="28"/>
      <c r="F7" s="23"/>
      <c r="G7" s="23"/>
      <c r="H7" s="23"/>
      <c r="I7" s="23"/>
      <c r="J7" s="23"/>
    </row>
    <row r="8" spans="1:11" ht="18" x14ac:dyDescent="0.25">
      <c r="A8" s="23" t="s">
        <v>72</v>
      </c>
      <c r="B8" s="23"/>
      <c r="C8" s="23"/>
      <c r="D8" s="23"/>
      <c r="E8" s="26">
        <v>37905022</v>
      </c>
      <c r="F8" s="23"/>
      <c r="G8" s="23" t="s">
        <v>30</v>
      </c>
      <c r="H8" s="23"/>
      <c r="I8" s="23"/>
      <c r="J8" s="54">
        <v>-197649</v>
      </c>
    </row>
    <row r="9" spans="1:11" ht="18" x14ac:dyDescent="0.25">
      <c r="A9" s="23"/>
      <c r="B9" s="23"/>
      <c r="C9" s="23"/>
      <c r="D9" s="23"/>
      <c r="E9" s="28"/>
      <c r="F9" s="23"/>
      <c r="G9" s="23"/>
      <c r="H9" s="23" t="s">
        <v>26</v>
      </c>
      <c r="I9" s="23"/>
      <c r="J9" s="29" t="s">
        <v>26</v>
      </c>
    </row>
    <row r="10" spans="1:11" ht="18" x14ac:dyDescent="0.25">
      <c r="A10" s="23"/>
      <c r="B10" s="23"/>
      <c r="C10" s="23"/>
      <c r="D10" s="23"/>
      <c r="E10" s="28"/>
      <c r="F10" s="23"/>
      <c r="G10" s="23"/>
      <c r="H10" s="23" t="s">
        <v>26</v>
      </c>
      <c r="I10" s="23"/>
      <c r="J10" s="29" t="s">
        <v>26</v>
      </c>
    </row>
    <row r="11" spans="1:11" ht="18" x14ac:dyDescent="0.25">
      <c r="A11" s="23" t="s">
        <v>3</v>
      </c>
      <c r="B11" s="23"/>
      <c r="C11" s="23"/>
      <c r="D11" s="23"/>
      <c r="E11" s="28">
        <v>0</v>
      </c>
      <c r="F11" s="23"/>
      <c r="G11" s="23" t="s">
        <v>31</v>
      </c>
      <c r="H11" s="23"/>
      <c r="I11" s="23"/>
      <c r="J11" s="30">
        <f>E37</f>
        <v>17666.49576000002</v>
      </c>
    </row>
    <row r="12" spans="1:11" ht="18" x14ac:dyDescent="0.25">
      <c r="A12" s="23"/>
      <c r="B12" s="23"/>
      <c r="C12" s="23"/>
      <c r="D12" s="23"/>
      <c r="E12" s="28"/>
      <c r="F12" s="23"/>
      <c r="G12" s="23"/>
      <c r="H12" s="23"/>
      <c r="I12" s="23"/>
      <c r="J12" s="27"/>
    </row>
    <row r="13" spans="1:11" ht="18" x14ac:dyDescent="0.25">
      <c r="A13" s="23" t="s">
        <v>4</v>
      </c>
      <c r="B13" s="23"/>
      <c r="C13" s="23"/>
      <c r="D13" s="23"/>
      <c r="E13" s="28">
        <f>SUM(E8:E11)</f>
        <v>37905022</v>
      </c>
      <c r="F13" s="23"/>
      <c r="G13" s="23" t="s">
        <v>32</v>
      </c>
      <c r="H13" s="23"/>
      <c r="I13" s="23"/>
      <c r="J13" s="27">
        <v>0</v>
      </c>
    </row>
    <row r="14" spans="1:11" ht="18" x14ac:dyDescent="0.25">
      <c r="A14" s="23"/>
      <c r="B14" s="23"/>
      <c r="C14" s="23"/>
      <c r="D14" s="23"/>
      <c r="E14" s="28"/>
      <c r="F14" s="23"/>
      <c r="G14" s="23"/>
      <c r="H14" s="23"/>
      <c r="I14" s="23"/>
      <c r="J14" s="27"/>
    </row>
    <row r="15" spans="1:11" ht="18" x14ac:dyDescent="0.25">
      <c r="A15" s="23" t="s">
        <v>5</v>
      </c>
      <c r="B15" s="23"/>
      <c r="C15" s="23"/>
      <c r="D15" s="23"/>
      <c r="E15" s="31">
        <f>E6-E13</f>
        <v>-329058</v>
      </c>
      <c r="F15" s="23"/>
      <c r="G15" s="23" t="s">
        <v>33</v>
      </c>
      <c r="H15" s="23"/>
      <c r="I15" s="23"/>
      <c r="J15" s="30">
        <f>ROUND((+J8+J11),4)</f>
        <v>-179982.5042</v>
      </c>
    </row>
    <row r="16" spans="1:11" ht="18" x14ac:dyDescent="0.25">
      <c r="A16" s="23" t="s">
        <v>6</v>
      </c>
      <c r="B16" s="23"/>
      <c r="C16" s="23"/>
      <c r="D16" s="23"/>
      <c r="E16" s="28"/>
      <c r="F16" s="23"/>
      <c r="G16" s="23" t="s">
        <v>34</v>
      </c>
      <c r="H16" s="23"/>
      <c r="I16" s="23"/>
      <c r="J16" s="27"/>
    </row>
    <row r="17" spans="1:10" ht="18" x14ac:dyDescent="0.25">
      <c r="A17" s="23"/>
      <c r="B17" s="23"/>
      <c r="C17" s="23"/>
      <c r="D17" s="23"/>
      <c r="E17" s="28"/>
      <c r="F17" s="23"/>
      <c r="G17" s="23"/>
      <c r="H17" s="23"/>
      <c r="I17" s="23"/>
      <c r="J17" s="23"/>
    </row>
    <row r="18" spans="1:10" ht="18" x14ac:dyDescent="0.25">
      <c r="A18" s="32" t="s">
        <v>1</v>
      </c>
      <c r="B18" s="32" t="s">
        <v>1</v>
      </c>
      <c r="C18" s="32" t="s">
        <v>1</v>
      </c>
      <c r="D18" s="32" t="s">
        <v>1</v>
      </c>
      <c r="E18" s="33" t="s">
        <v>1</v>
      </c>
      <c r="F18" s="23"/>
      <c r="G18" s="23" t="s">
        <v>35</v>
      </c>
      <c r="H18" s="23"/>
      <c r="I18" s="23"/>
      <c r="J18" s="28">
        <f>E6</f>
        <v>37575964</v>
      </c>
    </row>
    <row r="19" spans="1:10" ht="18" x14ac:dyDescent="0.25">
      <c r="A19" s="32" t="s">
        <v>1</v>
      </c>
      <c r="B19" s="32" t="s">
        <v>1</v>
      </c>
      <c r="C19" s="32" t="s">
        <v>1</v>
      </c>
      <c r="D19" s="32" t="s">
        <v>1</v>
      </c>
      <c r="E19" s="33"/>
      <c r="F19" s="23"/>
      <c r="G19" s="23"/>
      <c r="H19" s="23"/>
      <c r="I19" s="23"/>
      <c r="J19" s="23"/>
    </row>
    <row r="20" spans="1:10" ht="18" x14ac:dyDescent="0.25">
      <c r="A20" s="23" t="s">
        <v>7</v>
      </c>
      <c r="B20" s="23"/>
      <c r="C20" s="23"/>
      <c r="D20" s="23" t="s">
        <v>25</v>
      </c>
      <c r="E20" s="24" t="s">
        <v>77</v>
      </c>
      <c r="F20" s="23"/>
      <c r="G20" s="23" t="s">
        <v>36</v>
      </c>
      <c r="H20" s="23"/>
      <c r="I20" s="23"/>
      <c r="J20" s="34">
        <f>ROUND((J8/J18),5)</f>
        <v>-5.2599999999999999E-3</v>
      </c>
    </row>
    <row r="21" spans="1:10" ht="18" x14ac:dyDescent="0.25">
      <c r="A21" s="23"/>
      <c r="B21" s="23"/>
      <c r="C21" s="23"/>
      <c r="D21" s="23"/>
      <c r="E21" s="28"/>
      <c r="F21" s="23"/>
      <c r="G21" s="23" t="s">
        <v>37</v>
      </c>
      <c r="H21" s="23"/>
      <c r="I21" s="23"/>
      <c r="J21" s="23"/>
    </row>
    <row r="22" spans="1:10" ht="18" x14ac:dyDescent="0.25">
      <c r="A22" s="23" t="s">
        <v>8</v>
      </c>
      <c r="B22" s="23"/>
      <c r="C22" s="23"/>
      <c r="D22" s="23"/>
      <c r="E22" s="53">
        <v>-7.2199999999999999E-3</v>
      </c>
      <c r="F22" s="23"/>
      <c r="G22" s="23"/>
      <c r="H22" s="23"/>
      <c r="I22" s="23"/>
      <c r="J22" s="23"/>
    </row>
    <row r="23" spans="1:10" ht="18" x14ac:dyDescent="0.25">
      <c r="A23" s="23"/>
      <c r="B23" s="23"/>
      <c r="C23" s="23"/>
      <c r="D23" s="23"/>
      <c r="E23" s="28"/>
      <c r="F23" s="23"/>
      <c r="G23" s="23" t="s">
        <v>38</v>
      </c>
      <c r="H23" s="23"/>
      <c r="I23" s="23"/>
      <c r="J23" s="23"/>
    </row>
    <row r="24" spans="1:10" ht="18" x14ac:dyDescent="0.25">
      <c r="A24" s="23" t="s">
        <v>9</v>
      </c>
      <c r="B24" s="23"/>
      <c r="C24" s="23"/>
      <c r="D24" s="23"/>
      <c r="E24" s="35">
        <v>37906614</v>
      </c>
      <c r="F24" s="23"/>
      <c r="G24" s="32" t="s">
        <v>1</v>
      </c>
      <c r="H24" s="23"/>
      <c r="I24" s="23"/>
      <c r="J24" s="23"/>
    </row>
    <row r="25" spans="1:10" ht="18" x14ac:dyDescent="0.25">
      <c r="A25" s="23"/>
      <c r="B25" s="23"/>
      <c r="C25" s="23"/>
      <c r="D25" s="23"/>
      <c r="E25" s="35"/>
      <c r="F25" s="23"/>
      <c r="G25" s="23" t="s">
        <v>39</v>
      </c>
      <c r="H25" s="23"/>
      <c r="I25" s="23"/>
      <c r="J25" s="58">
        <f>'12 Mth Avg-Nov 20'!E31</f>
        <v>3.0094144529737767E-2</v>
      </c>
    </row>
    <row r="26" spans="1:10" ht="18" x14ac:dyDescent="0.25">
      <c r="A26" s="23" t="s">
        <v>10</v>
      </c>
      <c r="B26" s="23"/>
      <c r="C26" s="23"/>
      <c r="D26" s="23"/>
      <c r="E26" s="35">
        <v>-1592</v>
      </c>
      <c r="F26" s="23"/>
      <c r="G26" s="23"/>
      <c r="H26" s="23"/>
      <c r="I26" s="23"/>
      <c r="J26" s="23"/>
    </row>
    <row r="27" spans="1:10" ht="18" x14ac:dyDescent="0.25">
      <c r="A27" s="23"/>
      <c r="B27" s="23"/>
      <c r="C27" s="23"/>
      <c r="D27" s="23"/>
      <c r="E27" s="31"/>
      <c r="F27" s="23"/>
      <c r="G27" s="23" t="s">
        <v>40</v>
      </c>
      <c r="H27" s="23"/>
      <c r="I27" s="23"/>
      <c r="J27" s="36" t="str">
        <f>E4</f>
        <v>November</v>
      </c>
    </row>
    <row r="28" spans="1:10" ht="18" x14ac:dyDescent="0.25">
      <c r="A28" s="23" t="s">
        <v>11</v>
      </c>
      <c r="B28" s="23"/>
      <c r="C28" s="23"/>
      <c r="D28" s="23"/>
      <c r="E28" s="31">
        <f>SUM(E24:E26)</f>
        <v>37905022</v>
      </c>
      <c r="F28" s="23"/>
      <c r="G28" s="23"/>
      <c r="H28" s="23"/>
      <c r="I28" s="23"/>
      <c r="J28" s="23"/>
    </row>
    <row r="29" spans="1:10" ht="18" x14ac:dyDescent="0.25">
      <c r="A29" s="23" t="s">
        <v>12</v>
      </c>
      <c r="B29" s="23"/>
      <c r="C29" s="23"/>
      <c r="D29" s="23"/>
      <c r="E29" s="28"/>
      <c r="F29" s="23"/>
      <c r="G29" s="23" t="s">
        <v>41</v>
      </c>
      <c r="H29" s="23"/>
      <c r="I29" s="23"/>
      <c r="J29" s="37">
        <f>ROUND((+E15/E6),6)</f>
        <v>-8.7569999999999992E-3</v>
      </c>
    </row>
    <row r="30" spans="1:10" ht="18" x14ac:dyDescent="0.25">
      <c r="A30" s="23"/>
      <c r="B30" s="23" t="s">
        <v>26</v>
      </c>
      <c r="C30" s="23"/>
      <c r="D30" s="23"/>
      <c r="E30" s="28"/>
      <c r="F30" s="23"/>
      <c r="G30" s="23" t="s">
        <v>42</v>
      </c>
      <c r="H30" s="23"/>
      <c r="I30" s="23"/>
      <c r="J30" s="23"/>
    </row>
    <row r="31" spans="1:10" ht="18" x14ac:dyDescent="0.25">
      <c r="A31" s="23" t="s">
        <v>13</v>
      </c>
      <c r="B31" s="23"/>
      <c r="C31" s="23"/>
      <c r="D31" s="23"/>
      <c r="E31" s="54">
        <v>-255840.3</v>
      </c>
      <c r="F31" s="23"/>
      <c r="G31" s="23"/>
      <c r="H31" s="23"/>
      <c r="I31" s="23"/>
      <c r="J31" s="23"/>
    </row>
    <row r="32" spans="1:10" ht="18" x14ac:dyDescent="0.25">
      <c r="A32" s="23" t="s">
        <v>14</v>
      </c>
      <c r="B32" s="23"/>
      <c r="C32" s="23"/>
      <c r="D32" s="23"/>
      <c r="E32" s="30"/>
      <c r="F32" s="23"/>
      <c r="G32" s="23" t="s">
        <v>43</v>
      </c>
      <c r="H32" s="23"/>
      <c r="I32" s="23"/>
      <c r="J32" s="23"/>
    </row>
    <row r="33" spans="1:10" ht="18" x14ac:dyDescent="0.25">
      <c r="A33" s="23"/>
      <c r="B33" s="23"/>
      <c r="C33" s="23"/>
      <c r="D33" s="23"/>
      <c r="E33" s="30"/>
      <c r="F33" s="23"/>
      <c r="G33" s="32" t="s">
        <v>1</v>
      </c>
      <c r="H33" s="32" t="s">
        <v>1</v>
      </c>
      <c r="I33" s="32" t="s">
        <v>1</v>
      </c>
      <c r="J33" s="23"/>
    </row>
    <row r="34" spans="1:10" ht="18" x14ac:dyDescent="0.25">
      <c r="A34" s="23" t="s">
        <v>15</v>
      </c>
      <c r="B34" s="23"/>
      <c r="C34" s="23"/>
      <c r="D34" s="23"/>
      <c r="E34" s="30">
        <f>(+E26*E22)+B41</f>
        <v>-273506.79576000001</v>
      </c>
      <c r="F34" s="23"/>
      <c r="G34" s="23" t="s">
        <v>44</v>
      </c>
      <c r="H34" s="23"/>
      <c r="I34" s="23"/>
      <c r="J34" s="37">
        <f>ROUND((1-J25),7)</f>
        <v>0.96990589999999999</v>
      </c>
    </row>
    <row r="35" spans="1:10" ht="18" x14ac:dyDescent="0.25">
      <c r="A35" s="23" t="s">
        <v>16</v>
      </c>
      <c r="B35" s="23"/>
      <c r="C35" s="23"/>
      <c r="D35" s="23"/>
      <c r="E35" s="30"/>
      <c r="F35" s="23"/>
      <c r="G35" s="23" t="s">
        <v>45</v>
      </c>
      <c r="H35" s="23"/>
      <c r="I35" s="23"/>
      <c r="J35" s="23"/>
    </row>
    <row r="36" spans="1:10" ht="18" x14ac:dyDescent="0.25">
      <c r="A36" s="23"/>
      <c r="B36" s="23"/>
      <c r="C36" s="23"/>
      <c r="D36" s="23"/>
      <c r="E36" s="30"/>
      <c r="F36" s="23"/>
      <c r="G36" s="23"/>
      <c r="H36" s="23"/>
      <c r="I36" s="23"/>
      <c r="J36" s="23"/>
    </row>
    <row r="37" spans="1:10" ht="18" x14ac:dyDescent="0.25">
      <c r="A37" s="23" t="s">
        <v>17</v>
      </c>
      <c r="B37" s="23"/>
      <c r="C37" s="23"/>
      <c r="D37" s="23"/>
      <c r="E37" s="30">
        <f>(E31-E34)</f>
        <v>17666.49576000002</v>
      </c>
      <c r="F37" s="23"/>
      <c r="G37" s="23" t="s">
        <v>46</v>
      </c>
      <c r="H37" s="23"/>
      <c r="I37" s="23"/>
      <c r="J37" s="38">
        <f>ROUND((J15/J18),5)</f>
        <v>-4.79E-3</v>
      </c>
    </row>
    <row r="38" spans="1:10" ht="18" x14ac:dyDescent="0.25">
      <c r="A38" s="23" t="s">
        <v>18</v>
      </c>
      <c r="B38" s="23"/>
      <c r="C38" s="23"/>
      <c r="D38" s="23"/>
      <c r="E38" s="30"/>
      <c r="F38" s="23"/>
      <c r="G38" s="23" t="s">
        <v>47</v>
      </c>
      <c r="H38" s="23"/>
      <c r="I38" s="23"/>
      <c r="J38" s="38"/>
    </row>
    <row r="39" spans="1:10" ht="18" x14ac:dyDescent="0.25">
      <c r="A39" s="23"/>
      <c r="B39" s="23"/>
      <c r="C39" s="23"/>
      <c r="D39" s="23"/>
      <c r="E39" s="27"/>
      <c r="F39" s="23"/>
      <c r="G39" s="23"/>
      <c r="H39" s="23"/>
      <c r="I39" s="23"/>
      <c r="J39" s="38"/>
    </row>
    <row r="40" spans="1:10" ht="18" x14ac:dyDescent="0.25">
      <c r="A40" s="23"/>
      <c r="B40" s="39" t="s">
        <v>24</v>
      </c>
      <c r="C40" s="39"/>
      <c r="D40" s="39"/>
      <c r="E40" s="27"/>
      <c r="F40" s="23"/>
      <c r="G40" s="23" t="s">
        <v>48</v>
      </c>
      <c r="H40" s="23"/>
      <c r="I40" s="23"/>
      <c r="J40" s="40">
        <f>ROUND((J37/J34),7)</f>
        <v>-4.9385999999999996E-3</v>
      </c>
    </row>
    <row r="41" spans="1:10" ht="18" x14ac:dyDescent="0.25">
      <c r="A41" s="23"/>
      <c r="B41" s="57">
        <v>-273518.28999999998</v>
      </c>
      <c r="D41" s="41"/>
      <c r="E41" s="27"/>
      <c r="F41" s="23"/>
      <c r="G41" s="23"/>
      <c r="H41" s="23"/>
      <c r="I41" s="23"/>
      <c r="J41" s="23"/>
    </row>
    <row r="42" spans="1:10" ht="18" x14ac:dyDescent="0.25">
      <c r="A42" s="23"/>
      <c r="B42" s="23"/>
      <c r="C42" s="23"/>
      <c r="D42" s="23"/>
      <c r="E42" s="23"/>
      <c r="F42" s="23"/>
      <c r="G42" s="23" t="s">
        <v>49</v>
      </c>
      <c r="H42" s="23"/>
      <c r="I42" s="23"/>
      <c r="J42" s="42">
        <f>ROUND((+J40*100),3)</f>
        <v>-0.49399999999999999</v>
      </c>
    </row>
    <row r="43" spans="1:10" ht="18" x14ac:dyDescent="0.25">
      <c r="A43" s="32" t="s">
        <v>1</v>
      </c>
      <c r="B43" s="32" t="s">
        <v>1</v>
      </c>
      <c r="C43" s="32" t="s">
        <v>1</v>
      </c>
      <c r="D43" s="32" t="s">
        <v>1</v>
      </c>
      <c r="E43" s="32" t="s">
        <v>1</v>
      </c>
      <c r="F43" s="32" t="s">
        <v>1</v>
      </c>
      <c r="G43" s="32" t="s">
        <v>1</v>
      </c>
      <c r="H43" s="32" t="s">
        <v>1</v>
      </c>
      <c r="I43" s="32" t="s">
        <v>1</v>
      </c>
      <c r="J43" s="32" t="s">
        <v>1</v>
      </c>
    </row>
    <row r="44" spans="1:10" ht="18" x14ac:dyDescent="0.25">
      <c r="A44" s="23" t="s">
        <v>19</v>
      </c>
      <c r="B44" s="23"/>
      <c r="C44" s="23"/>
      <c r="D44" s="43">
        <f>J42</f>
        <v>-0.49399999999999999</v>
      </c>
      <c r="E44" s="23" t="s">
        <v>26</v>
      </c>
      <c r="F44" s="44"/>
      <c r="G44" s="23"/>
      <c r="H44" s="23"/>
      <c r="I44" s="23"/>
      <c r="J44" s="23"/>
    </row>
    <row r="45" spans="1:10" ht="18" x14ac:dyDescent="0.25">
      <c r="A45" s="23" t="s">
        <v>20</v>
      </c>
      <c r="B45" s="24" t="s">
        <v>78</v>
      </c>
      <c r="C45" s="23"/>
      <c r="D45" s="23" t="s">
        <v>26</v>
      </c>
      <c r="E45" s="23"/>
      <c r="F45" s="23"/>
      <c r="G45" s="23"/>
      <c r="H45" s="23"/>
      <c r="I45" s="23"/>
      <c r="J45" s="23"/>
    </row>
    <row r="46" spans="1:10" ht="18" x14ac:dyDescent="0.25">
      <c r="A46" s="23"/>
      <c r="B46" s="23"/>
      <c r="C46" s="23"/>
      <c r="D46" s="23"/>
      <c r="E46" s="36"/>
      <c r="F46" s="23"/>
      <c r="G46" s="23"/>
      <c r="H46" s="45" t="s">
        <v>50</v>
      </c>
      <c r="I46" s="24" t="s">
        <v>79</v>
      </c>
      <c r="J46" s="46"/>
    </row>
    <row r="47" spans="1:10" ht="18" x14ac:dyDescent="0.25">
      <c r="A47" s="52" t="s">
        <v>73</v>
      </c>
      <c r="B47" s="23"/>
      <c r="C47" s="23"/>
      <c r="D47" s="23"/>
      <c r="E47" s="23"/>
      <c r="F47" s="23"/>
      <c r="G47" s="23"/>
      <c r="H47" s="52" t="s">
        <v>74</v>
      </c>
      <c r="I47" s="23"/>
      <c r="J47" s="23"/>
    </row>
    <row r="48" spans="1:10" ht="18" x14ac:dyDescent="0.25">
      <c r="A48" s="23" t="s">
        <v>21</v>
      </c>
      <c r="B48" s="23"/>
      <c r="C48" s="23"/>
      <c r="D48" s="23"/>
      <c r="E48" s="23"/>
      <c r="F48" s="23"/>
      <c r="G48" s="23"/>
      <c r="H48" s="52" t="s">
        <v>75</v>
      </c>
      <c r="I48" s="23"/>
      <c r="J48" s="23"/>
    </row>
    <row r="49" spans="1:10" ht="15.75" x14ac:dyDescent="0.25">
      <c r="A49" s="47" t="s">
        <v>22</v>
      </c>
      <c r="B49" s="20"/>
      <c r="C49" s="20"/>
      <c r="D49" s="20"/>
      <c r="E49" s="20"/>
      <c r="F49" s="48"/>
      <c r="G49" s="20"/>
      <c r="H49" s="48"/>
      <c r="I49" s="20" t="s">
        <v>26</v>
      </c>
      <c r="J49" s="49"/>
    </row>
    <row r="50" spans="1:10" ht="15.75" x14ac:dyDescent="0.25">
      <c r="A50" s="20"/>
      <c r="B50" s="20"/>
      <c r="C50" s="20"/>
      <c r="D50" s="20"/>
      <c r="E50" s="20"/>
      <c r="F50" s="20"/>
      <c r="G50" s="20"/>
      <c r="H50" s="48"/>
      <c r="I50" s="48"/>
      <c r="J50" s="20"/>
    </row>
    <row r="51" spans="1:10" x14ac:dyDescent="0.2">
      <c r="A51" s="20"/>
      <c r="B51" s="20"/>
      <c r="C51" s="20"/>
      <c r="D51" s="20"/>
      <c r="E51" s="20"/>
      <c r="F51" s="20"/>
      <c r="G51" s="20"/>
      <c r="H51" s="20"/>
      <c r="I51" s="50"/>
      <c r="J51" s="20"/>
    </row>
    <row r="52" spans="1:10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2">
      <c r="A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0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</row>
    <row r="59" spans="1:10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</row>
    <row r="60" spans="1:10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</row>
    <row r="61" spans="1:10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</row>
    <row r="62" spans="1:10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</row>
    <row r="63" spans="1:10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</row>
    <row r="64" spans="1:10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</row>
    <row r="68" spans="1:10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0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0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</row>
    <row r="71" spans="1:10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</row>
    <row r="72" spans="1:10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</row>
    <row r="73" spans="1:10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</row>
    <row r="74" spans="1:10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</row>
    <row r="75" spans="1:10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x14ac:dyDescent="0.2">
      <c r="A77" s="20"/>
      <c r="B77" s="20"/>
      <c r="C77" s="20"/>
      <c r="D77" s="20"/>
      <c r="E77" s="20"/>
      <c r="F77" s="20"/>
      <c r="G77" s="20"/>
      <c r="H77" s="20"/>
      <c r="I77" s="20"/>
      <c r="J77" s="51"/>
    </row>
    <row r="78" spans="1:10" x14ac:dyDescent="0.2">
      <c r="A78" s="20"/>
      <c r="B78" s="20"/>
      <c r="C78" s="20"/>
      <c r="D78" s="20"/>
      <c r="E78" s="20"/>
      <c r="F78" s="20"/>
      <c r="G78" s="20"/>
      <c r="H78" s="20"/>
      <c r="I78" s="20"/>
      <c r="J78" s="51"/>
    </row>
    <row r="79" spans="1:10" x14ac:dyDescent="0.2">
      <c r="A79" s="20"/>
      <c r="B79" s="20"/>
      <c r="C79" s="20"/>
      <c r="D79" s="20"/>
      <c r="E79" s="20"/>
      <c r="F79" s="20"/>
      <c r="G79" s="20"/>
      <c r="H79" s="20"/>
      <c r="I79" s="20"/>
      <c r="J79" s="51"/>
    </row>
    <row r="80" spans="1:10" x14ac:dyDescent="0.2">
      <c r="A80" s="20"/>
      <c r="B80" s="20"/>
      <c r="C80" s="20"/>
      <c r="D80" s="20"/>
      <c r="E80" s="20"/>
      <c r="F80" s="20"/>
      <c r="G80" s="20"/>
      <c r="H80" s="20"/>
      <c r="I80" s="20"/>
      <c r="J80" s="51"/>
    </row>
    <row r="81" spans="1:10" x14ac:dyDescent="0.2">
      <c r="A81" s="20"/>
      <c r="B81" s="20"/>
      <c r="C81" s="20"/>
      <c r="D81" s="20"/>
      <c r="E81" s="20"/>
      <c r="F81" s="20"/>
      <c r="G81" s="20"/>
      <c r="H81" s="20"/>
      <c r="I81" s="20"/>
      <c r="J81" s="51"/>
    </row>
    <row r="82" spans="1:10" x14ac:dyDescent="0.2">
      <c r="A82" s="20"/>
      <c r="B82" s="20"/>
      <c r="C82" s="20"/>
      <c r="D82" s="20"/>
      <c r="E82" s="20"/>
      <c r="F82" s="20"/>
      <c r="G82" s="20"/>
      <c r="H82" s="20"/>
      <c r="I82" s="20"/>
      <c r="J82" s="51"/>
    </row>
    <row r="83" spans="1:10" x14ac:dyDescent="0.2">
      <c r="A83" s="20"/>
      <c r="B83" s="20"/>
      <c r="C83" s="20"/>
      <c r="D83" s="20"/>
      <c r="E83" s="20"/>
      <c r="F83" s="20"/>
      <c r="G83" s="20"/>
      <c r="H83" s="20"/>
      <c r="I83" s="20"/>
      <c r="J83" s="51"/>
    </row>
    <row r="84" spans="1:10" x14ac:dyDescent="0.2">
      <c r="A84" s="20"/>
      <c r="B84" s="20"/>
      <c r="C84" s="20"/>
      <c r="D84" s="20"/>
      <c r="E84" s="20"/>
      <c r="F84" s="20"/>
      <c r="G84" s="20"/>
      <c r="H84" s="20"/>
      <c r="I84" s="20"/>
      <c r="J84" s="51"/>
    </row>
    <row r="85" spans="1:10" x14ac:dyDescent="0.2">
      <c r="A85" s="20"/>
      <c r="B85" s="20"/>
      <c r="C85" s="20"/>
      <c r="D85" s="20"/>
      <c r="E85" s="20"/>
      <c r="F85" s="20"/>
      <c r="G85" s="20"/>
      <c r="H85" s="20"/>
      <c r="I85" s="20"/>
      <c r="J85" s="51"/>
    </row>
    <row r="86" spans="1:10" x14ac:dyDescent="0.2">
      <c r="A86" s="20"/>
      <c r="B86" s="20"/>
      <c r="C86" s="20"/>
      <c r="D86" s="20"/>
      <c r="E86" s="20"/>
      <c r="F86" s="20"/>
      <c r="G86" s="20"/>
      <c r="H86" s="20"/>
      <c r="I86" s="20"/>
      <c r="J86" s="51"/>
    </row>
    <row r="87" spans="1:10" x14ac:dyDescent="0.2">
      <c r="A87" s="20"/>
      <c r="B87" s="20"/>
      <c r="C87" s="20"/>
      <c r="D87" s="20"/>
      <c r="E87" s="20"/>
      <c r="F87" s="20"/>
      <c r="G87" s="20"/>
      <c r="H87" s="20"/>
      <c r="I87" s="20"/>
      <c r="J87" s="51"/>
    </row>
    <row r="88" spans="1:10" x14ac:dyDescent="0.2">
      <c r="A88" s="20"/>
      <c r="B88" s="20"/>
      <c r="C88" s="20"/>
      <c r="D88" s="20"/>
      <c r="E88" s="20"/>
      <c r="F88" s="20"/>
      <c r="G88" s="20"/>
      <c r="H88" s="20"/>
      <c r="I88" s="20"/>
      <c r="J88" s="51"/>
    </row>
    <row r="89" spans="1:10" x14ac:dyDescent="0.2">
      <c r="A89" s="20"/>
      <c r="B89" s="20"/>
      <c r="C89" s="20"/>
      <c r="D89" s="20"/>
      <c r="E89" s="20"/>
      <c r="F89" s="20"/>
      <c r="G89" s="20"/>
      <c r="H89" s="20"/>
      <c r="I89" s="20"/>
      <c r="J89" s="51"/>
    </row>
    <row r="90" spans="1:10" x14ac:dyDescent="0.2">
      <c r="A90" s="20"/>
      <c r="B90" s="20"/>
      <c r="C90" s="20"/>
      <c r="D90" s="20"/>
      <c r="E90" s="20"/>
      <c r="F90" s="20"/>
      <c r="G90" s="20"/>
      <c r="H90" s="20"/>
      <c r="I90" s="20"/>
      <c r="J90" s="51"/>
    </row>
    <row r="91" spans="1:10" x14ac:dyDescent="0.2">
      <c r="A91" s="20"/>
      <c r="B91" s="20"/>
      <c r="C91" s="20"/>
      <c r="D91" s="20"/>
      <c r="E91" s="20"/>
      <c r="F91" s="20"/>
      <c r="G91" s="20"/>
      <c r="H91" s="20"/>
      <c r="I91" s="20"/>
      <c r="J91" s="51"/>
    </row>
    <row r="92" spans="1:10" x14ac:dyDescent="0.2">
      <c r="A92" s="20"/>
      <c r="B92" s="20"/>
      <c r="C92" s="20"/>
      <c r="D92" s="20"/>
      <c r="E92" s="20"/>
      <c r="F92" s="20"/>
      <c r="G92" s="20"/>
      <c r="H92" s="20"/>
      <c r="I92" s="20"/>
      <c r="J92" s="51"/>
    </row>
    <row r="93" spans="1:10" x14ac:dyDescent="0.2">
      <c r="A93" s="20"/>
      <c r="B93" s="20"/>
      <c r="C93" s="20"/>
      <c r="D93" s="20"/>
      <c r="E93" s="20"/>
      <c r="F93" s="20"/>
      <c r="G93" s="20"/>
      <c r="H93" s="20"/>
      <c r="I93" s="20"/>
      <c r="J93" s="51"/>
    </row>
    <row r="94" spans="1:10" x14ac:dyDescent="0.2">
      <c r="A94" s="20"/>
      <c r="B94" s="20"/>
      <c r="C94" s="20"/>
      <c r="D94" s="20"/>
      <c r="E94" s="20"/>
      <c r="F94" s="20"/>
      <c r="G94" s="20"/>
      <c r="H94" s="20"/>
      <c r="I94" s="20"/>
      <c r="J94" s="51"/>
    </row>
    <row r="95" spans="1:10" x14ac:dyDescent="0.2">
      <c r="A95" s="20"/>
      <c r="B95" s="20"/>
      <c r="C95" s="20"/>
      <c r="D95" s="20"/>
      <c r="E95" s="20"/>
      <c r="F95" s="20"/>
      <c r="G95" s="20"/>
      <c r="H95" s="20"/>
      <c r="I95" s="20"/>
      <c r="J95" s="51"/>
    </row>
    <row r="96" spans="1:10" x14ac:dyDescent="0.2">
      <c r="A96" s="20"/>
      <c r="B96" s="20"/>
      <c r="C96" s="20"/>
      <c r="D96" s="20"/>
      <c r="E96" s="20"/>
      <c r="F96" s="20"/>
      <c r="G96" s="20"/>
      <c r="H96" s="20"/>
      <c r="I96" s="20"/>
      <c r="J96" s="51"/>
    </row>
    <row r="97" spans="1:10" x14ac:dyDescent="0.2">
      <c r="A97" s="20"/>
      <c r="B97" s="20"/>
      <c r="C97" s="20"/>
      <c r="D97" s="20"/>
      <c r="E97" s="20"/>
      <c r="F97" s="20"/>
      <c r="G97" s="20"/>
      <c r="H97" s="20"/>
      <c r="I97" s="20"/>
      <c r="J97" s="51"/>
    </row>
    <row r="98" spans="1:10" x14ac:dyDescent="0.2">
      <c r="A98" s="20"/>
      <c r="B98" s="20"/>
      <c r="C98" s="20"/>
      <c r="D98" s="20"/>
      <c r="E98" s="20"/>
      <c r="F98" s="20"/>
      <c r="G98" s="20"/>
      <c r="H98" s="20"/>
      <c r="I98" s="20"/>
      <c r="J98" s="51"/>
    </row>
    <row r="99" spans="1:10" x14ac:dyDescent="0.2">
      <c r="A99" s="20"/>
      <c r="B99" s="20"/>
      <c r="C99" s="20"/>
      <c r="D99" s="20"/>
      <c r="E99" s="20"/>
      <c r="F99" s="20"/>
      <c r="G99" s="20"/>
      <c r="H99" s="20"/>
      <c r="I99" s="20"/>
      <c r="J99" s="51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D7C11-0E99-4CE3-9E81-807E9FC49446}">
  <sheetPr>
    <pageSetUpPr fitToPage="1"/>
  </sheetPr>
  <dimension ref="A1:M99"/>
  <sheetViews>
    <sheetView zoomScale="60" zoomScaleNormal="60" workbookViewId="0">
      <selection activeCell="J37" sqref="J37"/>
    </sheetView>
  </sheetViews>
  <sheetFormatPr defaultColWidth="9.6640625" defaultRowHeight="15" x14ac:dyDescent="0.2"/>
  <cols>
    <col min="1" max="1" width="11.33203125" style="1" customWidth="1"/>
    <col min="2" max="2" width="28.77734375" style="1" customWidth="1"/>
    <col min="3" max="3" width="19.33203125" style="1" customWidth="1"/>
    <col min="4" max="4" width="10" style="1" customWidth="1"/>
    <col min="5" max="5" width="17.6640625" style="1" customWidth="1"/>
    <col min="6" max="6" width="9.6640625" style="1" customWidth="1"/>
    <col min="7" max="7" width="8.5546875" style="1" customWidth="1"/>
    <col min="8" max="8" width="13.77734375" style="1" customWidth="1"/>
    <col min="9" max="9" width="21.88671875" style="1" customWidth="1"/>
    <col min="10" max="10" width="20.6640625" style="1" customWidth="1"/>
    <col min="11" max="16384" width="9.6640625" style="1"/>
  </cols>
  <sheetData>
    <row r="1" spans="1:11" x14ac:dyDescent="0.2">
      <c r="A1" s="2" t="s">
        <v>0</v>
      </c>
      <c r="B1" s="2" t="s">
        <v>23</v>
      </c>
      <c r="C1" s="2"/>
      <c r="D1" s="2"/>
      <c r="E1" s="2"/>
      <c r="F1" s="2"/>
      <c r="G1" s="2" t="s">
        <v>27</v>
      </c>
      <c r="H1" s="2"/>
      <c r="I1" s="2"/>
      <c r="J1" s="2"/>
    </row>
    <row r="2" spans="1:11" x14ac:dyDescent="0.2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</row>
    <row r="3" spans="1:11" x14ac:dyDescent="0.2">
      <c r="A3" s="3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</row>
    <row r="4" spans="1:11" ht="18" x14ac:dyDescent="0.25">
      <c r="A4" s="52" t="s">
        <v>2</v>
      </c>
      <c r="B4" s="52"/>
      <c r="C4" s="52"/>
      <c r="D4" s="52"/>
      <c r="E4" s="24" t="s">
        <v>107</v>
      </c>
      <c r="F4" s="52"/>
      <c r="G4" s="52" t="s">
        <v>28</v>
      </c>
      <c r="H4" s="52"/>
      <c r="I4" s="52" t="s">
        <v>51</v>
      </c>
      <c r="J4" s="25" t="str">
        <f>E4</f>
        <v>August</v>
      </c>
    </row>
    <row r="5" spans="1:11" ht="1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1" ht="18" x14ac:dyDescent="0.25">
      <c r="A6" s="52" t="s">
        <v>71</v>
      </c>
      <c r="B6" s="52"/>
      <c r="C6" s="52"/>
      <c r="D6" s="52"/>
      <c r="E6" s="26">
        <v>43938328</v>
      </c>
      <c r="F6" s="52"/>
      <c r="G6" s="52" t="s">
        <v>29</v>
      </c>
      <c r="H6" s="52"/>
      <c r="I6" s="52"/>
      <c r="J6" s="59"/>
      <c r="K6" s="55"/>
    </row>
    <row r="7" spans="1:11" ht="18" x14ac:dyDescent="0.25">
      <c r="A7" s="52"/>
      <c r="B7" s="52"/>
      <c r="C7" s="52"/>
      <c r="D7" s="52"/>
      <c r="E7" s="60"/>
      <c r="F7" s="52"/>
      <c r="G7" s="52"/>
      <c r="H7" s="52"/>
      <c r="I7" s="52"/>
      <c r="J7" s="52"/>
    </row>
    <row r="8" spans="1:11" ht="18" x14ac:dyDescent="0.25">
      <c r="A8" s="52" t="s">
        <v>72</v>
      </c>
      <c r="B8" s="52"/>
      <c r="C8" s="52"/>
      <c r="D8" s="52"/>
      <c r="E8" s="26">
        <v>42290792</v>
      </c>
      <c r="F8" s="52"/>
      <c r="G8" s="52" t="s">
        <v>30</v>
      </c>
      <c r="H8" s="52"/>
      <c r="I8" s="52"/>
      <c r="J8" s="54">
        <v>-152767</v>
      </c>
    </row>
    <row r="9" spans="1:11" ht="18" x14ac:dyDescent="0.25">
      <c r="A9" s="52"/>
      <c r="B9" s="52"/>
      <c r="C9" s="52"/>
      <c r="D9" s="52"/>
      <c r="E9" s="60"/>
      <c r="F9" s="52"/>
      <c r="G9" s="52"/>
      <c r="H9" s="52" t="s">
        <v>26</v>
      </c>
      <c r="I9" s="52"/>
      <c r="J9" s="29" t="s">
        <v>26</v>
      </c>
    </row>
    <row r="10" spans="1:11" ht="18" x14ac:dyDescent="0.25">
      <c r="A10" s="52"/>
      <c r="B10" s="52"/>
      <c r="C10" s="52"/>
      <c r="D10" s="52"/>
      <c r="E10" s="60"/>
      <c r="F10" s="52"/>
      <c r="G10" s="52"/>
      <c r="H10" s="52" t="s">
        <v>26</v>
      </c>
      <c r="I10" s="52"/>
      <c r="J10" s="29" t="s">
        <v>26</v>
      </c>
    </row>
    <row r="11" spans="1:11" ht="18" x14ac:dyDescent="0.25">
      <c r="A11" s="52" t="s">
        <v>3</v>
      </c>
      <c r="B11" s="52"/>
      <c r="C11" s="52"/>
      <c r="D11" s="52"/>
      <c r="E11" s="60">
        <v>0</v>
      </c>
      <c r="F11" s="52"/>
      <c r="G11" s="52" t="s">
        <v>31</v>
      </c>
      <c r="H11" s="52"/>
      <c r="I11" s="52"/>
      <c r="J11" s="61">
        <f>E37</f>
        <v>14001.17776000002</v>
      </c>
    </row>
    <row r="12" spans="1:11" ht="18" x14ac:dyDescent="0.25">
      <c r="A12" s="52"/>
      <c r="B12" s="52"/>
      <c r="C12" s="52"/>
      <c r="D12" s="52"/>
      <c r="E12" s="60"/>
      <c r="F12" s="52"/>
      <c r="G12" s="52"/>
      <c r="H12" s="52"/>
      <c r="I12" s="52"/>
      <c r="J12" s="59"/>
    </row>
    <row r="13" spans="1:11" ht="18" x14ac:dyDescent="0.25">
      <c r="A13" s="52" t="s">
        <v>4</v>
      </c>
      <c r="B13" s="52"/>
      <c r="C13" s="52"/>
      <c r="D13" s="52"/>
      <c r="E13" s="60">
        <f>SUM(E8:E11)</f>
        <v>42290792</v>
      </c>
      <c r="F13" s="52"/>
      <c r="G13" s="52" t="s">
        <v>32</v>
      </c>
      <c r="H13" s="52"/>
      <c r="I13" s="52"/>
      <c r="J13" s="59">
        <v>0</v>
      </c>
    </row>
    <row r="14" spans="1:11" ht="18" x14ac:dyDescent="0.25">
      <c r="A14" s="52"/>
      <c r="B14" s="52"/>
      <c r="C14" s="52"/>
      <c r="D14" s="52"/>
      <c r="E14" s="60"/>
      <c r="F14" s="52"/>
      <c r="G14" s="52"/>
      <c r="H14" s="52"/>
      <c r="I14" s="52"/>
      <c r="J14" s="59"/>
    </row>
    <row r="15" spans="1:11" ht="18" x14ac:dyDescent="0.25">
      <c r="A15" s="52" t="s">
        <v>5</v>
      </c>
      <c r="B15" s="52"/>
      <c r="C15" s="52"/>
      <c r="D15" s="52"/>
      <c r="E15" s="62">
        <f>E6-E13</f>
        <v>1647536</v>
      </c>
      <c r="F15" s="52"/>
      <c r="G15" s="52" t="s">
        <v>33</v>
      </c>
      <c r="H15" s="52"/>
      <c r="I15" s="52"/>
      <c r="J15" s="61">
        <f>ROUND((+J8+J11),4)</f>
        <v>-138765.8222</v>
      </c>
    </row>
    <row r="16" spans="1:11" ht="18" x14ac:dyDescent="0.25">
      <c r="A16" s="52" t="s">
        <v>6</v>
      </c>
      <c r="B16" s="52"/>
      <c r="C16" s="52"/>
      <c r="D16" s="52"/>
      <c r="E16" s="60"/>
      <c r="F16" s="52"/>
      <c r="G16" s="52" t="s">
        <v>34</v>
      </c>
      <c r="H16" s="52"/>
      <c r="I16" s="52"/>
      <c r="J16" s="59"/>
    </row>
    <row r="17" spans="1:13" ht="18" x14ac:dyDescent="0.25">
      <c r="A17" s="52"/>
      <c r="B17" s="52"/>
      <c r="C17" s="52"/>
      <c r="D17" s="52"/>
      <c r="E17" s="60"/>
      <c r="F17" s="52"/>
      <c r="G17" s="52"/>
      <c r="H17" s="52"/>
      <c r="I17" s="52"/>
      <c r="J17" s="52"/>
    </row>
    <row r="18" spans="1:13" ht="18" x14ac:dyDescent="0.25">
      <c r="A18" s="63" t="s">
        <v>1</v>
      </c>
      <c r="B18" s="63" t="s">
        <v>1</v>
      </c>
      <c r="C18" s="63" t="s">
        <v>1</v>
      </c>
      <c r="D18" s="63" t="s">
        <v>1</v>
      </c>
      <c r="E18" s="64" t="s">
        <v>1</v>
      </c>
      <c r="F18" s="52"/>
      <c r="G18" s="52" t="s">
        <v>35</v>
      </c>
      <c r="H18" s="52"/>
      <c r="I18" s="52"/>
      <c r="J18" s="60">
        <f>E6</f>
        <v>43938328</v>
      </c>
    </row>
    <row r="19" spans="1:13" ht="18" x14ac:dyDescent="0.25">
      <c r="A19" s="63" t="s">
        <v>1</v>
      </c>
      <c r="B19" s="63" t="s">
        <v>1</v>
      </c>
      <c r="C19" s="63" t="s">
        <v>1</v>
      </c>
      <c r="D19" s="63" t="s">
        <v>1</v>
      </c>
      <c r="E19" s="64"/>
      <c r="F19" s="52"/>
      <c r="G19" s="52"/>
      <c r="H19" s="52"/>
      <c r="I19" s="52"/>
      <c r="J19" s="52"/>
    </row>
    <row r="20" spans="1:13" ht="18" x14ac:dyDescent="0.25">
      <c r="A20" s="52" t="s">
        <v>7</v>
      </c>
      <c r="B20" s="52"/>
      <c r="C20" s="52"/>
      <c r="D20" s="52" t="s">
        <v>25</v>
      </c>
      <c r="E20" s="24" t="s">
        <v>97</v>
      </c>
      <c r="F20" s="52"/>
      <c r="G20" s="52" t="s">
        <v>36</v>
      </c>
      <c r="H20" s="52"/>
      <c r="I20" s="52"/>
      <c r="J20" s="34">
        <f>ROUND((J8/J18),5)</f>
        <v>-3.48E-3</v>
      </c>
    </row>
    <row r="21" spans="1:13" ht="18" x14ac:dyDescent="0.25">
      <c r="A21" s="52"/>
      <c r="B21" s="52"/>
      <c r="C21" s="52"/>
      <c r="D21" s="52"/>
      <c r="E21" s="60"/>
      <c r="F21" s="52"/>
      <c r="G21" s="52" t="s">
        <v>37</v>
      </c>
      <c r="H21" s="52"/>
      <c r="I21" s="52"/>
      <c r="J21" s="52"/>
    </row>
    <row r="22" spans="1:13" ht="18" x14ac:dyDescent="0.25">
      <c r="A22" s="52" t="s">
        <v>8</v>
      </c>
      <c r="B22" s="52"/>
      <c r="C22" s="52"/>
      <c r="D22" s="52"/>
      <c r="E22" s="53">
        <v>-4.0099999999999997E-3</v>
      </c>
      <c r="F22" s="52"/>
      <c r="G22" s="52"/>
      <c r="H22" s="52"/>
      <c r="I22" s="52"/>
      <c r="J22" s="52"/>
    </row>
    <row r="23" spans="1:13" ht="18" x14ac:dyDescent="0.25">
      <c r="A23" s="52"/>
      <c r="B23" s="52"/>
      <c r="C23" s="52"/>
      <c r="D23" s="52"/>
      <c r="E23" s="60"/>
      <c r="F23" s="52"/>
      <c r="G23" s="52" t="s">
        <v>38</v>
      </c>
      <c r="H23" s="52"/>
      <c r="I23" s="52"/>
      <c r="J23" s="52"/>
    </row>
    <row r="24" spans="1:13" ht="18" x14ac:dyDescent="0.25">
      <c r="A24" s="52" t="s">
        <v>9</v>
      </c>
      <c r="B24" s="52"/>
      <c r="C24" s="52"/>
      <c r="D24" s="52"/>
      <c r="E24" s="35">
        <v>42424416</v>
      </c>
      <c r="F24" s="52"/>
      <c r="G24" s="63" t="s">
        <v>1</v>
      </c>
      <c r="H24" s="52"/>
      <c r="I24" s="52"/>
      <c r="J24" s="52"/>
    </row>
    <row r="25" spans="1:13" ht="18" x14ac:dyDescent="0.25">
      <c r="A25" s="52"/>
      <c r="B25" s="52"/>
      <c r="C25" s="52"/>
      <c r="D25" s="52"/>
      <c r="E25" s="35"/>
      <c r="F25" s="52"/>
      <c r="G25" s="52" t="s">
        <v>39</v>
      </c>
      <c r="H25" s="52"/>
      <c r="I25" s="52"/>
      <c r="J25" s="58">
        <f>'12 Mth Avg-Aug 21'!E31</f>
        <v>3.0256971906551959E-2</v>
      </c>
    </row>
    <row r="26" spans="1:13" ht="18" x14ac:dyDescent="0.25">
      <c r="A26" s="52" t="s">
        <v>10</v>
      </c>
      <c r="B26" s="52"/>
      <c r="C26" s="52"/>
      <c r="D26" s="52"/>
      <c r="E26" s="35">
        <f>-41460-92164</f>
        <v>-133624</v>
      </c>
      <c r="F26" s="52"/>
      <c r="G26" s="52"/>
      <c r="H26" s="52"/>
      <c r="I26" s="52"/>
      <c r="J26" s="52"/>
      <c r="M26" s="70"/>
    </row>
    <row r="27" spans="1:13" ht="18" x14ac:dyDescent="0.25">
      <c r="A27" s="52"/>
      <c r="B27" s="52"/>
      <c r="C27" s="52"/>
      <c r="D27" s="52"/>
      <c r="E27" s="62"/>
      <c r="F27" s="52"/>
      <c r="G27" s="52" t="s">
        <v>40</v>
      </c>
      <c r="H27" s="52"/>
      <c r="I27" s="52"/>
      <c r="J27" s="36" t="str">
        <f>E4</f>
        <v>August</v>
      </c>
    </row>
    <row r="28" spans="1:13" ht="18" x14ac:dyDescent="0.25">
      <c r="A28" s="52" t="s">
        <v>11</v>
      </c>
      <c r="B28" s="52"/>
      <c r="C28" s="52"/>
      <c r="D28" s="52"/>
      <c r="E28" s="62">
        <f>SUM(E24:E27)</f>
        <v>42290792</v>
      </c>
      <c r="F28" s="52"/>
      <c r="G28" s="52"/>
      <c r="H28" s="52"/>
      <c r="I28" s="52"/>
      <c r="J28" s="52"/>
    </row>
    <row r="29" spans="1:13" ht="18" x14ac:dyDescent="0.25">
      <c r="A29" s="52" t="s">
        <v>12</v>
      </c>
      <c r="B29" s="52"/>
      <c r="C29" s="52"/>
      <c r="D29" s="52"/>
      <c r="E29" s="60"/>
      <c r="F29" s="52"/>
      <c r="G29" s="52" t="s">
        <v>41</v>
      </c>
      <c r="H29" s="52"/>
      <c r="I29" s="52"/>
      <c r="J29" s="65">
        <f>ROUND((+E15/E6),6)</f>
        <v>3.7497000000000003E-2</v>
      </c>
    </row>
    <row r="30" spans="1:13" ht="18" x14ac:dyDescent="0.25">
      <c r="A30" s="52"/>
      <c r="B30" s="52" t="s">
        <v>26</v>
      </c>
      <c r="C30" s="52"/>
      <c r="D30" s="52"/>
      <c r="E30" s="60"/>
      <c r="F30" s="52"/>
      <c r="G30" s="52" t="s">
        <v>42</v>
      </c>
      <c r="H30" s="52"/>
      <c r="I30" s="52"/>
      <c r="J30" s="52"/>
    </row>
    <row r="31" spans="1:13" ht="18" x14ac:dyDescent="0.25">
      <c r="A31" s="52" t="s">
        <v>13</v>
      </c>
      <c r="B31" s="52"/>
      <c r="C31" s="52"/>
      <c r="D31" s="52"/>
      <c r="E31" s="54">
        <v>-153815.79999999999</v>
      </c>
      <c r="F31" s="52"/>
      <c r="G31" s="52"/>
      <c r="H31" s="52"/>
      <c r="I31" s="52"/>
      <c r="J31" s="52"/>
    </row>
    <row r="32" spans="1:13" ht="18" x14ac:dyDescent="0.25">
      <c r="A32" s="52" t="s">
        <v>14</v>
      </c>
      <c r="B32" s="52"/>
      <c r="C32" s="52"/>
      <c r="D32" s="52"/>
      <c r="E32" s="61"/>
      <c r="F32" s="52"/>
      <c r="G32" s="52" t="s">
        <v>43</v>
      </c>
      <c r="H32" s="52"/>
      <c r="I32" s="52"/>
      <c r="J32" s="52"/>
    </row>
    <row r="33" spans="1:10" ht="18" x14ac:dyDescent="0.25">
      <c r="A33" s="52"/>
      <c r="B33" s="52"/>
      <c r="C33" s="52"/>
      <c r="D33" s="52"/>
      <c r="E33" s="61"/>
      <c r="F33" s="52"/>
      <c r="G33" s="63" t="s">
        <v>1</v>
      </c>
      <c r="H33" s="63" t="s">
        <v>1</v>
      </c>
      <c r="I33" s="63" t="s">
        <v>1</v>
      </c>
      <c r="J33" s="52"/>
    </row>
    <row r="34" spans="1:10" ht="18" x14ac:dyDescent="0.25">
      <c r="A34" s="52" t="s">
        <v>15</v>
      </c>
      <c r="B34" s="52"/>
      <c r="C34" s="52"/>
      <c r="D34" s="52"/>
      <c r="E34" s="61">
        <f>(+E26*E22)+B41</f>
        <v>-167816.97776000001</v>
      </c>
      <c r="F34" s="52"/>
      <c r="G34" s="52" t="s">
        <v>44</v>
      </c>
      <c r="H34" s="52"/>
      <c r="I34" s="52"/>
      <c r="J34" s="65">
        <f>ROUND((1-J25),7)</f>
        <v>0.96974300000000002</v>
      </c>
    </row>
    <row r="35" spans="1:10" ht="18" x14ac:dyDescent="0.25">
      <c r="A35" s="52" t="s">
        <v>16</v>
      </c>
      <c r="B35" s="52"/>
      <c r="C35" s="52"/>
      <c r="D35" s="52"/>
      <c r="E35" s="61"/>
      <c r="F35" s="52"/>
      <c r="G35" s="52" t="s">
        <v>45</v>
      </c>
      <c r="H35" s="52"/>
      <c r="I35" s="52"/>
      <c r="J35" s="52"/>
    </row>
    <row r="36" spans="1:10" ht="18" x14ac:dyDescent="0.25">
      <c r="A36" s="52"/>
      <c r="B36" s="52"/>
      <c r="C36" s="52"/>
      <c r="D36" s="52"/>
      <c r="E36" s="61"/>
      <c r="F36" s="52"/>
      <c r="G36" s="52"/>
      <c r="H36" s="52"/>
      <c r="I36" s="52"/>
      <c r="J36" s="52"/>
    </row>
    <row r="37" spans="1:10" ht="18" x14ac:dyDescent="0.25">
      <c r="A37" s="52" t="s">
        <v>17</v>
      </c>
      <c r="B37" s="52"/>
      <c r="C37" s="52"/>
      <c r="D37" s="52"/>
      <c r="E37" s="61">
        <f>(E31-E34)</f>
        <v>14001.17776000002</v>
      </c>
      <c r="F37" s="52"/>
      <c r="G37" s="52" t="s">
        <v>46</v>
      </c>
      <c r="H37" s="52"/>
      <c r="I37" s="52"/>
      <c r="J37" s="66">
        <f>ROUND((J15/J18),5)</f>
        <v>-3.16E-3</v>
      </c>
    </row>
    <row r="38" spans="1:10" ht="18" x14ac:dyDescent="0.25">
      <c r="A38" s="52" t="s">
        <v>18</v>
      </c>
      <c r="B38" s="52"/>
      <c r="C38" s="52"/>
      <c r="D38" s="52"/>
      <c r="E38" s="61"/>
      <c r="F38" s="52"/>
      <c r="G38" s="52" t="s">
        <v>47</v>
      </c>
      <c r="H38" s="52"/>
      <c r="I38" s="52"/>
      <c r="J38" s="66"/>
    </row>
    <row r="39" spans="1:10" ht="18" x14ac:dyDescent="0.25">
      <c r="A39" s="52"/>
      <c r="B39" s="52"/>
      <c r="C39" s="52"/>
      <c r="D39" s="52"/>
      <c r="E39" s="59"/>
      <c r="F39" s="52"/>
      <c r="G39" s="52"/>
      <c r="H39" s="52"/>
      <c r="I39" s="52"/>
      <c r="J39" s="66"/>
    </row>
    <row r="40" spans="1:10" ht="18" x14ac:dyDescent="0.25">
      <c r="A40" s="52"/>
      <c r="B40" s="39" t="s">
        <v>24</v>
      </c>
      <c r="C40" s="39"/>
      <c r="D40" s="39"/>
      <c r="E40" s="59"/>
      <c r="F40" s="52"/>
      <c r="G40" s="52" t="s">
        <v>48</v>
      </c>
      <c r="H40" s="52"/>
      <c r="I40" s="52"/>
      <c r="J40" s="40">
        <f>ROUND((J37/J34),7)</f>
        <v>-3.2586E-3</v>
      </c>
    </row>
    <row r="41" spans="1:10" ht="18" x14ac:dyDescent="0.25">
      <c r="A41" s="52"/>
      <c r="B41" s="57">
        <v>-168352.81</v>
      </c>
      <c r="D41" s="41"/>
      <c r="E41" s="59"/>
      <c r="F41" s="52"/>
      <c r="G41" s="52"/>
      <c r="H41" s="52"/>
      <c r="I41" s="52"/>
      <c r="J41" s="52"/>
    </row>
    <row r="42" spans="1:10" ht="18" x14ac:dyDescent="0.25">
      <c r="A42" s="52"/>
      <c r="B42" s="52"/>
      <c r="C42" s="52"/>
      <c r="D42" s="52"/>
      <c r="E42" s="52"/>
      <c r="F42" s="52"/>
      <c r="G42" s="52" t="s">
        <v>49</v>
      </c>
      <c r="H42" s="52"/>
      <c r="I42" s="52"/>
      <c r="J42" s="67">
        <f>ROUND((+J40*100),3)</f>
        <v>-0.32600000000000001</v>
      </c>
    </row>
    <row r="43" spans="1:10" ht="18" x14ac:dyDescent="0.25">
      <c r="A43" s="63" t="s">
        <v>1</v>
      </c>
      <c r="B43" s="63" t="s">
        <v>1</v>
      </c>
      <c r="C43" s="63" t="s">
        <v>1</v>
      </c>
      <c r="D43" s="63" t="s">
        <v>1</v>
      </c>
      <c r="E43" s="63" t="s">
        <v>1</v>
      </c>
      <c r="F43" s="63" t="s">
        <v>1</v>
      </c>
      <c r="G43" s="63" t="s">
        <v>1</v>
      </c>
      <c r="H43" s="63" t="s">
        <v>1</v>
      </c>
      <c r="I43" s="63" t="s">
        <v>1</v>
      </c>
      <c r="J43" s="63" t="s">
        <v>1</v>
      </c>
    </row>
    <row r="44" spans="1:10" ht="18" x14ac:dyDescent="0.25">
      <c r="A44" s="52" t="s">
        <v>19</v>
      </c>
      <c r="B44" s="52"/>
      <c r="C44" s="52"/>
      <c r="D44" s="68">
        <f>J42</f>
        <v>-0.32600000000000001</v>
      </c>
      <c r="E44" s="52" t="s">
        <v>26</v>
      </c>
      <c r="F44" s="69"/>
      <c r="G44" s="52"/>
      <c r="H44" s="52"/>
      <c r="I44" s="52"/>
      <c r="J44" s="52"/>
    </row>
    <row r="45" spans="1:10" ht="18" x14ac:dyDescent="0.25">
      <c r="A45" s="52" t="s">
        <v>20</v>
      </c>
      <c r="B45" s="71">
        <f>I46+24</f>
        <v>44485</v>
      </c>
      <c r="C45" s="52"/>
      <c r="D45" s="52" t="s">
        <v>26</v>
      </c>
      <c r="E45" s="52"/>
      <c r="F45" s="52"/>
      <c r="G45" s="52"/>
      <c r="H45" s="52"/>
      <c r="I45" s="52"/>
      <c r="J45" s="52"/>
    </row>
    <row r="46" spans="1:10" ht="18" x14ac:dyDescent="0.25">
      <c r="A46" s="52"/>
      <c r="B46" s="52"/>
      <c r="C46" s="52"/>
      <c r="D46" s="52"/>
      <c r="E46" s="36"/>
      <c r="F46" s="52"/>
      <c r="G46" s="52"/>
      <c r="H46" s="45" t="s">
        <v>50</v>
      </c>
      <c r="I46" s="71">
        <v>44461</v>
      </c>
      <c r="J46" s="46"/>
    </row>
    <row r="47" spans="1:10" ht="18" x14ac:dyDescent="0.25">
      <c r="A47" s="52" t="s">
        <v>100</v>
      </c>
      <c r="B47" s="52" t="s">
        <v>105</v>
      </c>
      <c r="C47" s="52"/>
      <c r="D47" s="52"/>
      <c r="E47" s="52"/>
      <c r="F47" s="52"/>
      <c r="G47" s="52"/>
      <c r="H47" s="52" t="s">
        <v>106</v>
      </c>
      <c r="I47" s="52"/>
      <c r="J47" s="52"/>
    </row>
    <row r="48" spans="1:10" ht="18" x14ac:dyDescent="0.25">
      <c r="A48" s="52" t="s">
        <v>21</v>
      </c>
      <c r="B48" s="52"/>
      <c r="C48" s="52"/>
      <c r="D48" s="52"/>
      <c r="E48" s="52"/>
      <c r="F48" s="52"/>
      <c r="G48" s="52"/>
      <c r="H48" s="52" t="s">
        <v>103</v>
      </c>
      <c r="I48" s="52"/>
      <c r="J48" s="52"/>
    </row>
    <row r="49" spans="1:10" ht="15.75" x14ac:dyDescent="0.25">
      <c r="A49" s="6" t="s">
        <v>22</v>
      </c>
      <c r="B49" s="2"/>
      <c r="C49" s="2"/>
      <c r="D49" s="2"/>
      <c r="E49" s="2"/>
      <c r="F49" s="7"/>
      <c r="G49" s="2"/>
      <c r="H49" s="7"/>
      <c r="I49" s="2" t="s">
        <v>26</v>
      </c>
      <c r="J49" s="4"/>
    </row>
    <row r="50" spans="1:10" ht="15.75" x14ac:dyDescent="0.25">
      <c r="A50" s="2"/>
      <c r="B50" s="2"/>
      <c r="C50" s="2"/>
      <c r="D50" s="2"/>
      <c r="E50" s="2"/>
      <c r="F50" s="2"/>
      <c r="G50" s="2"/>
      <c r="H50" s="7"/>
      <c r="I50" s="7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8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5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5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5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5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5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5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5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5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5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5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5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5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5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5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5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5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5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5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5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5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5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5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5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05201-8370-49FE-A244-C5A2C43331CC}">
  <dimension ref="A1:G40"/>
  <sheetViews>
    <sheetView topLeftCell="A7" workbookViewId="0">
      <selection activeCell="C28" sqref="C28"/>
    </sheetView>
  </sheetViews>
  <sheetFormatPr defaultRowHeight="15" x14ac:dyDescent="0.2"/>
  <cols>
    <col min="1" max="1" width="21" customWidth="1"/>
    <col min="3" max="3" width="11.5546875" customWidth="1"/>
    <col min="4" max="4" width="6.77734375" customWidth="1"/>
    <col min="5" max="5" width="9.6640625" bestFit="1" customWidth="1"/>
    <col min="6" max="6" width="3.77734375" customWidth="1"/>
    <col min="7" max="7" width="12" customWidth="1"/>
  </cols>
  <sheetData>
    <row r="1" spans="1:7" ht="15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59</v>
      </c>
      <c r="B2" s="15"/>
      <c r="C2" s="15"/>
      <c r="D2" s="15"/>
      <c r="E2" s="15"/>
      <c r="F2" s="15"/>
      <c r="G2" s="15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 t="s">
        <v>60</v>
      </c>
      <c r="B5" s="11"/>
      <c r="C5" s="11"/>
      <c r="D5" s="11"/>
      <c r="E5" s="11"/>
      <c r="F5" s="11"/>
      <c r="G5" s="11"/>
    </row>
    <row r="6" spans="1:7" ht="15.75" x14ac:dyDescent="0.25">
      <c r="A6" s="11" t="s">
        <v>61</v>
      </c>
      <c r="B6" s="11"/>
      <c r="C6" s="11"/>
      <c r="D6" s="11"/>
      <c r="E6" s="11"/>
      <c r="F6" s="11"/>
      <c r="G6" s="11"/>
    </row>
    <row r="7" spans="1:7" ht="15.75" x14ac:dyDescent="0.25">
      <c r="A7" s="11" t="s">
        <v>62</v>
      </c>
      <c r="B7" s="11"/>
      <c r="C7" s="11"/>
      <c r="D7" s="11"/>
      <c r="E7" s="11"/>
      <c r="F7" s="11"/>
      <c r="G7" s="11"/>
    </row>
    <row r="8" spans="1:7" ht="15.75" x14ac:dyDescent="0.25">
      <c r="A8" s="9"/>
      <c r="B8" s="9"/>
      <c r="C8" s="9"/>
      <c r="D8" s="9"/>
      <c r="E8" s="9"/>
      <c r="F8" s="9"/>
      <c r="G8" s="9"/>
    </row>
    <row r="9" spans="1:7" ht="15.75" x14ac:dyDescent="0.25">
      <c r="A9" s="19">
        <v>44439</v>
      </c>
      <c r="B9" s="11"/>
      <c r="C9" s="11"/>
      <c r="D9" s="11"/>
      <c r="E9" s="11"/>
      <c r="F9" s="11"/>
      <c r="G9" s="11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15"/>
      <c r="B11" s="15"/>
      <c r="C11" s="15"/>
      <c r="D11" s="15"/>
      <c r="E11" s="15"/>
      <c r="F11" s="15"/>
      <c r="G11" s="15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2"/>
      <c r="B13" s="12"/>
      <c r="C13" s="16" t="s">
        <v>63</v>
      </c>
      <c r="D13" s="12"/>
      <c r="E13" s="16" t="s">
        <v>66</v>
      </c>
      <c r="F13" s="16"/>
      <c r="G13" s="16" t="s">
        <v>69</v>
      </c>
    </row>
    <row r="14" spans="1:7" ht="15.75" x14ac:dyDescent="0.25">
      <c r="A14" s="12"/>
      <c r="B14" s="12"/>
      <c r="C14" s="16" t="s">
        <v>64</v>
      </c>
      <c r="D14" s="12"/>
      <c r="E14" s="16" t="s">
        <v>64</v>
      </c>
      <c r="F14" s="16"/>
      <c r="G14" s="16" t="s">
        <v>64</v>
      </c>
    </row>
    <row r="15" spans="1:7" ht="15.75" x14ac:dyDescent="0.25">
      <c r="A15" s="12"/>
      <c r="B15" s="12"/>
      <c r="C15" s="16" t="s">
        <v>65</v>
      </c>
      <c r="D15" s="12"/>
      <c r="E15" s="16" t="s">
        <v>67</v>
      </c>
      <c r="F15" s="16"/>
      <c r="G15" s="16" t="s">
        <v>68</v>
      </c>
    </row>
    <row r="16" spans="1:7" ht="15.75" x14ac:dyDescent="0.25">
      <c r="A16" s="12"/>
      <c r="B16" s="12"/>
      <c r="C16" s="16"/>
      <c r="D16" s="12"/>
      <c r="E16" s="16" t="s">
        <v>70</v>
      </c>
      <c r="F16" s="16"/>
      <c r="G16" s="16"/>
    </row>
    <row r="17" spans="1:7" ht="15.75" x14ac:dyDescent="0.25">
      <c r="A17" s="9"/>
      <c r="B17" s="9"/>
      <c r="C17" s="9"/>
      <c r="D17" s="9"/>
      <c r="E17" s="9"/>
      <c r="F17" s="9"/>
      <c r="G17" s="9"/>
    </row>
    <row r="18" spans="1:7" ht="15.75" x14ac:dyDescent="0.25">
      <c r="A18" s="9" t="s">
        <v>52</v>
      </c>
      <c r="B18" s="9"/>
      <c r="C18" s="9"/>
      <c r="D18" s="9"/>
      <c r="E18" s="9"/>
      <c r="F18" s="9"/>
      <c r="G18" s="9"/>
    </row>
    <row r="19" spans="1:7" ht="15.75" x14ac:dyDescent="0.25">
      <c r="A19" s="9" t="s">
        <v>53</v>
      </c>
      <c r="B19" s="9"/>
      <c r="C19" s="17">
        <v>485562453</v>
      </c>
      <c r="D19" s="18"/>
      <c r="E19" s="17">
        <v>471697234</v>
      </c>
      <c r="F19" s="14"/>
      <c r="G19" s="13">
        <f>C19-E19</f>
        <v>13865219</v>
      </c>
    </row>
    <row r="20" spans="1:7" ht="15.75" x14ac:dyDescent="0.25">
      <c r="A20" s="9"/>
      <c r="B20" s="9"/>
      <c r="C20" s="17"/>
      <c r="D20" s="18"/>
      <c r="E20" s="17"/>
      <c r="F20" s="14"/>
      <c r="G20" s="13"/>
    </row>
    <row r="21" spans="1:7" ht="15.75" x14ac:dyDescent="0.25">
      <c r="A21" s="9" t="s">
        <v>54</v>
      </c>
      <c r="B21" s="9"/>
      <c r="C21" s="17"/>
      <c r="D21" s="18"/>
      <c r="E21" s="17"/>
      <c r="F21" s="14"/>
      <c r="G21" s="13"/>
    </row>
    <row r="22" spans="1:7" ht="15.75" x14ac:dyDescent="0.25">
      <c r="A22" s="9" t="s">
        <v>55</v>
      </c>
      <c r="B22" s="9"/>
      <c r="C22" s="13">
        <v>42574791</v>
      </c>
      <c r="D22" s="14"/>
      <c r="E22" s="13">
        <v>41794942</v>
      </c>
      <c r="F22" s="14"/>
      <c r="G22" s="13">
        <f>C22-E22</f>
        <v>779849</v>
      </c>
    </row>
    <row r="23" spans="1:7" ht="15.75" x14ac:dyDescent="0.25">
      <c r="A23" s="9"/>
      <c r="B23" s="9"/>
      <c r="C23" s="13"/>
      <c r="D23" s="14"/>
      <c r="E23" s="13"/>
      <c r="F23" s="14"/>
      <c r="G23" s="13"/>
    </row>
    <row r="24" spans="1:7" ht="15.75" x14ac:dyDescent="0.25">
      <c r="A24" s="9" t="s">
        <v>56</v>
      </c>
      <c r="B24" s="9"/>
      <c r="C24" s="13"/>
      <c r="D24" s="14"/>
      <c r="E24" s="13"/>
      <c r="F24" s="14"/>
      <c r="G24" s="13"/>
    </row>
    <row r="25" spans="1:7" ht="15.75" x14ac:dyDescent="0.25">
      <c r="A25" s="9" t="s">
        <v>55</v>
      </c>
      <c r="B25" s="9"/>
      <c r="C25" s="13">
        <v>43938328</v>
      </c>
      <c r="D25" s="14"/>
      <c r="E25" s="13">
        <v>42290792</v>
      </c>
      <c r="F25" s="14"/>
      <c r="G25" s="13">
        <f>C25-E25</f>
        <v>1647536</v>
      </c>
    </row>
    <row r="26" spans="1:7" ht="15.75" x14ac:dyDescent="0.25">
      <c r="A26" s="9"/>
      <c r="B26" s="9"/>
      <c r="C26" s="10"/>
      <c r="D26" s="9"/>
      <c r="E26" s="10"/>
      <c r="F26" s="9"/>
      <c r="G26" s="10"/>
    </row>
    <row r="27" spans="1:7" ht="15.75" x14ac:dyDescent="0.25">
      <c r="A27" s="9" t="s">
        <v>57</v>
      </c>
      <c r="B27" s="9"/>
      <c r="C27" s="10"/>
      <c r="D27" s="9"/>
      <c r="E27" s="10"/>
      <c r="F27" s="9"/>
      <c r="G27" s="10"/>
    </row>
    <row r="28" spans="1:7" ht="15.75" x14ac:dyDescent="0.25">
      <c r="A28" s="9" t="s">
        <v>53</v>
      </c>
      <c r="B28" s="9"/>
      <c r="C28" s="10">
        <f>C19-C22+C25</f>
        <v>486925990</v>
      </c>
      <c r="D28" s="9"/>
      <c r="E28" s="10">
        <f>E19-E22+E25</f>
        <v>472193084</v>
      </c>
      <c r="F28" s="9"/>
      <c r="G28" s="10">
        <f>C28-E28</f>
        <v>14732906</v>
      </c>
    </row>
    <row r="29" spans="1:7" ht="15.75" x14ac:dyDescent="0.25">
      <c r="A29" s="9"/>
      <c r="B29" s="9"/>
      <c r="C29" s="10"/>
      <c r="D29" s="9"/>
      <c r="E29" s="10"/>
      <c r="F29" s="9"/>
      <c r="G29" s="10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 t="s">
        <v>58</v>
      </c>
      <c r="B31" s="9"/>
      <c r="C31" s="9"/>
      <c r="D31" s="9"/>
      <c r="E31" s="56">
        <f>G28/C28</f>
        <v>3.0256971906551959E-2</v>
      </c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9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</sheetData>
  <pageMargins left="0.75" right="0.75" top="1.2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7885-45EB-4171-957F-5201F1EC4379}">
  <sheetPr>
    <pageSetUpPr fitToPage="1"/>
  </sheetPr>
  <dimension ref="A1:M99"/>
  <sheetViews>
    <sheetView zoomScale="60" zoomScaleNormal="60" workbookViewId="0">
      <selection activeCell="J41" sqref="J41"/>
    </sheetView>
  </sheetViews>
  <sheetFormatPr defaultColWidth="9.6640625" defaultRowHeight="15" x14ac:dyDescent="0.2"/>
  <cols>
    <col min="1" max="1" width="11.33203125" style="1" customWidth="1"/>
    <col min="2" max="2" width="28.77734375" style="1" customWidth="1"/>
    <col min="3" max="3" width="19.33203125" style="1" customWidth="1"/>
    <col min="4" max="4" width="10" style="1" customWidth="1"/>
    <col min="5" max="5" width="17.6640625" style="1" customWidth="1"/>
    <col min="6" max="6" width="9.6640625" style="1" customWidth="1"/>
    <col min="7" max="7" width="8.5546875" style="1" customWidth="1"/>
    <col min="8" max="8" width="13.77734375" style="1" customWidth="1"/>
    <col min="9" max="9" width="21.88671875" style="1" customWidth="1"/>
    <col min="10" max="10" width="20.6640625" style="1" customWidth="1"/>
    <col min="11" max="16384" width="9.6640625" style="1"/>
  </cols>
  <sheetData>
    <row r="1" spans="1:11" x14ac:dyDescent="0.2">
      <c r="A1" s="2" t="s">
        <v>0</v>
      </c>
      <c r="B1" s="2" t="s">
        <v>23</v>
      </c>
      <c r="C1" s="2"/>
      <c r="D1" s="2"/>
      <c r="E1" s="2"/>
      <c r="F1" s="2"/>
      <c r="G1" s="2" t="s">
        <v>27</v>
      </c>
      <c r="H1" s="2"/>
      <c r="I1" s="2"/>
      <c r="J1" s="2"/>
    </row>
    <row r="2" spans="1:11" x14ac:dyDescent="0.2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</row>
    <row r="3" spans="1:11" x14ac:dyDescent="0.2">
      <c r="A3" s="3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</row>
    <row r="4" spans="1:11" ht="18" x14ac:dyDescent="0.25">
      <c r="A4" s="52" t="s">
        <v>2</v>
      </c>
      <c r="B4" s="52"/>
      <c r="C4" s="52"/>
      <c r="D4" s="52"/>
      <c r="E4" s="24" t="s">
        <v>77</v>
      </c>
      <c r="F4" s="52"/>
      <c r="G4" s="52" t="s">
        <v>28</v>
      </c>
      <c r="H4" s="52"/>
      <c r="I4" s="52" t="s">
        <v>51</v>
      </c>
      <c r="J4" s="25" t="str">
        <f>E4</f>
        <v>September</v>
      </c>
    </row>
    <row r="5" spans="1:11" ht="1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1" ht="18" x14ac:dyDescent="0.25">
      <c r="A6" s="52" t="s">
        <v>71</v>
      </c>
      <c r="B6" s="52"/>
      <c r="C6" s="52"/>
      <c r="D6" s="52"/>
      <c r="E6" s="26">
        <v>36525027</v>
      </c>
      <c r="F6" s="52"/>
      <c r="G6" s="52" t="s">
        <v>29</v>
      </c>
      <c r="H6" s="52"/>
      <c r="I6" s="52"/>
      <c r="J6" s="59"/>
      <c r="K6" s="55"/>
    </row>
    <row r="7" spans="1:11" ht="18" x14ac:dyDescent="0.25">
      <c r="A7" s="52"/>
      <c r="B7" s="52"/>
      <c r="C7" s="52"/>
      <c r="D7" s="52"/>
      <c r="E7" s="60"/>
      <c r="F7" s="52"/>
      <c r="G7" s="52"/>
      <c r="H7" s="52"/>
      <c r="I7" s="52"/>
      <c r="J7" s="52"/>
    </row>
    <row r="8" spans="1:11" ht="18" x14ac:dyDescent="0.25">
      <c r="A8" s="52" t="s">
        <v>72</v>
      </c>
      <c r="B8" s="52"/>
      <c r="C8" s="52"/>
      <c r="D8" s="52"/>
      <c r="E8" s="26">
        <v>36385692</v>
      </c>
      <c r="F8" s="52"/>
      <c r="G8" s="52" t="s">
        <v>30</v>
      </c>
      <c r="H8" s="52"/>
      <c r="I8" s="52"/>
      <c r="J8" s="54">
        <v>-97484</v>
      </c>
    </row>
    <row r="9" spans="1:11" ht="18" x14ac:dyDescent="0.25">
      <c r="A9" s="52"/>
      <c r="B9" s="52"/>
      <c r="C9" s="52"/>
      <c r="D9" s="52"/>
      <c r="E9" s="60"/>
      <c r="F9" s="52"/>
      <c r="G9" s="52"/>
      <c r="H9" s="52" t="s">
        <v>26</v>
      </c>
      <c r="I9" s="52"/>
      <c r="J9" s="29" t="s">
        <v>26</v>
      </c>
    </row>
    <row r="10" spans="1:11" ht="18" x14ac:dyDescent="0.25">
      <c r="A10" s="52"/>
      <c r="B10" s="52"/>
      <c r="C10" s="52"/>
      <c r="D10" s="52"/>
      <c r="E10" s="60"/>
      <c r="F10" s="52"/>
      <c r="G10" s="52"/>
      <c r="H10" s="52" t="s">
        <v>26</v>
      </c>
      <c r="I10" s="52"/>
      <c r="J10" s="29" t="s">
        <v>26</v>
      </c>
    </row>
    <row r="11" spans="1:11" ht="18" x14ac:dyDescent="0.25">
      <c r="A11" s="52" t="s">
        <v>3</v>
      </c>
      <c r="B11" s="52"/>
      <c r="C11" s="52"/>
      <c r="D11" s="52"/>
      <c r="E11" s="60">
        <v>0</v>
      </c>
      <c r="F11" s="52"/>
      <c r="G11" s="52" t="s">
        <v>31</v>
      </c>
      <c r="H11" s="52"/>
      <c r="I11" s="52"/>
      <c r="J11" s="61">
        <f>E37</f>
        <v>-16231.222519999996</v>
      </c>
    </row>
    <row r="12" spans="1:11" ht="18" x14ac:dyDescent="0.25">
      <c r="A12" s="52"/>
      <c r="B12" s="52"/>
      <c r="C12" s="52"/>
      <c r="D12" s="52"/>
      <c r="E12" s="60"/>
      <c r="F12" s="52"/>
      <c r="G12" s="52"/>
      <c r="H12" s="52"/>
      <c r="I12" s="52"/>
      <c r="J12" s="59"/>
    </row>
    <row r="13" spans="1:11" ht="18" x14ac:dyDescent="0.25">
      <c r="A13" s="52" t="s">
        <v>4</v>
      </c>
      <c r="B13" s="52"/>
      <c r="C13" s="52"/>
      <c r="D13" s="52"/>
      <c r="E13" s="60">
        <f>SUM(E8:E11)</f>
        <v>36385692</v>
      </c>
      <c r="F13" s="52"/>
      <c r="G13" s="52" t="s">
        <v>32</v>
      </c>
      <c r="H13" s="52"/>
      <c r="I13" s="52"/>
      <c r="J13" s="59">
        <v>0</v>
      </c>
    </row>
    <row r="14" spans="1:11" ht="18" x14ac:dyDescent="0.25">
      <c r="A14" s="52"/>
      <c r="B14" s="52"/>
      <c r="C14" s="52"/>
      <c r="D14" s="52"/>
      <c r="E14" s="60"/>
      <c r="F14" s="52"/>
      <c r="G14" s="52"/>
      <c r="H14" s="52"/>
      <c r="I14" s="52"/>
      <c r="J14" s="59"/>
    </row>
    <row r="15" spans="1:11" ht="18" x14ac:dyDescent="0.25">
      <c r="A15" s="52" t="s">
        <v>5</v>
      </c>
      <c r="B15" s="52"/>
      <c r="C15" s="52"/>
      <c r="D15" s="52"/>
      <c r="E15" s="62">
        <f>E6-E13</f>
        <v>139335</v>
      </c>
      <c r="F15" s="52"/>
      <c r="G15" s="52" t="s">
        <v>33</v>
      </c>
      <c r="H15" s="52"/>
      <c r="I15" s="52"/>
      <c r="J15" s="61">
        <f>ROUND((+J8+J11),4)</f>
        <v>-113715.2225</v>
      </c>
    </row>
    <row r="16" spans="1:11" ht="18" x14ac:dyDescent="0.25">
      <c r="A16" s="52" t="s">
        <v>6</v>
      </c>
      <c r="B16" s="52"/>
      <c r="C16" s="52"/>
      <c r="D16" s="52"/>
      <c r="E16" s="60"/>
      <c r="F16" s="52"/>
      <c r="G16" s="52" t="s">
        <v>34</v>
      </c>
      <c r="H16" s="52"/>
      <c r="I16" s="52"/>
      <c r="J16" s="59"/>
    </row>
    <row r="17" spans="1:13" ht="18" x14ac:dyDescent="0.25">
      <c r="A17" s="52"/>
      <c r="B17" s="52"/>
      <c r="C17" s="52"/>
      <c r="D17" s="52"/>
      <c r="E17" s="60"/>
      <c r="F17" s="52"/>
      <c r="G17" s="52"/>
      <c r="H17" s="52"/>
      <c r="I17" s="52"/>
      <c r="J17" s="52"/>
    </row>
    <row r="18" spans="1:13" ht="18" x14ac:dyDescent="0.25">
      <c r="A18" s="63" t="s">
        <v>1</v>
      </c>
      <c r="B18" s="63" t="s">
        <v>1</v>
      </c>
      <c r="C18" s="63" t="s">
        <v>1</v>
      </c>
      <c r="D18" s="63" t="s">
        <v>1</v>
      </c>
      <c r="E18" s="64" t="s">
        <v>1</v>
      </c>
      <c r="F18" s="52"/>
      <c r="G18" s="52" t="s">
        <v>35</v>
      </c>
      <c r="H18" s="52"/>
      <c r="I18" s="52"/>
      <c r="J18" s="60">
        <f>E6</f>
        <v>36525027</v>
      </c>
    </row>
    <row r="19" spans="1:13" ht="18" x14ac:dyDescent="0.25">
      <c r="A19" s="63" t="s">
        <v>1</v>
      </c>
      <c r="B19" s="63" t="s">
        <v>1</v>
      </c>
      <c r="C19" s="63" t="s">
        <v>1</v>
      </c>
      <c r="D19" s="63" t="s">
        <v>1</v>
      </c>
      <c r="E19" s="64"/>
      <c r="F19" s="52"/>
      <c r="G19" s="52"/>
      <c r="H19" s="52"/>
      <c r="I19" s="52"/>
      <c r="J19" s="52"/>
    </row>
    <row r="20" spans="1:13" ht="18" x14ac:dyDescent="0.25">
      <c r="A20" s="52" t="s">
        <v>7</v>
      </c>
      <c r="B20" s="52"/>
      <c r="C20" s="52"/>
      <c r="D20" s="52" t="s">
        <v>25</v>
      </c>
      <c r="E20" s="24" t="s">
        <v>104</v>
      </c>
      <c r="F20" s="52"/>
      <c r="G20" s="52" t="s">
        <v>36</v>
      </c>
      <c r="H20" s="52"/>
      <c r="I20" s="52"/>
      <c r="J20" s="34">
        <f>ROUND((J8/J18),5)</f>
        <v>-2.6700000000000001E-3</v>
      </c>
    </row>
    <row r="21" spans="1:13" ht="18" x14ac:dyDescent="0.25">
      <c r="A21" s="52"/>
      <c r="B21" s="52"/>
      <c r="C21" s="52"/>
      <c r="D21" s="52"/>
      <c r="E21" s="60"/>
      <c r="F21" s="52"/>
      <c r="G21" s="52" t="s">
        <v>37</v>
      </c>
      <c r="H21" s="52"/>
      <c r="I21" s="52"/>
      <c r="J21" s="52"/>
    </row>
    <row r="22" spans="1:13" ht="18" x14ac:dyDescent="0.25">
      <c r="A22" s="52" t="s">
        <v>8</v>
      </c>
      <c r="B22" s="52"/>
      <c r="C22" s="52"/>
      <c r="D22" s="52"/>
      <c r="E22" s="53">
        <v>-2.9299999999999999E-3</v>
      </c>
      <c r="F22" s="52"/>
      <c r="G22" s="52"/>
      <c r="H22" s="52"/>
      <c r="I22" s="52"/>
      <c r="J22" s="52"/>
    </row>
    <row r="23" spans="1:13" ht="18" x14ac:dyDescent="0.25">
      <c r="A23" s="52"/>
      <c r="B23" s="52"/>
      <c r="C23" s="52"/>
      <c r="D23" s="52"/>
      <c r="E23" s="60"/>
      <c r="F23" s="52"/>
      <c r="G23" s="52" t="s">
        <v>38</v>
      </c>
      <c r="H23" s="52"/>
      <c r="I23" s="52"/>
      <c r="J23" s="52"/>
    </row>
    <row r="24" spans="1:13" ht="18" x14ac:dyDescent="0.25">
      <c r="A24" s="52" t="s">
        <v>9</v>
      </c>
      <c r="B24" s="52"/>
      <c r="C24" s="52"/>
      <c r="D24" s="52"/>
      <c r="E24" s="35">
        <v>36397256</v>
      </c>
      <c r="F24" s="52"/>
      <c r="G24" s="63" t="s">
        <v>1</v>
      </c>
      <c r="H24" s="52"/>
      <c r="I24" s="52"/>
      <c r="J24" s="52"/>
    </row>
    <row r="25" spans="1:13" ht="18" x14ac:dyDescent="0.25">
      <c r="A25" s="52"/>
      <c r="B25" s="52"/>
      <c r="C25" s="52"/>
      <c r="D25" s="52"/>
      <c r="E25" s="35"/>
      <c r="F25" s="52"/>
      <c r="G25" s="52" t="s">
        <v>39</v>
      </c>
      <c r="H25" s="52"/>
      <c r="I25" s="52"/>
      <c r="J25" s="58">
        <f>'12 Mth Avg-Sep 21'!E31</f>
        <v>2.9696058038358498E-2</v>
      </c>
    </row>
    <row r="26" spans="1:13" ht="18" x14ac:dyDescent="0.25">
      <c r="A26" s="52" t="s">
        <v>10</v>
      </c>
      <c r="B26" s="52"/>
      <c r="C26" s="52"/>
      <c r="D26" s="52"/>
      <c r="E26" s="35">
        <f>-763-10762-39</f>
        <v>-11564</v>
      </c>
      <c r="F26" s="52"/>
      <c r="G26" s="52"/>
      <c r="H26" s="52"/>
      <c r="I26" s="52"/>
      <c r="J26" s="52"/>
      <c r="M26" s="70"/>
    </row>
    <row r="27" spans="1:13" ht="18" x14ac:dyDescent="0.25">
      <c r="A27" s="52"/>
      <c r="B27" s="52"/>
      <c r="C27" s="52"/>
      <c r="D27" s="52"/>
      <c r="E27" s="62"/>
      <c r="F27" s="52"/>
      <c r="G27" s="52" t="s">
        <v>40</v>
      </c>
      <c r="H27" s="52"/>
      <c r="I27" s="52"/>
      <c r="J27" s="36" t="str">
        <f>E4</f>
        <v>September</v>
      </c>
    </row>
    <row r="28" spans="1:13" ht="18" x14ac:dyDescent="0.25">
      <c r="A28" s="52" t="s">
        <v>11</v>
      </c>
      <c r="B28" s="52"/>
      <c r="C28" s="52"/>
      <c r="D28" s="52"/>
      <c r="E28" s="62">
        <f>SUM(E24:E27)</f>
        <v>36385692</v>
      </c>
      <c r="F28" s="52"/>
      <c r="G28" s="52"/>
      <c r="H28" s="52"/>
      <c r="I28" s="52"/>
      <c r="J28" s="52"/>
    </row>
    <row r="29" spans="1:13" ht="18" x14ac:dyDescent="0.25">
      <c r="A29" s="52" t="s">
        <v>12</v>
      </c>
      <c r="B29" s="52"/>
      <c r="C29" s="52"/>
      <c r="D29" s="52"/>
      <c r="E29" s="60"/>
      <c r="F29" s="52"/>
      <c r="G29" s="52" t="s">
        <v>41</v>
      </c>
      <c r="H29" s="52"/>
      <c r="I29" s="52"/>
      <c r="J29" s="65">
        <f>ROUND((+E15/E6),6)</f>
        <v>3.8149999999999998E-3</v>
      </c>
    </row>
    <row r="30" spans="1:13" ht="18" x14ac:dyDescent="0.25">
      <c r="A30" s="52"/>
      <c r="B30" s="52" t="s">
        <v>26</v>
      </c>
      <c r="C30" s="52"/>
      <c r="D30" s="52"/>
      <c r="E30" s="60"/>
      <c r="F30" s="52"/>
      <c r="G30" s="52" t="s">
        <v>42</v>
      </c>
      <c r="H30" s="52"/>
      <c r="I30" s="52"/>
      <c r="J30" s="52"/>
    </row>
    <row r="31" spans="1:13" ht="18" x14ac:dyDescent="0.25">
      <c r="A31" s="52" t="s">
        <v>13</v>
      </c>
      <c r="B31" s="52"/>
      <c r="C31" s="52"/>
      <c r="D31" s="52"/>
      <c r="E31" s="54">
        <v>-121839.33</v>
      </c>
      <c r="F31" s="52"/>
      <c r="G31" s="52"/>
      <c r="H31" s="52"/>
      <c r="I31" s="52"/>
      <c r="J31" s="52"/>
    </row>
    <row r="32" spans="1:13" ht="18" x14ac:dyDescent="0.25">
      <c r="A32" s="52" t="s">
        <v>14</v>
      </c>
      <c r="B32" s="52"/>
      <c r="C32" s="52"/>
      <c r="D32" s="52"/>
      <c r="E32" s="61"/>
      <c r="F32" s="52"/>
      <c r="G32" s="52" t="s">
        <v>43</v>
      </c>
      <c r="H32" s="52"/>
      <c r="I32" s="52"/>
      <c r="J32" s="52"/>
    </row>
    <row r="33" spans="1:10" ht="18" x14ac:dyDescent="0.25">
      <c r="A33" s="52"/>
      <c r="B33" s="52"/>
      <c r="C33" s="52"/>
      <c r="D33" s="52"/>
      <c r="E33" s="61"/>
      <c r="F33" s="52"/>
      <c r="G33" s="63" t="s">
        <v>1</v>
      </c>
      <c r="H33" s="63" t="s">
        <v>1</v>
      </c>
      <c r="I33" s="63" t="s">
        <v>1</v>
      </c>
      <c r="J33" s="52"/>
    </row>
    <row r="34" spans="1:10" ht="18" x14ac:dyDescent="0.25">
      <c r="A34" s="52" t="s">
        <v>15</v>
      </c>
      <c r="B34" s="52"/>
      <c r="C34" s="52"/>
      <c r="D34" s="52"/>
      <c r="E34" s="61">
        <f>(+E26*E22)+B41</f>
        <v>-105608.10748000001</v>
      </c>
      <c r="F34" s="52"/>
      <c r="G34" s="52" t="s">
        <v>44</v>
      </c>
      <c r="H34" s="52"/>
      <c r="I34" s="52"/>
      <c r="J34" s="65">
        <f>ROUND((1-J25),7)</f>
        <v>0.9703039</v>
      </c>
    </row>
    <row r="35" spans="1:10" ht="18" x14ac:dyDescent="0.25">
      <c r="A35" s="52" t="s">
        <v>16</v>
      </c>
      <c r="B35" s="52"/>
      <c r="C35" s="52"/>
      <c r="D35" s="52"/>
      <c r="E35" s="61"/>
      <c r="F35" s="52"/>
      <c r="G35" s="52" t="s">
        <v>45</v>
      </c>
      <c r="H35" s="52"/>
      <c r="I35" s="52"/>
      <c r="J35" s="52"/>
    </row>
    <row r="36" spans="1:10" ht="18" x14ac:dyDescent="0.25">
      <c r="A36" s="52"/>
      <c r="B36" s="52"/>
      <c r="C36" s="52"/>
      <c r="D36" s="52"/>
      <c r="E36" s="61"/>
      <c r="F36" s="52"/>
      <c r="G36" s="52"/>
      <c r="H36" s="52"/>
      <c r="I36" s="52"/>
      <c r="J36" s="52"/>
    </row>
    <row r="37" spans="1:10" ht="18" x14ac:dyDescent="0.25">
      <c r="A37" s="52" t="s">
        <v>17</v>
      </c>
      <c r="B37" s="52"/>
      <c r="C37" s="52"/>
      <c r="D37" s="52"/>
      <c r="E37" s="61">
        <f>(E31-E34)</f>
        <v>-16231.222519999996</v>
      </c>
      <c r="F37" s="52"/>
      <c r="G37" s="52" t="s">
        <v>46</v>
      </c>
      <c r="H37" s="52"/>
      <c r="I37" s="52"/>
      <c r="J37" s="66">
        <f>ROUND((J15/J18),5)</f>
        <v>-3.1099999999999999E-3</v>
      </c>
    </row>
    <row r="38" spans="1:10" ht="18" x14ac:dyDescent="0.25">
      <c r="A38" s="52" t="s">
        <v>18</v>
      </c>
      <c r="B38" s="52"/>
      <c r="C38" s="52"/>
      <c r="D38" s="52"/>
      <c r="E38" s="61"/>
      <c r="F38" s="52"/>
      <c r="G38" s="52" t="s">
        <v>47</v>
      </c>
      <c r="H38" s="52"/>
      <c r="I38" s="52"/>
      <c r="J38" s="66"/>
    </row>
    <row r="39" spans="1:10" ht="18" x14ac:dyDescent="0.25">
      <c r="A39" s="52"/>
      <c r="B39" s="52"/>
      <c r="C39" s="52"/>
      <c r="D39" s="52"/>
      <c r="E39" s="59"/>
      <c r="F39" s="52"/>
      <c r="G39" s="52"/>
      <c r="H39" s="52"/>
      <c r="I39" s="52"/>
      <c r="J39" s="66"/>
    </row>
    <row r="40" spans="1:10" ht="18" x14ac:dyDescent="0.25">
      <c r="A40" s="52"/>
      <c r="B40" s="39" t="s">
        <v>24</v>
      </c>
      <c r="C40" s="39"/>
      <c r="D40" s="39"/>
      <c r="E40" s="59"/>
      <c r="F40" s="52"/>
      <c r="G40" s="52" t="s">
        <v>48</v>
      </c>
      <c r="H40" s="52"/>
      <c r="I40" s="52"/>
      <c r="J40" s="40">
        <f>ROUND((J37/J34),7)</f>
        <v>-3.2052000000000001E-3</v>
      </c>
    </row>
    <row r="41" spans="1:10" ht="18" x14ac:dyDescent="0.25">
      <c r="A41" s="52"/>
      <c r="B41" s="57">
        <v>-105641.99</v>
      </c>
      <c r="D41" s="41"/>
      <c r="E41" s="59"/>
      <c r="F41" s="52"/>
      <c r="G41" s="52"/>
      <c r="H41" s="52"/>
      <c r="I41" s="52"/>
      <c r="J41" s="52"/>
    </row>
    <row r="42" spans="1:10" ht="18" x14ac:dyDescent="0.25">
      <c r="A42" s="52"/>
      <c r="B42" s="52"/>
      <c r="C42" s="52"/>
      <c r="D42" s="52"/>
      <c r="E42" s="52"/>
      <c r="F42" s="52"/>
      <c r="G42" s="52" t="s">
        <v>49</v>
      </c>
      <c r="H42" s="52"/>
      <c r="I42" s="52"/>
      <c r="J42" s="67">
        <f>ROUND((+J40*100),3)</f>
        <v>-0.32100000000000001</v>
      </c>
    </row>
    <row r="43" spans="1:10" ht="18" x14ac:dyDescent="0.25">
      <c r="A43" s="63" t="s">
        <v>1</v>
      </c>
      <c r="B43" s="63" t="s">
        <v>1</v>
      </c>
      <c r="C43" s="63" t="s">
        <v>1</v>
      </c>
      <c r="D43" s="63" t="s">
        <v>1</v>
      </c>
      <c r="E43" s="63" t="s">
        <v>1</v>
      </c>
      <c r="F43" s="63" t="s">
        <v>1</v>
      </c>
      <c r="G43" s="63" t="s">
        <v>1</v>
      </c>
      <c r="H43" s="63" t="s">
        <v>1</v>
      </c>
      <c r="I43" s="63" t="s">
        <v>1</v>
      </c>
      <c r="J43" s="63" t="s">
        <v>1</v>
      </c>
    </row>
    <row r="44" spans="1:10" ht="18" x14ac:dyDescent="0.25">
      <c r="A44" s="52" t="s">
        <v>19</v>
      </c>
      <c r="B44" s="52"/>
      <c r="C44" s="52"/>
      <c r="D44" s="68">
        <f>J42</f>
        <v>-0.32100000000000001</v>
      </c>
      <c r="E44" s="52" t="s">
        <v>26</v>
      </c>
      <c r="F44" s="69"/>
      <c r="G44" s="52"/>
      <c r="H44" s="52"/>
      <c r="I44" s="52"/>
      <c r="J44" s="52"/>
    </row>
    <row r="45" spans="1:10" ht="18" x14ac:dyDescent="0.25">
      <c r="A45" s="52" t="s">
        <v>20</v>
      </c>
      <c r="B45" s="71">
        <f>I46+24</f>
        <v>44515</v>
      </c>
      <c r="C45" s="52"/>
      <c r="D45" s="52" t="s">
        <v>26</v>
      </c>
      <c r="E45" s="52"/>
      <c r="F45" s="52"/>
      <c r="G45" s="52"/>
      <c r="H45" s="52"/>
      <c r="I45" s="52"/>
      <c r="J45" s="52"/>
    </row>
    <row r="46" spans="1:10" ht="18" x14ac:dyDescent="0.25">
      <c r="A46" s="52"/>
      <c r="B46" s="52"/>
      <c r="C46" s="52"/>
      <c r="D46" s="52"/>
      <c r="E46" s="36"/>
      <c r="F46" s="52"/>
      <c r="G46" s="52"/>
      <c r="H46" s="45" t="s">
        <v>50</v>
      </c>
      <c r="I46" s="71">
        <v>44491</v>
      </c>
      <c r="J46" s="46"/>
    </row>
    <row r="47" spans="1:10" ht="18" x14ac:dyDescent="0.25">
      <c r="A47" s="52" t="s">
        <v>100</v>
      </c>
      <c r="B47" s="52" t="s">
        <v>105</v>
      </c>
      <c r="C47" s="52"/>
      <c r="D47" s="52"/>
      <c r="E47" s="52"/>
      <c r="F47" s="52"/>
      <c r="G47" s="52"/>
      <c r="H47" s="52" t="s">
        <v>106</v>
      </c>
      <c r="I47" s="52"/>
      <c r="J47" s="52"/>
    </row>
    <row r="48" spans="1:10" ht="18" x14ac:dyDescent="0.25">
      <c r="A48" s="52" t="s">
        <v>21</v>
      </c>
      <c r="B48" s="52"/>
      <c r="C48" s="52"/>
      <c r="D48" s="52"/>
      <c r="E48" s="52"/>
      <c r="F48" s="52"/>
      <c r="G48" s="52"/>
      <c r="H48" s="52" t="s">
        <v>103</v>
      </c>
      <c r="I48" s="52"/>
      <c r="J48" s="52"/>
    </row>
    <row r="49" spans="1:10" ht="15.75" x14ac:dyDescent="0.25">
      <c r="A49" s="6" t="s">
        <v>22</v>
      </c>
      <c r="B49" s="2"/>
      <c r="C49" s="2"/>
      <c r="D49" s="2"/>
      <c r="E49" s="2"/>
      <c r="F49" s="7"/>
      <c r="G49" s="2"/>
      <c r="H49" s="7"/>
      <c r="I49" s="2" t="s">
        <v>26</v>
      </c>
      <c r="J49" s="4"/>
    </row>
    <row r="50" spans="1:10" ht="15.75" x14ac:dyDescent="0.25">
      <c r="A50" s="2"/>
      <c r="B50" s="2"/>
      <c r="C50" s="2"/>
      <c r="D50" s="2"/>
      <c r="E50" s="2"/>
      <c r="F50" s="2"/>
      <c r="G50" s="2"/>
      <c r="H50" s="7"/>
      <c r="I50" s="7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8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5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5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5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5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5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5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5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5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5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5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5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5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5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5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5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5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5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5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5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5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5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5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5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DBC83-35BA-4B8F-A6CC-7224B490CBB5}">
  <dimension ref="A1:G40"/>
  <sheetViews>
    <sheetView workbookViewId="0">
      <selection activeCell="E28" sqref="E28"/>
    </sheetView>
  </sheetViews>
  <sheetFormatPr defaultRowHeight="15" x14ac:dyDescent="0.2"/>
  <cols>
    <col min="1" max="1" width="21" customWidth="1"/>
    <col min="3" max="3" width="11.5546875" customWidth="1"/>
    <col min="4" max="4" width="6.77734375" customWidth="1"/>
    <col min="5" max="5" width="9.6640625" bestFit="1" customWidth="1"/>
    <col min="6" max="6" width="3.77734375" customWidth="1"/>
    <col min="7" max="7" width="12" customWidth="1"/>
  </cols>
  <sheetData>
    <row r="1" spans="1:7" ht="15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59</v>
      </c>
      <c r="B2" s="15"/>
      <c r="C2" s="15"/>
      <c r="D2" s="15"/>
      <c r="E2" s="15"/>
      <c r="F2" s="15"/>
      <c r="G2" s="15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 t="s">
        <v>60</v>
      </c>
      <c r="B5" s="11"/>
      <c r="C5" s="11"/>
      <c r="D5" s="11"/>
      <c r="E5" s="11"/>
      <c r="F5" s="11"/>
      <c r="G5" s="11"/>
    </row>
    <row r="6" spans="1:7" ht="15.75" x14ac:dyDescent="0.25">
      <c r="A6" s="11" t="s">
        <v>61</v>
      </c>
      <c r="B6" s="11"/>
      <c r="C6" s="11"/>
      <c r="D6" s="11"/>
      <c r="E6" s="11"/>
      <c r="F6" s="11"/>
      <c r="G6" s="11"/>
    </row>
    <row r="7" spans="1:7" ht="15.75" x14ac:dyDescent="0.25">
      <c r="A7" s="11" t="s">
        <v>62</v>
      </c>
      <c r="B7" s="11"/>
      <c r="C7" s="11"/>
      <c r="D7" s="11"/>
      <c r="E7" s="11"/>
      <c r="F7" s="11"/>
      <c r="G7" s="11"/>
    </row>
    <row r="8" spans="1:7" ht="15.75" x14ac:dyDescent="0.25">
      <c r="A8" s="9"/>
      <c r="B8" s="9"/>
      <c r="C8" s="9"/>
      <c r="D8" s="9"/>
      <c r="E8" s="9"/>
      <c r="F8" s="9"/>
      <c r="G8" s="9"/>
    </row>
    <row r="9" spans="1:7" ht="15.75" x14ac:dyDescent="0.25">
      <c r="A9" s="19">
        <v>44469</v>
      </c>
      <c r="B9" s="11"/>
      <c r="C9" s="11"/>
      <c r="D9" s="11"/>
      <c r="E9" s="11"/>
      <c r="F9" s="11"/>
      <c r="G9" s="11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15"/>
      <c r="B11" s="15"/>
      <c r="C11" s="15"/>
      <c r="D11" s="15"/>
      <c r="E11" s="15"/>
      <c r="F11" s="15"/>
      <c r="G11" s="15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2"/>
      <c r="B13" s="12"/>
      <c r="C13" s="16" t="s">
        <v>63</v>
      </c>
      <c r="D13" s="12"/>
      <c r="E13" s="16" t="s">
        <v>66</v>
      </c>
      <c r="F13" s="16"/>
      <c r="G13" s="16" t="s">
        <v>69</v>
      </c>
    </row>
    <row r="14" spans="1:7" ht="15.75" x14ac:dyDescent="0.25">
      <c r="A14" s="12"/>
      <c r="B14" s="12"/>
      <c r="C14" s="16" t="s">
        <v>64</v>
      </c>
      <c r="D14" s="12"/>
      <c r="E14" s="16" t="s">
        <v>64</v>
      </c>
      <c r="F14" s="16"/>
      <c r="G14" s="16" t="s">
        <v>64</v>
      </c>
    </row>
    <row r="15" spans="1:7" ht="15.75" x14ac:dyDescent="0.25">
      <c r="A15" s="12"/>
      <c r="B15" s="12"/>
      <c r="C15" s="16" t="s">
        <v>65</v>
      </c>
      <c r="D15" s="12"/>
      <c r="E15" s="16" t="s">
        <v>67</v>
      </c>
      <c r="F15" s="16"/>
      <c r="G15" s="16" t="s">
        <v>68</v>
      </c>
    </row>
    <row r="16" spans="1:7" ht="15.75" x14ac:dyDescent="0.25">
      <c r="A16" s="12"/>
      <c r="B16" s="12"/>
      <c r="C16" s="16"/>
      <c r="D16" s="12"/>
      <c r="E16" s="16" t="s">
        <v>70</v>
      </c>
      <c r="F16" s="16"/>
      <c r="G16" s="16"/>
    </row>
    <row r="17" spans="1:7" ht="15.75" x14ac:dyDescent="0.25">
      <c r="A17" s="9"/>
      <c r="B17" s="9"/>
      <c r="C17" s="9"/>
      <c r="D17" s="9"/>
      <c r="E17" s="9"/>
      <c r="F17" s="9"/>
      <c r="G17" s="9"/>
    </row>
    <row r="18" spans="1:7" ht="15.75" x14ac:dyDescent="0.25">
      <c r="A18" s="9" t="s">
        <v>52</v>
      </c>
      <c r="B18" s="9"/>
      <c r="C18" s="9"/>
      <c r="D18" s="9"/>
      <c r="E18" s="9"/>
      <c r="F18" s="9"/>
      <c r="G18" s="9"/>
    </row>
    <row r="19" spans="1:7" ht="15.75" x14ac:dyDescent="0.25">
      <c r="A19" s="9" t="s">
        <v>53</v>
      </c>
      <c r="B19" s="9"/>
      <c r="C19" s="17">
        <v>486925990</v>
      </c>
      <c r="D19" s="18"/>
      <c r="E19" s="17">
        <v>472193084</v>
      </c>
      <c r="F19" s="14"/>
      <c r="G19" s="13">
        <f>C19-E19</f>
        <v>14732906</v>
      </c>
    </row>
    <row r="20" spans="1:7" ht="15.75" x14ac:dyDescent="0.25">
      <c r="A20" s="9"/>
      <c r="B20" s="9"/>
      <c r="C20" s="17"/>
      <c r="D20" s="18"/>
      <c r="E20" s="17"/>
      <c r="F20" s="14"/>
      <c r="G20" s="13"/>
    </row>
    <row r="21" spans="1:7" ht="15.75" x14ac:dyDescent="0.25">
      <c r="A21" s="9" t="s">
        <v>54</v>
      </c>
      <c r="B21" s="9"/>
      <c r="C21" s="17"/>
      <c r="D21" s="18"/>
      <c r="E21" s="17"/>
      <c r="F21" s="14"/>
      <c r="G21" s="13"/>
    </row>
    <row r="22" spans="1:7" ht="15.75" x14ac:dyDescent="0.25">
      <c r="A22" s="9" t="s">
        <v>55</v>
      </c>
      <c r="B22" s="9"/>
      <c r="C22" s="13">
        <v>36606097</v>
      </c>
      <c r="D22" s="14"/>
      <c r="E22" s="13">
        <v>36191231</v>
      </c>
      <c r="F22" s="14"/>
      <c r="G22" s="13">
        <f>C22-E22</f>
        <v>414866</v>
      </c>
    </row>
    <row r="23" spans="1:7" ht="15.75" x14ac:dyDescent="0.25">
      <c r="A23" s="9"/>
      <c r="B23" s="9"/>
      <c r="C23" s="13"/>
      <c r="D23" s="14"/>
      <c r="E23" s="13"/>
      <c r="F23" s="14"/>
      <c r="G23" s="13"/>
    </row>
    <row r="24" spans="1:7" ht="15.75" x14ac:dyDescent="0.25">
      <c r="A24" s="9" t="s">
        <v>56</v>
      </c>
      <c r="B24" s="9"/>
      <c r="C24" s="13"/>
      <c r="D24" s="14"/>
      <c r="E24" s="13"/>
      <c r="F24" s="14"/>
      <c r="G24" s="13"/>
    </row>
    <row r="25" spans="1:7" ht="15.75" x14ac:dyDescent="0.25">
      <c r="A25" s="9" t="s">
        <v>55</v>
      </c>
      <c r="B25" s="9"/>
      <c r="C25" s="13">
        <v>36525027</v>
      </c>
      <c r="D25" s="14"/>
      <c r="E25" s="13">
        <v>36385692</v>
      </c>
      <c r="F25" s="14"/>
      <c r="G25" s="13">
        <f>C25-E25</f>
        <v>139335</v>
      </c>
    </row>
    <row r="26" spans="1:7" ht="15.75" x14ac:dyDescent="0.25">
      <c r="A26" s="9"/>
      <c r="B26" s="9"/>
      <c r="C26" s="10"/>
      <c r="D26" s="9"/>
      <c r="E26" s="10"/>
      <c r="F26" s="9"/>
      <c r="G26" s="10"/>
    </row>
    <row r="27" spans="1:7" ht="15.75" x14ac:dyDescent="0.25">
      <c r="A27" s="9" t="s">
        <v>57</v>
      </c>
      <c r="B27" s="9"/>
      <c r="C27" s="10"/>
      <c r="D27" s="9"/>
      <c r="E27" s="10"/>
      <c r="F27" s="9"/>
      <c r="G27" s="10"/>
    </row>
    <row r="28" spans="1:7" ht="15.75" x14ac:dyDescent="0.25">
      <c r="A28" s="9" t="s">
        <v>53</v>
      </c>
      <c r="B28" s="9"/>
      <c r="C28" s="10">
        <f>C19-C22+C25</f>
        <v>486844920</v>
      </c>
      <c r="D28" s="9"/>
      <c r="E28" s="10">
        <f>E19-E22+E25</f>
        <v>472387545</v>
      </c>
      <c r="F28" s="9"/>
      <c r="G28" s="10">
        <f>C28-E28</f>
        <v>14457375</v>
      </c>
    </row>
    <row r="29" spans="1:7" ht="15.75" x14ac:dyDescent="0.25">
      <c r="A29" s="9"/>
      <c r="B29" s="9"/>
      <c r="C29" s="10"/>
      <c r="D29" s="9"/>
      <c r="E29" s="10"/>
      <c r="F29" s="9"/>
      <c r="G29" s="10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 t="s">
        <v>58</v>
      </c>
      <c r="B31" s="9"/>
      <c r="C31" s="9"/>
      <c r="D31" s="9"/>
      <c r="E31" s="56">
        <f>G28/C28</f>
        <v>2.9696058038358498E-2</v>
      </c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9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</sheetData>
  <pageMargins left="0.75" right="0.75" top="1.2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B298F-E3F8-4BF6-8663-203CEE94BC38}">
  <sheetPr>
    <pageSetUpPr fitToPage="1"/>
  </sheetPr>
  <dimension ref="A1:M99"/>
  <sheetViews>
    <sheetView zoomScale="60" zoomScaleNormal="60" workbookViewId="0">
      <selection activeCell="J40" sqref="J40"/>
    </sheetView>
  </sheetViews>
  <sheetFormatPr defaultColWidth="9.6640625" defaultRowHeight="15" x14ac:dyDescent="0.2"/>
  <cols>
    <col min="1" max="1" width="11.33203125" style="1" customWidth="1"/>
    <col min="2" max="2" width="28.77734375" style="1" customWidth="1"/>
    <col min="3" max="3" width="19.33203125" style="1" customWidth="1"/>
    <col min="4" max="4" width="10" style="1" customWidth="1"/>
    <col min="5" max="5" width="17.6640625" style="1" customWidth="1"/>
    <col min="6" max="6" width="9.6640625" style="1" customWidth="1"/>
    <col min="7" max="7" width="8.5546875" style="1" customWidth="1"/>
    <col min="8" max="8" width="13.77734375" style="1" customWidth="1"/>
    <col min="9" max="9" width="21.88671875" style="1" customWidth="1"/>
    <col min="10" max="10" width="20.6640625" style="1" customWidth="1"/>
    <col min="11" max="16384" width="9.6640625" style="1"/>
  </cols>
  <sheetData>
    <row r="1" spans="1:11" x14ac:dyDescent="0.2">
      <c r="A1" s="2" t="s">
        <v>0</v>
      </c>
      <c r="B1" s="2" t="s">
        <v>23</v>
      </c>
      <c r="C1" s="2"/>
      <c r="D1" s="2"/>
      <c r="E1" s="2"/>
      <c r="F1" s="2"/>
      <c r="G1" s="2" t="s">
        <v>27</v>
      </c>
      <c r="H1" s="2"/>
      <c r="I1" s="2"/>
      <c r="J1" s="2"/>
    </row>
    <row r="2" spans="1:11" x14ac:dyDescent="0.2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</row>
    <row r="3" spans="1:11" x14ac:dyDescent="0.2">
      <c r="A3" s="3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</row>
    <row r="4" spans="1:11" ht="18" x14ac:dyDescent="0.25">
      <c r="A4" s="52" t="s">
        <v>2</v>
      </c>
      <c r="B4" s="52"/>
      <c r="C4" s="52"/>
      <c r="D4" s="52"/>
      <c r="E4" s="24" t="s">
        <v>81</v>
      </c>
      <c r="F4" s="52"/>
      <c r="G4" s="52" t="s">
        <v>28</v>
      </c>
      <c r="H4" s="52"/>
      <c r="I4" s="52" t="s">
        <v>51</v>
      </c>
      <c r="J4" s="25" t="str">
        <f>E4</f>
        <v>October</v>
      </c>
    </row>
    <row r="5" spans="1:11" ht="1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1" ht="18" x14ac:dyDescent="0.25">
      <c r="A6" s="52" t="s">
        <v>71</v>
      </c>
      <c r="B6" s="52"/>
      <c r="C6" s="52"/>
      <c r="D6" s="52"/>
      <c r="E6" s="26">
        <v>34815803</v>
      </c>
      <c r="F6" s="52"/>
      <c r="G6" s="52" t="s">
        <v>29</v>
      </c>
      <c r="H6" s="52"/>
      <c r="I6" s="52"/>
      <c r="J6" s="59"/>
      <c r="K6" s="55"/>
    </row>
    <row r="7" spans="1:11" ht="18" x14ac:dyDescent="0.25">
      <c r="A7" s="52"/>
      <c r="B7" s="52"/>
      <c r="C7" s="52"/>
      <c r="D7" s="52"/>
      <c r="E7" s="60"/>
      <c r="F7" s="52"/>
      <c r="G7" s="52"/>
      <c r="H7" s="52"/>
      <c r="I7" s="52"/>
      <c r="J7" s="52"/>
    </row>
    <row r="8" spans="1:11" ht="18" x14ac:dyDescent="0.25">
      <c r="A8" s="52" t="s">
        <v>72</v>
      </c>
      <c r="B8" s="52"/>
      <c r="C8" s="52"/>
      <c r="D8" s="52"/>
      <c r="E8" s="26">
        <v>34503128</v>
      </c>
      <c r="F8" s="52"/>
      <c r="G8" s="52" t="s">
        <v>30</v>
      </c>
      <c r="H8" s="52"/>
      <c r="I8" s="52"/>
      <c r="J8" s="54">
        <v>-31334</v>
      </c>
    </row>
    <row r="9" spans="1:11" ht="18" x14ac:dyDescent="0.25">
      <c r="A9" s="52"/>
      <c r="B9" s="52"/>
      <c r="C9" s="52"/>
      <c r="D9" s="52"/>
      <c r="E9" s="60"/>
      <c r="F9" s="52"/>
      <c r="G9" s="52"/>
      <c r="H9" s="52" t="s">
        <v>26</v>
      </c>
      <c r="I9" s="52"/>
      <c r="J9" s="29" t="s">
        <v>26</v>
      </c>
    </row>
    <row r="10" spans="1:11" ht="18" x14ac:dyDescent="0.25">
      <c r="A10" s="52"/>
      <c r="B10" s="52"/>
      <c r="C10" s="52"/>
      <c r="D10" s="52"/>
      <c r="E10" s="60"/>
      <c r="F10" s="52"/>
      <c r="G10" s="52"/>
      <c r="H10" s="52" t="s">
        <v>26</v>
      </c>
      <c r="I10" s="52"/>
      <c r="J10" s="29" t="s">
        <v>26</v>
      </c>
    </row>
    <row r="11" spans="1:11" ht="18" x14ac:dyDescent="0.25">
      <c r="A11" s="52" t="s">
        <v>3</v>
      </c>
      <c r="B11" s="52"/>
      <c r="C11" s="52"/>
      <c r="D11" s="52"/>
      <c r="E11" s="60">
        <v>0</v>
      </c>
      <c r="F11" s="52"/>
      <c r="G11" s="52" t="s">
        <v>31</v>
      </c>
      <c r="H11" s="52"/>
      <c r="I11" s="52"/>
      <c r="J11" s="61">
        <f>E37</f>
        <v>-27911.458740000016</v>
      </c>
    </row>
    <row r="12" spans="1:11" ht="18" x14ac:dyDescent="0.25">
      <c r="A12" s="52"/>
      <c r="B12" s="52"/>
      <c r="C12" s="52"/>
      <c r="D12" s="52"/>
      <c r="E12" s="60"/>
      <c r="F12" s="52"/>
      <c r="G12" s="52"/>
      <c r="H12" s="52"/>
      <c r="I12" s="52"/>
      <c r="J12" s="59"/>
    </row>
    <row r="13" spans="1:11" ht="18" x14ac:dyDescent="0.25">
      <c r="A13" s="52" t="s">
        <v>4</v>
      </c>
      <c r="B13" s="52"/>
      <c r="C13" s="52"/>
      <c r="D13" s="52"/>
      <c r="E13" s="60">
        <f>SUM(E8:E11)</f>
        <v>34503128</v>
      </c>
      <c r="F13" s="52"/>
      <c r="G13" s="52" t="s">
        <v>32</v>
      </c>
      <c r="H13" s="52"/>
      <c r="I13" s="52"/>
      <c r="J13" s="59">
        <v>0</v>
      </c>
    </row>
    <row r="14" spans="1:11" ht="18" x14ac:dyDescent="0.25">
      <c r="A14" s="52"/>
      <c r="B14" s="52"/>
      <c r="C14" s="52"/>
      <c r="D14" s="52"/>
      <c r="E14" s="60"/>
      <c r="F14" s="52"/>
      <c r="G14" s="52"/>
      <c r="H14" s="52"/>
      <c r="I14" s="52"/>
      <c r="J14" s="59"/>
    </row>
    <row r="15" spans="1:11" ht="18" x14ac:dyDescent="0.25">
      <c r="A15" s="52" t="s">
        <v>5</v>
      </c>
      <c r="B15" s="52"/>
      <c r="C15" s="52"/>
      <c r="D15" s="52"/>
      <c r="E15" s="62">
        <f>E6-E13</f>
        <v>312675</v>
      </c>
      <c r="F15" s="52"/>
      <c r="G15" s="52" t="s">
        <v>33</v>
      </c>
      <c r="H15" s="52"/>
      <c r="I15" s="52"/>
      <c r="J15" s="61">
        <f>ROUND((+J8+J11),4)</f>
        <v>-59245.458700000003</v>
      </c>
    </row>
    <row r="16" spans="1:11" ht="18" x14ac:dyDescent="0.25">
      <c r="A16" s="52" t="s">
        <v>6</v>
      </c>
      <c r="B16" s="52"/>
      <c r="C16" s="52"/>
      <c r="D16" s="52"/>
      <c r="E16" s="60"/>
      <c r="F16" s="52"/>
      <c r="G16" s="52" t="s">
        <v>34</v>
      </c>
      <c r="H16" s="52"/>
      <c r="I16" s="52"/>
      <c r="J16" s="59"/>
    </row>
    <row r="17" spans="1:13" ht="18" x14ac:dyDescent="0.25">
      <c r="A17" s="52"/>
      <c r="B17" s="52"/>
      <c r="C17" s="52"/>
      <c r="D17" s="52"/>
      <c r="E17" s="60"/>
      <c r="F17" s="52"/>
      <c r="G17" s="52"/>
      <c r="H17" s="52"/>
      <c r="I17" s="52"/>
      <c r="J17" s="52"/>
    </row>
    <row r="18" spans="1:13" ht="18" x14ac:dyDescent="0.25">
      <c r="A18" s="63" t="s">
        <v>1</v>
      </c>
      <c r="B18" s="63" t="s">
        <v>1</v>
      </c>
      <c r="C18" s="63" t="s">
        <v>1</v>
      </c>
      <c r="D18" s="63" t="s">
        <v>1</v>
      </c>
      <c r="E18" s="64" t="s">
        <v>1</v>
      </c>
      <c r="F18" s="52"/>
      <c r="G18" s="52" t="s">
        <v>35</v>
      </c>
      <c r="H18" s="52"/>
      <c r="I18" s="52"/>
      <c r="J18" s="60">
        <f>E6</f>
        <v>34815803</v>
      </c>
    </row>
    <row r="19" spans="1:13" ht="18" x14ac:dyDescent="0.25">
      <c r="A19" s="63" t="s">
        <v>1</v>
      </c>
      <c r="B19" s="63" t="s">
        <v>1</v>
      </c>
      <c r="C19" s="63" t="s">
        <v>1</v>
      </c>
      <c r="D19" s="63" t="s">
        <v>1</v>
      </c>
      <c r="E19" s="64"/>
      <c r="F19" s="52"/>
      <c r="G19" s="52"/>
      <c r="H19" s="52"/>
      <c r="I19" s="52"/>
      <c r="J19" s="52"/>
    </row>
    <row r="20" spans="1:13" ht="18" x14ac:dyDescent="0.25">
      <c r="A20" s="52" t="s">
        <v>7</v>
      </c>
      <c r="B20" s="52"/>
      <c r="C20" s="52"/>
      <c r="D20" s="52" t="s">
        <v>25</v>
      </c>
      <c r="E20" s="24" t="s">
        <v>107</v>
      </c>
      <c r="F20" s="52"/>
      <c r="G20" s="52" t="s">
        <v>36</v>
      </c>
      <c r="H20" s="52"/>
      <c r="I20" s="52"/>
      <c r="J20" s="34">
        <f>ROUND((J8/J18),5)</f>
        <v>-8.9999999999999998E-4</v>
      </c>
    </row>
    <row r="21" spans="1:13" ht="18" x14ac:dyDescent="0.25">
      <c r="A21" s="52"/>
      <c r="B21" s="52"/>
      <c r="C21" s="52"/>
      <c r="D21" s="52"/>
      <c r="E21" s="60"/>
      <c r="F21" s="52"/>
      <c r="G21" s="52" t="s">
        <v>37</v>
      </c>
      <c r="H21" s="52"/>
      <c r="I21" s="52"/>
      <c r="J21" s="52"/>
    </row>
    <row r="22" spans="1:13" ht="18" x14ac:dyDescent="0.25">
      <c r="A22" s="52" t="s">
        <v>8</v>
      </c>
      <c r="B22" s="52"/>
      <c r="C22" s="52"/>
      <c r="D22" s="52"/>
      <c r="E22" s="53">
        <v>-3.2599999999999999E-3</v>
      </c>
      <c r="F22" s="52"/>
      <c r="G22" s="52"/>
      <c r="H22" s="52"/>
      <c r="I22" s="52"/>
      <c r="J22" s="52"/>
    </row>
    <row r="23" spans="1:13" ht="18" x14ac:dyDescent="0.25">
      <c r="A23" s="52"/>
      <c r="B23" s="52"/>
      <c r="C23" s="52"/>
      <c r="D23" s="52"/>
      <c r="E23" s="60"/>
      <c r="F23" s="52"/>
      <c r="G23" s="52" t="s">
        <v>38</v>
      </c>
      <c r="H23" s="52"/>
      <c r="I23" s="52"/>
      <c r="J23" s="52"/>
    </row>
    <row r="24" spans="1:13" ht="18" x14ac:dyDescent="0.25">
      <c r="A24" s="52" t="s">
        <v>9</v>
      </c>
      <c r="B24" s="52"/>
      <c r="C24" s="52"/>
      <c r="D24" s="52"/>
      <c r="E24" s="35">
        <v>34517327</v>
      </c>
      <c r="F24" s="52"/>
      <c r="G24" s="63" t="s">
        <v>1</v>
      </c>
      <c r="H24" s="52"/>
      <c r="I24" s="52"/>
      <c r="J24" s="52"/>
    </row>
    <row r="25" spans="1:13" ht="18" x14ac:dyDescent="0.25">
      <c r="A25" s="52"/>
      <c r="B25" s="52"/>
      <c r="C25" s="52"/>
      <c r="D25" s="52"/>
      <c r="E25" s="35"/>
      <c r="F25" s="52"/>
      <c r="G25" s="52" t="s">
        <v>39</v>
      </c>
      <c r="H25" s="52"/>
      <c r="I25" s="52"/>
      <c r="J25" s="58">
        <f>'12 Mth Avg-Oct 21'!E31</f>
        <v>2.7822998233819982E-2</v>
      </c>
    </row>
    <row r="26" spans="1:13" ht="18" x14ac:dyDescent="0.25">
      <c r="A26" s="52" t="s">
        <v>10</v>
      </c>
      <c r="B26" s="52"/>
      <c r="C26" s="52"/>
      <c r="D26" s="52"/>
      <c r="E26" s="35">
        <f>-11630-2458-24-87</f>
        <v>-14199</v>
      </c>
      <c r="F26" s="52"/>
      <c r="G26" s="52"/>
      <c r="H26" s="52"/>
      <c r="I26" s="52"/>
      <c r="J26" s="52"/>
      <c r="M26" s="70"/>
    </row>
    <row r="27" spans="1:13" ht="18" x14ac:dyDescent="0.25">
      <c r="A27" s="52"/>
      <c r="B27" s="52"/>
      <c r="C27" s="52"/>
      <c r="D27" s="52"/>
      <c r="E27" s="62"/>
      <c r="F27" s="52"/>
      <c r="G27" s="52" t="s">
        <v>40</v>
      </c>
      <c r="H27" s="52"/>
      <c r="I27" s="52"/>
      <c r="J27" s="36" t="str">
        <f>E4</f>
        <v>October</v>
      </c>
    </row>
    <row r="28" spans="1:13" ht="18" x14ac:dyDescent="0.25">
      <c r="A28" s="52" t="s">
        <v>11</v>
      </c>
      <c r="B28" s="52"/>
      <c r="C28" s="52"/>
      <c r="D28" s="52"/>
      <c r="E28" s="62">
        <f>SUM(E24:E27)</f>
        <v>34503128</v>
      </c>
      <c r="F28" s="52"/>
      <c r="G28" s="52"/>
      <c r="H28" s="52"/>
      <c r="I28" s="52"/>
      <c r="J28" s="52"/>
    </row>
    <row r="29" spans="1:13" ht="18" x14ac:dyDescent="0.25">
      <c r="A29" s="52" t="s">
        <v>12</v>
      </c>
      <c r="B29" s="52"/>
      <c r="C29" s="52"/>
      <c r="D29" s="52"/>
      <c r="E29" s="60"/>
      <c r="F29" s="52"/>
      <c r="G29" s="52" t="s">
        <v>41</v>
      </c>
      <c r="H29" s="52"/>
      <c r="I29" s="52"/>
      <c r="J29" s="65">
        <f>ROUND((+E15/E6),6)</f>
        <v>8.9809999999999994E-3</v>
      </c>
    </row>
    <row r="30" spans="1:13" ht="18" x14ac:dyDescent="0.25">
      <c r="A30" s="52"/>
      <c r="B30" s="52" t="s">
        <v>26</v>
      </c>
      <c r="C30" s="52"/>
      <c r="D30" s="52"/>
      <c r="E30" s="60"/>
      <c r="F30" s="52"/>
      <c r="G30" s="52" t="s">
        <v>42</v>
      </c>
      <c r="H30" s="52"/>
      <c r="I30" s="52"/>
      <c r="J30" s="52"/>
    </row>
    <row r="31" spans="1:13" ht="18" x14ac:dyDescent="0.25">
      <c r="A31" s="52" t="s">
        <v>13</v>
      </c>
      <c r="B31" s="52"/>
      <c r="C31" s="52"/>
      <c r="D31" s="52"/>
      <c r="E31" s="54">
        <v>-138765.82</v>
      </c>
      <c r="F31" s="52"/>
      <c r="G31" s="52"/>
      <c r="H31" s="52"/>
      <c r="I31" s="52"/>
      <c r="J31" s="52"/>
    </row>
    <row r="32" spans="1:13" ht="18" x14ac:dyDescent="0.25">
      <c r="A32" s="52" t="s">
        <v>14</v>
      </c>
      <c r="B32" s="52"/>
      <c r="C32" s="52"/>
      <c r="D32" s="52"/>
      <c r="E32" s="61"/>
      <c r="F32" s="52"/>
      <c r="G32" s="52" t="s">
        <v>43</v>
      </c>
      <c r="H32" s="52"/>
      <c r="I32" s="52"/>
      <c r="J32" s="52"/>
    </row>
    <row r="33" spans="1:10" ht="18" x14ac:dyDescent="0.25">
      <c r="A33" s="52"/>
      <c r="B33" s="52"/>
      <c r="C33" s="52"/>
      <c r="D33" s="52"/>
      <c r="E33" s="61"/>
      <c r="F33" s="52"/>
      <c r="G33" s="63" t="s">
        <v>1</v>
      </c>
      <c r="H33" s="63" t="s">
        <v>1</v>
      </c>
      <c r="I33" s="63" t="s">
        <v>1</v>
      </c>
      <c r="J33" s="52"/>
    </row>
    <row r="34" spans="1:10" ht="18" x14ac:dyDescent="0.25">
      <c r="A34" s="52" t="s">
        <v>15</v>
      </c>
      <c r="B34" s="52"/>
      <c r="C34" s="52"/>
      <c r="D34" s="52"/>
      <c r="E34" s="61">
        <f>(+E26*E22)+B41</f>
        <v>-110854.36125999999</v>
      </c>
      <c r="F34" s="52"/>
      <c r="G34" s="52" t="s">
        <v>44</v>
      </c>
      <c r="H34" s="52"/>
      <c r="I34" s="52"/>
      <c r="J34" s="65">
        <f>ROUND((1-J25),7)</f>
        <v>0.97217699999999996</v>
      </c>
    </row>
    <row r="35" spans="1:10" ht="18" x14ac:dyDescent="0.25">
      <c r="A35" s="52" t="s">
        <v>16</v>
      </c>
      <c r="B35" s="52"/>
      <c r="C35" s="52"/>
      <c r="D35" s="52"/>
      <c r="E35" s="61"/>
      <c r="F35" s="52"/>
      <c r="G35" s="52" t="s">
        <v>45</v>
      </c>
      <c r="H35" s="52"/>
      <c r="I35" s="52"/>
      <c r="J35" s="52"/>
    </row>
    <row r="36" spans="1:10" ht="18" x14ac:dyDescent="0.25">
      <c r="A36" s="52"/>
      <c r="B36" s="52"/>
      <c r="C36" s="52"/>
      <c r="D36" s="52"/>
      <c r="E36" s="61"/>
      <c r="F36" s="52"/>
      <c r="G36" s="52"/>
      <c r="H36" s="52"/>
      <c r="I36" s="52"/>
      <c r="J36" s="52"/>
    </row>
    <row r="37" spans="1:10" ht="18" x14ac:dyDescent="0.25">
      <c r="A37" s="52" t="s">
        <v>17</v>
      </c>
      <c r="B37" s="52"/>
      <c r="C37" s="52"/>
      <c r="D37" s="52"/>
      <c r="E37" s="61">
        <f>(E31-E34)</f>
        <v>-27911.458740000016</v>
      </c>
      <c r="F37" s="52"/>
      <c r="G37" s="52" t="s">
        <v>46</v>
      </c>
      <c r="H37" s="52"/>
      <c r="I37" s="52"/>
      <c r="J37" s="66">
        <f>ROUND((J15/J18),5)</f>
        <v>-1.6999999999999999E-3</v>
      </c>
    </row>
    <row r="38" spans="1:10" ht="18" x14ac:dyDescent="0.25">
      <c r="A38" s="52" t="s">
        <v>18</v>
      </c>
      <c r="B38" s="52"/>
      <c r="C38" s="52"/>
      <c r="D38" s="52"/>
      <c r="E38" s="61"/>
      <c r="F38" s="52"/>
      <c r="G38" s="52" t="s">
        <v>47</v>
      </c>
      <c r="H38" s="52"/>
      <c r="I38" s="52"/>
      <c r="J38" s="66"/>
    </row>
    <row r="39" spans="1:10" ht="18" x14ac:dyDescent="0.25">
      <c r="A39" s="52"/>
      <c r="B39" s="52"/>
      <c r="C39" s="52"/>
      <c r="D39" s="52"/>
      <c r="E39" s="59"/>
      <c r="F39" s="52"/>
      <c r="G39" s="52"/>
      <c r="H39" s="52"/>
      <c r="I39" s="52"/>
      <c r="J39" s="66"/>
    </row>
    <row r="40" spans="1:10" ht="18" x14ac:dyDescent="0.25">
      <c r="A40" s="52"/>
      <c r="B40" s="39" t="s">
        <v>24</v>
      </c>
      <c r="C40" s="39"/>
      <c r="D40" s="39"/>
      <c r="E40" s="59"/>
      <c r="F40" s="52"/>
      <c r="G40" s="52" t="s">
        <v>48</v>
      </c>
      <c r="H40" s="52"/>
      <c r="I40" s="52"/>
      <c r="J40" s="40">
        <f>ROUND((J37/J34),7)</f>
        <v>-1.7487E-3</v>
      </c>
    </row>
    <row r="41" spans="1:10" ht="18" x14ac:dyDescent="0.25">
      <c r="A41" s="52"/>
      <c r="B41" s="57">
        <v>-110900.65</v>
      </c>
      <c r="D41" s="41"/>
      <c r="E41" s="59"/>
      <c r="F41" s="52"/>
      <c r="G41" s="52"/>
      <c r="H41" s="52"/>
      <c r="I41" s="52"/>
      <c r="J41" s="52"/>
    </row>
    <row r="42" spans="1:10" ht="18" x14ac:dyDescent="0.25">
      <c r="A42" s="52"/>
      <c r="B42" s="52"/>
      <c r="C42" s="52"/>
      <c r="D42" s="52"/>
      <c r="E42" s="52"/>
      <c r="F42" s="52"/>
      <c r="G42" s="52" t="s">
        <v>49</v>
      </c>
      <c r="H42" s="52"/>
      <c r="I42" s="52"/>
      <c r="J42" s="67">
        <f>ROUND((+J40*100),3)</f>
        <v>-0.17499999999999999</v>
      </c>
    </row>
    <row r="43" spans="1:10" ht="18" x14ac:dyDescent="0.25">
      <c r="A43" s="63" t="s">
        <v>1</v>
      </c>
      <c r="B43" s="63" t="s">
        <v>1</v>
      </c>
      <c r="C43" s="63" t="s">
        <v>1</v>
      </c>
      <c r="D43" s="63" t="s">
        <v>1</v>
      </c>
      <c r="E43" s="63" t="s">
        <v>1</v>
      </c>
      <c r="F43" s="63" t="s">
        <v>1</v>
      </c>
      <c r="G43" s="63" t="s">
        <v>1</v>
      </c>
      <c r="H43" s="63" t="s">
        <v>1</v>
      </c>
      <c r="I43" s="63" t="s">
        <v>1</v>
      </c>
      <c r="J43" s="63" t="s">
        <v>1</v>
      </c>
    </row>
    <row r="44" spans="1:10" ht="18" x14ac:dyDescent="0.25">
      <c r="A44" s="52" t="s">
        <v>19</v>
      </c>
      <c r="B44" s="52"/>
      <c r="C44" s="52"/>
      <c r="D44" s="68">
        <f>J42</f>
        <v>-0.17499999999999999</v>
      </c>
      <c r="E44" s="52" t="s">
        <v>26</v>
      </c>
      <c r="F44" s="69"/>
      <c r="G44" s="52"/>
      <c r="H44" s="52"/>
      <c r="I44" s="52"/>
      <c r="J44" s="52"/>
    </row>
    <row r="45" spans="1:10" ht="18" x14ac:dyDescent="0.25">
      <c r="A45" s="52" t="s">
        <v>20</v>
      </c>
      <c r="B45" s="71">
        <f>I46+24</f>
        <v>44548</v>
      </c>
      <c r="C45" s="52"/>
      <c r="D45" s="52" t="s">
        <v>26</v>
      </c>
      <c r="E45" s="52"/>
      <c r="F45" s="52"/>
      <c r="G45" s="52"/>
      <c r="H45" s="52"/>
      <c r="I45" s="52"/>
      <c r="J45" s="52"/>
    </row>
    <row r="46" spans="1:10" ht="18" x14ac:dyDescent="0.25">
      <c r="A46" s="52"/>
      <c r="B46" s="52"/>
      <c r="C46" s="52"/>
      <c r="D46" s="52"/>
      <c r="E46" s="36"/>
      <c r="F46" s="52"/>
      <c r="G46" s="52"/>
      <c r="H46" s="45" t="s">
        <v>50</v>
      </c>
      <c r="I46" s="71">
        <v>44524</v>
      </c>
      <c r="J46" s="46"/>
    </row>
    <row r="47" spans="1:10" ht="18" x14ac:dyDescent="0.25">
      <c r="A47" s="52" t="s">
        <v>100</v>
      </c>
      <c r="B47" s="52" t="s">
        <v>105</v>
      </c>
      <c r="C47" s="52"/>
      <c r="D47" s="52"/>
      <c r="E47" s="52"/>
      <c r="F47" s="52"/>
      <c r="G47" s="52"/>
      <c r="H47" s="52" t="s">
        <v>106</v>
      </c>
      <c r="I47" s="52"/>
      <c r="J47" s="52"/>
    </row>
    <row r="48" spans="1:10" ht="18" x14ac:dyDescent="0.25">
      <c r="A48" s="52" t="s">
        <v>21</v>
      </c>
      <c r="B48" s="52"/>
      <c r="C48" s="52"/>
      <c r="D48" s="52"/>
      <c r="E48" s="52"/>
      <c r="F48" s="52"/>
      <c r="G48" s="52"/>
      <c r="H48" s="52" t="s">
        <v>103</v>
      </c>
      <c r="I48" s="52"/>
      <c r="J48" s="52"/>
    </row>
    <row r="49" spans="1:10" ht="15.75" x14ac:dyDescent="0.25">
      <c r="A49" s="6" t="s">
        <v>22</v>
      </c>
      <c r="B49" s="2"/>
      <c r="C49" s="2"/>
      <c r="D49" s="2"/>
      <c r="E49" s="2"/>
      <c r="F49" s="7"/>
      <c r="G49" s="2"/>
      <c r="H49" s="7"/>
      <c r="I49" s="2" t="s">
        <v>26</v>
      </c>
      <c r="J49" s="4"/>
    </row>
    <row r="50" spans="1:10" ht="15.75" x14ac:dyDescent="0.25">
      <c r="A50" s="2"/>
      <c r="B50" s="2"/>
      <c r="C50" s="2"/>
      <c r="D50" s="2"/>
      <c r="E50" s="2"/>
      <c r="F50" s="2"/>
      <c r="G50" s="2"/>
      <c r="H50" s="7"/>
      <c r="I50" s="7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8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5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5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5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5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5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5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5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5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5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5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5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5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5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5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5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5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5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5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5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5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5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5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5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BFE94-5565-49E3-AECE-71A20975D833}">
  <dimension ref="A1:G40"/>
  <sheetViews>
    <sheetView workbookViewId="0">
      <selection activeCell="M32" sqref="M32"/>
    </sheetView>
  </sheetViews>
  <sheetFormatPr defaultRowHeight="15" x14ac:dyDescent="0.2"/>
  <cols>
    <col min="1" max="1" width="21" customWidth="1"/>
    <col min="3" max="3" width="11.5546875" customWidth="1"/>
    <col min="4" max="4" width="6.77734375" customWidth="1"/>
    <col min="5" max="5" width="11.88671875" bestFit="1" customWidth="1"/>
    <col min="6" max="6" width="3.77734375" customWidth="1"/>
    <col min="7" max="7" width="12" customWidth="1"/>
  </cols>
  <sheetData>
    <row r="1" spans="1:7" ht="15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59</v>
      </c>
      <c r="B2" s="15"/>
      <c r="C2" s="15"/>
      <c r="D2" s="15"/>
      <c r="E2" s="15"/>
      <c r="F2" s="15"/>
      <c r="G2" s="15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 t="s">
        <v>60</v>
      </c>
      <c r="B5" s="11"/>
      <c r="C5" s="11"/>
      <c r="D5" s="11"/>
      <c r="E5" s="11"/>
      <c r="F5" s="11"/>
      <c r="G5" s="11"/>
    </row>
    <row r="6" spans="1:7" ht="15.75" x14ac:dyDescent="0.25">
      <c r="A6" s="11" t="s">
        <v>61</v>
      </c>
      <c r="B6" s="11"/>
      <c r="C6" s="11"/>
      <c r="D6" s="11"/>
      <c r="E6" s="11"/>
      <c r="F6" s="11"/>
      <c r="G6" s="11"/>
    </row>
    <row r="7" spans="1:7" ht="15.75" x14ac:dyDescent="0.25">
      <c r="A7" s="11" t="s">
        <v>62</v>
      </c>
      <c r="B7" s="11"/>
      <c r="C7" s="11"/>
      <c r="D7" s="11"/>
      <c r="E7" s="11"/>
      <c r="F7" s="11"/>
      <c r="G7" s="11"/>
    </row>
    <row r="8" spans="1:7" ht="15.75" x14ac:dyDescent="0.25">
      <c r="A8" s="9"/>
      <c r="B8" s="9"/>
      <c r="C8" s="9"/>
      <c r="D8" s="9"/>
      <c r="E8" s="9"/>
      <c r="F8" s="9"/>
      <c r="G8" s="9"/>
    </row>
    <row r="9" spans="1:7" ht="15.75" x14ac:dyDescent="0.25">
      <c r="A9" s="19">
        <v>44500</v>
      </c>
      <c r="B9" s="11"/>
      <c r="C9" s="11"/>
      <c r="D9" s="11"/>
      <c r="E9" s="11"/>
      <c r="F9" s="11"/>
      <c r="G9" s="11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15"/>
      <c r="B11" s="15"/>
      <c r="C11" s="15"/>
      <c r="D11" s="15"/>
      <c r="E11" s="15"/>
      <c r="F11" s="15"/>
      <c r="G11" s="15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2"/>
      <c r="B13" s="12"/>
      <c r="C13" s="16" t="s">
        <v>63</v>
      </c>
      <c r="D13" s="12"/>
      <c r="E13" s="16" t="s">
        <v>66</v>
      </c>
      <c r="F13" s="16"/>
      <c r="G13" s="16" t="s">
        <v>69</v>
      </c>
    </row>
    <row r="14" spans="1:7" ht="15.75" x14ac:dyDescent="0.25">
      <c r="A14" s="12"/>
      <c r="B14" s="12"/>
      <c r="C14" s="16" t="s">
        <v>64</v>
      </c>
      <c r="D14" s="12"/>
      <c r="E14" s="16" t="s">
        <v>64</v>
      </c>
      <c r="F14" s="16"/>
      <c r="G14" s="16" t="s">
        <v>64</v>
      </c>
    </row>
    <row r="15" spans="1:7" ht="15.75" x14ac:dyDescent="0.25">
      <c r="A15" s="12"/>
      <c r="B15" s="12"/>
      <c r="C15" s="16" t="s">
        <v>65</v>
      </c>
      <c r="D15" s="12"/>
      <c r="E15" s="16" t="s">
        <v>67</v>
      </c>
      <c r="F15" s="16"/>
      <c r="G15" s="16" t="s">
        <v>68</v>
      </c>
    </row>
    <row r="16" spans="1:7" ht="15.75" x14ac:dyDescent="0.25">
      <c r="A16" s="12"/>
      <c r="B16" s="12"/>
      <c r="C16" s="16"/>
      <c r="D16" s="12"/>
      <c r="E16" s="16" t="s">
        <v>70</v>
      </c>
      <c r="F16" s="16"/>
      <c r="G16" s="16"/>
    </row>
    <row r="17" spans="1:7" ht="15.75" x14ac:dyDescent="0.25">
      <c r="A17" s="9"/>
      <c r="B17" s="9"/>
      <c r="C17" s="9"/>
      <c r="D17" s="9"/>
      <c r="E17" s="9"/>
      <c r="F17" s="9"/>
      <c r="G17" s="9"/>
    </row>
    <row r="18" spans="1:7" ht="15.75" x14ac:dyDescent="0.25">
      <c r="A18" s="9" t="s">
        <v>52</v>
      </c>
      <c r="B18" s="9"/>
      <c r="C18" s="9"/>
      <c r="D18" s="9"/>
      <c r="E18" s="9"/>
      <c r="F18" s="9"/>
      <c r="G18" s="9"/>
    </row>
    <row r="19" spans="1:7" ht="15.75" x14ac:dyDescent="0.25">
      <c r="A19" s="9" t="s">
        <v>53</v>
      </c>
      <c r="B19" s="9"/>
      <c r="C19" s="13">
        <v>486844920</v>
      </c>
      <c r="D19" s="14"/>
      <c r="E19" s="13">
        <v>472387545</v>
      </c>
      <c r="F19" s="14"/>
      <c r="G19" s="13">
        <f>C19-E19</f>
        <v>14457375</v>
      </c>
    </row>
    <row r="20" spans="1:7" ht="15.75" x14ac:dyDescent="0.25">
      <c r="A20" s="9"/>
      <c r="B20" s="9"/>
      <c r="C20" s="13"/>
      <c r="D20" s="14"/>
      <c r="E20" s="13"/>
      <c r="F20" s="14"/>
      <c r="G20" s="13"/>
    </row>
    <row r="21" spans="1:7" ht="15.75" x14ac:dyDescent="0.25">
      <c r="A21" s="9" t="s">
        <v>54</v>
      </c>
      <c r="B21" s="9"/>
      <c r="C21" s="13"/>
      <c r="D21" s="14"/>
      <c r="E21" s="13"/>
      <c r="F21" s="14"/>
      <c r="G21" s="13"/>
    </row>
    <row r="22" spans="1:7" ht="15.75" x14ac:dyDescent="0.25">
      <c r="A22" s="9" t="s">
        <v>55</v>
      </c>
      <c r="B22" s="9"/>
      <c r="C22" s="13">
        <v>34549561</v>
      </c>
      <c r="D22" s="14"/>
      <c r="E22" s="13">
        <v>33332404</v>
      </c>
      <c r="F22" s="14"/>
      <c r="G22" s="13">
        <f>C22-E22</f>
        <v>1217157</v>
      </c>
    </row>
    <row r="23" spans="1:7" ht="15.75" x14ac:dyDescent="0.25">
      <c r="A23" s="9"/>
      <c r="B23" s="9"/>
      <c r="C23" s="13"/>
      <c r="D23" s="14"/>
      <c r="E23" s="13"/>
      <c r="F23" s="14"/>
      <c r="G23" s="13"/>
    </row>
    <row r="24" spans="1:7" ht="15.75" x14ac:dyDescent="0.25">
      <c r="A24" s="9" t="s">
        <v>56</v>
      </c>
      <c r="B24" s="9"/>
      <c r="C24" s="13"/>
      <c r="D24" s="14"/>
      <c r="E24" s="13"/>
      <c r="F24" s="14"/>
      <c r="G24" s="13"/>
    </row>
    <row r="25" spans="1:7" ht="15.75" x14ac:dyDescent="0.25">
      <c r="A25" s="9" t="s">
        <v>55</v>
      </c>
      <c r="B25" s="9"/>
      <c r="C25" s="13">
        <v>34815803</v>
      </c>
      <c r="D25" s="14"/>
      <c r="E25" s="13">
        <v>34503128</v>
      </c>
      <c r="F25" s="14"/>
      <c r="G25" s="13">
        <f>C25-E25</f>
        <v>312675</v>
      </c>
    </row>
    <row r="26" spans="1:7" ht="15.75" x14ac:dyDescent="0.25">
      <c r="A26" s="9"/>
      <c r="B26" s="9"/>
      <c r="C26" s="10"/>
      <c r="D26" s="9"/>
      <c r="E26" s="10"/>
      <c r="F26" s="9"/>
      <c r="G26" s="10"/>
    </row>
    <row r="27" spans="1:7" ht="15.75" x14ac:dyDescent="0.25">
      <c r="A27" s="9" t="s">
        <v>57</v>
      </c>
      <c r="B27" s="9"/>
      <c r="C27" s="10"/>
      <c r="D27" s="9"/>
      <c r="E27" s="10"/>
      <c r="F27" s="9"/>
      <c r="G27" s="10"/>
    </row>
    <row r="28" spans="1:7" ht="15.75" x14ac:dyDescent="0.25">
      <c r="A28" s="9" t="s">
        <v>53</v>
      </c>
      <c r="B28" s="9"/>
      <c r="C28" s="10">
        <f>C19-C22+C25</f>
        <v>487111162</v>
      </c>
      <c r="D28" s="9"/>
      <c r="E28" s="10">
        <f>E19-E22+E25</f>
        <v>473558269</v>
      </c>
      <c r="F28" s="9"/>
      <c r="G28" s="10">
        <f>C28-E28</f>
        <v>13552893</v>
      </c>
    </row>
    <row r="29" spans="1:7" ht="15.75" x14ac:dyDescent="0.25">
      <c r="A29" s="9"/>
      <c r="B29" s="9"/>
      <c r="C29" s="10"/>
      <c r="D29" s="9"/>
      <c r="E29" s="10"/>
      <c r="F29" s="9"/>
      <c r="G29" s="10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 t="s">
        <v>58</v>
      </c>
      <c r="B31" s="9"/>
      <c r="C31" s="9"/>
      <c r="D31" s="9"/>
      <c r="E31" s="56">
        <f>G28/C28</f>
        <v>2.7822998233819982E-2</v>
      </c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9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</sheetData>
  <pageMargins left="0.75" right="0.75" top="1.2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E90A5-5404-426D-B4E1-C41AFA2AB718}">
  <sheetPr>
    <pageSetUpPr fitToPage="1"/>
  </sheetPr>
  <dimension ref="A1:W99"/>
  <sheetViews>
    <sheetView zoomScale="60" zoomScaleNormal="60" workbookViewId="0">
      <selection activeCell="J37" sqref="J37"/>
    </sheetView>
  </sheetViews>
  <sheetFormatPr defaultColWidth="9.6640625" defaultRowHeight="15" x14ac:dyDescent="0.2"/>
  <cols>
    <col min="1" max="1" width="11.33203125" style="1" customWidth="1"/>
    <col min="2" max="2" width="28.77734375" style="1" customWidth="1"/>
    <col min="3" max="3" width="19.33203125" style="1" customWidth="1"/>
    <col min="4" max="4" width="7.5546875" style="1" customWidth="1"/>
    <col min="5" max="5" width="17.6640625" style="1" customWidth="1"/>
    <col min="6" max="6" width="9.6640625" style="1" customWidth="1"/>
    <col min="7" max="7" width="8.5546875" style="1" customWidth="1"/>
    <col min="8" max="8" width="13.77734375" style="1" customWidth="1"/>
    <col min="9" max="9" width="21.88671875" style="1" customWidth="1"/>
    <col min="10" max="10" width="20.6640625" style="1" customWidth="1"/>
    <col min="11" max="20" width="9.6640625" style="1"/>
    <col min="21" max="21" width="17" style="72" bestFit="1" customWidth="1"/>
    <col min="22" max="22" width="9.6640625" style="1"/>
    <col min="23" max="23" width="14" style="72" bestFit="1" customWidth="1"/>
    <col min="24" max="16384" width="9.6640625" style="1"/>
  </cols>
  <sheetData>
    <row r="1" spans="1:11" x14ac:dyDescent="0.2">
      <c r="A1" s="2" t="s">
        <v>0</v>
      </c>
      <c r="B1" s="2" t="s">
        <v>23</v>
      </c>
      <c r="C1" s="2"/>
      <c r="D1" s="2"/>
      <c r="E1" s="2"/>
      <c r="F1" s="2"/>
      <c r="G1" s="2" t="s">
        <v>27</v>
      </c>
      <c r="H1" s="2"/>
      <c r="I1" s="2"/>
      <c r="J1" s="2"/>
    </row>
    <row r="2" spans="1:11" x14ac:dyDescent="0.2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</row>
    <row r="3" spans="1:11" x14ac:dyDescent="0.2">
      <c r="A3" s="3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</row>
    <row r="4" spans="1:11" ht="18" x14ac:dyDescent="0.25">
      <c r="A4" s="52" t="s">
        <v>2</v>
      </c>
      <c r="B4" s="52"/>
      <c r="C4" s="52"/>
      <c r="D4" s="52"/>
      <c r="E4" s="24" t="s">
        <v>76</v>
      </c>
      <c r="F4" s="52"/>
      <c r="G4" s="52" t="s">
        <v>28</v>
      </c>
      <c r="H4" s="52"/>
      <c r="I4" s="52" t="s">
        <v>51</v>
      </c>
      <c r="J4" s="25" t="str">
        <f>E4</f>
        <v>November</v>
      </c>
    </row>
    <row r="5" spans="1:11" ht="1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1" ht="18" x14ac:dyDescent="0.25">
      <c r="A6" s="52" t="s">
        <v>71</v>
      </c>
      <c r="B6" s="52"/>
      <c r="C6" s="52"/>
      <c r="D6" s="52"/>
      <c r="E6" s="26">
        <v>40544549</v>
      </c>
      <c r="F6" s="52"/>
      <c r="G6" s="52" t="s">
        <v>29</v>
      </c>
      <c r="H6" s="52"/>
      <c r="I6" s="52"/>
      <c r="J6" s="59"/>
      <c r="K6" s="55"/>
    </row>
    <row r="7" spans="1:11" ht="18" x14ac:dyDescent="0.25">
      <c r="A7" s="52"/>
      <c r="B7" s="52"/>
      <c r="C7" s="52"/>
      <c r="D7" s="52"/>
      <c r="E7" s="60"/>
      <c r="F7" s="52"/>
      <c r="G7" s="52"/>
      <c r="H7" s="52"/>
      <c r="I7" s="52"/>
      <c r="J7" s="52"/>
    </row>
    <row r="8" spans="1:11" ht="18" x14ac:dyDescent="0.25">
      <c r="A8" s="52" t="s">
        <v>72</v>
      </c>
      <c r="B8" s="52"/>
      <c r="C8" s="52"/>
      <c r="D8" s="52"/>
      <c r="E8" s="26">
        <f>38822684+153169</f>
        <v>38975853</v>
      </c>
      <c r="F8" s="52"/>
      <c r="G8" s="52" t="s">
        <v>30</v>
      </c>
      <c r="H8" s="52"/>
      <c r="I8" s="52"/>
      <c r="J8" s="54">
        <v>455428</v>
      </c>
    </row>
    <row r="9" spans="1:11" ht="18" x14ac:dyDescent="0.25">
      <c r="A9" s="52"/>
      <c r="B9" s="52"/>
      <c r="C9" s="52"/>
      <c r="D9" s="52"/>
      <c r="E9" s="60"/>
      <c r="F9" s="52"/>
      <c r="G9" s="52"/>
      <c r="H9" s="52" t="s">
        <v>26</v>
      </c>
      <c r="I9" s="52"/>
      <c r="J9" s="29" t="s">
        <v>26</v>
      </c>
    </row>
    <row r="10" spans="1:11" ht="18" x14ac:dyDescent="0.25">
      <c r="A10" s="52"/>
      <c r="B10" s="52"/>
      <c r="C10" s="52"/>
      <c r="D10" s="52"/>
      <c r="E10" s="60"/>
      <c r="F10" s="52"/>
      <c r="G10" s="52"/>
      <c r="H10" s="52" t="s">
        <v>26</v>
      </c>
      <c r="I10" s="52"/>
      <c r="J10" s="29" t="s">
        <v>26</v>
      </c>
    </row>
    <row r="11" spans="1:11" ht="18" x14ac:dyDescent="0.25">
      <c r="A11" s="52" t="s">
        <v>3</v>
      </c>
      <c r="B11" s="52"/>
      <c r="C11" s="52"/>
      <c r="D11" s="52"/>
      <c r="E11" s="60">
        <v>0</v>
      </c>
      <c r="F11" s="52"/>
      <c r="G11" s="52" t="s">
        <v>31</v>
      </c>
      <c r="H11" s="52"/>
      <c r="I11" s="52"/>
      <c r="J11" s="61">
        <f>E37</f>
        <v>9207.3214500000031</v>
      </c>
    </row>
    <row r="12" spans="1:11" ht="18" x14ac:dyDescent="0.25">
      <c r="A12" s="52"/>
      <c r="B12" s="52"/>
      <c r="C12" s="52"/>
      <c r="D12" s="52"/>
      <c r="E12" s="60"/>
      <c r="F12" s="52"/>
      <c r="G12" s="52"/>
      <c r="H12" s="52"/>
      <c r="I12" s="52"/>
      <c r="J12" s="59"/>
    </row>
    <row r="13" spans="1:11" ht="18" x14ac:dyDescent="0.25">
      <c r="A13" s="52" t="s">
        <v>4</v>
      </c>
      <c r="B13" s="52"/>
      <c r="C13" s="52"/>
      <c r="D13" s="52"/>
      <c r="E13" s="60">
        <f>SUM(E8:E11)</f>
        <v>38975853</v>
      </c>
      <c r="F13" s="52"/>
      <c r="G13" s="52" t="s">
        <v>32</v>
      </c>
      <c r="H13" s="52"/>
      <c r="I13" s="52"/>
      <c r="J13" s="59">
        <v>0</v>
      </c>
    </row>
    <row r="14" spans="1:11" ht="18" x14ac:dyDescent="0.25">
      <c r="A14" s="52"/>
      <c r="B14" s="52"/>
      <c r="C14" s="52"/>
      <c r="D14" s="52"/>
      <c r="E14" s="60"/>
      <c r="F14" s="52"/>
      <c r="G14" s="52"/>
      <c r="H14" s="52"/>
      <c r="I14" s="52"/>
      <c r="J14" s="59"/>
    </row>
    <row r="15" spans="1:11" ht="18" x14ac:dyDescent="0.25">
      <c r="A15" s="52" t="s">
        <v>5</v>
      </c>
      <c r="B15" s="52"/>
      <c r="C15" s="52"/>
      <c r="D15" s="52"/>
      <c r="E15" s="62">
        <f>E6-E13</f>
        <v>1568696</v>
      </c>
      <c r="F15" s="52"/>
      <c r="G15" s="52" t="s">
        <v>33</v>
      </c>
      <c r="H15" s="52"/>
      <c r="I15" s="52"/>
      <c r="J15" s="61">
        <f>ROUND((+J8+J11),4)</f>
        <v>464635.32150000002</v>
      </c>
    </row>
    <row r="16" spans="1:11" ht="18" x14ac:dyDescent="0.25">
      <c r="A16" s="52" t="s">
        <v>6</v>
      </c>
      <c r="B16" s="52"/>
      <c r="C16" s="52"/>
      <c r="D16" s="52"/>
      <c r="E16" s="60"/>
      <c r="F16" s="52"/>
      <c r="G16" s="52" t="s">
        <v>34</v>
      </c>
      <c r="H16" s="52"/>
      <c r="I16" s="52"/>
      <c r="J16" s="59"/>
    </row>
    <row r="17" spans="1:13" ht="18" x14ac:dyDescent="0.25">
      <c r="A17" s="52"/>
      <c r="B17" s="52"/>
      <c r="C17" s="52"/>
      <c r="D17" s="52"/>
      <c r="E17" s="60"/>
      <c r="F17" s="52"/>
      <c r="G17" s="52"/>
      <c r="H17" s="52"/>
      <c r="I17" s="52"/>
      <c r="J17" s="52"/>
    </row>
    <row r="18" spans="1:13" ht="18" x14ac:dyDescent="0.25">
      <c r="A18" s="63" t="s">
        <v>1</v>
      </c>
      <c r="B18" s="63" t="s">
        <v>1</v>
      </c>
      <c r="C18" s="63" t="s">
        <v>1</v>
      </c>
      <c r="D18" s="63" t="s">
        <v>1</v>
      </c>
      <c r="E18" s="64" t="s">
        <v>1</v>
      </c>
      <c r="F18" s="52"/>
      <c r="G18" s="52" t="s">
        <v>35</v>
      </c>
      <c r="H18" s="52"/>
      <c r="I18" s="52"/>
      <c r="J18" s="60">
        <f>E6</f>
        <v>40544549</v>
      </c>
    </row>
    <row r="19" spans="1:13" ht="18" x14ac:dyDescent="0.25">
      <c r="A19" s="63" t="s">
        <v>1</v>
      </c>
      <c r="B19" s="63" t="s">
        <v>1</v>
      </c>
      <c r="C19" s="63" t="s">
        <v>1</v>
      </c>
      <c r="D19" s="63" t="s">
        <v>1</v>
      </c>
      <c r="E19" s="64"/>
      <c r="F19" s="52"/>
      <c r="G19" s="52"/>
      <c r="H19" s="52"/>
      <c r="I19" s="52"/>
      <c r="J19" s="52"/>
    </row>
    <row r="20" spans="1:13" ht="18" x14ac:dyDescent="0.25">
      <c r="A20" s="52" t="s">
        <v>7</v>
      </c>
      <c r="B20" s="52"/>
      <c r="C20" s="52"/>
      <c r="D20" s="52" t="s">
        <v>25</v>
      </c>
      <c r="E20" s="24" t="s">
        <v>77</v>
      </c>
      <c r="F20" s="52"/>
      <c r="G20" s="52" t="s">
        <v>36</v>
      </c>
      <c r="H20" s="52"/>
      <c r="I20" s="52"/>
      <c r="J20" s="34">
        <f>ROUND((J8/J18),5)</f>
        <v>1.123E-2</v>
      </c>
    </row>
    <row r="21" spans="1:13" ht="18" x14ac:dyDescent="0.25">
      <c r="A21" s="52"/>
      <c r="B21" s="52"/>
      <c r="C21" s="52"/>
      <c r="D21" s="52"/>
      <c r="E21" s="60"/>
      <c r="F21" s="52"/>
      <c r="G21" s="52" t="s">
        <v>37</v>
      </c>
      <c r="H21" s="52"/>
      <c r="I21" s="52"/>
      <c r="J21" s="52"/>
    </row>
    <row r="22" spans="1:13" ht="18" x14ac:dyDescent="0.25">
      <c r="A22" s="52" t="s">
        <v>8</v>
      </c>
      <c r="B22" s="52"/>
      <c r="C22" s="52"/>
      <c r="D22" s="52"/>
      <c r="E22" s="53">
        <v>-3.2100000000000002E-3</v>
      </c>
      <c r="F22" s="52"/>
      <c r="G22" s="52"/>
      <c r="H22" s="52"/>
      <c r="I22" s="52"/>
      <c r="J22" s="52"/>
    </row>
    <row r="23" spans="1:13" ht="18" x14ac:dyDescent="0.25">
      <c r="A23" s="52"/>
      <c r="B23" s="52"/>
      <c r="C23" s="52"/>
      <c r="D23" s="52"/>
      <c r="E23" s="60"/>
      <c r="F23" s="52"/>
      <c r="G23" s="52" t="s">
        <v>38</v>
      </c>
      <c r="H23" s="52"/>
      <c r="I23" s="52"/>
      <c r="J23" s="52"/>
    </row>
    <row r="24" spans="1:13" ht="18" x14ac:dyDescent="0.25">
      <c r="A24" s="52" t="s">
        <v>9</v>
      </c>
      <c r="B24" s="52"/>
      <c r="C24" s="52"/>
      <c r="D24" s="52"/>
      <c r="E24" s="35">
        <f>38957867+153241</f>
        <v>39111108</v>
      </c>
      <c r="F24" s="52"/>
      <c r="G24" s="63" t="s">
        <v>1</v>
      </c>
      <c r="H24" s="52"/>
      <c r="I24" s="52"/>
      <c r="J24" s="52"/>
    </row>
    <row r="25" spans="1:13" ht="18" x14ac:dyDescent="0.25">
      <c r="A25" s="52"/>
      <c r="B25" s="52"/>
      <c r="C25" s="52"/>
      <c r="D25" s="52"/>
      <c r="E25" s="35"/>
      <c r="F25" s="52"/>
      <c r="G25" s="52" t="s">
        <v>39</v>
      </c>
      <c r="H25" s="52"/>
      <c r="I25" s="52"/>
      <c r="J25" s="58">
        <f>'12 Mth Avg-Nov 21'!E31</f>
        <v>3.1526801698255037E-2</v>
      </c>
    </row>
    <row r="26" spans="1:13" ht="18" x14ac:dyDescent="0.25">
      <c r="A26" s="52" t="s">
        <v>10</v>
      </c>
      <c r="B26" s="52"/>
      <c r="C26" s="52"/>
      <c r="D26" s="52"/>
      <c r="E26" s="35">
        <f>-134636-547-72</f>
        <v>-135255</v>
      </c>
      <c r="F26" s="52"/>
      <c r="G26" s="52"/>
      <c r="H26" s="52"/>
      <c r="I26" s="52"/>
      <c r="J26" s="52"/>
      <c r="M26" s="70"/>
    </row>
    <row r="27" spans="1:13" ht="18" x14ac:dyDescent="0.25">
      <c r="A27" s="52"/>
      <c r="B27" s="52"/>
      <c r="C27" s="52"/>
      <c r="D27" s="52"/>
      <c r="E27" s="62"/>
      <c r="F27" s="52"/>
      <c r="G27" s="52" t="s">
        <v>40</v>
      </c>
      <c r="H27" s="52"/>
      <c r="I27" s="52"/>
      <c r="J27" s="36" t="str">
        <f>E4</f>
        <v>November</v>
      </c>
    </row>
    <row r="28" spans="1:13" ht="18" x14ac:dyDescent="0.25">
      <c r="A28" s="52" t="s">
        <v>11</v>
      </c>
      <c r="B28" s="52"/>
      <c r="C28" s="52"/>
      <c r="D28" s="52"/>
      <c r="E28" s="62">
        <f>SUM(E24:E27)</f>
        <v>38975853</v>
      </c>
      <c r="F28" s="52"/>
      <c r="G28" s="52"/>
      <c r="H28" s="52"/>
      <c r="I28" s="52"/>
      <c r="J28" s="52"/>
    </row>
    <row r="29" spans="1:13" ht="18" x14ac:dyDescent="0.25">
      <c r="A29" s="52" t="s">
        <v>12</v>
      </c>
      <c r="B29" s="52"/>
      <c r="C29" s="52"/>
      <c r="D29" s="52"/>
      <c r="E29" s="60"/>
      <c r="F29" s="52"/>
      <c r="G29" s="52" t="s">
        <v>41</v>
      </c>
      <c r="H29" s="52"/>
      <c r="I29" s="52"/>
      <c r="J29" s="65">
        <f>ROUND((+E15/E6),6)</f>
        <v>3.8691000000000003E-2</v>
      </c>
    </row>
    <row r="30" spans="1:13" ht="18" x14ac:dyDescent="0.25">
      <c r="A30" s="52"/>
      <c r="B30" s="52" t="s">
        <v>26</v>
      </c>
      <c r="C30" s="52"/>
      <c r="D30" s="52"/>
      <c r="E30" s="60"/>
      <c r="F30" s="52"/>
      <c r="G30" s="52" t="s">
        <v>42</v>
      </c>
      <c r="H30" s="52"/>
      <c r="I30" s="52"/>
      <c r="J30" s="52"/>
    </row>
    <row r="31" spans="1:13" ht="18" x14ac:dyDescent="0.25">
      <c r="A31" s="52" t="s">
        <v>13</v>
      </c>
      <c r="B31" s="52"/>
      <c r="C31" s="52"/>
      <c r="D31" s="52"/>
      <c r="E31" s="54">
        <v>-113715.22</v>
      </c>
      <c r="F31" s="52"/>
      <c r="G31" s="52"/>
      <c r="H31" s="52"/>
      <c r="I31" s="52"/>
      <c r="J31" s="52"/>
    </row>
    <row r="32" spans="1:13" ht="18" x14ac:dyDescent="0.25">
      <c r="A32" s="52" t="s">
        <v>14</v>
      </c>
      <c r="B32" s="52"/>
      <c r="C32" s="52"/>
      <c r="D32" s="52"/>
      <c r="E32" s="61"/>
      <c r="F32" s="52"/>
      <c r="G32" s="52" t="s">
        <v>43</v>
      </c>
      <c r="H32" s="52"/>
      <c r="I32" s="52"/>
      <c r="J32" s="52"/>
    </row>
    <row r="33" spans="1:10" ht="18" x14ac:dyDescent="0.25">
      <c r="A33" s="52"/>
      <c r="B33" s="52"/>
      <c r="C33" s="52"/>
      <c r="D33" s="52"/>
      <c r="E33" s="61"/>
      <c r="F33" s="52"/>
      <c r="G33" s="63" t="s">
        <v>1</v>
      </c>
      <c r="H33" s="63" t="s">
        <v>1</v>
      </c>
      <c r="I33" s="63" t="s">
        <v>1</v>
      </c>
      <c r="J33" s="52"/>
    </row>
    <row r="34" spans="1:10" ht="18" x14ac:dyDescent="0.25">
      <c r="A34" s="52" t="s">
        <v>15</v>
      </c>
      <c r="B34" s="52"/>
      <c r="C34" s="52"/>
      <c r="D34" s="52"/>
      <c r="E34" s="61">
        <f>(+E26*E22)+B41</f>
        <v>-122922.54145</v>
      </c>
      <c r="F34" s="52"/>
      <c r="G34" s="52" t="s">
        <v>44</v>
      </c>
      <c r="H34" s="52"/>
      <c r="I34" s="52"/>
      <c r="J34" s="65">
        <f>ROUND((1-J25),7)</f>
        <v>0.96847320000000003</v>
      </c>
    </row>
    <row r="35" spans="1:10" ht="18" x14ac:dyDescent="0.25">
      <c r="A35" s="52" t="s">
        <v>16</v>
      </c>
      <c r="B35" s="52"/>
      <c r="C35" s="52"/>
      <c r="D35" s="52"/>
      <c r="E35" s="61"/>
      <c r="F35" s="52"/>
      <c r="G35" s="52" t="s">
        <v>45</v>
      </c>
      <c r="H35" s="52"/>
      <c r="I35" s="52"/>
      <c r="J35" s="52"/>
    </row>
    <row r="36" spans="1:10" ht="18" x14ac:dyDescent="0.25">
      <c r="A36" s="52"/>
      <c r="B36" s="52"/>
      <c r="C36" s="52"/>
      <c r="D36" s="52"/>
      <c r="E36" s="61"/>
      <c r="F36" s="52"/>
      <c r="G36" s="52"/>
      <c r="H36" s="52"/>
      <c r="I36" s="52"/>
      <c r="J36" s="52"/>
    </row>
    <row r="37" spans="1:10" ht="18" x14ac:dyDescent="0.25">
      <c r="A37" s="52" t="s">
        <v>17</v>
      </c>
      <c r="B37" s="52"/>
      <c r="C37" s="52"/>
      <c r="D37" s="52"/>
      <c r="E37" s="61">
        <f>(E31-E34)</f>
        <v>9207.3214500000031</v>
      </c>
      <c r="F37" s="52"/>
      <c r="G37" s="52" t="s">
        <v>46</v>
      </c>
      <c r="H37" s="52"/>
      <c r="I37" s="52"/>
      <c r="J37" s="66">
        <f>ROUND((J15/J18),5)</f>
        <v>1.146E-2</v>
      </c>
    </row>
    <row r="38" spans="1:10" ht="18" x14ac:dyDescent="0.25">
      <c r="A38" s="52" t="s">
        <v>18</v>
      </c>
      <c r="B38" s="52"/>
      <c r="C38" s="52"/>
      <c r="D38" s="52"/>
      <c r="E38" s="61"/>
      <c r="F38" s="52"/>
      <c r="G38" s="52" t="s">
        <v>47</v>
      </c>
      <c r="H38" s="52"/>
      <c r="I38" s="52"/>
      <c r="J38" s="66"/>
    </row>
    <row r="39" spans="1:10" ht="18" x14ac:dyDescent="0.25">
      <c r="A39" s="52"/>
      <c r="B39" s="52"/>
      <c r="C39" s="52"/>
      <c r="D39" s="52"/>
      <c r="E39" s="59"/>
      <c r="F39" s="52"/>
      <c r="G39" s="52"/>
      <c r="H39" s="52"/>
      <c r="I39" s="52"/>
      <c r="J39" s="66"/>
    </row>
    <row r="40" spans="1:10" ht="18" x14ac:dyDescent="0.25">
      <c r="A40" s="52"/>
      <c r="B40" s="39" t="s">
        <v>24</v>
      </c>
      <c r="C40" s="39"/>
      <c r="D40" s="39"/>
      <c r="E40" s="59"/>
      <c r="F40" s="52"/>
      <c r="G40" s="52" t="s">
        <v>48</v>
      </c>
      <c r="H40" s="52"/>
      <c r="I40" s="52"/>
      <c r="J40" s="40">
        <f>ROUND((J37/J34),7)</f>
        <v>1.1833099999999999E-2</v>
      </c>
    </row>
    <row r="41" spans="1:10" ht="18" x14ac:dyDescent="0.25">
      <c r="A41" s="52"/>
      <c r="B41" s="57">
        <f>-122874-482.71</f>
        <v>-123356.71</v>
      </c>
      <c r="D41" s="41"/>
      <c r="E41" s="59"/>
      <c r="F41" s="52"/>
      <c r="G41" s="52"/>
      <c r="H41" s="52"/>
      <c r="I41" s="52"/>
      <c r="J41" s="52"/>
    </row>
    <row r="42" spans="1:10" ht="18" x14ac:dyDescent="0.25">
      <c r="A42" s="52"/>
      <c r="B42" s="52"/>
      <c r="C42" s="52"/>
      <c r="D42" s="52"/>
      <c r="E42" s="52"/>
      <c r="F42" s="52"/>
      <c r="G42" s="52" t="s">
        <v>49</v>
      </c>
      <c r="H42" s="52"/>
      <c r="I42" s="52"/>
      <c r="J42" s="67">
        <f>ROUND((+J40*100),3)</f>
        <v>1.1830000000000001</v>
      </c>
    </row>
    <row r="43" spans="1:10" ht="18" x14ac:dyDescent="0.25">
      <c r="A43" s="63" t="s">
        <v>1</v>
      </c>
      <c r="B43" s="63" t="s">
        <v>1</v>
      </c>
      <c r="C43" s="63" t="s">
        <v>1</v>
      </c>
      <c r="D43" s="63" t="s">
        <v>1</v>
      </c>
      <c r="E43" s="63" t="s">
        <v>1</v>
      </c>
      <c r="F43" s="63" t="s">
        <v>1</v>
      </c>
      <c r="G43" s="63" t="s">
        <v>1</v>
      </c>
      <c r="H43" s="63" t="s">
        <v>1</v>
      </c>
      <c r="I43" s="63" t="s">
        <v>1</v>
      </c>
      <c r="J43" s="63" t="s">
        <v>1</v>
      </c>
    </row>
    <row r="44" spans="1:10" ht="18" x14ac:dyDescent="0.25">
      <c r="A44" s="52" t="s">
        <v>19</v>
      </c>
      <c r="B44" s="52"/>
      <c r="C44" s="52"/>
      <c r="D44" s="68">
        <f>J42</f>
        <v>1.1830000000000001</v>
      </c>
      <c r="E44" s="52" t="s">
        <v>26</v>
      </c>
      <c r="F44" s="69"/>
      <c r="G44" s="52"/>
      <c r="H44" s="52"/>
      <c r="I44" s="52"/>
      <c r="J44" s="52"/>
    </row>
    <row r="45" spans="1:10" ht="18" x14ac:dyDescent="0.25">
      <c r="A45" s="52" t="s">
        <v>20</v>
      </c>
      <c r="B45" s="71">
        <f>I46+26</f>
        <v>44576</v>
      </c>
      <c r="C45" s="52"/>
      <c r="D45" s="52" t="s">
        <v>26</v>
      </c>
      <c r="E45" s="52"/>
      <c r="F45" s="52"/>
      <c r="G45" s="52"/>
      <c r="H45" s="52"/>
      <c r="I45" s="52"/>
      <c r="J45" s="52"/>
    </row>
    <row r="46" spans="1:10" ht="18" x14ac:dyDescent="0.25">
      <c r="A46" s="52"/>
      <c r="B46" s="52"/>
      <c r="C46" s="52"/>
      <c r="D46" s="52"/>
      <c r="E46" s="36"/>
      <c r="F46" s="52"/>
      <c r="G46" s="52"/>
      <c r="H46" s="45" t="s">
        <v>50</v>
      </c>
      <c r="I46" s="71">
        <v>44550</v>
      </c>
      <c r="J46" s="46"/>
    </row>
    <row r="47" spans="1:10" ht="18" x14ac:dyDescent="0.25">
      <c r="A47" s="52" t="s">
        <v>100</v>
      </c>
      <c r="B47" s="52" t="s">
        <v>105</v>
      </c>
      <c r="C47" s="52"/>
      <c r="D47" s="52"/>
      <c r="E47" s="52"/>
      <c r="F47" s="52"/>
      <c r="G47" s="52"/>
      <c r="H47" s="52" t="s">
        <v>106</v>
      </c>
      <c r="I47" s="52"/>
      <c r="J47" s="52"/>
    </row>
    <row r="48" spans="1:10" ht="18" x14ac:dyDescent="0.25">
      <c r="A48" s="52" t="s">
        <v>21</v>
      </c>
      <c r="B48" s="52"/>
      <c r="C48" s="52"/>
      <c r="D48" s="52"/>
      <c r="E48" s="52"/>
      <c r="F48" s="52"/>
      <c r="G48" s="52"/>
      <c r="H48" s="52" t="s">
        <v>103</v>
      </c>
      <c r="I48" s="52"/>
      <c r="J48" s="52"/>
    </row>
    <row r="49" spans="1:10" ht="15.75" x14ac:dyDescent="0.25">
      <c r="A49" s="6" t="s">
        <v>22</v>
      </c>
      <c r="B49" s="2"/>
      <c r="C49" s="2"/>
      <c r="D49" s="2"/>
      <c r="E49" s="2"/>
      <c r="F49" s="7"/>
      <c r="G49" s="2"/>
      <c r="H49" s="7"/>
      <c r="I49" s="2" t="s">
        <v>26</v>
      </c>
      <c r="J49" s="4"/>
    </row>
    <row r="50" spans="1:10" ht="15.75" x14ac:dyDescent="0.25">
      <c r="A50" s="2"/>
      <c r="B50" s="2"/>
      <c r="C50" s="2"/>
      <c r="D50" s="2"/>
      <c r="E50" s="2"/>
      <c r="F50" s="2"/>
      <c r="G50" s="2"/>
      <c r="H50" s="7"/>
      <c r="I50" s="7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8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5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5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5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5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5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5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5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5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5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5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5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5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5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5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5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5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5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5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5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5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5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5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5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015F0-EFAB-4193-B628-24D30A46F2D5}">
  <dimension ref="A1:G40"/>
  <sheetViews>
    <sheetView workbookViewId="0">
      <selection activeCell="L28" sqref="L28"/>
    </sheetView>
  </sheetViews>
  <sheetFormatPr defaultRowHeight="15" x14ac:dyDescent="0.2"/>
  <cols>
    <col min="1" max="1" width="21" customWidth="1"/>
    <col min="3" max="3" width="11.5546875" customWidth="1"/>
    <col min="4" max="4" width="2.5546875" customWidth="1"/>
    <col min="5" max="5" width="11.88671875" bestFit="1" customWidth="1"/>
    <col min="6" max="6" width="3.77734375" customWidth="1"/>
    <col min="7" max="7" width="12" customWidth="1"/>
  </cols>
  <sheetData>
    <row r="1" spans="1:7" ht="15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59</v>
      </c>
      <c r="B2" s="15"/>
      <c r="C2" s="15"/>
      <c r="D2" s="15"/>
      <c r="E2" s="15"/>
      <c r="F2" s="15"/>
      <c r="G2" s="15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 t="s">
        <v>60</v>
      </c>
      <c r="B5" s="11"/>
      <c r="C5" s="11"/>
      <c r="D5" s="11"/>
      <c r="E5" s="11"/>
      <c r="F5" s="11"/>
      <c r="G5" s="11"/>
    </row>
    <row r="6" spans="1:7" ht="15.75" x14ac:dyDescent="0.25">
      <c r="A6" s="11" t="s">
        <v>61</v>
      </c>
      <c r="B6" s="11"/>
      <c r="C6" s="11"/>
      <c r="D6" s="11"/>
      <c r="E6" s="11"/>
      <c r="F6" s="11"/>
      <c r="G6" s="11"/>
    </row>
    <row r="7" spans="1:7" ht="15.75" x14ac:dyDescent="0.25">
      <c r="A7" s="11" t="s">
        <v>62</v>
      </c>
      <c r="B7" s="11"/>
      <c r="C7" s="11"/>
      <c r="D7" s="11"/>
      <c r="E7" s="11"/>
      <c r="F7" s="11"/>
      <c r="G7" s="11"/>
    </row>
    <row r="8" spans="1:7" ht="15.75" x14ac:dyDescent="0.25">
      <c r="A8" s="9"/>
      <c r="B8" s="9"/>
      <c r="C8" s="9"/>
      <c r="D8" s="9"/>
      <c r="E8" s="9"/>
      <c r="F8" s="9"/>
      <c r="G8" s="9"/>
    </row>
    <row r="9" spans="1:7" ht="15.75" x14ac:dyDescent="0.25">
      <c r="A9" s="19">
        <v>44530</v>
      </c>
      <c r="B9" s="11"/>
      <c r="C9" s="11"/>
      <c r="D9" s="11"/>
      <c r="E9" s="11"/>
      <c r="F9" s="11"/>
      <c r="G9" s="11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15"/>
      <c r="B11" s="15"/>
      <c r="C11" s="15"/>
      <c r="D11" s="15"/>
      <c r="E11" s="15"/>
      <c r="F11" s="15"/>
      <c r="G11" s="15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2"/>
      <c r="B13" s="12"/>
      <c r="C13" s="16" t="s">
        <v>63</v>
      </c>
      <c r="D13" s="12"/>
      <c r="E13" s="16" t="s">
        <v>66</v>
      </c>
      <c r="F13" s="16"/>
      <c r="G13" s="16" t="s">
        <v>69</v>
      </c>
    </row>
    <row r="14" spans="1:7" ht="15.75" x14ac:dyDescent="0.25">
      <c r="A14" s="12"/>
      <c r="B14" s="12"/>
      <c r="C14" s="16" t="s">
        <v>64</v>
      </c>
      <c r="D14" s="12"/>
      <c r="E14" s="16" t="s">
        <v>64</v>
      </c>
      <c r="F14" s="16"/>
      <c r="G14" s="16" t="s">
        <v>64</v>
      </c>
    </row>
    <row r="15" spans="1:7" ht="15.75" x14ac:dyDescent="0.25">
      <c r="A15" s="12"/>
      <c r="B15" s="12"/>
      <c r="C15" s="16" t="s">
        <v>65</v>
      </c>
      <c r="D15" s="12"/>
      <c r="E15" s="16" t="s">
        <v>67</v>
      </c>
      <c r="F15" s="16"/>
      <c r="G15" s="16" t="s">
        <v>68</v>
      </c>
    </row>
    <row r="16" spans="1:7" ht="15.75" x14ac:dyDescent="0.25">
      <c r="A16" s="12"/>
      <c r="B16" s="12"/>
      <c r="C16" s="16"/>
      <c r="D16" s="12"/>
      <c r="E16" s="16" t="s">
        <v>70</v>
      </c>
      <c r="F16" s="16"/>
      <c r="G16" s="16"/>
    </row>
    <row r="17" spans="1:7" ht="15.75" x14ac:dyDescent="0.25">
      <c r="A17" s="9"/>
      <c r="B17" s="9"/>
      <c r="C17" s="9"/>
      <c r="D17" s="9"/>
      <c r="E17" s="9"/>
      <c r="F17" s="9"/>
      <c r="G17" s="9"/>
    </row>
    <row r="18" spans="1:7" ht="15.75" x14ac:dyDescent="0.25">
      <c r="A18" s="9" t="s">
        <v>52</v>
      </c>
      <c r="B18" s="9"/>
      <c r="C18" s="9"/>
      <c r="D18" s="9"/>
      <c r="E18" s="9"/>
      <c r="F18" s="9"/>
      <c r="G18" s="9"/>
    </row>
    <row r="19" spans="1:7" ht="15.75" x14ac:dyDescent="0.25">
      <c r="A19" s="9" t="s">
        <v>53</v>
      </c>
      <c r="B19" s="9"/>
      <c r="C19" s="13">
        <v>487111162</v>
      </c>
      <c r="D19" s="14"/>
      <c r="E19" s="13">
        <v>473558269</v>
      </c>
      <c r="F19" s="14"/>
      <c r="G19" s="13">
        <f>C19-E19</f>
        <v>13552893</v>
      </c>
    </row>
    <row r="20" spans="1:7" ht="15.75" x14ac:dyDescent="0.25">
      <c r="A20" s="9"/>
      <c r="B20" s="9"/>
      <c r="C20" s="13"/>
      <c r="D20" s="14"/>
      <c r="E20" s="13"/>
      <c r="F20" s="14"/>
      <c r="G20" s="13"/>
    </row>
    <row r="21" spans="1:7" ht="15.75" x14ac:dyDescent="0.25">
      <c r="A21" s="9" t="s">
        <v>54</v>
      </c>
      <c r="B21" s="9"/>
      <c r="C21" s="13"/>
      <c r="D21" s="14"/>
      <c r="E21" s="13"/>
      <c r="F21" s="14"/>
      <c r="G21" s="13"/>
    </row>
    <row r="22" spans="1:7" ht="15.75" x14ac:dyDescent="0.25">
      <c r="A22" s="9" t="s">
        <v>55</v>
      </c>
      <c r="B22" s="9"/>
      <c r="C22" s="13">
        <v>37575964</v>
      </c>
      <c r="D22" s="14"/>
      <c r="E22" s="13">
        <v>37905022</v>
      </c>
      <c r="F22" s="14"/>
      <c r="G22" s="13">
        <f>C22-E22</f>
        <v>-329058</v>
      </c>
    </row>
    <row r="23" spans="1:7" ht="15.75" x14ac:dyDescent="0.25">
      <c r="A23" s="9"/>
      <c r="B23" s="9"/>
      <c r="C23" s="13"/>
      <c r="D23" s="14"/>
      <c r="E23" s="13"/>
      <c r="F23" s="14"/>
      <c r="G23" s="13"/>
    </row>
    <row r="24" spans="1:7" ht="15.75" x14ac:dyDescent="0.25">
      <c r="A24" s="9" t="s">
        <v>56</v>
      </c>
      <c r="B24" s="9"/>
      <c r="C24" s="13"/>
      <c r="D24" s="14"/>
      <c r="E24" s="13"/>
      <c r="F24" s="14"/>
      <c r="G24" s="13"/>
    </row>
    <row r="25" spans="1:7" ht="15.75" x14ac:dyDescent="0.25">
      <c r="A25" s="9" t="s">
        <v>55</v>
      </c>
      <c r="B25" s="9"/>
      <c r="C25" s="13">
        <v>40544549</v>
      </c>
      <c r="D25" s="14"/>
      <c r="E25" s="13">
        <v>38975853</v>
      </c>
      <c r="F25" s="14"/>
      <c r="G25" s="13">
        <f>C25-E25</f>
        <v>1568696</v>
      </c>
    </row>
    <row r="26" spans="1:7" ht="15.75" x14ac:dyDescent="0.25">
      <c r="A26" s="9"/>
      <c r="B26" s="9"/>
      <c r="C26" s="10"/>
      <c r="D26" s="9"/>
      <c r="E26" s="10"/>
      <c r="F26" s="9"/>
      <c r="G26" s="10"/>
    </row>
    <row r="27" spans="1:7" ht="15.75" x14ac:dyDescent="0.25">
      <c r="A27" s="9" t="s">
        <v>57</v>
      </c>
      <c r="B27" s="9"/>
      <c r="C27" s="10"/>
      <c r="D27" s="9"/>
      <c r="E27" s="10"/>
      <c r="F27" s="9"/>
      <c r="G27" s="10"/>
    </row>
    <row r="28" spans="1:7" ht="15.75" x14ac:dyDescent="0.25">
      <c r="A28" s="9" t="s">
        <v>53</v>
      </c>
      <c r="B28" s="9"/>
      <c r="C28" s="10">
        <f>C19-C22+C25</f>
        <v>490079747</v>
      </c>
      <c r="D28" s="9"/>
      <c r="E28" s="10">
        <f>E19-E22+E25</f>
        <v>474629100</v>
      </c>
      <c r="F28" s="9"/>
      <c r="G28" s="10">
        <f>C28-E28</f>
        <v>15450647</v>
      </c>
    </row>
    <row r="29" spans="1:7" ht="15.75" x14ac:dyDescent="0.25">
      <c r="A29" s="9"/>
      <c r="B29" s="9"/>
      <c r="C29" s="10"/>
      <c r="D29" s="9"/>
      <c r="E29" s="10"/>
      <c r="F29" s="9"/>
      <c r="G29" s="10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 t="s">
        <v>58</v>
      </c>
      <c r="B31" s="9"/>
      <c r="C31" s="9"/>
      <c r="D31" s="9"/>
      <c r="E31" s="56">
        <f>G28/C28</f>
        <v>3.1526801698255037E-2</v>
      </c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9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</sheetData>
  <pageMargins left="0.75" right="0.75" top="1.2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68DF-78FD-418C-8C54-4F1EC69E99D0}">
  <sheetPr>
    <pageSetUpPr fitToPage="1"/>
  </sheetPr>
  <dimension ref="A1:W99"/>
  <sheetViews>
    <sheetView zoomScale="60" zoomScaleNormal="60" workbookViewId="0">
      <selection activeCell="J40" sqref="J40"/>
    </sheetView>
  </sheetViews>
  <sheetFormatPr defaultColWidth="9.6640625" defaultRowHeight="15" x14ac:dyDescent="0.2"/>
  <cols>
    <col min="1" max="1" width="11.33203125" style="1" customWidth="1"/>
    <col min="2" max="2" width="28.77734375" style="1" customWidth="1"/>
    <col min="3" max="3" width="19.33203125" style="1" customWidth="1"/>
    <col min="4" max="4" width="10" style="1" customWidth="1"/>
    <col min="5" max="5" width="17.6640625" style="1" customWidth="1"/>
    <col min="6" max="6" width="9.6640625" style="1" customWidth="1"/>
    <col min="7" max="7" width="8.5546875" style="1" customWidth="1"/>
    <col min="8" max="8" width="13.77734375" style="1" customWidth="1"/>
    <col min="9" max="9" width="21.88671875" style="1" customWidth="1"/>
    <col min="10" max="10" width="20.6640625" style="1" customWidth="1"/>
    <col min="11" max="20" width="9.6640625" style="1"/>
    <col min="21" max="21" width="17" style="72" bestFit="1" customWidth="1"/>
    <col min="22" max="22" width="9.6640625" style="1"/>
    <col min="23" max="23" width="14" style="72" bestFit="1" customWidth="1"/>
    <col min="24" max="16384" width="9.6640625" style="1"/>
  </cols>
  <sheetData>
    <row r="1" spans="1:11" x14ac:dyDescent="0.2">
      <c r="A1" s="2" t="s">
        <v>0</v>
      </c>
      <c r="B1" s="2" t="s">
        <v>23</v>
      </c>
      <c r="C1" s="2"/>
      <c r="D1" s="2"/>
      <c r="E1" s="2"/>
      <c r="F1" s="2"/>
      <c r="G1" s="2" t="s">
        <v>27</v>
      </c>
      <c r="H1" s="2"/>
      <c r="I1" s="2"/>
      <c r="J1" s="2"/>
    </row>
    <row r="2" spans="1:11" x14ac:dyDescent="0.2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</row>
    <row r="3" spans="1:11" x14ac:dyDescent="0.2">
      <c r="A3" s="3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</row>
    <row r="4" spans="1:11" ht="18" x14ac:dyDescent="0.25">
      <c r="A4" s="52" t="s">
        <v>2</v>
      </c>
      <c r="B4" s="52"/>
      <c r="C4" s="52"/>
      <c r="D4" s="52"/>
      <c r="E4" s="24" t="s">
        <v>80</v>
      </c>
      <c r="F4" s="52"/>
      <c r="G4" s="52" t="s">
        <v>28</v>
      </c>
      <c r="H4" s="52"/>
      <c r="I4" s="52" t="s">
        <v>51</v>
      </c>
      <c r="J4" s="25" t="str">
        <f>E4</f>
        <v>December</v>
      </c>
    </row>
    <row r="5" spans="1:11" ht="1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1" ht="18" x14ac:dyDescent="0.25">
      <c r="A6" s="52" t="s">
        <v>71</v>
      </c>
      <c r="B6" s="52"/>
      <c r="C6" s="52"/>
      <c r="D6" s="52"/>
      <c r="E6" s="26">
        <v>40715589</v>
      </c>
      <c r="F6" s="52"/>
      <c r="G6" s="52" t="s">
        <v>29</v>
      </c>
      <c r="H6" s="52"/>
      <c r="I6" s="52"/>
      <c r="J6" s="59"/>
      <c r="K6" s="55"/>
    </row>
    <row r="7" spans="1:11" ht="18" x14ac:dyDescent="0.25">
      <c r="A7" s="52"/>
      <c r="B7" s="52"/>
      <c r="C7" s="52"/>
      <c r="D7" s="52"/>
      <c r="E7" s="60"/>
      <c r="F7" s="52"/>
      <c r="G7" s="52"/>
      <c r="H7" s="52"/>
      <c r="I7" s="52"/>
      <c r="J7" s="52"/>
    </row>
    <row r="8" spans="1:11" ht="18" x14ac:dyDescent="0.25">
      <c r="A8" s="52" t="s">
        <v>72</v>
      </c>
      <c r="B8" s="52"/>
      <c r="C8" s="52"/>
      <c r="D8" s="52"/>
      <c r="E8" s="26">
        <f>40425144+152278</f>
        <v>40577422</v>
      </c>
      <c r="F8" s="52"/>
      <c r="G8" s="52" t="s">
        <v>30</v>
      </c>
      <c r="H8" s="52"/>
      <c r="I8" s="52"/>
      <c r="J8" s="54">
        <v>716395</v>
      </c>
    </row>
    <row r="9" spans="1:11" ht="18" x14ac:dyDescent="0.25">
      <c r="A9" s="52"/>
      <c r="B9" s="52"/>
      <c r="C9" s="52"/>
      <c r="D9" s="52"/>
      <c r="E9" s="60"/>
      <c r="F9" s="52"/>
      <c r="G9" s="52"/>
      <c r="H9" s="52" t="s">
        <v>26</v>
      </c>
      <c r="I9" s="52"/>
      <c r="J9" s="29" t="s">
        <v>26</v>
      </c>
    </row>
    <row r="10" spans="1:11" ht="18" x14ac:dyDescent="0.25">
      <c r="A10" s="52"/>
      <c r="B10" s="52"/>
      <c r="C10" s="52"/>
      <c r="D10" s="52"/>
      <c r="E10" s="60"/>
      <c r="F10" s="52"/>
      <c r="G10" s="52"/>
      <c r="H10" s="52" t="s">
        <v>26</v>
      </c>
      <c r="I10" s="52"/>
      <c r="J10" s="29" t="s">
        <v>26</v>
      </c>
    </row>
    <row r="11" spans="1:11" ht="18" x14ac:dyDescent="0.25">
      <c r="A11" s="52" t="s">
        <v>3</v>
      </c>
      <c r="B11" s="52"/>
      <c r="C11" s="52"/>
      <c r="D11" s="52"/>
      <c r="E11" s="60">
        <v>0</v>
      </c>
      <c r="F11" s="52"/>
      <c r="G11" s="52" t="s">
        <v>31</v>
      </c>
      <c r="H11" s="52"/>
      <c r="I11" s="52"/>
      <c r="J11" s="61">
        <f>E37</f>
        <v>10402.759750000005</v>
      </c>
    </row>
    <row r="12" spans="1:11" ht="18" x14ac:dyDescent="0.25">
      <c r="A12" s="52"/>
      <c r="B12" s="52"/>
      <c r="C12" s="52"/>
      <c r="D12" s="52"/>
      <c r="E12" s="60"/>
      <c r="F12" s="52"/>
      <c r="G12" s="52"/>
      <c r="H12" s="52"/>
      <c r="I12" s="52"/>
      <c r="J12" s="59"/>
    </row>
    <row r="13" spans="1:11" ht="18" x14ac:dyDescent="0.25">
      <c r="A13" s="52" t="s">
        <v>4</v>
      </c>
      <c r="B13" s="52"/>
      <c r="C13" s="52"/>
      <c r="D13" s="52"/>
      <c r="E13" s="60">
        <f>SUM(E8:E11)</f>
        <v>40577422</v>
      </c>
      <c r="F13" s="52"/>
      <c r="G13" s="52" t="s">
        <v>32</v>
      </c>
      <c r="H13" s="52"/>
      <c r="I13" s="52"/>
      <c r="J13" s="59">
        <v>0</v>
      </c>
    </row>
    <row r="14" spans="1:11" ht="18" x14ac:dyDescent="0.25">
      <c r="A14" s="52"/>
      <c r="B14" s="52"/>
      <c r="C14" s="52"/>
      <c r="D14" s="52"/>
      <c r="E14" s="60"/>
      <c r="F14" s="52"/>
      <c r="G14" s="52"/>
      <c r="H14" s="52"/>
      <c r="I14" s="52"/>
      <c r="J14" s="59"/>
    </row>
    <row r="15" spans="1:11" ht="18" x14ac:dyDescent="0.25">
      <c r="A15" s="52" t="s">
        <v>5</v>
      </c>
      <c r="B15" s="52"/>
      <c r="C15" s="52"/>
      <c r="D15" s="52"/>
      <c r="E15" s="62">
        <f>E6-E13</f>
        <v>138167</v>
      </c>
      <c r="F15" s="52"/>
      <c r="G15" s="52" t="s">
        <v>33</v>
      </c>
      <c r="H15" s="52"/>
      <c r="I15" s="52"/>
      <c r="J15" s="61">
        <f>ROUND((+J8+J11),4)</f>
        <v>726797.7598</v>
      </c>
    </row>
    <row r="16" spans="1:11" ht="18" x14ac:dyDescent="0.25">
      <c r="A16" s="52" t="s">
        <v>6</v>
      </c>
      <c r="B16" s="52"/>
      <c r="C16" s="52"/>
      <c r="D16" s="52"/>
      <c r="E16" s="60"/>
      <c r="F16" s="52"/>
      <c r="G16" s="52" t="s">
        <v>34</v>
      </c>
      <c r="H16" s="52"/>
      <c r="I16" s="52"/>
      <c r="J16" s="59"/>
    </row>
    <row r="17" spans="1:13" ht="18" x14ac:dyDescent="0.25">
      <c r="A17" s="52"/>
      <c r="B17" s="52"/>
      <c r="C17" s="52"/>
      <c r="D17" s="52"/>
      <c r="E17" s="60"/>
      <c r="F17" s="52"/>
      <c r="G17" s="52"/>
      <c r="H17" s="52"/>
      <c r="I17" s="52"/>
      <c r="J17" s="52"/>
    </row>
    <row r="18" spans="1:13" ht="18" x14ac:dyDescent="0.25">
      <c r="A18" s="63" t="s">
        <v>1</v>
      </c>
      <c r="B18" s="63" t="s">
        <v>1</v>
      </c>
      <c r="C18" s="63" t="s">
        <v>1</v>
      </c>
      <c r="D18" s="63" t="s">
        <v>1</v>
      </c>
      <c r="E18" s="64" t="s">
        <v>1</v>
      </c>
      <c r="F18" s="52"/>
      <c r="G18" s="52" t="s">
        <v>35</v>
      </c>
      <c r="H18" s="52"/>
      <c r="I18" s="52"/>
      <c r="J18" s="60">
        <f>E6</f>
        <v>40715589</v>
      </c>
    </row>
    <row r="19" spans="1:13" ht="18" x14ac:dyDescent="0.25">
      <c r="A19" s="63" t="s">
        <v>1</v>
      </c>
      <c r="B19" s="63" t="s">
        <v>1</v>
      </c>
      <c r="C19" s="63" t="s">
        <v>1</v>
      </c>
      <c r="D19" s="63" t="s">
        <v>1</v>
      </c>
      <c r="E19" s="64"/>
      <c r="F19" s="52"/>
      <c r="G19" s="52"/>
      <c r="H19" s="52"/>
      <c r="I19" s="52"/>
      <c r="J19" s="52"/>
    </row>
    <row r="20" spans="1:13" ht="18" x14ac:dyDescent="0.25">
      <c r="A20" s="52" t="s">
        <v>7</v>
      </c>
      <c r="B20" s="52"/>
      <c r="C20" s="52"/>
      <c r="D20" s="52" t="s">
        <v>25</v>
      </c>
      <c r="E20" s="24" t="s">
        <v>81</v>
      </c>
      <c r="F20" s="52"/>
      <c r="G20" s="52" t="s">
        <v>36</v>
      </c>
      <c r="H20" s="52"/>
      <c r="I20" s="52"/>
      <c r="J20" s="34">
        <f>ROUND((J8/J18),5)</f>
        <v>1.7600000000000001E-2</v>
      </c>
    </row>
    <row r="21" spans="1:13" ht="18" x14ac:dyDescent="0.25">
      <c r="A21" s="52"/>
      <c r="B21" s="52"/>
      <c r="C21" s="52"/>
      <c r="D21" s="52"/>
      <c r="E21" s="60"/>
      <c r="F21" s="52"/>
      <c r="G21" s="52" t="s">
        <v>37</v>
      </c>
      <c r="H21" s="52"/>
      <c r="I21" s="52"/>
      <c r="J21" s="52"/>
    </row>
    <row r="22" spans="1:13" ht="18" x14ac:dyDescent="0.25">
      <c r="A22" s="52" t="s">
        <v>8</v>
      </c>
      <c r="B22" s="52"/>
      <c r="C22" s="52"/>
      <c r="D22" s="52"/>
      <c r="E22" s="53">
        <v>-1.75E-3</v>
      </c>
      <c r="F22" s="52"/>
      <c r="G22" s="52"/>
      <c r="H22" s="52"/>
      <c r="I22" s="52"/>
      <c r="J22" s="52"/>
    </row>
    <row r="23" spans="1:13" ht="18" x14ac:dyDescent="0.25">
      <c r="A23" s="52"/>
      <c r="B23" s="52"/>
      <c r="C23" s="52"/>
      <c r="D23" s="52"/>
      <c r="E23" s="60"/>
      <c r="F23" s="52"/>
      <c r="G23" s="52" t="s">
        <v>38</v>
      </c>
      <c r="H23" s="52"/>
      <c r="I23" s="52"/>
      <c r="J23" s="52"/>
    </row>
    <row r="24" spans="1:13" ht="18" x14ac:dyDescent="0.25">
      <c r="A24" s="52" t="s">
        <v>9</v>
      </c>
      <c r="B24" s="52"/>
      <c r="C24" s="52"/>
      <c r="D24" s="52"/>
      <c r="E24" s="35">
        <f>40525207+152278</f>
        <v>40677485</v>
      </c>
      <c r="F24" s="52"/>
      <c r="G24" s="63" t="s">
        <v>1</v>
      </c>
      <c r="H24" s="52"/>
      <c r="I24" s="52"/>
      <c r="J24" s="52"/>
    </row>
    <row r="25" spans="1:13" ht="18" x14ac:dyDescent="0.25">
      <c r="A25" s="52"/>
      <c r="B25" s="52"/>
      <c r="C25" s="52"/>
      <c r="D25" s="52"/>
      <c r="E25" s="35"/>
      <c r="F25" s="52"/>
      <c r="G25" s="52" t="s">
        <v>39</v>
      </c>
      <c r="H25" s="52"/>
      <c r="I25" s="52"/>
      <c r="J25" s="58">
        <f>'12 Mth Avg-Dec 21'!E31</f>
        <v>2.4898614136204682E-2</v>
      </c>
    </row>
    <row r="26" spans="1:13" ht="18" x14ac:dyDescent="0.25">
      <c r="A26" s="52" t="s">
        <v>10</v>
      </c>
      <c r="B26" s="52"/>
      <c r="C26" s="52"/>
      <c r="D26" s="52"/>
      <c r="E26" s="35">
        <f>-113-99950</f>
        <v>-100063</v>
      </c>
      <c r="F26" s="52"/>
      <c r="G26" s="52"/>
      <c r="H26" s="52"/>
      <c r="I26" s="52"/>
      <c r="J26" s="52"/>
      <c r="M26" s="70"/>
    </row>
    <row r="27" spans="1:13" ht="18" x14ac:dyDescent="0.25">
      <c r="A27" s="52"/>
      <c r="B27" s="52"/>
      <c r="C27" s="52"/>
      <c r="D27" s="52"/>
      <c r="E27" s="62"/>
      <c r="F27" s="52"/>
      <c r="G27" s="52" t="s">
        <v>40</v>
      </c>
      <c r="H27" s="52"/>
      <c r="I27" s="52"/>
      <c r="J27" s="36" t="str">
        <f>E4</f>
        <v>December</v>
      </c>
    </row>
    <row r="28" spans="1:13" ht="18" x14ac:dyDescent="0.25">
      <c r="A28" s="52" t="s">
        <v>11</v>
      </c>
      <c r="B28" s="52"/>
      <c r="C28" s="52"/>
      <c r="D28" s="52"/>
      <c r="E28" s="62">
        <f>SUM(E24:E27)</f>
        <v>40577422</v>
      </c>
      <c r="F28" s="52"/>
      <c r="G28" s="52"/>
      <c r="H28" s="52"/>
      <c r="I28" s="52"/>
      <c r="J28" s="52"/>
    </row>
    <row r="29" spans="1:13" ht="18" x14ac:dyDescent="0.25">
      <c r="A29" s="52" t="s">
        <v>12</v>
      </c>
      <c r="B29" s="52"/>
      <c r="C29" s="52"/>
      <c r="D29" s="52"/>
      <c r="E29" s="60"/>
      <c r="F29" s="52"/>
      <c r="G29" s="52" t="s">
        <v>41</v>
      </c>
      <c r="H29" s="52"/>
      <c r="I29" s="52"/>
      <c r="J29" s="65">
        <f>ROUND((+E15/E6),6)</f>
        <v>3.3930000000000002E-3</v>
      </c>
    </row>
    <row r="30" spans="1:13" ht="18" x14ac:dyDescent="0.25">
      <c r="A30" s="52"/>
      <c r="B30" s="52" t="s">
        <v>26</v>
      </c>
      <c r="C30" s="52"/>
      <c r="D30" s="52"/>
      <c r="E30" s="60"/>
      <c r="F30" s="52"/>
      <c r="G30" s="52" t="s">
        <v>42</v>
      </c>
      <c r="H30" s="52"/>
      <c r="I30" s="52"/>
      <c r="J30" s="52"/>
    </row>
    <row r="31" spans="1:13" ht="18" x14ac:dyDescent="0.25">
      <c r="A31" s="52" t="s">
        <v>13</v>
      </c>
      <c r="B31" s="52"/>
      <c r="C31" s="52"/>
      <c r="D31" s="52"/>
      <c r="E31" s="54">
        <v>-59245.46</v>
      </c>
      <c r="F31" s="52"/>
      <c r="G31" s="52"/>
      <c r="H31" s="52"/>
      <c r="I31" s="52"/>
      <c r="J31" s="52"/>
    </row>
    <row r="32" spans="1:13" ht="18" x14ac:dyDescent="0.25">
      <c r="A32" s="52" t="s">
        <v>14</v>
      </c>
      <c r="B32" s="52"/>
      <c r="C32" s="52"/>
      <c r="D32" s="52"/>
      <c r="E32" s="61"/>
      <c r="F32" s="52"/>
      <c r="G32" s="52" t="s">
        <v>43</v>
      </c>
      <c r="H32" s="52"/>
      <c r="I32" s="52"/>
      <c r="J32" s="52"/>
    </row>
    <row r="33" spans="1:10" ht="18" x14ac:dyDescent="0.25">
      <c r="A33" s="52"/>
      <c r="B33" s="52"/>
      <c r="C33" s="52"/>
      <c r="D33" s="52"/>
      <c r="E33" s="61"/>
      <c r="F33" s="52"/>
      <c r="G33" s="63" t="s">
        <v>1</v>
      </c>
      <c r="H33" s="63" t="s">
        <v>1</v>
      </c>
      <c r="I33" s="63" t="s">
        <v>1</v>
      </c>
      <c r="J33" s="52"/>
    </row>
    <row r="34" spans="1:10" ht="18" x14ac:dyDescent="0.25">
      <c r="A34" s="52" t="s">
        <v>15</v>
      </c>
      <c r="B34" s="52"/>
      <c r="C34" s="52"/>
      <c r="D34" s="52"/>
      <c r="E34" s="61">
        <f>(+E26*E22)+B41</f>
        <v>-69648.219750000004</v>
      </c>
      <c r="F34" s="52"/>
      <c r="G34" s="52" t="s">
        <v>44</v>
      </c>
      <c r="H34" s="52"/>
      <c r="I34" s="52"/>
      <c r="J34" s="65">
        <f>ROUND((1-J25),7)</f>
        <v>0.97510140000000001</v>
      </c>
    </row>
    <row r="35" spans="1:10" ht="18" x14ac:dyDescent="0.25">
      <c r="A35" s="52" t="s">
        <v>16</v>
      </c>
      <c r="B35" s="52"/>
      <c r="C35" s="52"/>
      <c r="D35" s="52"/>
      <c r="E35" s="61"/>
      <c r="F35" s="52"/>
      <c r="G35" s="52" t="s">
        <v>45</v>
      </c>
      <c r="H35" s="52"/>
      <c r="I35" s="52"/>
      <c r="J35" s="52"/>
    </row>
    <row r="36" spans="1:10" ht="18" x14ac:dyDescent="0.25">
      <c r="A36" s="52"/>
      <c r="B36" s="52"/>
      <c r="C36" s="52"/>
      <c r="D36" s="52"/>
      <c r="E36" s="61"/>
      <c r="F36" s="52"/>
      <c r="G36" s="52"/>
      <c r="H36" s="52"/>
      <c r="I36" s="52"/>
      <c r="J36" s="52"/>
    </row>
    <row r="37" spans="1:10" ht="18" x14ac:dyDescent="0.25">
      <c r="A37" s="52" t="s">
        <v>17</v>
      </c>
      <c r="B37" s="52"/>
      <c r="C37" s="52"/>
      <c r="D37" s="52"/>
      <c r="E37" s="61">
        <f>(E31-E34)</f>
        <v>10402.759750000005</v>
      </c>
      <c r="F37" s="52"/>
      <c r="G37" s="52" t="s">
        <v>46</v>
      </c>
      <c r="H37" s="52"/>
      <c r="I37" s="52"/>
      <c r="J37" s="66">
        <f>ROUND((J15/J18),5)</f>
        <v>1.7850000000000001E-2</v>
      </c>
    </row>
    <row r="38" spans="1:10" ht="18" x14ac:dyDescent="0.25">
      <c r="A38" s="52" t="s">
        <v>18</v>
      </c>
      <c r="B38" s="52"/>
      <c r="C38" s="52"/>
      <c r="D38" s="52"/>
      <c r="E38" s="61"/>
      <c r="F38" s="52"/>
      <c r="G38" s="52" t="s">
        <v>47</v>
      </c>
      <c r="H38" s="52"/>
      <c r="I38" s="52"/>
      <c r="J38" s="66"/>
    </row>
    <row r="39" spans="1:10" ht="18" x14ac:dyDescent="0.25">
      <c r="A39" s="52"/>
      <c r="B39" s="52"/>
      <c r="C39" s="52"/>
      <c r="D39" s="52"/>
      <c r="E39" s="59"/>
      <c r="F39" s="52"/>
      <c r="G39" s="52"/>
      <c r="H39" s="52"/>
      <c r="I39" s="52"/>
      <c r="J39" s="66"/>
    </row>
    <row r="40" spans="1:10" ht="18" x14ac:dyDescent="0.25">
      <c r="A40" s="52"/>
      <c r="B40" s="39" t="s">
        <v>24</v>
      </c>
      <c r="C40" s="39"/>
      <c r="D40" s="39"/>
      <c r="E40" s="59"/>
      <c r="F40" s="52"/>
      <c r="G40" s="52" t="s">
        <v>48</v>
      </c>
      <c r="H40" s="52"/>
      <c r="I40" s="52"/>
      <c r="J40" s="40">
        <f>ROUND((J37/J34),7)</f>
        <v>1.8305800000000001E-2</v>
      </c>
    </row>
    <row r="41" spans="1:10" ht="18" x14ac:dyDescent="0.25">
      <c r="A41" s="52"/>
      <c r="B41" s="57">
        <f>-69565.23-258.1</f>
        <v>-69823.33</v>
      </c>
      <c r="D41" s="41"/>
      <c r="E41" s="59"/>
      <c r="F41" s="52"/>
      <c r="G41" s="52"/>
      <c r="H41" s="52"/>
      <c r="I41" s="52"/>
      <c r="J41" s="52"/>
    </row>
    <row r="42" spans="1:10" ht="18" x14ac:dyDescent="0.25">
      <c r="A42" s="52"/>
      <c r="B42" s="52"/>
      <c r="C42" s="52"/>
      <c r="D42" s="52"/>
      <c r="E42" s="52"/>
      <c r="F42" s="52"/>
      <c r="G42" s="52" t="s">
        <v>49</v>
      </c>
      <c r="H42" s="52"/>
      <c r="I42" s="52"/>
      <c r="J42" s="67">
        <f>ROUND((+J40*100),3)</f>
        <v>1.831</v>
      </c>
    </row>
    <row r="43" spans="1:10" ht="18" x14ac:dyDescent="0.25">
      <c r="A43" s="63" t="s">
        <v>1</v>
      </c>
      <c r="B43" s="63" t="s">
        <v>1</v>
      </c>
      <c r="C43" s="63" t="s">
        <v>1</v>
      </c>
      <c r="D43" s="63" t="s">
        <v>1</v>
      </c>
      <c r="E43" s="63" t="s">
        <v>1</v>
      </c>
      <c r="F43" s="63" t="s">
        <v>1</v>
      </c>
      <c r="G43" s="63" t="s">
        <v>1</v>
      </c>
      <c r="H43" s="63" t="s">
        <v>1</v>
      </c>
      <c r="I43" s="63" t="s">
        <v>1</v>
      </c>
      <c r="J43" s="63" t="s">
        <v>1</v>
      </c>
    </row>
    <row r="44" spans="1:10" ht="18" x14ac:dyDescent="0.25">
      <c r="A44" s="52" t="s">
        <v>19</v>
      </c>
      <c r="B44" s="52"/>
      <c r="C44" s="52"/>
      <c r="D44" s="68">
        <f>J42</f>
        <v>1.831</v>
      </c>
      <c r="E44" s="52" t="s">
        <v>26</v>
      </c>
      <c r="F44" s="69"/>
      <c r="G44" s="52"/>
      <c r="H44" s="52"/>
      <c r="I44" s="52"/>
      <c r="J44" s="52"/>
    </row>
    <row r="45" spans="1:10" ht="18" x14ac:dyDescent="0.25">
      <c r="A45" s="52" t="s">
        <v>20</v>
      </c>
      <c r="B45" s="71">
        <f>I46+26</f>
        <v>44608</v>
      </c>
      <c r="C45" s="52"/>
      <c r="D45" s="52" t="s">
        <v>26</v>
      </c>
      <c r="E45" s="52"/>
      <c r="F45" s="52"/>
      <c r="G45" s="52"/>
      <c r="H45" s="52"/>
      <c r="I45" s="52"/>
      <c r="J45" s="52"/>
    </row>
    <row r="46" spans="1:10" ht="18" x14ac:dyDescent="0.25">
      <c r="A46" s="52"/>
      <c r="B46" s="52"/>
      <c r="C46" s="52"/>
      <c r="D46" s="52"/>
      <c r="E46" s="36"/>
      <c r="F46" s="52"/>
      <c r="G46" s="52"/>
      <c r="H46" s="45" t="s">
        <v>50</v>
      </c>
      <c r="I46" s="71">
        <v>44582</v>
      </c>
      <c r="J46" s="46"/>
    </row>
    <row r="47" spans="1:10" ht="18" x14ac:dyDescent="0.25">
      <c r="A47" s="52" t="s">
        <v>100</v>
      </c>
      <c r="B47" s="52" t="s">
        <v>105</v>
      </c>
      <c r="C47" s="52"/>
      <c r="D47" s="52"/>
      <c r="E47" s="52"/>
      <c r="F47" s="52"/>
      <c r="G47" s="52"/>
      <c r="H47" s="52" t="s">
        <v>106</v>
      </c>
      <c r="I47" s="52"/>
      <c r="J47" s="52"/>
    </row>
    <row r="48" spans="1:10" ht="18" x14ac:dyDescent="0.25">
      <c r="A48" s="52" t="s">
        <v>21</v>
      </c>
      <c r="B48" s="52"/>
      <c r="C48" s="52"/>
      <c r="D48" s="52"/>
      <c r="E48" s="52"/>
      <c r="F48" s="52"/>
      <c r="G48" s="52"/>
      <c r="H48" s="52" t="s">
        <v>103</v>
      </c>
      <c r="I48" s="52"/>
      <c r="J48" s="52"/>
    </row>
    <row r="49" spans="1:10" ht="15.75" x14ac:dyDescent="0.25">
      <c r="A49" s="6" t="s">
        <v>22</v>
      </c>
      <c r="B49" s="2"/>
      <c r="C49" s="2"/>
      <c r="D49" s="2"/>
      <c r="E49" s="2"/>
      <c r="F49" s="7"/>
      <c r="G49" s="2"/>
      <c r="H49" s="7"/>
      <c r="I49" s="2" t="s">
        <v>26</v>
      </c>
      <c r="J49" s="4"/>
    </row>
    <row r="50" spans="1:10" ht="15.75" x14ac:dyDescent="0.25">
      <c r="A50" s="2"/>
      <c r="B50" s="2"/>
      <c r="C50" s="2"/>
      <c r="D50" s="2"/>
      <c r="E50" s="2"/>
      <c r="F50" s="2"/>
      <c r="G50" s="2"/>
      <c r="H50" s="7"/>
      <c r="I50" s="7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8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5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5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5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5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5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5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5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5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5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5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5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5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5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5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5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5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5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5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5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5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5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5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5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8F95-0CA1-4931-9E3A-7F067CA65BD9}">
  <dimension ref="A1:G40"/>
  <sheetViews>
    <sheetView workbookViewId="0">
      <selection activeCell="C22" sqref="C22"/>
    </sheetView>
  </sheetViews>
  <sheetFormatPr defaultRowHeight="15" x14ac:dyDescent="0.2"/>
  <cols>
    <col min="1" max="1" width="21" customWidth="1"/>
    <col min="3" max="3" width="11.5546875" customWidth="1"/>
    <col min="4" max="4" width="3.6640625" customWidth="1"/>
    <col min="5" max="5" width="11.88671875" bestFit="1" customWidth="1"/>
    <col min="6" max="6" width="3.77734375" customWidth="1"/>
    <col min="7" max="7" width="12" customWidth="1"/>
  </cols>
  <sheetData>
    <row r="1" spans="1:7" ht="15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59</v>
      </c>
      <c r="B2" s="15"/>
      <c r="C2" s="15"/>
      <c r="D2" s="15"/>
      <c r="E2" s="15"/>
      <c r="F2" s="15"/>
      <c r="G2" s="15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 t="s">
        <v>60</v>
      </c>
      <c r="B5" s="11"/>
      <c r="C5" s="11"/>
      <c r="D5" s="11"/>
      <c r="E5" s="11"/>
      <c r="F5" s="11"/>
      <c r="G5" s="11"/>
    </row>
    <row r="6" spans="1:7" ht="15.75" x14ac:dyDescent="0.25">
      <c r="A6" s="11" t="s">
        <v>61</v>
      </c>
      <c r="B6" s="11"/>
      <c r="C6" s="11"/>
      <c r="D6" s="11"/>
      <c r="E6" s="11"/>
      <c r="F6" s="11"/>
      <c r="G6" s="11"/>
    </row>
    <row r="7" spans="1:7" ht="15.75" x14ac:dyDescent="0.25">
      <c r="A7" s="11" t="s">
        <v>62</v>
      </c>
      <c r="B7" s="11"/>
      <c r="C7" s="11"/>
      <c r="D7" s="11"/>
      <c r="E7" s="11"/>
      <c r="F7" s="11"/>
      <c r="G7" s="11"/>
    </row>
    <row r="8" spans="1:7" ht="15.75" x14ac:dyDescent="0.25">
      <c r="A8" s="9"/>
      <c r="B8" s="9"/>
      <c r="C8" s="9"/>
      <c r="D8" s="9"/>
      <c r="E8" s="9"/>
      <c r="F8" s="9"/>
      <c r="G8" s="9"/>
    </row>
    <row r="9" spans="1:7" ht="15.75" x14ac:dyDescent="0.25">
      <c r="A9" s="19">
        <v>44561</v>
      </c>
      <c r="B9" s="11"/>
      <c r="C9" s="11"/>
      <c r="D9" s="11"/>
      <c r="E9" s="11"/>
      <c r="F9" s="11"/>
      <c r="G9" s="11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15"/>
      <c r="B11" s="15"/>
      <c r="C11" s="15"/>
      <c r="D11" s="15"/>
      <c r="E11" s="15"/>
      <c r="F11" s="15"/>
      <c r="G11" s="15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2"/>
      <c r="B13" s="12"/>
      <c r="C13" s="16" t="s">
        <v>63</v>
      </c>
      <c r="D13" s="12"/>
      <c r="E13" s="16" t="s">
        <v>66</v>
      </c>
      <c r="F13" s="16"/>
      <c r="G13" s="16" t="s">
        <v>69</v>
      </c>
    </row>
    <row r="14" spans="1:7" ht="15.75" x14ac:dyDescent="0.25">
      <c r="A14" s="12"/>
      <c r="B14" s="12"/>
      <c r="C14" s="16" t="s">
        <v>64</v>
      </c>
      <c r="D14" s="12"/>
      <c r="E14" s="16" t="s">
        <v>64</v>
      </c>
      <c r="F14" s="16"/>
      <c r="G14" s="16" t="s">
        <v>64</v>
      </c>
    </row>
    <row r="15" spans="1:7" ht="15.75" x14ac:dyDescent="0.25">
      <c r="A15" s="12"/>
      <c r="B15" s="12"/>
      <c r="C15" s="16" t="s">
        <v>65</v>
      </c>
      <c r="D15" s="12"/>
      <c r="E15" s="16" t="s">
        <v>67</v>
      </c>
      <c r="F15" s="16"/>
      <c r="G15" s="16" t="s">
        <v>68</v>
      </c>
    </row>
    <row r="16" spans="1:7" ht="15.75" x14ac:dyDescent="0.25">
      <c r="A16" s="12"/>
      <c r="B16" s="12"/>
      <c r="C16" s="16"/>
      <c r="D16" s="12"/>
      <c r="E16" s="16" t="s">
        <v>70</v>
      </c>
      <c r="F16" s="16"/>
      <c r="G16" s="16"/>
    </row>
    <row r="17" spans="1:7" ht="15.75" x14ac:dyDescent="0.25">
      <c r="A17" s="9"/>
      <c r="B17" s="9"/>
      <c r="C17" s="9"/>
      <c r="D17" s="9"/>
      <c r="E17" s="9"/>
      <c r="F17" s="9"/>
      <c r="G17" s="9"/>
    </row>
    <row r="18" spans="1:7" ht="15.75" x14ac:dyDescent="0.25">
      <c r="A18" s="9" t="s">
        <v>52</v>
      </c>
      <c r="B18" s="9"/>
      <c r="C18" s="9"/>
      <c r="D18" s="9"/>
      <c r="E18" s="9"/>
      <c r="F18" s="9"/>
      <c r="G18" s="9"/>
    </row>
    <row r="19" spans="1:7" ht="15.75" x14ac:dyDescent="0.25">
      <c r="A19" s="9" t="s">
        <v>53</v>
      </c>
      <c r="B19" s="9"/>
      <c r="C19" s="13">
        <v>490079747</v>
      </c>
      <c r="D19" s="14"/>
      <c r="E19" s="13">
        <v>474629100</v>
      </c>
      <c r="F19" s="14"/>
      <c r="G19" s="13">
        <f>C19-E19</f>
        <v>15450647</v>
      </c>
    </row>
    <row r="20" spans="1:7" ht="15.75" x14ac:dyDescent="0.25">
      <c r="A20" s="9"/>
      <c r="B20" s="9"/>
      <c r="C20" s="13"/>
      <c r="D20" s="14"/>
      <c r="E20" s="13"/>
      <c r="F20" s="14"/>
      <c r="G20" s="13"/>
    </row>
    <row r="21" spans="1:7" ht="15.75" x14ac:dyDescent="0.25">
      <c r="A21" s="9" t="s">
        <v>54</v>
      </c>
      <c r="B21" s="9"/>
      <c r="C21" s="13"/>
      <c r="D21" s="14"/>
      <c r="E21" s="13"/>
      <c r="F21" s="14"/>
      <c r="G21" s="13"/>
    </row>
    <row r="22" spans="1:7" ht="15.75" x14ac:dyDescent="0.25">
      <c r="A22" s="9" t="s">
        <v>55</v>
      </c>
      <c r="B22" s="9"/>
      <c r="C22" s="13">
        <v>48221650</v>
      </c>
      <c r="D22" s="14"/>
      <c r="E22" s="13">
        <v>44648252</v>
      </c>
      <c r="F22" s="14"/>
      <c r="G22" s="13">
        <f>C22-E22</f>
        <v>3573398</v>
      </c>
    </row>
    <row r="23" spans="1:7" ht="15.75" x14ac:dyDescent="0.25">
      <c r="A23" s="9"/>
      <c r="B23" s="9"/>
      <c r="C23" s="13"/>
      <c r="D23" s="14"/>
      <c r="E23" s="13"/>
      <c r="F23" s="14"/>
      <c r="G23" s="13"/>
    </row>
    <row r="24" spans="1:7" ht="15.75" x14ac:dyDescent="0.25">
      <c r="A24" s="9" t="s">
        <v>56</v>
      </c>
      <c r="B24" s="9"/>
      <c r="C24" s="13"/>
      <c r="D24" s="14"/>
      <c r="E24" s="13"/>
      <c r="F24" s="14"/>
      <c r="G24" s="13"/>
    </row>
    <row r="25" spans="1:7" ht="15.75" x14ac:dyDescent="0.25">
      <c r="A25" s="9" t="s">
        <v>55</v>
      </c>
      <c r="B25" s="9"/>
      <c r="C25" s="13">
        <v>40715589</v>
      </c>
      <c r="D25" s="14"/>
      <c r="E25" s="13">
        <v>40577422</v>
      </c>
      <c r="F25" s="14"/>
      <c r="G25" s="13">
        <f>C25-E25</f>
        <v>138167</v>
      </c>
    </row>
    <row r="26" spans="1:7" ht="15.75" x14ac:dyDescent="0.25">
      <c r="A26" s="9"/>
      <c r="B26" s="9"/>
      <c r="C26" s="10"/>
      <c r="D26" s="9"/>
      <c r="E26" s="10"/>
      <c r="F26" s="9"/>
      <c r="G26" s="10"/>
    </row>
    <row r="27" spans="1:7" ht="15.75" x14ac:dyDescent="0.25">
      <c r="A27" s="9" t="s">
        <v>57</v>
      </c>
      <c r="B27" s="9"/>
      <c r="C27" s="10"/>
      <c r="D27" s="9"/>
      <c r="E27" s="10"/>
      <c r="F27" s="9"/>
      <c r="G27" s="10"/>
    </row>
    <row r="28" spans="1:7" ht="15.75" x14ac:dyDescent="0.25">
      <c r="A28" s="9" t="s">
        <v>53</v>
      </c>
      <c r="B28" s="9"/>
      <c r="C28" s="10">
        <f>C19-C22+C25</f>
        <v>482573686</v>
      </c>
      <c r="D28" s="9"/>
      <c r="E28" s="10">
        <f>E19-E22+E25</f>
        <v>470558270</v>
      </c>
      <c r="F28" s="9"/>
      <c r="G28" s="10">
        <f>C28-E28</f>
        <v>12015416</v>
      </c>
    </row>
    <row r="29" spans="1:7" ht="15.75" x14ac:dyDescent="0.25">
      <c r="A29" s="9"/>
      <c r="B29" s="9"/>
      <c r="C29" s="10"/>
      <c r="D29" s="9"/>
      <c r="E29" s="10"/>
      <c r="F29" s="9"/>
      <c r="G29" s="10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 t="s">
        <v>58</v>
      </c>
      <c r="B31" s="9"/>
      <c r="C31" s="9"/>
      <c r="D31" s="9"/>
      <c r="E31" s="56">
        <f>G28/C28</f>
        <v>2.4898614136204682E-2</v>
      </c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9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</sheetData>
  <pageMargins left="0.75" right="0.75" top="1.2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workbookViewId="0">
      <selection activeCell="E28" sqref="E28"/>
    </sheetView>
  </sheetViews>
  <sheetFormatPr defaultRowHeight="15" x14ac:dyDescent="0.2"/>
  <cols>
    <col min="1" max="1" width="21" customWidth="1"/>
    <col min="3" max="3" width="11.5546875" customWidth="1"/>
    <col min="4" max="4" width="6.77734375" customWidth="1"/>
    <col min="5" max="5" width="9.6640625" bestFit="1" customWidth="1"/>
    <col min="6" max="6" width="3.77734375" customWidth="1"/>
    <col min="7" max="7" width="12" customWidth="1"/>
  </cols>
  <sheetData>
    <row r="1" spans="1:7" ht="15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59</v>
      </c>
      <c r="B2" s="15"/>
      <c r="C2" s="15"/>
      <c r="D2" s="15"/>
      <c r="E2" s="15"/>
      <c r="F2" s="15"/>
      <c r="G2" s="15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 t="s">
        <v>60</v>
      </c>
      <c r="B5" s="11"/>
      <c r="C5" s="11"/>
      <c r="D5" s="11"/>
      <c r="E5" s="11"/>
      <c r="F5" s="11"/>
      <c r="G5" s="11"/>
    </row>
    <row r="6" spans="1:7" ht="15.75" x14ac:dyDescent="0.25">
      <c r="A6" s="11" t="s">
        <v>61</v>
      </c>
      <c r="B6" s="11"/>
      <c r="C6" s="11"/>
      <c r="D6" s="11"/>
      <c r="E6" s="11"/>
      <c r="F6" s="11"/>
      <c r="G6" s="11"/>
    </row>
    <row r="7" spans="1:7" ht="15.75" x14ac:dyDescent="0.25">
      <c r="A7" s="11" t="s">
        <v>62</v>
      </c>
      <c r="B7" s="11"/>
      <c r="C7" s="11"/>
      <c r="D7" s="11"/>
      <c r="E7" s="11"/>
      <c r="F7" s="11"/>
      <c r="G7" s="11"/>
    </row>
    <row r="8" spans="1:7" ht="15.75" x14ac:dyDescent="0.25">
      <c r="A8" s="9"/>
      <c r="B8" s="9"/>
      <c r="C8" s="9"/>
      <c r="D8" s="9"/>
      <c r="E8" s="9"/>
      <c r="F8" s="9"/>
      <c r="G8" s="9"/>
    </row>
    <row r="9" spans="1:7" ht="15.75" x14ac:dyDescent="0.25">
      <c r="A9" s="19">
        <v>44136</v>
      </c>
      <c r="B9" s="11"/>
      <c r="C9" s="11"/>
      <c r="D9" s="11"/>
      <c r="E9" s="11"/>
      <c r="F9" s="11"/>
      <c r="G9" s="11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15"/>
      <c r="B11" s="15"/>
      <c r="C11" s="15"/>
      <c r="D11" s="15"/>
      <c r="E11" s="15"/>
      <c r="F11" s="15"/>
      <c r="G11" s="15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2"/>
      <c r="B13" s="12"/>
      <c r="C13" s="16" t="s">
        <v>63</v>
      </c>
      <c r="D13" s="12"/>
      <c r="E13" s="16" t="s">
        <v>66</v>
      </c>
      <c r="F13" s="16"/>
      <c r="G13" s="16" t="s">
        <v>69</v>
      </c>
    </row>
    <row r="14" spans="1:7" ht="15.75" x14ac:dyDescent="0.25">
      <c r="A14" s="12"/>
      <c r="B14" s="12"/>
      <c r="C14" s="16" t="s">
        <v>64</v>
      </c>
      <c r="D14" s="12"/>
      <c r="E14" s="16" t="s">
        <v>64</v>
      </c>
      <c r="F14" s="16"/>
      <c r="G14" s="16" t="s">
        <v>64</v>
      </c>
    </row>
    <row r="15" spans="1:7" ht="15.75" x14ac:dyDescent="0.25">
      <c r="A15" s="12"/>
      <c r="B15" s="12"/>
      <c r="C15" s="16" t="s">
        <v>65</v>
      </c>
      <c r="D15" s="12"/>
      <c r="E15" s="16" t="s">
        <v>67</v>
      </c>
      <c r="F15" s="16"/>
      <c r="G15" s="16" t="s">
        <v>68</v>
      </c>
    </row>
    <row r="16" spans="1:7" ht="15.75" x14ac:dyDescent="0.25">
      <c r="A16" s="12"/>
      <c r="B16" s="12"/>
      <c r="C16" s="16"/>
      <c r="D16" s="12"/>
      <c r="E16" s="16" t="s">
        <v>70</v>
      </c>
      <c r="F16" s="16"/>
      <c r="G16" s="16"/>
    </row>
    <row r="17" spans="1:7" ht="15.75" x14ac:dyDescent="0.25">
      <c r="A17" s="9"/>
      <c r="B17" s="9"/>
      <c r="C17" s="9"/>
      <c r="D17" s="9"/>
      <c r="E17" s="9"/>
      <c r="F17" s="9"/>
      <c r="G17" s="9"/>
    </row>
    <row r="18" spans="1:7" ht="15.75" x14ac:dyDescent="0.25">
      <c r="A18" s="9" t="s">
        <v>52</v>
      </c>
      <c r="B18" s="9"/>
      <c r="C18" s="9"/>
      <c r="D18" s="9"/>
      <c r="E18" s="9"/>
      <c r="F18" s="9"/>
      <c r="G18" s="9"/>
    </row>
    <row r="19" spans="1:7" ht="15.75" x14ac:dyDescent="0.25">
      <c r="A19" s="9" t="s">
        <v>53</v>
      </c>
      <c r="B19" s="9"/>
      <c r="C19" s="17">
        <v>492574981</v>
      </c>
      <c r="D19" s="18"/>
      <c r="E19" s="17">
        <v>475158396</v>
      </c>
      <c r="F19" s="14"/>
      <c r="G19" s="13">
        <f>C19-E19</f>
        <v>17416585</v>
      </c>
    </row>
    <row r="20" spans="1:7" ht="15.75" x14ac:dyDescent="0.25">
      <c r="A20" s="9"/>
      <c r="B20" s="9"/>
      <c r="C20" s="17"/>
      <c r="D20" s="18"/>
      <c r="E20" s="17"/>
      <c r="F20" s="14"/>
      <c r="G20" s="13"/>
    </row>
    <row r="21" spans="1:7" ht="15.75" x14ac:dyDescent="0.25">
      <c r="A21" s="9" t="s">
        <v>54</v>
      </c>
      <c r="B21" s="9"/>
      <c r="C21" s="17"/>
      <c r="D21" s="18"/>
      <c r="E21" s="17"/>
      <c r="F21" s="14"/>
      <c r="G21" s="13"/>
    </row>
    <row r="22" spans="1:7" ht="15.75" x14ac:dyDescent="0.25">
      <c r="A22" s="9" t="s">
        <v>55</v>
      </c>
      <c r="B22" s="9"/>
      <c r="C22" s="13">
        <v>43721833</v>
      </c>
      <c r="D22" s="14"/>
      <c r="E22" s="13">
        <v>41272974</v>
      </c>
      <c r="F22" s="14"/>
      <c r="G22" s="13">
        <f>C22-E22</f>
        <v>2448859</v>
      </c>
    </row>
    <row r="23" spans="1:7" ht="15.75" x14ac:dyDescent="0.25">
      <c r="A23" s="9"/>
      <c r="B23" s="9"/>
      <c r="C23" s="13"/>
      <c r="D23" s="14"/>
      <c r="E23" s="13"/>
      <c r="F23" s="14"/>
      <c r="G23" s="13"/>
    </row>
    <row r="24" spans="1:7" ht="15.75" x14ac:dyDescent="0.25">
      <c r="A24" s="9" t="s">
        <v>56</v>
      </c>
      <c r="B24" s="9"/>
      <c r="C24" s="13"/>
      <c r="D24" s="14"/>
      <c r="E24" s="13"/>
      <c r="F24" s="14"/>
      <c r="G24" s="13"/>
    </row>
    <row r="25" spans="1:7" ht="15.75" x14ac:dyDescent="0.25">
      <c r="A25" s="9" t="s">
        <v>55</v>
      </c>
      <c r="B25" s="9"/>
      <c r="C25" s="13">
        <v>37575964</v>
      </c>
      <c r="D25" s="14"/>
      <c r="E25" s="13">
        <v>37905022</v>
      </c>
      <c r="F25" s="14"/>
      <c r="G25" s="13">
        <f>C25-E25</f>
        <v>-329058</v>
      </c>
    </row>
    <row r="26" spans="1:7" ht="15.75" x14ac:dyDescent="0.25">
      <c r="A26" s="9"/>
      <c r="B26" s="9"/>
      <c r="C26" s="10"/>
      <c r="D26" s="9"/>
      <c r="E26" s="10"/>
      <c r="F26" s="9"/>
      <c r="G26" s="10"/>
    </row>
    <row r="27" spans="1:7" ht="15.75" x14ac:dyDescent="0.25">
      <c r="A27" s="9" t="s">
        <v>57</v>
      </c>
      <c r="B27" s="9"/>
      <c r="C27" s="10"/>
      <c r="D27" s="9"/>
      <c r="E27" s="10"/>
      <c r="F27" s="9"/>
      <c r="G27" s="10"/>
    </row>
    <row r="28" spans="1:7" ht="15.75" x14ac:dyDescent="0.25">
      <c r="A28" s="9" t="s">
        <v>53</v>
      </c>
      <c r="B28" s="9"/>
      <c r="C28" s="10">
        <f>C19-C22+C25</f>
        <v>486429112</v>
      </c>
      <c r="D28" s="9"/>
      <c r="E28" s="10">
        <f>E19-E22+E25</f>
        <v>471790444</v>
      </c>
      <c r="F28" s="9"/>
      <c r="G28" s="10">
        <f>C28-E28</f>
        <v>14638668</v>
      </c>
    </row>
    <row r="29" spans="1:7" ht="15.75" x14ac:dyDescent="0.25">
      <c r="A29" s="9"/>
      <c r="B29" s="9"/>
      <c r="C29" s="10"/>
      <c r="D29" s="9"/>
      <c r="E29" s="10"/>
      <c r="F29" s="9"/>
      <c r="G29" s="10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 t="s">
        <v>58</v>
      </c>
      <c r="B31" s="9"/>
      <c r="C31" s="9"/>
      <c r="D31" s="9"/>
      <c r="E31" s="56">
        <f>G28/C28</f>
        <v>3.0094144529737767E-2</v>
      </c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9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</sheetData>
  <pageMargins left="0.75" right="0.75" top="1.2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72674-238E-4DA5-A8D9-5F4D6161B230}">
  <sheetPr>
    <pageSetUpPr fitToPage="1"/>
  </sheetPr>
  <dimension ref="A1:W99"/>
  <sheetViews>
    <sheetView zoomScale="60" zoomScaleNormal="60" workbookViewId="0">
      <selection activeCell="J25" sqref="J25"/>
    </sheetView>
  </sheetViews>
  <sheetFormatPr defaultColWidth="9.6640625" defaultRowHeight="15" x14ac:dyDescent="0.2"/>
  <cols>
    <col min="1" max="1" width="11.33203125" style="1" customWidth="1"/>
    <col min="2" max="2" width="28.77734375" style="1" customWidth="1"/>
    <col min="3" max="3" width="19.33203125" style="1" customWidth="1"/>
    <col min="4" max="4" width="10" style="1" customWidth="1"/>
    <col min="5" max="5" width="17.6640625" style="1" customWidth="1"/>
    <col min="6" max="6" width="9.6640625" style="1" customWidth="1"/>
    <col min="7" max="7" width="8.5546875" style="1" customWidth="1"/>
    <col min="8" max="8" width="13.77734375" style="1" customWidth="1"/>
    <col min="9" max="9" width="21.88671875" style="1" customWidth="1"/>
    <col min="10" max="10" width="20.6640625" style="1" customWidth="1"/>
    <col min="11" max="20" width="9.6640625" style="1"/>
    <col min="21" max="21" width="17" style="72" bestFit="1" customWidth="1"/>
    <col min="22" max="22" width="9.6640625" style="1"/>
    <col min="23" max="23" width="14" style="72" bestFit="1" customWidth="1"/>
    <col min="24" max="16384" width="9.6640625" style="1"/>
  </cols>
  <sheetData>
    <row r="1" spans="1:11" x14ac:dyDescent="0.2">
      <c r="A1" s="2" t="s">
        <v>0</v>
      </c>
      <c r="B1" s="2" t="s">
        <v>23</v>
      </c>
      <c r="C1" s="2"/>
      <c r="D1" s="2"/>
      <c r="E1" s="2"/>
      <c r="F1" s="2"/>
      <c r="G1" s="2" t="s">
        <v>27</v>
      </c>
      <c r="H1" s="2"/>
      <c r="I1" s="2"/>
      <c r="J1" s="2"/>
    </row>
    <row r="2" spans="1:11" x14ac:dyDescent="0.2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</row>
    <row r="3" spans="1:11" x14ac:dyDescent="0.2">
      <c r="A3" s="3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</row>
    <row r="4" spans="1:11" ht="18" x14ac:dyDescent="0.25">
      <c r="A4" s="52" t="s">
        <v>2</v>
      </c>
      <c r="B4" s="52"/>
      <c r="C4" s="52"/>
      <c r="D4" s="52"/>
      <c r="E4" s="24" t="s">
        <v>84</v>
      </c>
      <c r="F4" s="52"/>
      <c r="G4" s="52" t="s">
        <v>28</v>
      </c>
      <c r="H4" s="52"/>
      <c r="I4" s="52" t="s">
        <v>51</v>
      </c>
      <c r="J4" s="25" t="str">
        <f>E4</f>
        <v>January</v>
      </c>
    </row>
    <row r="5" spans="1:11" ht="1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1" ht="18" x14ac:dyDescent="0.25">
      <c r="A6" s="52" t="s">
        <v>71</v>
      </c>
      <c r="B6" s="52"/>
      <c r="C6" s="52"/>
      <c r="D6" s="52"/>
      <c r="E6" s="26">
        <v>53475090</v>
      </c>
      <c r="F6" s="52"/>
      <c r="G6" s="52" t="s">
        <v>29</v>
      </c>
      <c r="H6" s="52"/>
      <c r="I6" s="52"/>
      <c r="J6" s="59"/>
      <c r="K6" s="55"/>
    </row>
    <row r="7" spans="1:11" ht="18" x14ac:dyDescent="0.25">
      <c r="A7" s="52"/>
      <c r="B7" s="52"/>
      <c r="C7" s="52"/>
      <c r="D7" s="52"/>
      <c r="E7" s="60"/>
      <c r="F7" s="52"/>
      <c r="G7" s="52"/>
      <c r="H7" s="52"/>
      <c r="I7" s="52"/>
      <c r="J7" s="52"/>
    </row>
    <row r="8" spans="1:11" ht="18" x14ac:dyDescent="0.25">
      <c r="A8" s="52" t="s">
        <v>72</v>
      </c>
      <c r="B8" s="52"/>
      <c r="C8" s="52"/>
      <c r="D8" s="52"/>
      <c r="E8" s="26">
        <f>48973142+152025</f>
        <v>49125167</v>
      </c>
      <c r="F8" s="52"/>
      <c r="G8" s="52" t="s">
        <v>30</v>
      </c>
      <c r="H8" s="52"/>
      <c r="I8" s="52"/>
      <c r="J8" s="54">
        <v>420313</v>
      </c>
    </row>
    <row r="9" spans="1:11" ht="18" x14ac:dyDescent="0.25">
      <c r="A9" s="52"/>
      <c r="B9" s="52"/>
      <c r="C9" s="52"/>
      <c r="D9" s="52"/>
      <c r="E9" s="60"/>
      <c r="F9" s="52"/>
      <c r="G9" s="52"/>
      <c r="H9" s="52" t="s">
        <v>26</v>
      </c>
      <c r="I9" s="52"/>
      <c r="J9" s="29" t="s">
        <v>26</v>
      </c>
    </row>
    <row r="10" spans="1:11" ht="18" x14ac:dyDescent="0.25">
      <c r="A10" s="52"/>
      <c r="B10" s="52"/>
      <c r="C10" s="52"/>
      <c r="D10" s="52"/>
      <c r="E10" s="60"/>
      <c r="F10" s="52"/>
      <c r="G10" s="52"/>
      <c r="H10" s="52" t="s">
        <v>26</v>
      </c>
      <c r="I10" s="52"/>
      <c r="J10" s="29" t="s">
        <v>26</v>
      </c>
    </row>
    <row r="11" spans="1:11" ht="18" x14ac:dyDescent="0.25">
      <c r="A11" s="52" t="s">
        <v>3</v>
      </c>
      <c r="B11" s="52"/>
      <c r="C11" s="52"/>
      <c r="D11" s="52"/>
      <c r="E11" s="60">
        <v>0</v>
      </c>
      <c r="F11" s="52"/>
      <c r="G11" s="52" t="s">
        <v>31</v>
      </c>
      <c r="H11" s="52"/>
      <c r="I11" s="52"/>
      <c r="J11" s="61">
        <f>E37</f>
        <v>-111003.94697999995</v>
      </c>
    </row>
    <row r="12" spans="1:11" ht="18" x14ac:dyDescent="0.25">
      <c r="A12" s="52"/>
      <c r="B12" s="52"/>
      <c r="C12" s="52"/>
      <c r="D12" s="52"/>
      <c r="E12" s="60"/>
      <c r="F12" s="52"/>
      <c r="G12" s="52"/>
      <c r="H12" s="52"/>
      <c r="I12" s="52"/>
      <c r="J12" s="59"/>
    </row>
    <row r="13" spans="1:11" ht="18" x14ac:dyDescent="0.25">
      <c r="A13" s="52" t="s">
        <v>4</v>
      </c>
      <c r="B13" s="52"/>
      <c r="C13" s="52"/>
      <c r="D13" s="52"/>
      <c r="E13" s="60">
        <f>SUM(E8:E11)</f>
        <v>49125167</v>
      </c>
      <c r="F13" s="52"/>
      <c r="G13" s="52" t="s">
        <v>32</v>
      </c>
      <c r="H13" s="52"/>
      <c r="I13" s="52"/>
      <c r="J13" s="59">
        <v>0</v>
      </c>
    </row>
    <row r="14" spans="1:11" ht="18" x14ac:dyDescent="0.25">
      <c r="A14" s="52"/>
      <c r="B14" s="52"/>
      <c r="C14" s="52"/>
      <c r="D14" s="52"/>
      <c r="E14" s="60"/>
      <c r="F14" s="52"/>
      <c r="G14" s="52"/>
      <c r="H14" s="52"/>
      <c r="I14" s="52"/>
      <c r="J14" s="59"/>
    </row>
    <row r="15" spans="1:11" ht="18" x14ac:dyDescent="0.25">
      <c r="A15" s="52" t="s">
        <v>5</v>
      </c>
      <c r="B15" s="52"/>
      <c r="C15" s="52"/>
      <c r="D15" s="52"/>
      <c r="E15" s="62">
        <f>E6-E13</f>
        <v>4349923</v>
      </c>
      <c r="F15" s="52"/>
      <c r="G15" s="52" t="s">
        <v>33</v>
      </c>
      <c r="H15" s="52"/>
      <c r="I15" s="52"/>
      <c r="J15" s="61">
        <f>ROUND((+J8+J11),4)</f>
        <v>309309.05300000001</v>
      </c>
    </row>
    <row r="16" spans="1:11" ht="18" x14ac:dyDescent="0.25">
      <c r="A16" s="52" t="s">
        <v>6</v>
      </c>
      <c r="B16" s="52"/>
      <c r="C16" s="52"/>
      <c r="D16" s="52"/>
      <c r="E16" s="60"/>
      <c r="F16" s="52"/>
      <c r="G16" s="52" t="s">
        <v>34</v>
      </c>
      <c r="H16" s="52"/>
      <c r="I16" s="52"/>
      <c r="J16" s="59"/>
    </row>
    <row r="17" spans="1:13" ht="18" x14ac:dyDescent="0.25">
      <c r="A17" s="52"/>
      <c r="B17" s="52"/>
      <c r="C17" s="52"/>
      <c r="D17" s="52"/>
      <c r="E17" s="60"/>
      <c r="F17" s="52"/>
      <c r="G17" s="52"/>
      <c r="H17" s="52"/>
      <c r="I17" s="52"/>
      <c r="J17" s="52"/>
    </row>
    <row r="18" spans="1:13" ht="18" x14ac:dyDescent="0.25">
      <c r="A18" s="63" t="s">
        <v>1</v>
      </c>
      <c r="B18" s="63" t="s">
        <v>1</v>
      </c>
      <c r="C18" s="63" t="s">
        <v>1</v>
      </c>
      <c r="D18" s="63" t="s">
        <v>1</v>
      </c>
      <c r="E18" s="64" t="s">
        <v>1</v>
      </c>
      <c r="F18" s="52"/>
      <c r="G18" s="52" t="s">
        <v>35</v>
      </c>
      <c r="H18" s="52"/>
      <c r="I18" s="52"/>
      <c r="J18" s="60">
        <f>E6</f>
        <v>53475090</v>
      </c>
    </row>
    <row r="19" spans="1:13" ht="18" x14ac:dyDescent="0.25">
      <c r="A19" s="63" t="s">
        <v>1</v>
      </c>
      <c r="B19" s="63" t="s">
        <v>1</v>
      </c>
      <c r="C19" s="63" t="s">
        <v>1</v>
      </c>
      <c r="D19" s="63" t="s">
        <v>1</v>
      </c>
      <c r="E19" s="64"/>
      <c r="F19" s="52"/>
      <c r="G19" s="52"/>
      <c r="H19" s="52"/>
      <c r="I19" s="52"/>
      <c r="J19" s="52"/>
    </row>
    <row r="20" spans="1:13" ht="18" x14ac:dyDescent="0.25">
      <c r="A20" s="52" t="s">
        <v>7</v>
      </c>
      <c r="B20" s="52"/>
      <c r="C20" s="52"/>
      <c r="D20" s="52" t="s">
        <v>25</v>
      </c>
      <c r="E20" s="24" t="s">
        <v>76</v>
      </c>
      <c r="F20" s="52"/>
      <c r="G20" s="52" t="s">
        <v>36</v>
      </c>
      <c r="H20" s="52"/>
      <c r="I20" s="52"/>
      <c r="J20" s="34">
        <f>ROUND((J8/J18),5)</f>
        <v>7.8600000000000007E-3</v>
      </c>
    </row>
    <row r="21" spans="1:13" ht="18" x14ac:dyDescent="0.25">
      <c r="A21" s="52"/>
      <c r="B21" s="52"/>
      <c r="C21" s="52"/>
      <c r="D21" s="52"/>
      <c r="E21" s="60"/>
      <c r="F21" s="52"/>
      <c r="G21" s="52" t="s">
        <v>37</v>
      </c>
      <c r="H21" s="52"/>
      <c r="I21" s="52"/>
      <c r="J21" s="52"/>
    </row>
    <row r="22" spans="1:13" ht="18" x14ac:dyDescent="0.25">
      <c r="A22" s="52" t="s">
        <v>8</v>
      </c>
      <c r="B22" s="52"/>
      <c r="C22" s="52"/>
      <c r="D22" s="52"/>
      <c r="E22" s="53">
        <v>1.183E-2</v>
      </c>
      <c r="F22" s="52"/>
      <c r="G22" s="52"/>
      <c r="H22" s="52"/>
      <c r="I22" s="52"/>
      <c r="J22" s="52"/>
    </row>
    <row r="23" spans="1:13" ht="18" x14ac:dyDescent="0.25">
      <c r="A23" s="52"/>
      <c r="B23" s="52"/>
      <c r="C23" s="52"/>
      <c r="D23" s="52"/>
      <c r="E23" s="60"/>
      <c r="F23" s="52"/>
      <c r="G23" s="52" t="s">
        <v>38</v>
      </c>
      <c r="H23" s="52"/>
      <c r="I23" s="52"/>
      <c r="J23" s="52"/>
    </row>
    <row r="24" spans="1:13" ht="18" x14ac:dyDescent="0.25">
      <c r="A24" s="52" t="s">
        <v>9</v>
      </c>
      <c r="B24" s="52"/>
      <c r="C24" s="52"/>
      <c r="D24" s="52"/>
      <c r="E24" s="35">
        <v>49121961</v>
      </c>
      <c r="F24" s="52"/>
      <c r="G24" s="63" t="s">
        <v>1</v>
      </c>
      <c r="H24" s="52"/>
      <c r="I24" s="52"/>
      <c r="J24" s="52"/>
    </row>
    <row r="25" spans="1:13" ht="18" x14ac:dyDescent="0.25">
      <c r="A25" s="52"/>
      <c r="B25" s="52"/>
      <c r="C25" s="52"/>
      <c r="D25" s="52"/>
      <c r="E25" s="35"/>
      <c r="F25" s="52"/>
      <c r="G25" s="52" t="s">
        <v>39</v>
      </c>
      <c r="H25" s="52"/>
      <c r="I25" s="52"/>
      <c r="J25" s="58">
        <f>'12 Mth Avg-Jan 22'!E31</f>
        <v>2.8272374996525865E-2</v>
      </c>
    </row>
    <row r="26" spans="1:13" ht="18" x14ac:dyDescent="0.25">
      <c r="A26" s="52" t="s">
        <v>10</v>
      </c>
      <c r="B26" s="52"/>
      <c r="C26" s="52"/>
      <c r="D26" s="52"/>
      <c r="E26" s="35">
        <f>3206</f>
        <v>3206</v>
      </c>
      <c r="F26" s="52"/>
      <c r="G26" s="52"/>
      <c r="H26" s="52"/>
      <c r="I26" s="52"/>
      <c r="J26" s="52"/>
      <c r="M26" s="70"/>
    </row>
    <row r="27" spans="1:13" ht="18" x14ac:dyDescent="0.25">
      <c r="A27" s="52"/>
      <c r="B27" s="52"/>
      <c r="C27" s="52"/>
      <c r="D27" s="52"/>
      <c r="E27" s="62"/>
      <c r="F27" s="52"/>
      <c r="G27" s="52" t="s">
        <v>40</v>
      </c>
      <c r="H27" s="52"/>
      <c r="I27" s="52"/>
      <c r="J27" s="36" t="str">
        <f>E4</f>
        <v>January</v>
      </c>
    </row>
    <row r="28" spans="1:13" ht="18" x14ac:dyDescent="0.25">
      <c r="A28" s="52" t="s">
        <v>11</v>
      </c>
      <c r="B28" s="52"/>
      <c r="C28" s="52"/>
      <c r="D28" s="52"/>
      <c r="E28" s="62">
        <f>SUM(E24:E27)</f>
        <v>49125167</v>
      </c>
      <c r="F28" s="52"/>
      <c r="G28" s="52"/>
      <c r="H28" s="52"/>
      <c r="I28" s="52"/>
      <c r="J28" s="52"/>
    </row>
    <row r="29" spans="1:13" ht="18" x14ac:dyDescent="0.25">
      <c r="A29" s="52" t="s">
        <v>12</v>
      </c>
      <c r="B29" s="52"/>
      <c r="C29" s="52"/>
      <c r="D29" s="52"/>
      <c r="E29" s="60"/>
      <c r="F29" s="52"/>
      <c r="G29" s="52" t="s">
        <v>41</v>
      </c>
      <c r="H29" s="52"/>
      <c r="I29" s="52"/>
      <c r="J29" s="65">
        <f>ROUND((+E15/E6),6)</f>
        <v>8.1345000000000001E-2</v>
      </c>
    </row>
    <row r="30" spans="1:13" ht="18" x14ac:dyDescent="0.25">
      <c r="A30" s="52"/>
      <c r="B30" s="52" t="s">
        <v>26</v>
      </c>
      <c r="C30" s="52"/>
      <c r="D30" s="52"/>
      <c r="E30" s="60"/>
      <c r="F30" s="52"/>
      <c r="G30" s="52" t="s">
        <v>42</v>
      </c>
      <c r="H30" s="52"/>
      <c r="I30" s="52"/>
      <c r="J30" s="52"/>
    </row>
    <row r="31" spans="1:13" ht="18" x14ac:dyDescent="0.25">
      <c r="A31" s="52" t="s">
        <v>13</v>
      </c>
      <c r="B31" s="52"/>
      <c r="C31" s="52"/>
      <c r="D31" s="52"/>
      <c r="E31" s="54">
        <v>464635.32</v>
      </c>
      <c r="F31" s="52"/>
      <c r="G31" s="52"/>
      <c r="H31" s="52"/>
      <c r="I31" s="52"/>
      <c r="J31" s="52"/>
    </row>
    <row r="32" spans="1:13" ht="18" x14ac:dyDescent="0.25">
      <c r="A32" s="52" t="s">
        <v>14</v>
      </c>
      <c r="B32" s="52"/>
      <c r="C32" s="52"/>
      <c r="D32" s="52"/>
      <c r="E32" s="61"/>
      <c r="F32" s="52"/>
      <c r="G32" s="52" t="s">
        <v>43</v>
      </c>
      <c r="H32" s="52"/>
      <c r="I32" s="52"/>
      <c r="J32" s="52"/>
    </row>
    <row r="33" spans="1:10" ht="18" x14ac:dyDescent="0.25">
      <c r="A33" s="52"/>
      <c r="B33" s="52"/>
      <c r="C33" s="52"/>
      <c r="D33" s="52"/>
      <c r="E33" s="61"/>
      <c r="F33" s="52"/>
      <c r="G33" s="63" t="s">
        <v>1</v>
      </c>
      <c r="H33" s="63" t="s">
        <v>1</v>
      </c>
      <c r="I33" s="63" t="s">
        <v>1</v>
      </c>
      <c r="J33" s="52"/>
    </row>
    <row r="34" spans="1:10" ht="18" x14ac:dyDescent="0.25">
      <c r="A34" s="52" t="s">
        <v>15</v>
      </c>
      <c r="B34" s="52"/>
      <c r="C34" s="52"/>
      <c r="D34" s="52"/>
      <c r="E34" s="61">
        <f>(+E26*E22)+B41</f>
        <v>575639.26697999996</v>
      </c>
      <c r="F34" s="52"/>
      <c r="G34" s="52" t="s">
        <v>44</v>
      </c>
      <c r="H34" s="52"/>
      <c r="I34" s="52"/>
      <c r="J34" s="65">
        <f>ROUND((1-J25),7)</f>
        <v>0.97172760000000002</v>
      </c>
    </row>
    <row r="35" spans="1:10" ht="18" x14ac:dyDescent="0.25">
      <c r="A35" s="52" t="s">
        <v>16</v>
      </c>
      <c r="B35" s="52"/>
      <c r="C35" s="52"/>
      <c r="D35" s="52"/>
      <c r="E35" s="61"/>
      <c r="F35" s="52"/>
      <c r="G35" s="52" t="s">
        <v>45</v>
      </c>
      <c r="H35" s="52"/>
      <c r="I35" s="52"/>
      <c r="J35" s="52"/>
    </row>
    <row r="36" spans="1:10" ht="18" x14ac:dyDescent="0.25">
      <c r="A36" s="52"/>
      <c r="B36" s="52"/>
      <c r="C36" s="52"/>
      <c r="D36" s="52"/>
      <c r="E36" s="61"/>
      <c r="F36" s="52"/>
      <c r="G36" s="52"/>
      <c r="H36" s="52"/>
      <c r="I36" s="52"/>
      <c r="J36" s="52"/>
    </row>
    <row r="37" spans="1:10" ht="18" x14ac:dyDescent="0.25">
      <c r="A37" s="52" t="s">
        <v>17</v>
      </c>
      <c r="B37" s="52"/>
      <c r="C37" s="52"/>
      <c r="D37" s="52"/>
      <c r="E37" s="61">
        <f>(E31-E34)</f>
        <v>-111003.94697999995</v>
      </c>
      <c r="F37" s="52"/>
      <c r="G37" s="52" t="s">
        <v>46</v>
      </c>
      <c r="H37" s="52"/>
      <c r="I37" s="52"/>
      <c r="J37" s="66">
        <f>ROUND((J15/J18),5)</f>
        <v>5.7800000000000004E-3</v>
      </c>
    </row>
    <row r="38" spans="1:10" ht="18" x14ac:dyDescent="0.25">
      <c r="A38" s="52" t="s">
        <v>18</v>
      </c>
      <c r="B38" s="52"/>
      <c r="C38" s="52"/>
      <c r="D38" s="52"/>
      <c r="E38" s="61"/>
      <c r="F38" s="52"/>
      <c r="G38" s="52" t="s">
        <v>47</v>
      </c>
      <c r="H38" s="52"/>
      <c r="I38" s="52"/>
      <c r="J38" s="66"/>
    </row>
    <row r="39" spans="1:10" ht="18" x14ac:dyDescent="0.25">
      <c r="A39" s="52"/>
      <c r="B39" s="52"/>
      <c r="C39" s="52"/>
      <c r="D39" s="52"/>
      <c r="E39" s="59"/>
      <c r="F39" s="52"/>
      <c r="G39" s="52"/>
      <c r="H39" s="52"/>
      <c r="I39" s="52"/>
      <c r="J39" s="66"/>
    </row>
    <row r="40" spans="1:10" ht="18" x14ac:dyDescent="0.25">
      <c r="A40" s="52"/>
      <c r="B40" s="39" t="s">
        <v>24</v>
      </c>
      <c r="C40" s="39"/>
      <c r="D40" s="39"/>
      <c r="E40" s="59"/>
      <c r="F40" s="52"/>
      <c r="G40" s="52" t="s">
        <v>48</v>
      </c>
      <c r="H40" s="52"/>
      <c r="I40" s="52"/>
      <c r="J40" s="40">
        <f>ROUND((J37/J34),7)</f>
        <v>5.9481999999999998E-3</v>
      </c>
    </row>
    <row r="41" spans="1:10" ht="18" x14ac:dyDescent="0.25">
      <c r="A41" s="52"/>
      <c r="B41" s="57">
        <f>573825.74+1775.6</f>
        <v>575601.34</v>
      </c>
      <c r="D41" s="41"/>
      <c r="E41" s="59"/>
      <c r="F41" s="52"/>
      <c r="G41" s="52"/>
      <c r="H41" s="52"/>
      <c r="I41" s="52"/>
      <c r="J41" s="52"/>
    </row>
    <row r="42" spans="1:10" ht="18" x14ac:dyDescent="0.25">
      <c r="A42" s="52"/>
      <c r="B42" s="52"/>
      <c r="C42" s="52"/>
      <c r="D42" s="52"/>
      <c r="E42" s="52"/>
      <c r="F42" s="52"/>
      <c r="G42" s="52" t="s">
        <v>49</v>
      </c>
      <c r="H42" s="52"/>
      <c r="I42" s="52"/>
      <c r="J42" s="67">
        <f>ROUND((+J40*100),3)</f>
        <v>0.59499999999999997</v>
      </c>
    </row>
    <row r="43" spans="1:10" ht="18" x14ac:dyDescent="0.25">
      <c r="A43" s="63" t="s">
        <v>1</v>
      </c>
      <c r="B43" s="63" t="s">
        <v>1</v>
      </c>
      <c r="C43" s="63" t="s">
        <v>1</v>
      </c>
      <c r="D43" s="63" t="s">
        <v>1</v>
      </c>
      <c r="E43" s="63" t="s">
        <v>1</v>
      </c>
      <c r="F43" s="63" t="s">
        <v>1</v>
      </c>
      <c r="G43" s="63" t="s">
        <v>1</v>
      </c>
      <c r="H43" s="63" t="s">
        <v>1</v>
      </c>
      <c r="I43" s="63" t="s">
        <v>1</v>
      </c>
      <c r="J43" s="63" t="s">
        <v>1</v>
      </c>
    </row>
    <row r="44" spans="1:10" ht="18" x14ac:dyDescent="0.25">
      <c r="A44" s="52" t="s">
        <v>19</v>
      </c>
      <c r="B44" s="52"/>
      <c r="C44" s="52"/>
      <c r="D44" s="68">
        <f>J42</f>
        <v>0.59499999999999997</v>
      </c>
      <c r="E44" s="52" t="s">
        <v>26</v>
      </c>
      <c r="F44" s="69"/>
      <c r="G44" s="52"/>
      <c r="H44" s="52"/>
      <c r="I44" s="52"/>
      <c r="J44" s="52"/>
    </row>
    <row r="45" spans="1:10" ht="18" x14ac:dyDescent="0.25">
      <c r="A45" s="52" t="s">
        <v>20</v>
      </c>
      <c r="B45" s="71">
        <f>I46+26</f>
        <v>44636</v>
      </c>
      <c r="C45" s="52"/>
      <c r="D45" s="52" t="s">
        <v>26</v>
      </c>
      <c r="E45" s="52"/>
      <c r="F45" s="52"/>
      <c r="G45" s="52"/>
      <c r="H45" s="52"/>
      <c r="I45" s="52"/>
      <c r="J45" s="52"/>
    </row>
    <row r="46" spans="1:10" ht="18" x14ac:dyDescent="0.25">
      <c r="A46" s="52"/>
      <c r="B46" s="52"/>
      <c r="C46" s="52"/>
      <c r="D46" s="52"/>
      <c r="E46" s="36"/>
      <c r="F46" s="52"/>
      <c r="G46" s="52"/>
      <c r="H46" s="45" t="s">
        <v>50</v>
      </c>
      <c r="I46" s="71">
        <v>44610</v>
      </c>
      <c r="J46" s="46"/>
    </row>
    <row r="47" spans="1:10" ht="18" x14ac:dyDescent="0.25">
      <c r="A47" s="52" t="s">
        <v>100</v>
      </c>
      <c r="B47" s="52" t="s">
        <v>105</v>
      </c>
      <c r="C47" s="52"/>
      <c r="D47" s="52"/>
      <c r="E47" s="52"/>
      <c r="F47" s="52"/>
      <c r="G47" s="52"/>
      <c r="H47" s="52" t="s">
        <v>106</v>
      </c>
      <c r="I47" s="52"/>
      <c r="J47" s="52"/>
    </row>
    <row r="48" spans="1:10" ht="18" x14ac:dyDescent="0.25">
      <c r="A48" s="52" t="s">
        <v>21</v>
      </c>
      <c r="B48" s="52"/>
      <c r="C48" s="52"/>
      <c r="D48" s="52"/>
      <c r="E48" s="52"/>
      <c r="F48" s="52"/>
      <c r="G48" s="52"/>
      <c r="H48" s="52" t="s">
        <v>103</v>
      </c>
      <c r="I48" s="52"/>
      <c r="J48" s="52"/>
    </row>
    <row r="49" spans="1:10" ht="15.75" x14ac:dyDescent="0.25">
      <c r="A49" s="6" t="s">
        <v>22</v>
      </c>
      <c r="B49" s="2"/>
      <c r="C49" s="2"/>
      <c r="D49" s="2"/>
      <c r="E49" s="2"/>
      <c r="F49" s="7"/>
      <c r="G49" s="2"/>
      <c r="H49" s="7"/>
      <c r="I49" s="2" t="s">
        <v>26</v>
      </c>
      <c r="J49" s="4"/>
    </row>
    <row r="50" spans="1:10" ht="15.75" x14ac:dyDescent="0.25">
      <c r="A50" s="2"/>
      <c r="B50" s="2"/>
      <c r="C50" s="2"/>
      <c r="D50" s="2"/>
      <c r="E50" s="2"/>
      <c r="F50" s="2"/>
      <c r="G50" s="2"/>
      <c r="H50" s="7"/>
      <c r="I50" s="7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8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5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5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5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5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5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5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5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5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5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5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5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5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5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5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5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5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5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5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5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5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5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5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5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21BC8-73CF-49FB-A9EB-AC1277A40848}">
  <dimension ref="A1:G40"/>
  <sheetViews>
    <sheetView workbookViewId="0">
      <selection activeCell="N22" sqref="N22"/>
    </sheetView>
  </sheetViews>
  <sheetFormatPr defaultRowHeight="15" x14ac:dyDescent="0.2"/>
  <cols>
    <col min="1" max="1" width="21" customWidth="1"/>
    <col min="3" max="3" width="11.5546875" customWidth="1"/>
    <col min="4" max="4" width="3.6640625" customWidth="1"/>
    <col min="5" max="5" width="11.88671875" bestFit="1" customWidth="1"/>
    <col min="6" max="6" width="3.77734375" customWidth="1"/>
    <col min="7" max="7" width="12" customWidth="1"/>
  </cols>
  <sheetData>
    <row r="1" spans="1:7" ht="15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59</v>
      </c>
      <c r="B2" s="15"/>
      <c r="C2" s="15"/>
      <c r="D2" s="15"/>
      <c r="E2" s="15"/>
      <c r="F2" s="15"/>
      <c r="G2" s="15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 t="s">
        <v>60</v>
      </c>
      <c r="B5" s="11"/>
      <c r="C5" s="11"/>
      <c r="D5" s="11"/>
      <c r="E5" s="11"/>
      <c r="F5" s="11"/>
      <c r="G5" s="11"/>
    </row>
    <row r="6" spans="1:7" ht="15.75" x14ac:dyDescent="0.25">
      <c r="A6" s="11" t="s">
        <v>61</v>
      </c>
      <c r="B6" s="11"/>
      <c r="C6" s="11"/>
      <c r="D6" s="11"/>
      <c r="E6" s="11"/>
      <c r="F6" s="11"/>
      <c r="G6" s="11"/>
    </row>
    <row r="7" spans="1:7" ht="15.75" x14ac:dyDescent="0.25">
      <c r="A7" s="11" t="s">
        <v>62</v>
      </c>
      <c r="B7" s="11"/>
      <c r="C7" s="11"/>
      <c r="D7" s="11"/>
      <c r="E7" s="11"/>
      <c r="F7" s="11"/>
      <c r="G7" s="11"/>
    </row>
    <row r="8" spans="1:7" ht="15.75" x14ac:dyDescent="0.25">
      <c r="A8" s="9"/>
      <c r="B8" s="9"/>
      <c r="C8" s="9"/>
      <c r="D8" s="9"/>
      <c r="E8" s="9"/>
      <c r="F8" s="9"/>
      <c r="G8" s="9"/>
    </row>
    <row r="9" spans="1:7" ht="15.75" x14ac:dyDescent="0.25">
      <c r="A9" s="19">
        <v>44592</v>
      </c>
      <c r="B9" s="11"/>
      <c r="C9" s="11"/>
      <c r="D9" s="11"/>
      <c r="E9" s="11"/>
      <c r="F9" s="11"/>
      <c r="G9" s="11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15"/>
      <c r="B11" s="15"/>
      <c r="C11" s="15"/>
      <c r="D11" s="15"/>
      <c r="E11" s="15"/>
      <c r="F11" s="15"/>
      <c r="G11" s="15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2"/>
      <c r="B13" s="12"/>
      <c r="C13" s="16" t="s">
        <v>63</v>
      </c>
      <c r="D13" s="12"/>
      <c r="E13" s="16" t="s">
        <v>66</v>
      </c>
      <c r="F13" s="16"/>
      <c r="G13" s="16" t="s">
        <v>69</v>
      </c>
    </row>
    <row r="14" spans="1:7" ht="15.75" x14ac:dyDescent="0.25">
      <c r="A14" s="12"/>
      <c r="B14" s="12"/>
      <c r="C14" s="16" t="s">
        <v>64</v>
      </c>
      <c r="D14" s="12"/>
      <c r="E14" s="16" t="s">
        <v>64</v>
      </c>
      <c r="F14" s="16"/>
      <c r="G14" s="16" t="s">
        <v>64</v>
      </c>
    </row>
    <row r="15" spans="1:7" ht="15.75" x14ac:dyDescent="0.25">
      <c r="A15" s="12"/>
      <c r="B15" s="12"/>
      <c r="C15" s="16" t="s">
        <v>65</v>
      </c>
      <c r="D15" s="12"/>
      <c r="E15" s="16" t="s">
        <v>67</v>
      </c>
      <c r="F15" s="16"/>
      <c r="G15" s="16" t="s">
        <v>68</v>
      </c>
    </row>
    <row r="16" spans="1:7" ht="15.75" x14ac:dyDescent="0.25">
      <c r="A16" s="12"/>
      <c r="B16" s="12"/>
      <c r="C16" s="16"/>
      <c r="D16" s="12"/>
      <c r="E16" s="16" t="s">
        <v>70</v>
      </c>
      <c r="F16" s="16"/>
      <c r="G16" s="16"/>
    </row>
    <row r="17" spans="1:7" ht="15.75" x14ac:dyDescent="0.25">
      <c r="A17" s="9"/>
      <c r="B17" s="9"/>
      <c r="C17" s="9"/>
      <c r="D17" s="9"/>
      <c r="E17" s="9"/>
      <c r="F17" s="9"/>
      <c r="G17" s="9"/>
    </row>
    <row r="18" spans="1:7" ht="15.75" x14ac:dyDescent="0.25">
      <c r="A18" s="9" t="s">
        <v>52</v>
      </c>
      <c r="B18" s="9"/>
      <c r="C18" s="9"/>
      <c r="D18" s="9"/>
      <c r="E18" s="9"/>
      <c r="F18" s="9"/>
      <c r="G18" s="9"/>
    </row>
    <row r="19" spans="1:7" ht="15.75" x14ac:dyDescent="0.25">
      <c r="A19" s="9" t="s">
        <v>53</v>
      </c>
      <c r="B19" s="9"/>
      <c r="C19" s="13">
        <v>482573686</v>
      </c>
      <c r="D19" s="14"/>
      <c r="E19" s="13">
        <v>470558270</v>
      </c>
      <c r="F19" s="14"/>
      <c r="G19" s="13">
        <f>C19-E19</f>
        <v>12015416</v>
      </c>
    </row>
    <row r="20" spans="1:7" ht="15.75" x14ac:dyDescent="0.25">
      <c r="A20" s="9"/>
      <c r="B20" s="9"/>
      <c r="C20" s="13"/>
      <c r="D20" s="14"/>
      <c r="E20" s="13"/>
      <c r="F20" s="14"/>
      <c r="G20" s="13"/>
    </row>
    <row r="21" spans="1:7" ht="15.75" x14ac:dyDescent="0.25">
      <c r="A21" s="9" t="s">
        <v>54</v>
      </c>
      <c r="B21" s="9"/>
      <c r="C21" s="13"/>
      <c r="D21" s="14"/>
      <c r="E21" s="13"/>
      <c r="F21" s="14"/>
      <c r="G21" s="13"/>
    </row>
    <row r="22" spans="1:7" ht="15.75" x14ac:dyDescent="0.25">
      <c r="A22" s="9" t="s">
        <v>55</v>
      </c>
      <c r="B22" s="9"/>
      <c r="C22" s="13">
        <v>49525058</v>
      </c>
      <c r="D22" s="14"/>
      <c r="E22" s="13">
        <v>46914900</v>
      </c>
      <c r="F22" s="14"/>
      <c r="G22" s="13">
        <f>C22-E22</f>
        <v>2610158</v>
      </c>
    </row>
    <row r="23" spans="1:7" ht="15.75" x14ac:dyDescent="0.25">
      <c r="A23" s="9"/>
      <c r="B23" s="9"/>
      <c r="C23" s="13"/>
      <c r="D23" s="14"/>
      <c r="E23" s="13"/>
      <c r="F23" s="14"/>
      <c r="G23" s="13"/>
    </row>
    <row r="24" spans="1:7" ht="15.75" x14ac:dyDescent="0.25">
      <c r="A24" s="9" t="s">
        <v>56</v>
      </c>
      <c r="B24" s="9"/>
      <c r="C24" s="13"/>
      <c r="D24" s="14"/>
      <c r="E24" s="13"/>
      <c r="F24" s="14"/>
      <c r="G24" s="13"/>
    </row>
    <row r="25" spans="1:7" ht="15.75" x14ac:dyDescent="0.25">
      <c r="A25" s="9" t="s">
        <v>55</v>
      </c>
      <c r="B25" s="9"/>
      <c r="C25" s="13">
        <v>53475090</v>
      </c>
      <c r="D25" s="14"/>
      <c r="E25" s="13">
        <v>49125167</v>
      </c>
      <c r="F25" s="14"/>
      <c r="G25" s="13">
        <f>C25-E25</f>
        <v>4349923</v>
      </c>
    </row>
    <row r="26" spans="1:7" ht="15.75" x14ac:dyDescent="0.25">
      <c r="A26" s="9"/>
      <c r="B26" s="9"/>
      <c r="C26" s="10"/>
      <c r="D26" s="9"/>
      <c r="E26" s="10"/>
      <c r="F26" s="9"/>
      <c r="G26" s="10"/>
    </row>
    <row r="27" spans="1:7" ht="15.75" x14ac:dyDescent="0.25">
      <c r="A27" s="9" t="s">
        <v>57</v>
      </c>
      <c r="B27" s="9"/>
      <c r="C27" s="10"/>
      <c r="D27" s="9"/>
      <c r="E27" s="10"/>
      <c r="F27" s="9"/>
      <c r="G27" s="10"/>
    </row>
    <row r="28" spans="1:7" ht="15.75" x14ac:dyDescent="0.25">
      <c r="A28" s="9" t="s">
        <v>53</v>
      </c>
      <c r="B28" s="9"/>
      <c r="C28" s="10">
        <f>C19-C22+C25</f>
        <v>486523718</v>
      </c>
      <c r="D28" s="9"/>
      <c r="E28" s="10">
        <f>E19-E22+E25</f>
        <v>472768537</v>
      </c>
      <c r="F28" s="9"/>
      <c r="G28" s="10">
        <f>C28-E28</f>
        <v>13755181</v>
      </c>
    </row>
    <row r="29" spans="1:7" ht="15.75" x14ac:dyDescent="0.25">
      <c r="A29" s="9"/>
      <c r="B29" s="9"/>
      <c r="C29" s="10"/>
      <c r="D29" s="9"/>
      <c r="E29" s="10"/>
      <c r="F29" s="9"/>
      <c r="G29" s="10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 t="s">
        <v>58</v>
      </c>
      <c r="B31" s="9"/>
      <c r="C31" s="9"/>
      <c r="D31" s="9"/>
      <c r="E31" s="56">
        <f>G28/C28</f>
        <v>2.8272374996525865E-2</v>
      </c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9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</sheetData>
  <pageMargins left="0.75" right="0.75" top="1.2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11C4B-B7D7-40E9-A2DB-C828DC04A62A}">
  <sheetPr>
    <pageSetUpPr fitToPage="1"/>
  </sheetPr>
  <dimension ref="A1:W99"/>
  <sheetViews>
    <sheetView zoomScale="60" zoomScaleNormal="60" workbookViewId="0">
      <selection activeCell="J40" sqref="J40"/>
    </sheetView>
  </sheetViews>
  <sheetFormatPr defaultColWidth="9.6640625" defaultRowHeight="15" x14ac:dyDescent="0.2"/>
  <cols>
    <col min="1" max="1" width="11.33203125" style="1" customWidth="1"/>
    <col min="2" max="2" width="28.77734375" style="1" customWidth="1"/>
    <col min="3" max="3" width="19.33203125" style="1" customWidth="1"/>
    <col min="4" max="4" width="10" style="1" customWidth="1"/>
    <col min="5" max="5" width="17.6640625" style="1" customWidth="1"/>
    <col min="6" max="6" width="9.6640625" style="1" customWidth="1"/>
    <col min="7" max="7" width="8.5546875" style="1" customWidth="1"/>
    <col min="8" max="8" width="13.77734375" style="1" customWidth="1"/>
    <col min="9" max="9" width="21.88671875" style="1" customWidth="1"/>
    <col min="10" max="10" width="20.6640625" style="1" customWidth="1"/>
    <col min="11" max="20" width="9.6640625" style="1"/>
    <col min="21" max="21" width="17" style="72" bestFit="1" customWidth="1"/>
    <col min="22" max="22" width="9.6640625" style="1"/>
    <col min="23" max="23" width="14" style="72" bestFit="1" customWidth="1"/>
    <col min="24" max="16384" width="9.6640625" style="1"/>
  </cols>
  <sheetData>
    <row r="1" spans="1:11" x14ac:dyDescent="0.2">
      <c r="A1" s="2" t="s">
        <v>0</v>
      </c>
      <c r="B1" s="2" t="s">
        <v>23</v>
      </c>
      <c r="C1" s="2"/>
      <c r="D1" s="2"/>
      <c r="E1" s="2"/>
      <c r="F1" s="2"/>
      <c r="G1" s="2" t="s">
        <v>27</v>
      </c>
      <c r="H1" s="2"/>
      <c r="I1" s="2"/>
      <c r="J1" s="2"/>
    </row>
    <row r="2" spans="1:11" x14ac:dyDescent="0.2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</row>
    <row r="3" spans="1:11" x14ac:dyDescent="0.2">
      <c r="A3" s="3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</row>
    <row r="4" spans="1:11" ht="18" x14ac:dyDescent="0.25">
      <c r="A4" s="52" t="s">
        <v>2</v>
      </c>
      <c r="B4" s="52"/>
      <c r="C4" s="52"/>
      <c r="D4" s="52"/>
      <c r="E4" s="24" t="s">
        <v>86</v>
      </c>
      <c r="F4" s="52"/>
      <c r="G4" s="52" t="s">
        <v>28</v>
      </c>
      <c r="H4" s="52"/>
      <c r="I4" s="52" t="s">
        <v>51</v>
      </c>
      <c r="J4" s="25" t="str">
        <f>E4</f>
        <v>February</v>
      </c>
    </row>
    <row r="5" spans="1:11" ht="1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1" ht="18" x14ac:dyDescent="0.25">
      <c r="A6" s="52" t="s">
        <v>71</v>
      </c>
      <c r="B6" s="52"/>
      <c r="C6" s="52"/>
      <c r="D6" s="52"/>
      <c r="E6" s="26">
        <v>43951479</v>
      </c>
      <c r="F6" s="52"/>
      <c r="G6" s="52" t="s">
        <v>29</v>
      </c>
      <c r="H6" s="52"/>
      <c r="I6" s="52"/>
      <c r="J6" s="59"/>
      <c r="K6" s="55"/>
    </row>
    <row r="7" spans="1:11" ht="18" x14ac:dyDescent="0.25">
      <c r="A7" s="52"/>
      <c r="B7" s="52"/>
      <c r="C7" s="52"/>
      <c r="D7" s="52"/>
      <c r="E7" s="60"/>
      <c r="F7" s="52"/>
      <c r="G7" s="52"/>
      <c r="H7" s="52"/>
      <c r="I7" s="52"/>
      <c r="J7" s="52"/>
    </row>
    <row r="8" spans="1:11" ht="18" x14ac:dyDescent="0.25">
      <c r="A8" s="52" t="s">
        <v>72</v>
      </c>
      <c r="B8" s="52"/>
      <c r="C8" s="52"/>
      <c r="D8" s="52"/>
      <c r="E8" s="26">
        <f>44152612+151445</f>
        <v>44304057</v>
      </c>
      <c r="F8" s="52"/>
      <c r="G8" s="52" t="s">
        <v>30</v>
      </c>
      <c r="H8" s="52"/>
      <c r="I8" s="52"/>
      <c r="J8" s="54">
        <v>436733</v>
      </c>
    </row>
    <row r="9" spans="1:11" ht="18" x14ac:dyDescent="0.25">
      <c r="A9" s="52"/>
      <c r="B9" s="52"/>
      <c r="C9" s="52"/>
      <c r="D9" s="52"/>
      <c r="E9" s="60"/>
      <c r="F9" s="52"/>
      <c r="G9" s="52"/>
      <c r="H9" s="52" t="s">
        <v>26</v>
      </c>
      <c r="I9" s="52"/>
      <c r="J9" s="29" t="s">
        <v>26</v>
      </c>
    </row>
    <row r="10" spans="1:11" ht="18" x14ac:dyDescent="0.25">
      <c r="A10" s="52"/>
      <c r="B10" s="52"/>
      <c r="C10" s="52"/>
      <c r="D10" s="52"/>
      <c r="E10" s="60"/>
      <c r="F10" s="52"/>
      <c r="G10" s="52"/>
      <c r="H10" s="52" t="s">
        <v>26</v>
      </c>
      <c r="I10" s="52"/>
      <c r="J10" s="29" t="s">
        <v>26</v>
      </c>
    </row>
    <row r="11" spans="1:11" ht="18" x14ac:dyDescent="0.25">
      <c r="A11" s="52" t="s">
        <v>3</v>
      </c>
      <c r="B11" s="52"/>
      <c r="C11" s="52"/>
      <c r="D11" s="52"/>
      <c r="E11" s="60">
        <v>0</v>
      </c>
      <c r="F11" s="52"/>
      <c r="G11" s="52" t="s">
        <v>31</v>
      </c>
      <c r="H11" s="52"/>
      <c r="I11" s="52"/>
      <c r="J11" s="61">
        <f>E37</f>
        <v>-72452.971939999959</v>
      </c>
    </row>
    <row r="12" spans="1:11" ht="18" x14ac:dyDescent="0.25">
      <c r="A12" s="52"/>
      <c r="B12" s="52"/>
      <c r="C12" s="52"/>
      <c r="D12" s="52"/>
      <c r="E12" s="60"/>
      <c r="F12" s="52"/>
      <c r="G12" s="52"/>
      <c r="H12" s="52"/>
      <c r="I12" s="52"/>
      <c r="J12" s="59"/>
    </row>
    <row r="13" spans="1:11" ht="18" x14ac:dyDescent="0.25">
      <c r="A13" s="52" t="s">
        <v>4</v>
      </c>
      <c r="B13" s="52"/>
      <c r="C13" s="52"/>
      <c r="D13" s="52"/>
      <c r="E13" s="60">
        <f>SUM(E8:E11)</f>
        <v>44304057</v>
      </c>
      <c r="F13" s="52"/>
      <c r="G13" s="52" t="s">
        <v>32</v>
      </c>
      <c r="H13" s="52"/>
      <c r="I13" s="52"/>
      <c r="J13" s="59">
        <v>0</v>
      </c>
    </row>
    <row r="14" spans="1:11" ht="18" x14ac:dyDescent="0.25">
      <c r="A14" s="52"/>
      <c r="B14" s="52"/>
      <c r="C14" s="52"/>
      <c r="D14" s="52"/>
      <c r="E14" s="60"/>
      <c r="F14" s="52"/>
      <c r="G14" s="52"/>
      <c r="H14" s="52"/>
      <c r="I14" s="52"/>
      <c r="J14" s="59"/>
    </row>
    <row r="15" spans="1:11" ht="18" x14ac:dyDescent="0.25">
      <c r="A15" s="52" t="s">
        <v>5</v>
      </c>
      <c r="B15" s="52"/>
      <c r="C15" s="52"/>
      <c r="D15" s="52"/>
      <c r="E15" s="62">
        <f>E6-E13</f>
        <v>-352578</v>
      </c>
      <c r="F15" s="52"/>
      <c r="G15" s="52" t="s">
        <v>33</v>
      </c>
      <c r="H15" s="52"/>
      <c r="I15" s="52"/>
      <c r="J15" s="61">
        <f>ROUND((+J8+J11),4)</f>
        <v>364280.0281</v>
      </c>
    </row>
    <row r="16" spans="1:11" ht="18" x14ac:dyDescent="0.25">
      <c r="A16" s="52" t="s">
        <v>6</v>
      </c>
      <c r="B16" s="52"/>
      <c r="C16" s="52"/>
      <c r="D16" s="52"/>
      <c r="E16" s="60"/>
      <c r="F16" s="52"/>
      <c r="G16" s="52" t="s">
        <v>34</v>
      </c>
      <c r="H16" s="52"/>
      <c r="I16" s="52"/>
      <c r="J16" s="59"/>
    </row>
    <row r="17" spans="1:13" ht="18" x14ac:dyDescent="0.25">
      <c r="A17" s="52"/>
      <c r="B17" s="52"/>
      <c r="C17" s="52"/>
      <c r="D17" s="52"/>
      <c r="E17" s="60"/>
      <c r="F17" s="52"/>
      <c r="G17" s="52"/>
      <c r="H17" s="52"/>
      <c r="I17" s="52"/>
      <c r="J17" s="52"/>
    </row>
    <row r="18" spans="1:13" ht="18" x14ac:dyDescent="0.25">
      <c r="A18" s="63" t="s">
        <v>1</v>
      </c>
      <c r="B18" s="63" t="s">
        <v>1</v>
      </c>
      <c r="C18" s="63" t="s">
        <v>1</v>
      </c>
      <c r="D18" s="63" t="s">
        <v>1</v>
      </c>
      <c r="E18" s="64" t="s">
        <v>1</v>
      </c>
      <c r="F18" s="52"/>
      <c r="G18" s="52" t="s">
        <v>35</v>
      </c>
      <c r="H18" s="52"/>
      <c r="I18" s="52"/>
      <c r="J18" s="60">
        <f>E6</f>
        <v>43951479</v>
      </c>
    </row>
    <row r="19" spans="1:13" ht="18" x14ac:dyDescent="0.25">
      <c r="A19" s="63" t="s">
        <v>1</v>
      </c>
      <c r="B19" s="63" t="s">
        <v>1</v>
      </c>
      <c r="C19" s="63" t="s">
        <v>1</v>
      </c>
      <c r="D19" s="63" t="s">
        <v>1</v>
      </c>
      <c r="E19" s="64"/>
      <c r="F19" s="52"/>
      <c r="G19" s="52"/>
      <c r="H19" s="52"/>
      <c r="I19" s="52"/>
      <c r="J19" s="52"/>
    </row>
    <row r="20" spans="1:13" ht="18" x14ac:dyDescent="0.25">
      <c r="A20" s="52" t="s">
        <v>7</v>
      </c>
      <c r="B20" s="52"/>
      <c r="C20" s="52"/>
      <c r="D20" s="52" t="s">
        <v>25</v>
      </c>
      <c r="E20" s="24" t="s">
        <v>80</v>
      </c>
      <c r="F20" s="52"/>
      <c r="G20" s="52" t="s">
        <v>36</v>
      </c>
      <c r="H20" s="52"/>
      <c r="I20" s="52"/>
      <c r="J20" s="34">
        <f>ROUND((J8/J18),5)</f>
        <v>9.9399999999999992E-3</v>
      </c>
    </row>
    <row r="21" spans="1:13" ht="18" x14ac:dyDescent="0.25">
      <c r="A21" s="52"/>
      <c r="B21" s="52"/>
      <c r="C21" s="52"/>
      <c r="D21" s="52"/>
      <c r="E21" s="60"/>
      <c r="F21" s="52"/>
      <c r="G21" s="52" t="s">
        <v>37</v>
      </c>
      <c r="H21" s="52"/>
      <c r="I21" s="52"/>
      <c r="J21" s="52"/>
    </row>
    <row r="22" spans="1:13" ht="18" x14ac:dyDescent="0.25">
      <c r="A22" s="52" t="s">
        <v>8</v>
      </c>
      <c r="B22" s="52"/>
      <c r="C22" s="52"/>
      <c r="D22" s="52"/>
      <c r="E22" s="53">
        <v>1.831E-2</v>
      </c>
      <c r="F22" s="52"/>
      <c r="G22" s="52"/>
      <c r="H22" s="52"/>
      <c r="I22" s="52"/>
      <c r="J22" s="52"/>
    </row>
    <row r="23" spans="1:13" ht="18" x14ac:dyDescent="0.25">
      <c r="A23" s="52"/>
      <c r="B23" s="52"/>
      <c r="C23" s="52"/>
      <c r="D23" s="52"/>
      <c r="E23" s="60"/>
      <c r="F23" s="52"/>
      <c r="G23" s="52" t="s">
        <v>38</v>
      </c>
      <c r="H23" s="52"/>
      <c r="I23" s="52"/>
      <c r="J23" s="52"/>
    </row>
    <row r="24" spans="1:13" ht="18" x14ac:dyDescent="0.25">
      <c r="A24" s="52" t="s">
        <v>9</v>
      </c>
      <c r="B24" s="52"/>
      <c r="C24" s="52"/>
      <c r="D24" s="52"/>
      <c r="E24" s="35">
        <v>44545283</v>
      </c>
      <c r="F24" s="52"/>
      <c r="G24" s="63" t="s">
        <v>1</v>
      </c>
      <c r="H24" s="52"/>
      <c r="I24" s="52"/>
      <c r="J24" s="52"/>
    </row>
    <row r="25" spans="1:13" ht="18" x14ac:dyDescent="0.25">
      <c r="A25" s="52"/>
      <c r="B25" s="52"/>
      <c r="C25" s="52"/>
      <c r="D25" s="52"/>
      <c r="E25" s="35"/>
      <c r="F25" s="52"/>
      <c r="G25" s="52" t="s">
        <v>39</v>
      </c>
      <c r="H25" s="52"/>
      <c r="I25" s="52"/>
      <c r="J25" s="58">
        <f>'12 Mth Avg-Feb 22'!E31</f>
        <v>2.719964591359918E-2</v>
      </c>
    </row>
    <row r="26" spans="1:13" ht="18" x14ac:dyDescent="0.25">
      <c r="A26" s="52" t="s">
        <v>10</v>
      </c>
      <c r="B26" s="52"/>
      <c r="C26" s="52"/>
      <c r="D26" s="52"/>
      <c r="E26" s="35">
        <f>-3152-238074</f>
        <v>-241226</v>
      </c>
      <c r="F26" s="52"/>
      <c r="G26" s="52"/>
      <c r="H26" s="52"/>
      <c r="I26" s="52"/>
      <c r="J26" s="52"/>
      <c r="M26" s="70"/>
    </row>
    <row r="27" spans="1:13" ht="18" x14ac:dyDescent="0.25">
      <c r="A27" s="52"/>
      <c r="B27" s="52"/>
      <c r="C27" s="52"/>
      <c r="D27" s="52"/>
      <c r="E27" s="62"/>
      <c r="F27" s="52"/>
      <c r="G27" s="52" t="s">
        <v>40</v>
      </c>
      <c r="H27" s="52"/>
      <c r="I27" s="52"/>
      <c r="J27" s="36" t="str">
        <f>E4</f>
        <v>February</v>
      </c>
    </row>
    <row r="28" spans="1:13" ht="18" x14ac:dyDescent="0.25">
      <c r="A28" s="52" t="s">
        <v>11</v>
      </c>
      <c r="B28" s="52"/>
      <c r="C28" s="52"/>
      <c r="D28" s="52"/>
      <c r="E28" s="62">
        <f>SUM(E24:E27)</f>
        <v>44304057</v>
      </c>
      <c r="F28" s="52"/>
      <c r="G28" s="52"/>
      <c r="H28" s="52"/>
      <c r="I28" s="52"/>
      <c r="J28" s="52"/>
    </row>
    <row r="29" spans="1:13" ht="18" x14ac:dyDescent="0.25">
      <c r="A29" s="52" t="s">
        <v>12</v>
      </c>
      <c r="B29" s="52"/>
      <c r="C29" s="52"/>
      <c r="D29" s="52"/>
      <c r="E29" s="60"/>
      <c r="F29" s="52"/>
      <c r="G29" s="52" t="s">
        <v>41</v>
      </c>
      <c r="H29" s="52"/>
      <c r="I29" s="52"/>
      <c r="J29" s="65">
        <f>ROUND((+E15/E6),6)</f>
        <v>-8.0219999999999996E-3</v>
      </c>
    </row>
    <row r="30" spans="1:13" ht="18" x14ac:dyDescent="0.25">
      <c r="A30" s="52"/>
      <c r="B30" s="52" t="s">
        <v>26</v>
      </c>
      <c r="C30" s="52"/>
      <c r="D30" s="52"/>
      <c r="E30" s="60"/>
      <c r="F30" s="52"/>
      <c r="G30" s="52" t="s">
        <v>42</v>
      </c>
      <c r="H30" s="52"/>
      <c r="I30" s="52"/>
      <c r="J30" s="52"/>
    </row>
    <row r="31" spans="1:13" ht="18" x14ac:dyDescent="0.25">
      <c r="A31" s="52" t="s">
        <v>13</v>
      </c>
      <c r="B31" s="52"/>
      <c r="C31" s="52"/>
      <c r="D31" s="52"/>
      <c r="E31" s="54">
        <v>726797.76</v>
      </c>
      <c r="F31" s="52"/>
      <c r="G31" s="52"/>
      <c r="H31" s="52"/>
      <c r="I31" s="52"/>
      <c r="J31" s="52"/>
    </row>
    <row r="32" spans="1:13" ht="18" x14ac:dyDescent="0.25">
      <c r="A32" s="52" t="s">
        <v>14</v>
      </c>
      <c r="B32" s="52"/>
      <c r="C32" s="52"/>
      <c r="D32" s="52"/>
      <c r="E32" s="61"/>
      <c r="F32" s="52"/>
      <c r="G32" s="52" t="s">
        <v>43</v>
      </c>
      <c r="H32" s="52"/>
      <c r="I32" s="52"/>
      <c r="J32" s="52"/>
    </row>
    <row r="33" spans="1:10" ht="18" x14ac:dyDescent="0.25">
      <c r="A33" s="52"/>
      <c r="B33" s="52"/>
      <c r="C33" s="52"/>
      <c r="D33" s="52"/>
      <c r="E33" s="61"/>
      <c r="F33" s="52"/>
      <c r="G33" s="63" t="s">
        <v>1</v>
      </c>
      <c r="H33" s="63" t="s">
        <v>1</v>
      </c>
      <c r="I33" s="63" t="s">
        <v>1</v>
      </c>
      <c r="J33" s="52"/>
    </row>
    <row r="34" spans="1:10" ht="18" x14ac:dyDescent="0.25">
      <c r="A34" s="52" t="s">
        <v>15</v>
      </c>
      <c r="B34" s="52"/>
      <c r="C34" s="52"/>
      <c r="D34" s="52"/>
      <c r="E34" s="61">
        <f>(+E26*E22)+B41</f>
        <v>799250.73193999997</v>
      </c>
      <c r="F34" s="52"/>
      <c r="G34" s="52" t="s">
        <v>44</v>
      </c>
      <c r="H34" s="52"/>
      <c r="I34" s="52"/>
      <c r="J34" s="65">
        <f>ROUND((1-J25),7)</f>
        <v>0.97280040000000001</v>
      </c>
    </row>
    <row r="35" spans="1:10" ht="18" x14ac:dyDescent="0.25">
      <c r="A35" s="52" t="s">
        <v>16</v>
      </c>
      <c r="B35" s="52"/>
      <c r="C35" s="52"/>
      <c r="D35" s="52"/>
      <c r="E35" s="61"/>
      <c r="F35" s="52"/>
      <c r="G35" s="52" t="s">
        <v>45</v>
      </c>
      <c r="H35" s="52"/>
      <c r="I35" s="52"/>
      <c r="J35" s="52"/>
    </row>
    <row r="36" spans="1:10" ht="18" x14ac:dyDescent="0.25">
      <c r="A36" s="52"/>
      <c r="B36" s="52"/>
      <c r="C36" s="52"/>
      <c r="D36" s="52"/>
      <c r="E36" s="61"/>
      <c r="F36" s="52"/>
      <c r="G36" s="52"/>
      <c r="H36" s="52"/>
      <c r="I36" s="52"/>
      <c r="J36" s="52"/>
    </row>
    <row r="37" spans="1:10" ht="18" x14ac:dyDescent="0.25">
      <c r="A37" s="52" t="s">
        <v>17</v>
      </c>
      <c r="B37" s="52"/>
      <c r="C37" s="52"/>
      <c r="D37" s="52"/>
      <c r="E37" s="61">
        <f>(E31-E34)</f>
        <v>-72452.971939999959</v>
      </c>
      <c r="F37" s="52"/>
      <c r="G37" s="52" t="s">
        <v>46</v>
      </c>
      <c r="H37" s="52"/>
      <c r="I37" s="52"/>
      <c r="J37" s="66">
        <f>ROUND((J15/J18),5)</f>
        <v>8.2900000000000005E-3</v>
      </c>
    </row>
    <row r="38" spans="1:10" ht="18" x14ac:dyDescent="0.25">
      <c r="A38" s="52" t="s">
        <v>18</v>
      </c>
      <c r="B38" s="52"/>
      <c r="C38" s="52"/>
      <c r="D38" s="52"/>
      <c r="E38" s="61"/>
      <c r="F38" s="52"/>
      <c r="G38" s="52" t="s">
        <v>47</v>
      </c>
      <c r="H38" s="52"/>
      <c r="I38" s="52"/>
      <c r="J38" s="66"/>
    </row>
    <row r="39" spans="1:10" ht="18" x14ac:dyDescent="0.25">
      <c r="A39" s="52"/>
      <c r="B39" s="52"/>
      <c r="C39" s="52"/>
      <c r="D39" s="52"/>
      <c r="E39" s="59"/>
      <c r="F39" s="52"/>
      <c r="G39" s="52"/>
      <c r="H39" s="52"/>
      <c r="I39" s="52"/>
      <c r="J39" s="66"/>
    </row>
    <row r="40" spans="1:10" ht="18" x14ac:dyDescent="0.25">
      <c r="A40" s="52"/>
      <c r="B40" s="39" t="s">
        <v>24</v>
      </c>
      <c r="C40" s="39"/>
      <c r="D40" s="39"/>
      <c r="E40" s="59"/>
      <c r="F40" s="52"/>
      <c r="G40" s="52" t="s">
        <v>48</v>
      </c>
      <c r="H40" s="52"/>
      <c r="I40" s="52"/>
      <c r="J40" s="40">
        <f>ROUND((J37/J34),7)</f>
        <v>8.5217999999999995E-3</v>
      </c>
    </row>
    <row r="41" spans="1:10" ht="18" x14ac:dyDescent="0.25">
      <c r="A41" s="52"/>
      <c r="B41" s="57">
        <f>800955.74+2711.84</f>
        <v>803667.58</v>
      </c>
      <c r="D41" s="41"/>
      <c r="E41" s="59"/>
      <c r="F41" s="52"/>
      <c r="G41" s="52"/>
      <c r="H41" s="52"/>
      <c r="I41" s="52"/>
      <c r="J41" s="52"/>
    </row>
    <row r="42" spans="1:10" ht="18" x14ac:dyDescent="0.25">
      <c r="A42" s="52"/>
      <c r="B42" s="52"/>
      <c r="C42" s="52"/>
      <c r="D42" s="52"/>
      <c r="E42" s="52"/>
      <c r="F42" s="52"/>
      <c r="G42" s="52" t="s">
        <v>49</v>
      </c>
      <c r="H42" s="52"/>
      <c r="I42" s="52"/>
      <c r="J42" s="67">
        <f>ROUND((+J40*100),3)</f>
        <v>0.85199999999999998</v>
      </c>
    </row>
    <row r="43" spans="1:10" ht="18" x14ac:dyDescent="0.25">
      <c r="A43" s="63" t="s">
        <v>1</v>
      </c>
      <c r="B43" s="63" t="s">
        <v>1</v>
      </c>
      <c r="C43" s="63" t="s">
        <v>1</v>
      </c>
      <c r="D43" s="63" t="s">
        <v>1</v>
      </c>
      <c r="E43" s="63" t="s">
        <v>1</v>
      </c>
      <c r="F43" s="63" t="s">
        <v>1</v>
      </c>
      <c r="G43" s="63" t="s">
        <v>1</v>
      </c>
      <c r="H43" s="63" t="s">
        <v>1</v>
      </c>
      <c r="I43" s="63" t="s">
        <v>1</v>
      </c>
      <c r="J43" s="63" t="s">
        <v>1</v>
      </c>
    </row>
    <row r="44" spans="1:10" ht="18" x14ac:dyDescent="0.25">
      <c r="A44" s="52" t="s">
        <v>19</v>
      </c>
      <c r="B44" s="52"/>
      <c r="C44" s="52"/>
      <c r="D44" s="68">
        <f>J42</f>
        <v>0.85199999999999998</v>
      </c>
      <c r="E44" s="52" t="s">
        <v>26</v>
      </c>
      <c r="F44" s="69"/>
      <c r="G44" s="52"/>
      <c r="H44" s="52"/>
      <c r="I44" s="52"/>
      <c r="J44" s="52"/>
    </row>
    <row r="45" spans="1:10" ht="18" x14ac:dyDescent="0.25">
      <c r="A45" s="52" t="s">
        <v>20</v>
      </c>
      <c r="B45" s="71">
        <f>I46+26</f>
        <v>44667</v>
      </c>
      <c r="C45" s="52"/>
      <c r="D45" s="52" t="s">
        <v>26</v>
      </c>
      <c r="E45" s="52"/>
      <c r="F45" s="52"/>
      <c r="G45" s="52"/>
      <c r="H45" s="52"/>
      <c r="I45" s="52"/>
      <c r="J45" s="52"/>
    </row>
    <row r="46" spans="1:10" ht="18" x14ac:dyDescent="0.25">
      <c r="A46" s="52"/>
      <c r="B46" s="52"/>
      <c r="C46" s="52"/>
      <c r="D46" s="52"/>
      <c r="E46" s="36"/>
      <c r="F46" s="52"/>
      <c r="G46" s="52"/>
      <c r="H46" s="45" t="s">
        <v>50</v>
      </c>
      <c r="I46" s="71">
        <v>44641</v>
      </c>
      <c r="J46" s="46"/>
    </row>
    <row r="47" spans="1:10" ht="18" x14ac:dyDescent="0.25">
      <c r="A47" s="52" t="s">
        <v>100</v>
      </c>
      <c r="B47" s="52" t="s">
        <v>105</v>
      </c>
      <c r="C47" s="52"/>
      <c r="D47" s="52"/>
      <c r="E47" s="52"/>
      <c r="F47" s="52"/>
      <c r="G47" s="52"/>
      <c r="H47" s="52" t="s">
        <v>106</v>
      </c>
      <c r="I47" s="52"/>
      <c r="J47" s="52"/>
    </row>
    <row r="48" spans="1:10" ht="18" x14ac:dyDescent="0.25">
      <c r="A48" s="52" t="s">
        <v>21</v>
      </c>
      <c r="B48" s="52"/>
      <c r="C48" s="52"/>
      <c r="D48" s="52"/>
      <c r="E48" s="52"/>
      <c r="F48" s="52"/>
      <c r="G48" s="52"/>
      <c r="H48" s="52" t="s">
        <v>103</v>
      </c>
      <c r="I48" s="52"/>
      <c r="J48" s="52"/>
    </row>
    <row r="49" spans="1:10" ht="15.75" x14ac:dyDescent="0.25">
      <c r="A49" s="6" t="s">
        <v>22</v>
      </c>
      <c r="B49" s="2"/>
      <c r="C49" s="2"/>
      <c r="D49" s="2"/>
      <c r="E49" s="2"/>
      <c r="F49" s="7"/>
      <c r="G49" s="2"/>
      <c r="H49" s="7"/>
      <c r="I49" s="2" t="s">
        <v>26</v>
      </c>
      <c r="J49" s="4"/>
    </row>
    <row r="50" spans="1:10" ht="15.75" x14ac:dyDescent="0.25">
      <c r="A50" s="2"/>
      <c r="B50" s="2"/>
      <c r="C50" s="2"/>
      <c r="D50" s="2"/>
      <c r="E50" s="2"/>
      <c r="F50" s="2"/>
      <c r="G50" s="2"/>
      <c r="H50" s="7"/>
      <c r="I50" s="7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8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5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5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5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5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5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5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5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5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5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5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5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5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5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5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5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5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5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5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5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5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5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5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5"/>
    </row>
  </sheetData>
  <printOptions horizontalCentered="1"/>
  <pageMargins left="0.25" right="0.25" top="0.5" bottom="0.5" header="0" footer="0"/>
  <pageSetup scale="6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789C2-9777-4D41-AF91-121EB45CA1C2}">
  <dimension ref="A1:G40"/>
  <sheetViews>
    <sheetView workbookViewId="0">
      <selection activeCell="H25" sqref="H25"/>
    </sheetView>
  </sheetViews>
  <sheetFormatPr defaultRowHeight="15" x14ac:dyDescent="0.2"/>
  <cols>
    <col min="1" max="1" width="21" customWidth="1"/>
    <col min="3" max="3" width="11.5546875" customWidth="1"/>
    <col min="4" max="4" width="3.6640625" customWidth="1"/>
    <col min="5" max="5" width="11.88671875" bestFit="1" customWidth="1"/>
    <col min="6" max="6" width="3.77734375" customWidth="1"/>
    <col min="7" max="7" width="12" customWidth="1"/>
  </cols>
  <sheetData>
    <row r="1" spans="1:7" ht="15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59</v>
      </c>
      <c r="B2" s="15"/>
      <c r="C2" s="15"/>
      <c r="D2" s="15"/>
      <c r="E2" s="15"/>
      <c r="F2" s="15"/>
      <c r="G2" s="15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 t="s">
        <v>60</v>
      </c>
      <c r="B5" s="11"/>
      <c r="C5" s="11"/>
      <c r="D5" s="11"/>
      <c r="E5" s="11"/>
      <c r="F5" s="11"/>
      <c r="G5" s="11"/>
    </row>
    <row r="6" spans="1:7" ht="15.75" x14ac:dyDescent="0.25">
      <c r="A6" s="11" t="s">
        <v>61</v>
      </c>
      <c r="B6" s="11"/>
      <c r="C6" s="11"/>
      <c r="D6" s="11"/>
      <c r="E6" s="11"/>
      <c r="F6" s="11"/>
      <c r="G6" s="11"/>
    </row>
    <row r="7" spans="1:7" ht="15.75" x14ac:dyDescent="0.25">
      <c r="A7" s="11" t="s">
        <v>62</v>
      </c>
      <c r="B7" s="11"/>
      <c r="C7" s="11"/>
      <c r="D7" s="11"/>
      <c r="E7" s="11"/>
      <c r="F7" s="11"/>
      <c r="G7" s="11"/>
    </row>
    <row r="8" spans="1:7" ht="15.75" x14ac:dyDescent="0.25">
      <c r="A8" s="9"/>
      <c r="B8" s="9"/>
      <c r="C8" s="9"/>
      <c r="D8" s="9"/>
      <c r="E8" s="9"/>
      <c r="F8" s="9"/>
      <c r="G8" s="9"/>
    </row>
    <row r="9" spans="1:7" ht="15.75" x14ac:dyDescent="0.25">
      <c r="A9" s="19">
        <v>44620</v>
      </c>
      <c r="B9" s="11"/>
      <c r="C9" s="11"/>
      <c r="D9" s="11"/>
      <c r="E9" s="11"/>
      <c r="F9" s="11"/>
      <c r="G9" s="11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15"/>
      <c r="B11" s="15"/>
      <c r="C11" s="15"/>
      <c r="D11" s="15"/>
      <c r="E11" s="15"/>
      <c r="F11" s="15"/>
      <c r="G11" s="15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2"/>
      <c r="B13" s="12"/>
      <c r="C13" s="16" t="s">
        <v>63</v>
      </c>
      <c r="D13" s="12"/>
      <c r="E13" s="16" t="s">
        <v>66</v>
      </c>
      <c r="F13" s="16"/>
      <c r="G13" s="16" t="s">
        <v>69</v>
      </c>
    </row>
    <row r="14" spans="1:7" ht="15.75" x14ac:dyDescent="0.25">
      <c r="A14" s="12"/>
      <c r="B14" s="12"/>
      <c r="C14" s="16" t="s">
        <v>64</v>
      </c>
      <c r="D14" s="12"/>
      <c r="E14" s="16" t="s">
        <v>64</v>
      </c>
      <c r="F14" s="16"/>
      <c r="G14" s="16" t="s">
        <v>64</v>
      </c>
    </row>
    <row r="15" spans="1:7" ht="15.75" x14ac:dyDescent="0.25">
      <c r="A15" s="12"/>
      <c r="B15" s="12"/>
      <c r="C15" s="16" t="s">
        <v>65</v>
      </c>
      <c r="D15" s="12"/>
      <c r="E15" s="16" t="s">
        <v>67</v>
      </c>
      <c r="F15" s="16"/>
      <c r="G15" s="16" t="s">
        <v>68</v>
      </c>
    </row>
    <row r="16" spans="1:7" ht="15.75" x14ac:dyDescent="0.25">
      <c r="A16" s="12"/>
      <c r="B16" s="12"/>
      <c r="C16" s="16"/>
      <c r="D16" s="12"/>
      <c r="E16" s="16" t="s">
        <v>70</v>
      </c>
      <c r="F16" s="16"/>
      <c r="G16" s="16"/>
    </row>
    <row r="17" spans="1:7" ht="15.75" x14ac:dyDescent="0.25">
      <c r="A17" s="9"/>
      <c r="B17" s="9"/>
      <c r="C17" s="9"/>
      <c r="D17" s="9"/>
      <c r="E17" s="9"/>
      <c r="F17" s="9"/>
      <c r="G17" s="9"/>
    </row>
    <row r="18" spans="1:7" ht="15.75" x14ac:dyDescent="0.25">
      <c r="A18" s="9" t="s">
        <v>52</v>
      </c>
      <c r="B18" s="9"/>
      <c r="C18" s="9"/>
      <c r="D18" s="9"/>
      <c r="E18" s="9"/>
      <c r="F18" s="9"/>
      <c r="G18" s="9"/>
    </row>
    <row r="19" spans="1:7" ht="15.75" x14ac:dyDescent="0.25">
      <c r="A19" s="9" t="s">
        <v>53</v>
      </c>
      <c r="B19" s="9"/>
      <c r="C19" s="13">
        <v>486523718</v>
      </c>
      <c r="D19" s="14"/>
      <c r="E19" s="13">
        <v>472768537</v>
      </c>
      <c r="F19" s="14"/>
      <c r="G19" s="13">
        <f>C19-E19</f>
        <v>13755181</v>
      </c>
    </row>
    <row r="20" spans="1:7" ht="15.75" x14ac:dyDescent="0.25">
      <c r="A20" s="9"/>
      <c r="B20" s="9"/>
      <c r="C20" s="13"/>
      <c r="D20" s="14"/>
      <c r="E20" s="13"/>
      <c r="F20" s="14"/>
      <c r="G20" s="13"/>
    </row>
    <row r="21" spans="1:7" ht="15.75" x14ac:dyDescent="0.25">
      <c r="A21" s="9" t="s">
        <v>54</v>
      </c>
      <c r="B21" s="9"/>
      <c r="C21" s="13"/>
      <c r="D21" s="14"/>
      <c r="E21" s="13"/>
      <c r="F21" s="14"/>
      <c r="G21" s="13"/>
    </row>
    <row r="22" spans="1:7" ht="15.75" x14ac:dyDescent="0.25">
      <c r="A22" s="9" t="s">
        <v>55</v>
      </c>
      <c r="B22" s="9"/>
      <c r="C22" s="13">
        <v>47831414</v>
      </c>
      <c r="D22" s="14"/>
      <c r="E22" s="13">
        <v>47556551</v>
      </c>
      <c r="F22" s="14"/>
      <c r="G22" s="13">
        <f>C22-E22</f>
        <v>274863</v>
      </c>
    </row>
    <row r="23" spans="1:7" ht="15.75" x14ac:dyDescent="0.25">
      <c r="A23" s="9"/>
      <c r="B23" s="9"/>
      <c r="C23" s="13"/>
      <c r="D23" s="14"/>
      <c r="E23" s="13"/>
      <c r="F23" s="14"/>
      <c r="G23" s="13"/>
    </row>
    <row r="24" spans="1:7" ht="15.75" x14ac:dyDescent="0.25">
      <c r="A24" s="9" t="s">
        <v>56</v>
      </c>
      <c r="B24" s="9"/>
      <c r="C24" s="13"/>
      <c r="D24" s="14"/>
      <c r="E24" s="13"/>
      <c r="F24" s="14"/>
      <c r="G24" s="13"/>
    </row>
    <row r="25" spans="1:7" ht="15.75" x14ac:dyDescent="0.25">
      <c r="A25" s="9" t="s">
        <v>55</v>
      </c>
      <c r="B25" s="9"/>
      <c r="C25" s="13">
        <v>43951479</v>
      </c>
      <c r="D25" s="14"/>
      <c r="E25" s="13">
        <v>44304057</v>
      </c>
      <c r="F25" s="14"/>
      <c r="G25" s="13">
        <f>C25-E25</f>
        <v>-352578</v>
      </c>
    </row>
    <row r="26" spans="1:7" ht="15.75" x14ac:dyDescent="0.25">
      <c r="A26" s="9"/>
      <c r="B26" s="9"/>
      <c r="C26" s="10"/>
      <c r="D26" s="9"/>
      <c r="E26" s="10"/>
      <c r="F26" s="9"/>
      <c r="G26" s="10"/>
    </row>
    <row r="27" spans="1:7" ht="15.75" x14ac:dyDescent="0.25">
      <c r="A27" s="9" t="s">
        <v>57</v>
      </c>
      <c r="B27" s="9"/>
      <c r="C27" s="10"/>
      <c r="D27" s="9"/>
      <c r="E27" s="10"/>
      <c r="F27" s="9"/>
      <c r="G27" s="10"/>
    </row>
    <row r="28" spans="1:7" ht="15.75" x14ac:dyDescent="0.25">
      <c r="A28" s="9" t="s">
        <v>53</v>
      </c>
      <c r="B28" s="9"/>
      <c r="C28" s="10">
        <f>C19-C22+C25</f>
        <v>482643783</v>
      </c>
      <c r="D28" s="9"/>
      <c r="E28" s="10">
        <f>E19-E22+E25</f>
        <v>469516043</v>
      </c>
      <c r="F28" s="9"/>
      <c r="G28" s="10">
        <f>C28-E28</f>
        <v>13127740</v>
      </c>
    </row>
    <row r="29" spans="1:7" ht="15.75" x14ac:dyDescent="0.25">
      <c r="A29" s="9"/>
      <c r="B29" s="9"/>
      <c r="C29" s="10"/>
      <c r="D29" s="9"/>
      <c r="E29" s="10"/>
      <c r="F29" s="9"/>
      <c r="G29" s="10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 t="s">
        <v>58</v>
      </c>
      <c r="B31" s="9"/>
      <c r="C31" s="9"/>
      <c r="D31" s="9"/>
      <c r="E31" s="56">
        <f>G28/C28</f>
        <v>2.719964591359918E-2</v>
      </c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9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</sheetData>
  <pageMargins left="0.75" right="0.75" top="1.2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C40C7-AC8C-43D7-87AD-8F57E13DA488}">
  <sheetPr>
    <pageSetUpPr fitToPage="1"/>
  </sheetPr>
  <dimension ref="A1:W99"/>
  <sheetViews>
    <sheetView zoomScale="60" zoomScaleNormal="60" workbookViewId="0">
      <selection activeCell="J40" sqref="J40"/>
    </sheetView>
  </sheetViews>
  <sheetFormatPr defaultColWidth="9.6640625" defaultRowHeight="15" x14ac:dyDescent="0.2"/>
  <cols>
    <col min="1" max="1" width="11.33203125" style="1" customWidth="1"/>
    <col min="2" max="2" width="28.77734375" style="1" customWidth="1"/>
    <col min="3" max="3" width="19.33203125" style="1" customWidth="1"/>
    <col min="4" max="4" width="10" style="1" customWidth="1"/>
    <col min="5" max="5" width="17.6640625" style="1" customWidth="1"/>
    <col min="6" max="6" width="9.6640625" style="1" customWidth="1"/>
    <col min="7" max="7" width="8.5546875" style="1" customWidth="1"/>
    <col min="8" max="8" width="13.77734375" style="1" customWidth="1"/>
    <col min="9" max="9" width="21.88671875" style="1" customWidth="1"/>
    <col min="10" max="10" width="20.6640625" style="1" customWidth="1"/>
    <col min="11" max="20" width="9.6640625" style="1"/>
    <col min="21" max="21" width="17" style="72" bestFit="1" customWidth="1"/>
    <col min="22" max="22" width="9.6640625" style="1"/>
    <col min="23" max="23" width="14" style="72" bestFit="1" customWidth="1"/>
    <col min="24" max="16384" width="9.6640625" style="1"/>
  </cols>
  <sheetData>
    <row r="1" spans="1:11" x14ac:dyDescent="0.2">
      <c r="A1" s="2" t="s">
        <v>0</v>
      </c>
      <c r="B1" s="2" t="s">
        <v>23</v>
      </c>
      <c r="C1" s="2"/>
      <c r="D1" s="2"/>
      <c r="E1" s="2"/>
      <c r="F1" s="2"/>
      <c r="G1" s="2" t="s">
        <v>27</v>
      </c>
      <c r="H1" s="2"/>
      <c r="I1" s="2"/>
      <c r="J1" s="2"/>
    </row>
    <row r="2" spans="1:11" x14ac:dyDescent="0.2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</row>
    <row r="3" spans="1:11" x14ac:dyDescent="0.2">
      <c r="A3" s="3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</row>
    <row r="4" spans="1:11" ht="18" x14ac:dyDescent="0.25">
      <c r="A4" s="52" t="s">
        <v>2</v>
      </c>
      <c r="B4" s="52"/>
      <c r="C4" s="52"/>
      <c r="D4" s="52"/>
      <c r="E4" s="24" t="s">
        <v>89</v>
      </c>
      <c r="F4" s="52"/>
      <c r="G4" s="52" t="s">
        <v>28</v>
      </c>
      <c r="H4" s="52"/>
      <c r="I4" s="52" t="s">
        <v>51</v>
      </c>
      <c r="J4" s="25" t="str">
        <f>E4</f>
        <v>March</v>
      </c>
    </row>
    <row r="5" spans="1:11" ht="1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1" ht="18" x14ac:dyDescent="0.25">
      <c r="A6" s="52" t="s">
        <v>71</v>
      </c>
      <c r="B6" s="52"/>
      <c r="C6" s="52"/>
      <c r="D6" s="52"/>
      <c r="E6" s="26">
        <v>39927258</v>
      </c>
      <c r="F6" s="52"/>
      <c r="G6" s="52" t="s">
        <v>29</v>
      </c>
      <c r="H6" s="52"/>
      <c r="I6" s="52"/>
      <c r="J6" s="59"/>
      <c r="K6" s="55"/>
    </row>
    <row r="7" spans="1:11" ht="18" x14ac:dyDescent="0.25">
      <c r="A7" s="52"/>
      <c r="B7" s="52"/>
      <c r="C7" s="52"/>
      <c r="D7" s="52"/>
      <c r="E7" s="60"/>
      <c r="F7" s="52"/>
      <c r="G7" s="52"/>
      <c r="H7" s="52"/>
      <c r="I7" s="52"/>
      <c r="J7" s="52"/>
    </row>
    <row r="8" spans="1:11" ht="18" x14ac:dyDescent="0.25">
      <c r="A8" s="52" t="s">
        <v>72</v>
      </c>
      <c r="B8" s="52"/>
      <c r="C8" s="52"/>
      <c r="D8" s="52"/>
      <c r="E8" s="26">
        <f>38768783+151675</f>
        <v>38920458</v>
      </c>
      <c r="F8" s="52"/>
      <c r="G8" s="52" t="s">
        <v>30</v>
      </c>
      <c r="H8" s="52"/>
      <c r="I8" s="52"/>
      <c r="J8" s="54">
        <v>399672</v>
      </c>
    </row>
    <row r="9" spans="1:11" ht="18" x14ac:dyDescent="0.25">
      <c r="A9" s="52"/>
      <c r="B9" s="52"/>
      <c r="C9" s="52"/>
      <c r="D9" s="52"/>
      <c r="E9" s="60"/>
      <c r="F9" s="52"/>
      <c r="G9" s="52"/>
      <c r="H9" s="52" t="s">
        <v>26</v>
      </c>
      <c r="I9" s="52"/>
      <c r="J9" s="29" t="s">
        <v>26</v>
      </c>
    </row>
    <row r="10" spans="1:11" ht="18" x14ac:dyDescent="0.25">
      <c r="A10" s="52"/>
      <c r="B10" s="52"/>
      <c r="C10" s="52"/>
      <c r="D10" s="52"/>
      <c r="E10" s="60"/>
      <c r="F10" s="52"/>
      <c r="G10" s="52"/>
      <c r="H10" s="52" t="s">
        <v>26</v>
      </c>
      <c r="I10" s="52"/>
      <c r="J10" s="29" t="s">
        <v>26</v>
      </c>
    </row>
    <row r="11" spans="1:11" ht="18" x14ac:dyDescent="0.25">
      <c r="A11" s="52" t="s">
        <v>3</v>
      </c>
      <c r="B11" s="52"/>
      <c r="C11" s="52"/>
      <c r="D11" s="52"/>
      <c r="E11" s="60">
        <v>0</v>
      </c>
      <c r="F11" s="52"/>
      <c r="G11" s="52" t="s">
        <v>31</v>
      </c>
      <c r="H11" s="52"/>
      <c r="I11" s="52"/>
      <c r="J11" s="61">
        <f>E37</f>
        <v>80144.078000000009</v>
      </c>
    </row>
    <row r="12" spans="1:11" ht="18" x14ac:dyDescent="0.25">
      <c r="A12" s="52"/>
      <c r="B12" s="52"/>
      <c r="C12" s="52"/>
      <c r="D12" s="52"/>
      <c r="E12" s="60"/>
      <c r="F12" s="52"/>
      <c r="G12" s="52"/>
      <c r="H12" s="52"/>
      <c r="I12" s="52"/>
      <c r="J12" s="59"/>
    </row>
    <row r="13" spans="1:11" ht="18" x14ac:dyDescent="0.25">
      <c r="A13" s="52" t="s">
        <v>4</v>
      </c>
      <c r="B13" s="52"/>
      <c r="C13" s="52"/>
      <c r="D13" s="52"/>
      <c r="E13" s="60">
        <f>SUM(E8:E11)</f>
        <v>38920458</v>
      </c>
      <c r="F13" s="52"/>
      <c r="G13" s="52" t="s">
        <v>32</v>
      </c>
      <c r="H13" s="52"/>
      <c r="I13" s="52"/>
      <c r="J13" s="59">
        <v>0</v>
      </c>
    </row>
    <row r="14" spans="1:11" ht="18" x14ac:dyDescent="0.25">
      <c r="A14" s="52"/>
      <c r="B14" s="52"/>
      <c r="C14" s="52"/>
      <c r="D14" s="52"/>
      <c r="E14" s="60"/>
      <c r="F14" s="52"/>
      <c r="G14" s="52"/>
      <c r="H14" s="52"/>
      <c r="I14" s="52"/>
      <c r="J14" s="59"/>
    </row>
    <row r="15" spans="1:11" ht="18" x14ac:dyDescent="0.25">
      <c r="A15" s="52" t="s">
        <v>5</v>
      </c>
      <c r="B15" s="52"/>
      <c r="C15" s="52"/>
      <c r="D15" s="52"/>
      <c r="E15" s="62">
        <f>E6-E13</f>
        <v>1006800</v>
      </c>
      <c r="F15" s="52"/>
      <c r="G15" s="52" t="s">
        <v>33</v>
      </c>
      <c r="H15" s="52"/>
      <c r="I15" s="52"/>
      <c r="J15" s="61">
        <f>ROUND((+J8+J11),4)</f>
        <v>479816.07799999998</v>
      </c>
    </row>
    <row r="16" spans="1:11" ht="18" x14ac:dyDescent="0.25">
      <c r="A16" s="52" t="s">
        <v>6</v>
      </c>
      <c r="B16" s="52"/>
      <c r="C16" s="52"/>
      <c r="D16" s="52"/>
      <c r="E16" s="60"/>
      <c r="F16" s="52"/>
      <c r="G16" s="52" t="s">
        <v>34</v>
      </c>
      <c r="H16" s="52"/>
      <c r="I16" s="52"/>
      <c r="J16" s="59"/>
    </row>
    <row r="17" spans="1:13" ht="18" x14ac:dyDescent="0.25">
      <c r="A17" s="52"/>
      <c r="B17" s="52"/>
      <c r="C17" s="52"/>
      <c r="D17" s="52"/>
      <c r="E17" s="60"/>
      <c r="F17" s="52"/>
      <c r="G17" s="52"/>
      <c r="H17" s="52"/>
      <c r="I17" s="52"/>
      <c r="J17" s="52"/>
    </row>
    <row r="18" spans="1:13" ht="18" x14ac:dyDescent="0.25">
      <c r="A18" s="63" t="s">
        <v>1</v>
      </c>
      <c r="B18" s="63" t="s">
        <v>1</v>
      </c>
      <c r="C18" s="63" t="s">
        <v>1</v>
      </c>
      <c r="D18" s="63" t="s">
        <v>1</v>
      </c>
      <c r="E18" s="64" t="s">
        <v>1</v>
      </c>
      <c r="F18" s="52"/>
      <c r="G18" s="52" t="s">
        <v>35</v>
      </c>
      <c r="H18" s="52"/>
      <c r="I18" s="52"/>
      <c r="J18" s="60">
        <f>E6</f>
        <v>39927258</v>
      </c>
    </row>
    <row r="19" spans="1:13" ht="18" x14ac:dyDescent="0.25">
      <c r="A19" s="63" t="s">
        <v>1</v>
      </c>
      <c r="B19" s="63" t="s">
        <v>1</v>
      </c>
      <c r="C19" s="63" t="s">
        <v>1</v>
      </c>
      <c r="D19" s="63" t="s">
        <v>1</v>
      </c>
      <c r="E19" s="64"/>
      <c r="F19" s="52"/>
      <c r="G19" s="52"/>
      <c r="H19" s="52"/>
      <c r="I19" s="52"/>
      <c r="J19" s="52"/>
    </row>
    <row r="20" spans="1:13" ht="18" x14ac:dyDescent="0.25">
      <c r="A20" s="52" t="s">
        <v>7</v>
      </c>
      <c r="B20" s="52"/>
      <c r="C20" s="52"/>
      <c r="D20" s="52" t="s">
        <v>25</v>
      </c>
      <c r="E20" s="24" t="s">
        <v>84</v>
      </c>
      <c r="F20" s="52"/>
      <c r="G20" s="52" t="s">
        <v>36</v>
      </c>
      <c r="H20" s="52"/>
      <c r="I20" s="52"/>
      <c r="J20" s="34">
        <f>ROUND((J8/J18),5)</f>
        <v>1.001E-2</v>
      </c>
    </row>
    <row r="21" spans="1:13" ht="18" x14ac:dyDescent="0.25">
      <c r="A21" s="52"/>
      <c r="B21" s="52"/>
      <c r="C21" s="52"/>
      <c r="D21" s="52"/>
      <c r="E21" s="60"/>
      <c r="F21" s="52"/>
      <c r="G21" s="52" t="s">
        <v>37</v>
      </c>
      <c r="H21" s="52"/>
      <c r="I21" s="52"/>
      <c r="J21" s="52"/>
    </row>
    <row r="22" spans="1:13" ht="18" x14ac:dyDescent="0.25">
      <c r="A22" s="52" t="s">
        <v>8</v>
      </c>
      <c r="B22" s="52"/>
      <c r="C22" s="52"/>
      <c r="D22" s="52"/>
      <c r="E22" s="53">
        <v>5.9500000000000004E-3</v>
      </c>
      <c r="F22" s="52"/>
      <c r="G22" s="52"/>
      <c r="H22" s="52"/>
      <c r="I22" s="52"/>
      <c r="J22" s="52"/>
    </row>
    <row r="23" spans="1:13" ht="18" x14ac:dyDescent="0.25">
      <c r="A23" s="52"/>
      <c r="B23" s="52"/>
      <c r="C23" s="52"/>
      <c r="D23" s="52"/>
      <c r="E23" s="60"/>
      <c r="F23" s="52"/>
      <c r="G23" s="52" t="s">
        <v>38</v>
      </c>
      <c r="H23" s="52"/>
      <c r="I23" s="52"/>
      <c r="J23" s="52"/>
    </row>
    <row r="24" spans="1:13" ht="18" x14ac:dyDescent="0.25">
      <c r="A24" s="52" t="s">
        <v>9</v>
      </c>
      <c r="B24" s="52"/>
      <c r="C24" s="52"/>
      <c r="D24" s="52"/>
      <c r="E24" s="35">
        <f>38766423+151675</f>
        <v>38918098</v>
      </c>
      <c r="F24" s="52"/>
      <c r="G24" s="63" t="s">
        <v>1</v>
      </c>
      <c r="H24" s="52"/>
      <c r="I24" s="52"/>
      <c r="J24" s="52"/>
    </row>
    <row r="25" spans="1:13" ht="18" x14ac:dyDescent="0.25">
      <c r="A25" s="52"/>
      <c r="B25" s="52"/>
      <c r="C25" s="52"/>
      <c r="D25" s="52"/>
      <c r="E25" s="35"/>
      <c r="F25" s="52"/>
      <c r="G25" s="52" t="s">
        <v>39</v>
      </c>
      <c r="H25" s="52"/>
      <c r="I25" s="52"/>
      <c r="J25" s="58">
        <f>'12 Mth Avg-Mar 22'!E31</f>
        <v>2.6628050718007796E-2</v>
      </c>
    </row>
    <row r="26" spans="1:13" ht="18" x14ac:dyDescent="0.25">
      <c r="A26" s="52" t="s">
        <v>10</v>
      </c>
      <c r="B26" s="52"/>
      <c r="C26" s="52"/>
      <c r="D26" s="52"/>
      <c r="E26" s="35">
        <v>2360</v>
      </c>
      <c r="F26" s="52"/>
      <c r="G26" s="52"/>
      <c r="H26" s="52"/>
      <c r="I26" s="52"/>
      <c r="J26" s="52"/>
      <c r="M26" s="70"/>
    </row>
    <row r="27" spans="1:13" ht="18" x14ac:dyDescent="0.25">
      <c r="A27" s="52"/>
      <c r="B27" s="52"/>
      <c r="C27" s="52"/>
      <c r="D27" s="52"/>
      <c r="E27" s="62"/>
      <c r="F27" s="52"/>
      <c r="G27" s="52" t="s">
        <v>40</v>
      </c>
      <c r="H27" s="52"/>
      <c r="I27" s="52"/>
      <c r="J27" s="36" t="str">
        <f>E4</f>
        <v>March</v>
      </c>
    </row>
    <row r="28" spans="1:13" ht="18" x14ac:dyDescent="0.25">
      <c r="A28" s="52" t="s">
        <v>11</v>
      </c>
      <c r="B28" s="52"/>
      <c r="C28" s="52"/>
      <c r="D28" s="52"/>
      <c r="E28" s="62">
        <f>SUM(E24:E27)</f>
        <v>38920458</v>
      </c>
      <c r="F28" s="52"/>
      <c r="G28" s="52"/>
      <c r="H28" s="52"/>
      <c r="I28" s="52"/>
      <c r="J28" s="52"/>
    </row>
    <row r="29" spans="1:13" ht="18" x14ac:dyDescent="0.25">
      <c r="A29" s="52" t="s">
        <v>12</v>
      </c>
      <c r="B29" s="52"/>
      <c r="C29" s="52"/>
      <c r="D29" s="52"/>
      <c r="E29" s="60"/>
      <c r="F29" s="52"/>
      <c r="G29" s="52" t="s">
        <v>41</v>
      </c>
      <c r="H29" s="52"/>
      <c r="I29" s="52"/>
      <c r="J29" s="65">
        <f>ROUND((+E15/E6),6)</f>
        <v>2.5215999999999999E-2</v>
      </c>
    </row>
    <row r="30" spans="1:13" ht="18" x14ac:dyDescent="0.25">
      <c r="A30" s="52"/>
      <c r="B30" s="52" t="s">
        <v>26</v>
      </c>
      <c r="C30" s="52"/>
      <c r="D30" s="52"/>
      <c r="E30" s="60"/>
      <c r="F30" s="52"/>
      <c r="G30" s="52" t="s">
        <v>42</v>
      </c>
      <c r="H30" s="52"/>
      <c r="I30" s="52"/>
      <c r="J30" s="52"/>
    </row>
    <row r="31" spans="1:13" ht="18" x14ac:dyDescent="0.25">
      <c r="A31" s="52" t="s">
        <v>13</v>
      </c>
      <c r="B31" s="52"/>
      <c r="C31" s="52"/>
      <c r="D31" s="52"/>
      <c r="E31" s="54">
        <v>309309.05</v>
      </c>
      <c r="F31" s="52"/>
      <c r="G31" s="52"/>
      <c r="H31" s="52"/>
      <c r="I31" s="52"/>
      <c r="J31" s="52"/>
    </row>
    <row r="32" spans="1:13" ht="18" x14ac:dyDescent="0.25">
      <c r="A32" s="52" t="s">
        <v>14</v>
      </c>
      <c r="B32" s="52"/>
      <c r="C32" s="52"/>
      <c r="D32" s="52"/>
      <c r="E32" s="61"/>
      <c r="F32" s="52"/>
      <c r="G32" s="52" t="s">
        <v>43</v>
      </c>
      <c r="H32" s="52"/>
      <c r="I32" s="52"/>
      <c r="J32" s="52"/>
    </row>
    <row r="33" spans="1:10" ht="18" x14ac:dyDescent="0.25">
      <c r="A33" s="52"/>
      <c r="B33" s="52"/>
      <c r="C33" s="52"/>
      <c r="D33" s="52"/>
      <c r="E33" s="61"/>
      <c r="F33" s="52"/>
      <c r="G33" s="63" t="s">
        <v>1</v>
      </c>
      <c r="H33" s="63" t="s">
        <v>1</v>
      </c>
      <c r="I33" s="63" t="s">
        <v>1</v>
      </c>
      <c r="J33" s="52"/>
    </row>
    <row r="34" spans="1:10" ht="18" x14ac:dyDescent="0.25">
      <c r="A34" s="52" t="s">
        <v>15</v>
      </c>
      <c r="B34" s="52"/>
      <c r="C34" s="52"/>
      <c r="D34" s="52"/>
      <c r="E34" s="61">
        <f>(+E26*E22)+B41</f>
        <v>229164.97199999998</v>
      </c>
      <c r="F34" s="52"/>
      <c r="G34" s="52" t="s">
        <v>44</v>
      </c>
      <c r="H34" s="52"/>
      <c r="I34" s="52"/>
      <c r="J34" s="65">
        <f>ROUND((1-J25),7)</f>
        <v>0.97337189999999996</v>
      </c>
    </row>
    <row r="35" spans="1:10" ht="18" x14ac:dyDescent="0.25">
      <c r="A35" s="52" t="s">
        <v>16</v>
      </c>
      <c r="B35" s="52"/>
      <c r="C35" s="52"/>
      <c r="D35" s="52"/>
      <c r="E35" s="61"/>
      <c r="F35" s="52"/>
      <c r="G35" s="52" t="s">
        <v>45</v>
      </c>
      <c r="H35" s="52"/>
      <c r="I35" s="52"/>
      <c r="J35" s="52"/>
    </row>
    <row r="36" spans="1:10" ht="18" x14ac:dyDescent="0.25">
      <c r="A36" s="52"/>
      <c r="B36" s="52"/>
      <c r="C36" s="52"/>
      <c r="D36" s="52"/>
      <c r="E36" s="61"/>
      <c r="F36" s="52"/>
      <c r="G36" s="52"/>
      <c r="H36" s="52"/>
      <c r="I36" s="52"/>
      <c r="J36" s="52"/>
    </row>
    <row r="37" spans="1:10" ht="18" x14ac:dyDescent="0.25">
      <c r="A37" s="52" t="s">
        <v>17</v>
      </c>
      <c r="B37" s="52"/>
      <c r="C37" s="52"/>
      <c r="D37" s="52"/>
      <c r="E37" s="61">
        <f>(E31-E34)</f>
        <v>80144.078000000009</v>
      </c>
      <c r="F37" s="52"/>
      <c r="G37" s="52" t="s">
        <v>46</v>
      </c>
      <c r="H37" s="52"/>
      <c r="I37" s="52"/>
      <c r="J37" s="66">
        <f>ROUND((J15/J18),5)</f>
        <v>1.2019999999999999E-2</v>
      </c>
    </row>
    <row r="38" spans="1:10" ht="18" x14ac:dyDescent="0.25">
      <c r="A38" s="52" t="s">
        <v>18</v>
      </c>
      <c r="B38" s="52"/>
      <c r="C38" s="52"/>
      <c r="D38" s="52"/>
      <c r="E38" s="61"/>
      <c r="F38" s="52"/>
      <c r="G38" s="52" t="s">
        <v>47</v>
      </c>
      <c r="H38" s="52"/>
      <c r="I38" s="52"/>
      <c r="J38" s="66"/>
    </row>
    <row r="39" spans="1:10" ht="18" x14ac:dyDescent="0.25">
      <c r="A39" s="52"/>
      <c r="B39" s="52"/>
      <c r="C39" s="52"/>
      <c r="D39" s="52"/>
      <c r="E39" s="59"/>
      <c r="F39" s="52"/>
      <c r="G39" s="52"/>
      <c r="H39" s="52"/>
      <c r="I39" s="52"/>
      <c r="J39" s="66"/>
    </row>
    <row r="40" spans="1:10" ht="18" x14ac:dyDescent="0.25">
      <c r="A40" s="52"/>
      <c r="B40" s="39" t="s">
        <v>24</v>
      </c>
      <c r="C40" s="39"/>
      <c r="D40" s="39"/>
      <c r="E40" s="59"/>
      <c r="F40" s="52"/>
      <c r="G40" s="52" t="s">
        <v>48</v>
      </c>
      <c r="H40" s="52"/>
      <c r="I40" s="52"/>
      <c r="J40" s="40">
        <f>ROUND((J37/J34),7)</f>
        <v>1.23488E-2</v>
      </c>
    </row>
    <row r="41" spans="1:10" ht="18" x14ac:dyDescent="0.25">
      <c r="A41" s="52"/>
      <c r="B41" s="57">
        <f>228275.53+875.4</f>
        <v>229150.93</v>
      </c>
      <c r="D41" s="41"/>
      <c r="E41" s="59"/>
      <c r="F41" s="52"/>
      <c r="G41" s="52"/>
      <c r="H41" s="52"/>
      <c r="I41" s="52"/>
      <c r="J41" s="52"/>
    </row>
    <row r="42" spans="1:10" ht="18" x14ac:dyDescent="0.25">
      <c r="A42" s="52"/>
      <c r="B42" s="52"/>
      <c r="C42" s="52"/>
      <c r="D42" s="52"/>
      <c r="E42" s="52"/>
      <c r="F42" s="52"/>
      <c r="G42" s="52" t="s">
        <v>49</v>
      </c>
      <c r="H42" s="52"/>
      <c r="I42" s="52"/>
      <c r="J42" s="67">
        <f>ROUND((+J40*100),3)</f>
        <v>1.2350000000000001</v>
      </c>
    </row>
    <row r="43" spans="1:10" ht="18" x14ac:dyDescent="0.25">
      <c r="A43" s="63" t="s">
        <v>1</v>
      </c>
      <c r="B43" s="63" t="s">
        <v>1</v>
      </c>
      <c r="C43" s="63" t="s">
        <v>1</v>
      </c>
      <c r="D43" s="63" t="s">
        <v>1</v>
      </c>
      <c r="E43" s="63" t="s">
        <v>1</v>
      </c>
      <c r="F43" s="63" t="s">
        <v>1</v>
      </c>
      <c r="G43" s="63" t="s">
        <v>1</v>
      </c>
      <c r="H43" s="63" t="s">
        <v>1</v>
      </c>
      <c r="I43" s="63" t="s">
        <v>1</v>
      </c>
      <c r="J43" s="63" t="s">
        <v>1</v>
      </c>
    </row>
    <row r="44" spans="1:10" ht="18" x14ac:dyDescent="0.25">
      <c r="A44" s="52" t="s">
        <v>19</v>
      </c>
      <c r="B44" s="52"/>
      <c r="C44" s="52"/>
      <c r="D44" s="68">
        <f>J42</f>
        <v>1.2350000000000001</v>
      </c>
      <c r="E44" s="52" t="s">
        <v>26</v>
      </c>
      <c r="F44" s="69"/>
      <c r="G44" s="52"/>
      <c r="H44" s="52"/>
      <c r="I44" s="52"/>
      <c r="J44" s="52"/>
    </row>
    <row r="45" spans="1:10" ht="18" x14ac:dyDescent="0.25">
      <c r="A45" s="52" t="s">
        <v>20</v>
      </c>
      <c r="B45" s="71">
        <f>I46+28</f>
        <v>44697</v>
      </c>
      <c r="C45" s="52"/>
      <c r="D45" s="52" t="s">
        <v>26</v>
      </c>
      <c r="E45" s="52"/>
      <c r="F45" s="52"/>
      <c r="G45" s="52"/>
      <c r="H45" s="52"/>
      <c r="I45" s="52"/>
      <c r="J45" s="52"/>
    </row>
    <row r="46" spans="1:10" ht="18" x14ac:dyDescent="0.25">
      <c r="A46" s="52"/>
      <c r="B46" s="52"/>
      <c r="C46" s="52"/>
      <c r="D46" s="52"/>
      <c r="E46" s="36"/>
      <c r="F46" s="52"/>
      <c r="G46" s="52"/>
      <c r="H46" s="45" t="s">
        <v>50</v>
      </c>
      <c r="I46" s="71">
        <v>44669</v>
      </c>
      <c r="J46" s="46"/>
    </row>
    <row r="47" spans="1:10" ht="18" x14ac:dyDescent="0.25">
      <c r="A47" s="52" t="s">
        <v>100</v>
      </c>
      <c r="B47" s="52" t="s">
        <v>105</v>
      </c>
      <c r="C47" s="52"/>
      <c r="D47" s="52"/>
      <c r="E47" s="52"/>
      <c r="F47" s="52"/>
      <c r="G47" s="52"/>
      <c r="H47" s="52" t="s">
        <v>106</v>
      </c>
      <c r="I47" s="52"/>
      <c r="J47" s="52"/>
    </row>
    <row r="48" spans="1:10" ht="18" x14ac:dyDescent="0.25">
      <c r="A48" s="52" t="s">
        <v>21</v>
      </c>
      <c r="B48" s="52"/>
      <c r="C48" s="52"/>
      <c r="D48" s="52"/>
      <c r="E48" s="52"/>
      <c r="F48" s="52"/>
      <c r="G48" s="52"/>
      <c r="H48" s="52" t="s">
        <v>103</v>
      </c>
      <c r="I48" s="52"/>
      <c r="J48" s="52"/>
    </row>
    <row r="49" spans="1:10" ht="15.75" x14ac:dyDescent="0.25">
      <c r="A49" s="6" t="s">
        <v>22</v>
      </c>
      <c r="B49" s="2"/>
      <c r="C49" s="2"/>
      <c r="D49" s="2"/>
      <c r="E49" s="2"/>
      <c r="F49" s="7"/>
      <c r="G49" s="2"/>
      <c r="H49" s="7"/>
      <c r="I49" s="2" t="s">
        <v>26</v>
      </c>
      <c r="J49" s="4"/>
    </row>
    <row r="50" spans="1:10" ht="15.75" x14ac:dyDescent="0.25">
      <c r="A50" s="2"/>
      <c r="B50" s="2"/>
      <c r="C50" s="2"/>
      <c r="D50" s="2"/>
      <c r="E50" s="2"/>
      <c r="F50" s="2"/>
      <c r="G50" s="2"/>
      <c r="H50" s="7"/>
      <c r="I50" s="7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8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5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5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5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5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5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5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5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5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5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5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5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5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5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5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5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5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5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5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5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5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5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5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5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33F8E-2EA5-4941-9940-A84231C06011}">
  <dimension ref="A1:G41"/>
  <sheetViews>
    <sheetView workbookViewId="0">
      <selection activeCell="D19" sqref="D19"/>
    </sheetView>
  </sheetViews>
  <sheetFormatPr defaultRowHeight="15" x14ac:dyDescent="0.2"/>
  <cols>
    <col min="1" max="1" width="21" customWidth="1"/>
    <col min="3" max="3" width="11.5546875" customWidth="1"/>
    <col min="4" max="4" width="3.6640625" customWidth="1"/>
    <col min="5" max="5" width="11.88671875" bestFit="1" customWidth="1"/>
    <col min="6" max="6" width="3.77734375" customWidth="1"/>
    <col min="7" max="7" width="12" customWidth="1"/>
  </cols>
  <sheetData>
    <row r="1" spans="1:7" ht="15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59</v>
      </c>
      <c r="B2" s="15"/>
      <c r="C2" s="15"/>
      <c r="D2" s="15"/>
      <c r="E2" s="15"/>
      <c r="F2" s="15"/>
      <c r="G2" s="15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 t="s">
        <v>60</v>
      </c>
      <c r="B5" s="11"/>
      <c r="C5" s="11"/>
      <c r="D5" s="11"/>
      <c r="E5" s="11"/>
      <c r="F5" s="11"/>
      <c r="G5" s="11"/>
    </row>
    <row r="6" spans="1:7" ht="15.75" x14ac:dyDescent="0.25">
      <c r="A6" s="11" t="s">
        <v>61</v>
      </c>
      <c r="B6" s="11"/>
      <c r="C6" s="11"/>
      <c r="D6" s="11"/>
      <c r="E6" s="11"/>
      <c r="F6" s="11"/>
      <c r="G6" s="11"/>
    </row>
    <row r="7" spans="1:7" ht="15.75" x14ac:dyDescent="0.25">
      <c r="A7" s="11" t="s">
        <v>62</v>
      </c>
      <c r="B7" s="11"/>
      <c r="C7" s="11"/>
      <c r="D7" s="11"/>
      <c r="E7" s="11"/>
      <c r="F7" s="11"/>
      <c r="G7" s="11"/>
    </row>
    <row r="8" spans="1:7" ht="15.75" x14ac:dyDescent="0.25">
      <c r="A8" s="9"/>
      <c r="B8" s="9"/>
      <c r="C8" s="9"/>
      <c r="D8" s="9"/>
      <c r="E8" s="9"/>
      <c r="F8" s="9"/>
      <c r="G8" s="9"/>
    </row>
    <row r="9" spans="1:7" ht="15.75" x14ac:dyDescent="0.25">
      <c r="A9" s="19">
        <v>44651</v>
      </c>
      <c r="B9" s="11"/>
      <c r="C9" s="11"/>
      <c r="D9" s="11"/>
      <c r="E9" s="11"/>
      <c r="F9" s="11"/>
      <c r="G9" s="11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15"/>
      <c r="B11" s="15"/>
      <c r="C11" s="15"/>
      <c r="D11" s="15"/>
      <c r="E11" s="15"/>
      <c r="F11" s="15"/>
      <c r="G11" s="15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2"/>
      <c r="B13" s="12"/>
      <c r="C13" s="16" t="s">
        <v>63</v>
      </c>
      <c r="D13" s="12"/>
      <c r="E13" s="16" t="s">
        <v>66</v>
      </c>
      <c r="F13" s="16"/>
      <c r="G13" s="16" t="s">
        <v>69</v>
      </c>
    </row>
    <row r="14" spans="1:7" ht="15.75" x14ac:dyDescent="0.25">
      <c r="A14" s="12"/>
      <c r="B14" s="12"/>
      <c r="C14" s="16" t="s">
        <v>64</v>
      </c>
      <c r="D14" s="12"/>
      <c r="E14" s="16" t="s">
        <v>64</v>
      </c>
      <c r="F14" s="16"/>
      <c r="G14" s="16" t="s">
        <v>64</v>
      </c>
    </row>
    <row r="15" spans="1:7" ht="15.75" x14ac:dyDescent="0.25">
      <c r="A15" s="12"/>
      <c r="B15" s="12"/>
      <c r="C15" s="16" t="s">
        <v>65</v>
      </c>
      <c r="D15" s="12"/>
      <c r="E15" s="16" t="s">
        <v>67</v>
      </c>
      <c r="F15" s="16"/>
      <c r="G15" s="16" t="s">
        <v>68</v>
      </c>
    </row>
    <row r="16" spans="1:7" ht="15.75" x14ac:dyDescent="0.25">
      <c r="A16" s="12"/>
      <c r="B16" s="12"/>
      <c r="C16" s="16"/>
      <c r="D16" s="12"/>
      <c r="E16" s="16" t="s">
        <v>70</v>
      </c>
      <c r="F16" s="16"/>
      <c r="G16" s="16"/>
    </row>
    <row r="17" spans="1:7" ht="15.75" x14ac:dyDescent="0.25">
      <c r="A17" s="9"/>
      <c r="B17" s="9"/>
      <c r="C17" s="9"/>
      <c r="D17" s="9"/>
      <c r="E17" s="9"/>
      <c r="F17" s="9"/>
      <c r="G17" s="9"/>
    </row>
    <row r="18" spans="1:7" ht="15.75" x14ac:dyDescent="0.25">
      <c r="A18" s="9" t="s">
        <v>52</v>
      </c>
      <c r="B18" s="9"/>
      <c r="C18" s="9"/>
      <c r="D18" s="9"/>
      <c r="E18" s="9"/>
      <c r="F18" s="9"/>
      <c r="G18" s="9"/>
    </row>
    <row r="19" spans="1:7" ht="15.75" x14ac:dyDescent="0.25">
      <c r="A19" s="9" t="s">
        <v>53</v>
      </c>
      <c r="B19" s="9"/>
      <c r="C19" s="13">
        <v>482643783</v>
      </c>
      <c r="D19" s="14"/>
      <c r="E19" s="13">
        <v>469516043</v>
      </c>
      <c r="F19" s="14"/>
      <c r="G19" s="13">
        <f>C19-E19</f>
        <v>13127740</v>
      </c>
    </row>
    <row r="20" spans="1:7" ht="15.75" x14ac:dyDescent="0.25">
      <c r="A20" s="9"/>
      <c r="B20" s="9"/>
      <c r="C20" s="13"/>
      <c r="D20" s="14"/>
      <c r="E20" s="13"/>
      <c r="F20" s="14"/>
      <c r="G20" s="13"/>
    </row>
    <row r="21" spans="1:7" ht="15.75" x14ac:dyDescent="0.25">
      <c r="A21" s="9" t="s">
        <v>54</v>
      </c>
      <c r="B21" s="9"/>
      <c r="C21" s="13"/>
      <c r="D21" s="14"/>
      <c r="E21" s="13"/>
      <c r="F21" s="14"/>
      <c r="G21" s="13"/>
    </row>
    <row r="22" spans="1:7" ht="15.75" x14ac:dyDescent="0.25">
      <c r="A22" s="9" t="s">
        <v>55</v>
      </c>
      <c r="B22" s="9"/>
      <c r="C22" s="13">
        <v>37902556</v>
      </c>
      <c r="D22" s="14"/>
      <c r="E22" s="13">
        <v>36673793</v>
      </c>
      <c r="F22" s="14"/>
      <c r="G22" s="13">
        <f>C22-E22</f>
        <v>1228763</v>
      </c>
    </row>
    <row r="23" spans="1:7" ht="15.75" x14ac:dyDescent="0.25">
      <c r="A23" s="9"/>
      <c r="B23" s="9"/>
      <c r="C23" s="13"/>
      <c r="D23" s="14"/>
      <c r="E23" s="13"/>
      <c r="F23" s="14"/>
      <c r="G23" s="13"/>
    </row>
    <row r="24" spans="1:7" ht="15.75" x14ac:dyDescent="0.25">
      <c r="A24" s="9" t="s">
        <v>56</v>
      </c>
      <c r="B24" s="9"/>
      <c r="C24" s="13"/>
      <c r="D24" s="14"/>
      <c r="E24" s="13"/>
      <c r="F24" s="14"/>
      <c r="G24" s="13"/>
    </row>
    <row r="25" spans="1:7" ht="15.75" x14ac:dyDescent="0.25">
      <c r="A25" s="9" t="s">
        <v>55</v>
      </c>
      <c r="B25" s="9"/>
      <c r="C25" s="13">
        <v>39927258</v>
      </c>
      <c r="D25" s="14"/>
      <c r="E25" s="13">
        <v>38920458</v>
      </c>
      <c r="F25" s="14"/>
      <c r="G25" s="13">
        <f>C25-E25</f>
        <v>1006800</v>
      </c>
    </row>
    <row r="26" spans="1:7" ht="15.75" x14ac:dyDescent="0.25">
      <c r="A26" s="9"/>
      <c r="B26" s="9"/>
      <c r="C26" s="10"/>
      <c r="D26" s="9"/>
      <c r="E26" s="10"/>
      <c r="F26" s="9"/>
      <c r="G26" s="10"/>
    </row>
    <row r="27" spans="1:7" ht="15.75" x14ac:dyDescent="0.25">
      <c r="A27" s="9" t="s">
        <v>57</v>
      </c>
      <c r="B27" s="9"/>
      <c r="C27" s="10"/>
      <c r="D27" s="9"/>
      <c r="E27" s="10"/>
      <c r="F27" s="9"/>
      <c r="G27" s="10"/>
    </row>
    <row r="28" spans="1:7" ht="15.75" x14ac:dyDescent="0.25">
      <c r="A28" s="9" t="s">
        <v>53</v>
      </c>
      <c r="B28" s="9"/>
      <c r="C28" s="10">
        <f>C19-C22+C25</f>
        <v>484668485</v>
      </c>
      <c r="D28" s="9"/>
      <c r="E28" s="10">
        <f>E19-E22+E25</f>
        <v>471762708</v>
      </c>
      <c r="F28" s="9"/>
      <c r="G28" s="10">
        <f>C28-E28</f>
        <v>12905777</v>
      </c>
    </row>
    <row r="29" spans="1:7" ht="15.75" x14ac:dyDescent="0.25">
      <c r="A29" s="9"/>
      <c r="B29" s="9"/>
      <c r="C29" s="10"/>
      <c r="D29" s="9"/>
      <c r="E29" s="10"/>
      <c r="F29" s="9"/>
      <c r="G29" s="10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 t="s">
        <v>58</v>
      </c>
      <c r="B31" s="9"/>
      <c r="C31" s="9"/>
      <c r="D31" s="9"/>
      <c r="E31" s="56">
        <f>G28/C28</f>
        <v>2.6628050718007796E-2</v>
      </c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9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  <row r="41" spans="1:7" x14ac:dyDescent="0.2">
      <c r="B41">
        <f>228275.53+875.4</f>
        <v>229150.93</v>
      </c>
    </row>
  </sheetData>
  <pageMargins left="0.75" right="0.75" top="1.2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A908F-085A-420E-9C96-972E7BF39B6A}">
  <sheetPr>
    <pageSetUpPr fitToPage="1"/>
  </sheetPr>
  <dimension ref="A1:W99"/>
  <sheetViews>
    <sheetView zoomScale="60" zoomScaleNormal="60" workbookViewId="0">
      <selection activeCell="E28" sqref="E28"/>
    </sheetView>
  </sheetViews>
  <sheetFormatPr defaultColWidth="9.6640625" defaultRowHeight="15" x14ac:dyDescent="0.2"/>
  <cols>
    <col min="1" max="1" width="11.33203125" style="1" customWidth="1"/>
    <col min="2" max="2" width="28.77734375" style="1" customWidth="1"/>
    <col min="3" max="3" width="19.33203125" style="1" customWidth="1"/>
    <col min="4" max="4" width="10" style="1" customWidth="1"/>
    <col min="5" max="5" width="17.6640625" style="1" customWidth="1"/>
    <col min="6" max="6" width="9.6640625" style="1" customWidth="1"/>
    <col min="7" max="7" width="8.5546875" style="1" customWidth="1"/>
    <col min="8" max="8" width="13.77734375" style="1" customWidth="1"/>
    <col min="9" max="9" width="21.88671875" style="1" customWidth="1"/>
    <col min="10" max="10" width="20.6640625" style="1" customWidth="1"/>
    <col min="11" max="20" width="9.6640625" style="1"/>
    <col min="21" max="21" width="17" style="72" bestFit="1" customWidth="1"/>
    <col min="22" max="22" width="9.6640625" style="1"/>
    <col min="23" max="23" width="14" style="72" bestFit="1" customWidth="1"/>
    <col min="24" max="16384" width="9.6640625" style="1"/>
  </cols>
  <sheetData>
    <row r="1" spans="1:11" x14ac:dyDescent="0.2">
      <c r="A1" s="2" t="s">
        <v>0</v>
      </c>
      <c r="B1" s="2" t="s">
        <v>23</v>
      </c>
      <c r="C1" s="2"/>
      <c r="D1" s="2"/>
      <c r="E1" s="2"/>
      <c r="F1" s="2"/>
      <c r="G1" s="2" t="s">
        <v>27</v>
      </c>
      <c r="H1" s="2"/>
      <c r="I1" s="2"/>
      <c r="J1" s="2"/>
    </row>
    <row r="2" spans="1:11" x14ac:dyDescent="0.2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</row>
    <row r="3" spans="1:11" x14ac:dyDescent="0.2">
      <c r="A3" s="3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</row>
    <row r="4" spans="1:11" ht="18" x14ac:dyDescent="0.25">
      <c r="A4" s="52" t="s">
        <v>2</v>
      </c>
      <c r="B4" s="52"/>
      <c r="C4" s="52"/>
      <c r="D4" s="52"/>
      <c r="E4" s="24" t="s">
        <v>92</v>
      </c>
      <c r="F4" s="52"/>
      <c r="G4" s="52" t="s">
        <v>28</v>
      </c>
      <c r="H4" s="52"/>
      <c r="I4" s="52" t="s">
        <v>51</v>
      </c>
      <c r="J4" s="25" t="str">
        <f>E4</f>
        <v>April</v>
      </c>
    </row>
    <row r="5" spans="1:11" ht="1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1" ht="18" x14ac:dyDescent="0.25">
      <c r="A6" s="52" t="s">
        <v>71</v>
      </c>
      <c r="B6" s="52"/>
      <c r="C6" s="52"/>
      <c r="D6" s="52"/>
      <c r="E6" s="26">
        <v>35545192</v>
      </c>
      <c r="F6" s="52"/>
      <c r="G6" s="52" t="s">
        <v>29</v>
      </c>
      <c r="H6" s="52"/>
      <c r="I6" s="52"/>
      <c r="J6" s="59"/>
      <c r="K6" s="55"/>
    </row>
    <row r="7" spans="1:11" ht="18" x14ac:dyDescent="0.25">
      <c r="A7" s="52"/>
      <c r="B7" s="52"/>
      <c r="C7" s="52"/>
      <c r="D7" s="52"/>
      <c r="E7" s="60"/>
      <c r="F7" s="52"/>
      <c r="G7" s="52"/>
      <c r="H7" s="52"/>
      <c r="I7" s="52"/>
      <c r="J7" s="52"/>
    </row>
    <row r="8" spans="1:11" ht="18" x14ac:dyDescent="0.25">
      <c r="A8" s="52" t="s">
        <v>72</v>
      </c>
      <c r="B8" s="52"/>
      <c r="C8" s="52"/>
      <c r="D8" s="52"/>
      <c r="E8" s="26">
        <f>34823839+150460</f>
        <v>34974299</v>
      </c>
      <c r="F8" s="52"/>
      <c r="G8" s="52" t="s">
        <v>30</v>
      </c>
      <c r="H8" s="52"/>
      <c r="I8" s="52"/>
      <c r="J8" s="54">
        <v>264101</v>
      </c>
    </row>
    <row r="9" spans="1:11" ht="18" x14ac:dyDescent="0.25">
      <c r="A9" s="52"/>
      <c r="B9" s="52"/>
      <c r="C9" s="52"/>
      <c r="D9" s="52"/>
      <c r="E9" s="60"/>
      <c r="F9" s="52"/>
      <c r="G9" s="52"/>
      <c r="H9" s="52" t="s">
        <v>26</v>
      </c>
      <c r="I9" s="52"/>
      <c r="J9" s="29" t="s">
        <v>26</v>
      </c>
    </row>
    <row r="10" spans="1:11" ht="18" x14ac:dyDescent="0.25">
      <c r="A10" s="52"/>
      <c r="B10" s="52"/>
      <c r="C10" s="52"/>
      <c r="D10" s="52"/>
      <c r="E10" s="60"/>
      <c r="F10" s="52"/>
      <c r="G10" s="52"/>
      <c r="H10" s="52" t="s">
        <v>26</v>
      </c>
      <c r="I10" s="52"/>
      <c r="J10" s="29" t="s">
        <v>26</v>
      </c>
    </row>
    <row r="11" spans="1:11" ht="18" x14ac:dyDescent="0.25">
      <c r="A11" s="52" t="s">
        <v>3</v>
      </c>
      <c r="B11" s="52"/>
      <c r="C11" s="52"/>
      <c r="D11" s="52"/>
      <c r="E11" s="60">
        <v>0</v>
      </c>
      <c r="F11" s="52"/>
      <c r="G11" s="52" t="s">
        <v>31</v>
      </c>
      <c r="H11" s="52"/>
      <c r="I11" s="52"/>
      <c r="J11" s="61">
        <f>E37</f>
        <v>70301.745159999991</v>
      </c>
    </row>
    <row r="12" spans="1:11" ht="18" x14ac:dyDescent="0.25">
      <c r="A12" s="52"/>
      <c r="B12" s="52"/>
      <c r="C12" s="52"/>
      <c r="D12" s="52"/>
      <c r="E12" s="60"/>
      <c r="F12" s="52"/>
      <c r="G12" s="52"/>
      <c r="H12" s="52"/>
      <c r="I12" s="52"/>
      <c r="J12" s="59"/>
    </row>
    <row r="13" spans="1:11" ht="18" x14ac:dyDescent="0.25">
      <c r="A13" s="52" t="s">
        <v>4</v>
      </c>
      <c r="B13" s="52"/>
      <c r="C13" s="52"/>
      <c r="D13" s="52"/>
      <c r="E13" s="60">
        <f>SUM(E8:E11)</f>
        <v>34974299</v>
      </c>
      <c r="F13" s="52"/>
      <c r="G13" s="52" t="s">
        <v>32</v>
      </c>
      <c r="H13" s="52"/>
      <c r="I13" s="52"/>
      <c r="J13" s="59">
        <v>0</v>
      </c>
    </row>
    <row r="14" spans="1:11" ht="18" x14ac:dyDescent="0.25">
      <c r="A14" s="52"/>
      <c r="B14" s="52"/>
      <c r="C14" s="52"/>
      <c r="D14" s="52"/>
      <c r="E14" s="60"/>
      <c r="F14" s="52"/>
      <c r="G14" s="52"/>
      <c r="H14" s="52"/>
      <c r="I14" s="52"/>
      <c r="J14" s="59"/>
    </row>
    <row r="15" spans="1:11" ht="18" x14ac:dyDescent="0.25">
      <c r="A15" s="52" t="s">
        <v>5</v>
      </c>
      <c r="B15" s="52"/>
      <c r="C15" s="52"/>
      <c r="D15" s="52"/>
      <c r="E15" s="62">
        <f>E6-E13</f>
        <v>570893</v>
      </c>
      <c r="F15" s="52"/>
      <c r="G15" s="52" t="s">
        <v>33</v>
      </c>
      <c r="H15" s="52"/>
      <c r="I15" s="52"/>
      <c r="J15" s="61">
        <f>ROUND((+J8+J11),4)</f>
        <v>334402.7452</v>
      </c>
    </row>
    <row r="16" spans="1:11" ht="18" x14ac:dyDescent="0.25">
      <c r="A16" s="52" t="s">
        <v>6</v>
      </c>
      <c r="B16" s="52"/>
      <c r="C16" s="52"/>
      <c r="D16" s="52"/>
      <c r="E16" s="60"/>
      <c r="F16" s="52"/>
      <c r="G16" s="52" t="s">
        <v>34</v>
      </c>
      <c r="H16" s="52"/>
      <c r="I16" s="52"/>
      <c r="J16" s="59"/>
    </row>
    <row r="17" spans="1:13" ht="18" x14ac:dyDescent="0.25">
      <c r="A17" s="52"/>
      <c r="B17" s="52"/>
      <c r="C17" s="52"/>
      <c r="D17" s="52"/>
      <c r="E17" s="60"/>
      <c r="F17" s="52"/>
      <c r="G17" s="52"/>
      <c r="H17" s="52"/>
      <c r="I17" s="52"/>
      <c r="J17" s="52"/>
    </row>
    <row r="18" spans="1:13" ht="18" x14ac:dyDescent="0.25">
      <c r="A18" s="63" t="s">
        <v>1</v>
      </c>
      <c r="B18" s="63" t="s">
        <v>1</v>
      </c>
      <c r="C18" s="63" t="s">
        <v>1</v>
      </c>
      <c r="D18" s="63" t="s">
        <v>1</v>
      </c>
      <c r="E18" s="64" t="s">
        <v>1</v>
      </c>
      <c r="F18" s="52"/>
      <c r="G18" s="52" t="s">
        <v>35</v>
      </c>
      <c r="H18" s="52"/>
      <c r="I18" s="52"/>
      <c r="J18" s="60">
        <f>E6</f>
        <v>35545192</v>
      </c>
    </row>
    <row r="19" spans="1:13" ht="18" x14ac:dyDescent="0.25">
      <c r="A19" s="63" t="s">
        <v>1</v>
      </c>
      <c r="B19" s="63" t="s">
        <v>1</v>
      </c>
      <c r="C19" s="63" t="s">
        <v>1</v>
      </c>
      <c r="D19" s="63" t="s">
        <v>1</v>
      </c>
      <c r="E19" s="64"/>
      <c r="F19" s="52"/>
      <c r="G19" s="52"/>
      <c r="H19" s="52"/>
      <c r="I19" s="52"/>
      <c r="J19" s="52"/>
    </row>
    <row r="20" spans="1:13" ht="18" x14ac:dyDescent="0.25">
      <c r="A20" s="52" t="s">
        <v>7</v>
      </c>
      <c r="B20" s="52"/>
      <c r="C20" s="52"/>
      <c r="D20" s="52" t="s">
        <v>25</v>
      </c>
      <c r="E20" s="24" t="s">
        <v>86</v>
      </c>
      <c r="F20" s="52"/>
      <c r="G20" s="52" t="s">
        <v>36</v>
      </c>
      <c r="H20" s="52"/>
      <c r="I20" s="52"/>
      <c r="J20" s="34">
        <f>ROUND((J8/J18),5)</f>
        <v>7.43E-3</v>
      </c>
    </row>
    <row r="21" spans="1:13" ht="18" x14ac:dyDescent="0.25">
      <c r="A21" s="52"/>
      <c r="B21" s="52"/>
      <c r="C21" s="52"/>
      <c r="D21" s="52"/>
      <c r="E21" s="60"/>
      <c r="F21" s="52"/>
      <c r="G21" s="52" t="s">
        <v>37</v>
      </c>
      <c r="H21" s="52"/>
      <c r="I21" s="52"/>
      <c r="J21" s="52"/>
    </row>
    <row r="22" spans="1:13" ht="18" x14ac:dyDescent="0.25">
      <c r="A22" s="52" t="s">
        <v>8</v>
      </c>
      <c r="B22" s="52"/>
      <c r="C22" s="52"/>
      <c r="D22" s="52"/>
      <c r="E22" s="53">
        <v>8.5199999999999998E-3</v>
      </c>
      <c r="F22" s="52"/>
      <c r="G22" s="52"/>
      <c r="H22" s="52"/>
      <c r="I22" s="52"/>
      <c r="J22" s="52"/>
    </row>
    <row r="23" spans="1:13" ht="18" x14ac:dyDescent="0.25">
      <c r="A23" s="52"/>
      <c r="B23" s="52"/>
      <c r="C23" s="52"/>
      <c r="D23" s="52"/>
      <c r="E23" s="60"/>
      <c r="F23" s="52"/>
      <c r="G23" s="52" t="s">
        <v>38</v>
      </c>
      <c r="H23" s="52"/>
      <c r="I23" s="52"/>
      <c r="J23" s="52"/>
    </row>
    <row r="24" spans="1:13" ht="18" x14ac:dyDescent="0.25">
      <c r="A24" s="52" t="s">
        <v>9</v>
      </c>
      <c r="B24" s="52"/>
      <c r="C24" s="52"/>
      <c r="D24" s="52"/>
      <c r="E24" s="35">
        <f>34871322+150460</f>
        <v>35021782</v>
      </c>
      <c r="F24" s="52"/>
      <c r="G24" s="63" t="s">
        <v>1</v>
      </c>
      <c r="H24" s="52"/>
      <c r="I24" s="52"/>
      <c r="J24" s="52"/>
    </row>
    <row r="25" spans="1:13" ht="18" x14ac:dyDescent="0.25">
      <c r="A25" s="52"/>
      <c r="B25" s="52"/>
      <c r="C25" s="52"/>
      <c r="D25" s="52"/>
      <c r="E25" s="35"/>
      <c r="F25" s="52"/>
      <c r="G25" s="52" t="s">
        <v>39</v>
      </c>
      <c r="H25" s="52"/>
      <c r="I25" s="52"/>
      <c r="J25" s="58">
        <f>'12 Mth Avg-Apr 22'!E31</f>
        <v>2.6792500452214763E-2</v>
      </c>
    </row>
    <row r="26" spans="1:13" ht="18" x14ac:dyDescent="0.25">
      <c r="A26" s="52" t="s">
        <v>10</v>
      </c>
      <c r="B26" s="52"/>
      <c r="C26" s="52"/>
      <c r="D26" s="52"/>
      <c r="E26" s="35">
        <f>6-47489</f>
        <v>-47483</v>
      </c>
      <c r="F26" s="52"/>
      <c r="G26" s="52"/>
      <c r="H26" s="52"/>
      <c r="I26" s="52"/>
      <c r="J26" s="52"/>
      <c r="M26" s="70"/>
    </row>
    <row r="27" spans="1:13" ht="18" x14ac:dyDescent="0.25">
      <c r="A27" s="52"/>
      <c r="B27" s="52"/>
      <c r="C27" s="52"/>
      <c r="D27" s="52"/>
      <c r="E27" s="62"/>
      <c r="F27" s="52"/>
      <c r="G27" s="52" t="s">
        <v>40</v>
      </c>
      <c r="H27" s="52"/>
      <c r="I27" s="52"/>
      <c r="J27" s="36" t="str">
        <f>E4</f>
        <v>April</v>
      </c>
    </row>
    <row r="28" spans="1:13" ht="18" x14ac:dyDescent="0.25">
      <c r="A28" s="52" t="s">
        <v>11</v>
      </c>
      <c r="B28" s="52"/>
      <c r="C28" s="52"/>
      <c r="D28" s="52"/>
      <c r="E28" s="62">
        <f>SUM(E24:E27)</f>
        <v>34974299</v>
      </c>
      <c r="F28" s="52"/>
      <c r="G28" s="52"/>
      <c r="H28" s="52"/>
      <c r="I28" s="52"/>
      <c r="J28" s="52"/>
    </row>
    <row r="29" spans="1:13" ht="18" x14ac:dyDescent="0.25">
      <c r="A29" s="52" t="s">
        <v>12</v>
      </c>
      <c r="B29" s="52"/>
      <c r="C29" s="52"/>
      <c r="D29" s="52"/>
      <c r="E29" s="60"/>
      <c r="F29" s="52"/>
      <c r="G29" s="52" t="s">
        <v>41</v>
      </c>
      <c r="H29" s="52"/>
      <c r="I29" s="52"/>
      <c r="J29" s="65">
        <f>ROUND((+E15/E6),6)</f>
        <v>1.6060999999999999E-2</v>
      </c>
    </row>
    <row r="30" spans="1:13" ht="18" x14ac:dyDescent="0.25">
      <c r="A30" s="52"/>
      <c r="B30" s="52" t="s">
        <v>26</v>
      </c>
      <c r="C30" s="52"/>
      <c r="D30" s="52"/>
      <c r="E30" s="60"/>
      <c r="F30" s="52"/>
      <c r="G30" s="52" t="s">
        <v>42</v>
      </c>
      <c r="H30" s="52"/>
      <c r="I30" s="52"/>
      <c r="J30" s="52"/>
    </row>
    <row r="31" spans="1:13" ht="18" x14ac:dyDescent="0.25">
      <c r="A31" s="52" t="s">
        <v>13</v>
      </c>
      <c r="B31" s="52"/>
      <c r="C31" s="52"/>
      <c r="D31" s="52"/>
      <c r="E31" s="54">
        <v>364280.03</v>
      </c>
      <c r="F31" s="52"/>
      <c r="G31" s="52"/>
      <c r="H31" s="52"/>
      <c r="I31" s="52"/>
      <c r="J31" s="52"/>
    </row>
    <row r="32" spans="1:13" ht="18" x14ac:dyDescent="0.25">
      <c r="A32" s="52" t="s">
        <v>14</v>
      </c>
      <c r="B32" s="52"/>
      <c r="C32" s="52"/>
      <c r="D32" s="52"/>
      <c r="E32" s="61"/>
      <c r="F32" s="52"/>
      <c r="G32" s="52" t="s">
        <v>43</v>
      </c>
      <c r="H32" s="52"/>
      <c r="I32" s="52"/>
      <c r="J32" s="52"/>
    </row>
    <row r="33" spans="1:10" ht="18" x14ac:dyDescent="0.25">
      <c r="A33" s="52"/>
      <c r="B33" s="52"/>
      <c r="C33" s="52"/>
      <c r="D33" s="52"/>
      <c r="E33" s="61"/>
      <c r="F33" s="52"/>
      <c r="G33" s="63" t="s">
        <v>1</v>
      </c>
      <c r="H33" s="63" t="s">
        <v>1</v>
      </c>
      <c r="I33" s="63" t="s">
        <v>1</v>
      </c>
      <c r="J33" s="52"/>
    </row>
    <row r="34" spans="1:10" ht="18" x14ac:dyDescent="0.25">
      <c r="A34" s="52" t="s">
        <v>15</v>
      </c>
      <c r="B34" s="52"/>
      <c r="C34" s="52"/>
      <c r="D34" s="52"/>
      <c r="E34" s="61">
        <f>(+E26*E22)+B41</f>
        <v>293978.28484000004</v>
      </c>
      <c r="F34" s="52"/>
      <c r="G34" s="52" t="s">
        <v>44</v>
      </c>
      <c r="H34" s="52"/>
      <c r="I34" s="52"/>
      <c r="J34" s="65">
        <f>ROUND((1-J25),7)</f>
        <v>0.9732075</v>
      </c>
    </row>
    <row r="35" spans="1:10" ht="18" x14ac:dyDescent="0.25">
      <c r="A35" s="52" t="s">
        <v>16</v>
      </c>
      <c r="B35" s="52"/>
      <c r="C35" s="52"/>
      <c r="D35" s="52"/>
      <c r="E35" s="61"/>
      <c r="F35" s="52"/>
      <c r="G35" s="52" t="s">
        <v>45</v>
      </c>
      <c r="H35" s="52"/>
      <c r="I35" s="52"/>
      <c r="J35" s="52"/>
    </row>
    <row r="36" spans="1:10" ht="18" x14ac:dyDescent="0.25">
      <c r="A36" s="52"/>
      <c r="B36" s="52"/>
      <c r="C36" s="52"/>
      <c r="D36" s="52"/>
      <c r="E36" s="61"/>
      <c r="F36" s="52"/>
      <c r="G36" s="52"/>
      <c r="H36" s="52"/>
      <c r="I36" s="52"/>
      <c r="J36" s="52"/>
    </row>
    <row r="37" spans="1:10" ht="18" x14ac:dyDescent="0.25">
      <c r="A37" s="52" t="s">
        <v>17</v>
      </c>
      <c r="B37" s="52"/>
      <c r="C37" s="52"/>
      <c r="D37" s="52"/>
      <c r="E37" s="61">
        <f>(E31-E34)</f>
        <v>70301.745159999991</v>
      </c>
      <c r="F37" s="52"/>
      <c r="G37" s="52" t="s">
        <v>46</v>
      </c>
      <c r="H37" s="52"/>
      <c r="I37" s="52"/>
      <c r="J37" s="66">
        <f>ROUND((J15/J18),5)</f>
        <v>9.41E-3</v>
      </c>
    </row>
    <row r="38" spans="1:10" ht="18" x14ac:dyDescent="0.25">
      <c r="A38" s="52" t="s">
        <v>18</v>
      </c>
      <c r="B38" s="52"/>
      <c r="C38" s="52"/>
      <c r="D38" s="52"/>
      <c r="E38" s="61"/>
      <c r="F38" s="52"/>
      <c r="G38" s="52" t="s">
        <v>47</v>
      </c>
      <c r="H38" s="52"/>
      <c r="I38" s="52"/>
      <c r="J38" s="66"/>
    </row>
    <row r="39" spans="1:10" ht="18" x14ac:dyDescent="0.25">
      <c r="A39" s="52"/>
      <c r="B39" s="52"/>
      <c r="C39" s="52"/>
      <c r="D39" s="52"/>
      <c r="E39" s="59"/>
      <c r="F39" s="52"/>
      <c r="G39" s="52"/>
      <c r="H39" s="52"/>
      <c r="I39" s="52"/>
      <c r="J39" s="66"/>
    </row>
    <row r="40" spans="1:10" ht="18" x14ac:dyDescent="0.25">
      <c r="A40" s="52"/>
      <c r="B40" s="39" t="s">
        <v>24</v>
      </c>
      <c r="C40" s="39"/>
      <c r="D40" s="39"/>
      <c r="E40" s="59"/>
      <c r="F40" s="52"/>
      <c r="G40" s="52" t="s">
        <v>48</v>
      </c>
      <c r="H40" s="52"/>
      <c r="I40" s="52"/>
      <c r="J40" s="40">
        <f>ROUND((J37/J34),7)</f>
        <v>9.6690999999999999E-3</v>
      </c>
    </row>
    <row r="41" spans="1:10" ht="18" x14ac:dyDescent="0.25">
      <c r="A41" s="52"/>
      <c r="B41" s="57">
        <f>293143.01+1239.83</f>
        <v>294382.84000000003</v>
      </c>
      <c r="D41" s="41"/>
      <c r="E41" s="59"/>
      <c r="F41" s="52"/>
      <c r="G41" s="52"/>
      <c r="H41" s="52"/>
      <c r="I41" s="52"/>
      <c r="J41" s="52"/>
    </row>
    <row r="42" spans="1:10" ht="18" x14ac:dyDescent="0.25">
      <c r="A42" s="52"/>
      <c r="B42" s="52"/>
      <c r="C42" s="52"/>
      <c r="D42" s="52"/>
      <c r="E42" s="52"/>
      <c r="F42" s="52"/>
      <c r="G42" s="52" t="s">
        <v>49</v>
      </c>
      <c r="H42" s="52"/>
      <c r="I42" s="52"/>
      <c r="J42" s="67">
        <f>ROUND((+J40*100),3)</f>
        <v>0.96699999999999997</v>
      </c>
    </row>
    <row r="43" spans="1:10" ht="18" x14ac:dyDescent="0.25">
      <c r="A43" s="63" t="s">
        <v>1</v>
      </c>
      <c r="B43" s="63" t="s">
        <v>1</v>
      </c>
      <c r="C43" s="63" t="s">
        <v>1</v>
      </c>
      <c r="D43" s="63" t="s">
        <v>1</v>
      </c>
      <c r="E43" s="63" t="s">
        <v>1</v>
      </c>
      <c r="F43" s="63" t="s">
        <v>1</v>
      </c>
      <c r="G43" s="63" t="s">
        <v>1</v>
      </c>
      <c r="H43" s="63" t="s">
        <v>1</v>
      </c>
      <c r="I43" s="63" t="s">
        <v>1</v>
      </c>
      <c r="J43" s="63" t="s">
        <v>1</v>
      </c>
    </row>
    <row r="44" spans="1:10" ht="18" x14ac:dyDescent="0.25">
      <c r="A44" s="52" t="s">
        <v>19</v>
      </c>
      <c r="B44" s="52"/>
      <c r="C44" s="52"/>
      <c r="D44" s="68">
        <f>J42</f>
        <v>0.96699999999999997</v>
      </c>
      <c r="E44" s="52" t="s">
        <v>26</v>
      </c>
      <c r="F44" s="69"/>
      <c r="G44" s="52"/>
      <c r="H44" s="52"/>
      <c r="I44" s="52"/>
      <c r="J44" s="52"/>
    </row>
    <row r="45" spans="1:10" ht="18" x14ac:dyDescent="0.25">
      <c r="A45" s="52" t="s">
        <v>20</v>
      </c>
      <c r="B45" s="71">
        <f>I46+28</f>
        <v>44725</v>
      </c>
      <c r="C45" s="52"/>
      <c r="D45" s="52" t="s">
        <v>26</v>
      </c>
      <c r="E45" s="52"/>
      <c r="F45" s="52"/>
      <c r="G45" s="52"/>
      <c r="H45" s="52"/>
      <c r="I45" s="52"/>
      <c r="J45" s="52"/>
    </row>
    <row r="46" spans="1:10" ht="18" x14ac:dyDescent="0.25">
      <c r="A46" s="52"/>
      <c r="B46" s="52"/>
      <c r="C46" s="52"/>
      <c r="D46" s="52"/>
      <c r="E46" s="36"/>
      <c r="F46" s="52"/>
      <c r="G46" s="52"/>
      <c r="H46" s="45" t="s">
        <v>50</v>
      </c>
      <c r="I46" s="71">
        <v>44697</v>
      </c>
      <c r="J46" s="46"/>
    </row>
    <row r="47" spans="1:10" ht="18" x14ac:dyDescent="0.25">
      <c r="A47" s="52" t="s">
        <v>100</v>
      </c>
      <c r="B47" s="52" t="s">
        <v>105</v>
      </c>
      <c r="C47" s="52"/>
      <c r="D47" s="52"/>
      <c r="E47" s="52"/>
      <c r="F47" s="52"/>
      <c r="G47" s="52"/>
      <c r="H47" s="52" t="s">
        <v>106</v>
      </c>
      <c r="I47" s="52"/>
      <c r="J47" s="52"/>
    </row>
    <row r="48" spans="1:10" ht="18" x14ac:dyDescent="0.25">
      <c r="A48" s="52" t="s">
        <v>21</v>
      </c>
      <c r="B48" s="52"/>
      <c r="C48" s="52"/>
      <c r="D48" s="52"/>
      <c r="E48" s="52"/>
      <c r="F48" s="52"/>
      <c r="G48" s="52"/>
      <c r="H48" s="52" t="s">
        <v>103</v>
      </c>
      <c r="I48" s="52"/>
      <c r="J48" s="52"/>
    </row>
    <row r="49" spans="1:10" ht="15.75" x14ac:dyDescent="0.25">
      <c r="A49" s="6" t="s">
        <v>22</v>
      </c>
      <c r="B49" s="2"/>
      <c r="C49" s="2"/>
      <c r="D49" s="2"/>
      <c r="E49" s="2"/>
      <c r="F49" s="7"/>
      <c r="G49" s="2"/>
      <c r="H49" s="7"/>
      <c r="I49" s="2" t="s">
        <v>26</v>
      </c>
      <c r="J49" s="4"/>
    </row>
    <row r="50" spans="1:10" ht="15.75" x14ac:dyDescent="0.25">
      <c r="A50" s="2"/>
      <c r="B50" s="2"/>
      <c r="C50" s="2"/>
      <c r="D50" s="2"/>
      <c r="E50" s="2"/>
      <c r="F50" s="2"/>
      <c r="G50" s="2"/>
      <c r="H50" s="7"/>
      <c r="I50" s="7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8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5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5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5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5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5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5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5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5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5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5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5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5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5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5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5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5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5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5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5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5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5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5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5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6CC77-2800-4CAD-ADF7-891B44A0E563}">
  <dimension ref="A1:G40"/>
  <sheetViews>
    <sheetView workbookViewId="0">
      <selection activeCell="B41" sqref="B41"/>
    </sheetView>
  </sheetViews>
  <sheetFormatPr defaultRowHeight="15" x14ac:dyDescent="0.2"/>
  <cols>
    <col min="1" max="1" width="21" customWidth="1"/>
    <col min="3" max="3" width="11.5546875" customWidth="1"/>
    <col min="4" max="4" width="3.6640625" customWidth="1"/>
    <col min="5" max="5" width="11.88671875" bestFit="1" customWidth="1"/>
    <col min="6" max="6" width="3.77734375" customWidth="1"/>
    <col min="7" max="7" width="12" customWidth="1"/>
  </cols>
  <sheetData>
    <row r="1" spans="1:7" ht="15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59</v>
      </c>
      <c r="B2" s="15"/>
      <c r="C2" s="15"/>
      <c r="D2" s="15"/>
      <c r="E2" s="15"/>
      <c r="F2" s="15"/>
      <c r="G2" s="15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 t="s">
        <v>60</v>
      </c>
      <c r="B5" s="11"/>
      <c r="C5" s="11"/>
      <c r="D5" s="11"/>
      <c r="E5" s="11"/>
      <c r="F5" s="11"/>
      <c r="G5" s="11"/>
    </row>
    <row r="6" spans="1:7" ht="15.75" x14ac:dyDescent="0.25">
      <c r="A6" s="11" t="s">
        <v>61</v>
      </c>
      <c r="B6" s="11"/>
      <c r="C6" s="11"/>
      <c r="D6" s="11"/>
      <c r="E6" s="11"/>
      <c r="F6" s="11"/>
      <c r="G6" s="11"/>
    </row>
    <row r="7" spans="1:7" ht="15.75" x14ac:dyDescent="0.25">
      <c r="A7" s="11" t="s">
        <v>62</v>
      </c>
      <c r="B7" s="11"/>
      <c r="C7" s="11"/>
      <c r="D7" s="11"/>
      <c r="E7" s="11"/>
      <c r="F7" s="11"/>
      <c r="G7" s="11"/>
    </row>
    <row r="8" spans="1:7" ht="15.75" x14ac:dyDescent="0.25">
      <c r="A8" s="9"/>
      <c r="B8" s="9"/>
      <c r="C8" s="9"/>
      <c r="D8" s="9"/>
      <c r="E8" s="9"/>
      <c r="F8" s="9"/>
      <c r="G8" s="9"/>
    </row>
    <row r="9" spans="1:7" ht="15.75" x14ac:dyDescent="0.25">
      <c r="A9" s="19">
        <v>44681</v>
      </c>
      <c r="B9" s="11"/>
      <c r="C9" s="11"/>
      <c r="D9" s="11"/>
      <c r="E9" s="11"/>
      <c r="F9" s="11"/>
      <c r="G9" s="11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15"/>
      <c r="B11" s="15"/>
      <c r="C11" s="15"/>
      <c r="D11" s="15"/>
      <c r="E11" s="15"/>
      <c r="F11" s="15"/>
      <c r="G11" s="15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2"/>
      <c r="B13" s="12"/>
      <c r="C13" s="16" t="s">
        <v>63</v>
      </c>
      <c r="D13" s="12"/>
      <c r="E13" s="16" t="s">
        <v>66</v>
      </c>
      <c r="F13" s="16"/>
      <c r="G13" s="16" t="s">
        <v>69</v>
      </c>
    </row>
    <row r="14" spans="1:7" ht="15.75" x14ac:dyDescent="0.25">
      <c r="A14" s="12"/>
      <c r="B14" s="12"/>
      <c r="C14" s="16" t="s">
        <v>64</v>
      </c>
      <c r="D14" s="12"/>
      <c r="E14" s="16" t="s">
        <v>64</v>
      </c>
      <c r="F14" s="16"/>
      <c r="G14" s="16" t="s">
        <v>64</v>
      </c>
    </row>
    <row r="15" spans="1:7" ht="15.75" x14ac:dyDescent="0.25">
      <c r="A15" s="12"/>
      <c r="B15" s="12"/>
      <c r="C15" s="16" t="s">
        <v>65</v>
      </c>
      <c r="D15" s="12"/>
      <c r="E15" s="16" t="s">
        <v>67</v>
      </c>
      <c r="F15" s="16"/>
      <c r="G15" s="16" t="s">
        <v>68</v>
      </c>
    </row>
    <row r="16" spans="1:7" ht="15.75" x14ac:dyDescent="0.25">
      <c r="A16" s="12"/>
      <c r="B16" s="12"/>
      <c r="C16" s="16"/>
      <c r="D16" s="12"/>
      <c r="E16" s="16" t="s">
        <v>70</v>
      </c>
      <c r="F16" s="16"/>
      <c r="G16" s="16"/>
    </row>
    <row r="17" spans="1:7" ht="15.75" x14ac:dyDescent="0.25">
      <c r="A17" s="9"/>
      <c r="B17" s="9"/>
      <c r="C17" s="9"/>
      <c r="D17" s="9"/>
      <c r="E17" s="9"/>
      <c r="F17" s="9"/>
      <c r="G17" s="9"/>
    </row>
    <row r="18" spans="1:7" ht="15.75" x14ac:dyDescent="0.25">
      <c r="A18" s="9" t="s">
        <v>52</v>
      </c>
      <c r="B18" s="9"/>
      <c r="C18" s="9"/>
      <c r="D18" s="9"/>
      <c r="E18" s="9"/>
      <c r="F18" s="9"/>
      <c r="G18" s="9"/>
    </row>
    <row r="19" spans="1:7" ht="15.75" x14ac:dyDescent="0.25">
      <c r="A19" s="9" t="s">
        <v>53</v>
      </c>
      <c r="B19" s="9"/>
      <c r="C19" s="13">
        <v>484668485</v>
      </c>
      <c r="D19" s="14"/>
      <c r="E19" s="13">
        <v>471762708</v>
      </c>
      <c r="F19" s="14"/>
      <c r="G19" s="13">
        <f>C19-E19</f>
        <v>12905777</v>
      </c>
    </row>
    <row r="20" spans="1:7" ht="15.75" x14ac:dyDescent="0.25">
      <c r="A20" s="9"/>
      <c r="B20" s="9"/>
      <c r="C20" s="13"/>
      <c r="D20" s="14"/>
      <c r="E20" s="13"/>
      <c r="F20" s="14"/>
      <c r="G20" s="13"/>
    </row>
    <row r="21" spans="1:7" ht="15.75" x14ac:dyDescent="0.25">
      <c r="A21" s="9" t="s">
        <v>54</v>
      </c>
      <c r="B21" s="9"/>
      <c r="C21" s="13"/>
      <c r="D21" s="14"/>
      <c r="E21" s="13"/>
      <c r="F21" s="14"/>
      <c r="G21" s="13"/>
    </row>
    <row r="22" spans="1:7" ht="15.75" x14ac:dyDescent="0.25">
      <c r="A22" s="9" t="s">
        <v>55</v>
      </c>
      <c r="B22" s="9"/>
      <c r="C22" s="13">
        <v>33923716</v>
      </c>
      <c r="D22" s="14"/>
      <c r="E22" s="13">
        <v>33475970</v>
      </c>
      <c r="F22" s="14"/>
      <c r="G22" s="13">
        <f>C22-E22</f>
        <v>447746</v>
      </c>
    </row>
    <row r="23" spans="1:7" ht="15.75" x14ac:dyDescent="0.25">
      <c r="A23" s="9"/>
      <c r="B23" s="9"/>
      <c r="C23" s="13"/>
      <c r="D23" s="14"/>
      <c r="E23" s="13"/>
      <c r="F23" s="14"/>
      <c r="G23" s="13"/>
    </row>
    <row r="24" spans="1:7" ht="15.75" x14ac:dyDescent="0.25">
      <c r="A24" s="9" t="s">
        <v>56</v>
      </c>
      <c r="B24" s="9"/>
      <c r="C24" s="13"/>
      <c r="D24" s="14"/>
      <c r="E24" s="13"/>
      <c r="F24" s="14"/>
      <c r="G24" s="13"/>
    </row>
    <row r="25" spans="1:7" ht="15.75" x14ac:dyDescent="0.25">
      <c r="A25" s="9" t="s">
        <v>55</v>
      </c>
      <c r="B25" s="9"/>
      <c r="C25" s="13">
        <v>35545192</v>
      </c>
      <c r="D25" s="14"/>
      <c r="E25" s="13">
        <v>34974299</v>
      </c>
      <c r="F25" s="14"/>
      <c r="G25" s="13">
        <f>C25-E25</f>
        <v>570893</v>
      </c>
    </row>
    <row r="26" spans="1:7" ht="15.75" x14ac:dyDescent="0.25">
      <c r="A26" s="9"/>
      <c r="B26" s="9"/>
      <c r="C26" s="10"/>
      <c r="D26" s="9"/>
      <c r="E26" s="10"/>
      <c r="F26" s="9"/>
      <c r="G26" s="10"/>
    </row>
    <row r="27" spans="1:7" ht="15.75" x14ac:dyDescent="0.25">
      <c r="A27" s="9" t="s">
        <v>57</v>
      </c>
      <c r="B27" s="9"/>
      <c r="C27" s="10"/>
      <c r="D27" s="9"/>
      <c r="E27" s="10"/>
      <c r="F27" s="9"/>
      <c r="G27" s="10"/>
    </row>
    <row r="28" spans="1:7" ht="15.75" x14ac:dyDescent="0.25">
      <c r="A28" s="9" t="s">
        <v>53</v>
      </c>
      <c r="B28" s="9"/>
      <c r="C28" s="10">
        <f>C19-C22+C25</f>
        <v>486289961</v>
      </c>
      <c r="D28" s="9"/>
      <c r="E28" s="10">
        <f>E19-E22+E25</f>
        <v>473261037</v>
      </c>
      <c r="F28" s="9"/>
      <c r="G28" s="10">
        <f>C28-E28</f>
        <v>13028924</v>
      </c>
    </row>
    <row r="29" spans="1:7" ht="15.75" x14ac:dyDescent="0.25">
      <c r="A29" s="9"/>
      <c r="B29" s="9"/>
      <c r="C29" s="10"/>
      <c r="D29" s="9"/>
      <c r="E29" s="10"/>
      <c r="F29" s="9"/>
      <c r="G29" s="10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 t="s">
        <v>58</v>
      </c>
      <c r="B31" s="9"/>
      <c r="C31" s="9"/>
      <c r="D31" s="9"/>
      <c r="E31" s="56">
        <f>G28/C28</f>
        <v>2.6792500452214763E-2</v>
      </c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9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</sheetData>
  <pageMargins left="0.75" right="0.75" top="1.2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41DE2-4BA5-4546-925B-2B3DEF9611BE}">
  <sheetPr>
    <pageSetUpPr fitToPage="1"/>
  </sheetPr>
  <dimension ref="A1:W99"/>
  <sheetViews>
    <sheetView zoomScale="60" zoomScaleNormal="60" workbookViewId="0">
      <selection activeCell="M26" sqref="M26"/>
    </sheetView>
  </sheetViews>
  <sheetFormatPr defaultColWidth="9.6640625" defaultRowHeight="15" x14ac:dyDescent="0.2"/>
  <cols>
    <col min="1" max="1" width="11.33203125" style="1" customWidth="1"/>
    <col min="2" max="2" width="28.77734375" style="1" customWidth="1"/>
    <col min="3" max="3" width="19.33203125" style="1" customWidth="1"/>
    <col min="4" max="4" width="10" style="1" customWidth="1"/>
    <col min="5" max="5" width="17.6640625" style="1" customWidth="1"/>
    <col min="6" max="6" width="9.6640625" style="1" customWidth="1"/>
    <col min="7" max="7" width="8.5546875" style="1" customWidth="1"/>
    <col min="8" max="8" width="13.77734375" style="1" customWidth="1"/>
    <col min="9" max="9" width="21.88671875" style="1" customWidth="1"/>
    <col min="10" max="10" width="20.6640625" style="1" customWidth="1"/>
    <col min="11" max="20" width="9.6640625" style="1"/>
    <col min="21" max="21" width="17" style="72" bestFit="1" customWidth="1"/>
    <col min="22" max="22" width="9.6640625" style="1"/>
    <col min="23" max="23" width="14" style="72" bestFit="1" customWidth="1"/>
    <col min="24" max="16384" width="9.6640625" style="1"/>
  </cols>
  <sheetData>
    <row r="1" spans="1:11" x14ac:dyDescent="0.2">
      <c r="A1" s="2" t="s">
        <v>0</v>
      </c>
      <c r="B1" s="2" t="s">
        <v>23</v>
      </c>
      <c r="C1" s="2"/>
      <c r="D1" s="2"/>
      <c r="E1" s="2"/>
      <c r="F1" s="2"/>
      <c r="G1" s="2" t="s">
        <v>27</v>
      </c>
      <c r="H1" s="2"/>
      <c r="I1" s="2"/>
      <c r="J1" s="2"/>
    </row>
    <row r="2" spans="1:11" x14ac:dyDescent="0.2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</row>
    <row r="3" spans="1:11" x14ac:dyDescent="0.2">
      <c r="A3" s="3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</row>
    <row r="4" spans="1:11" ht="18" x14ac:dyDescent="0.25">
      <c r="A4" s="52" t="s">
        <v>2</v>
      </c>
      <c r="B4" s="52"/>
      <c r="C4" s="52"/>
      <c r="D4" s="52"/>
      <c r="E4" s="24" t="s">
        <v>94</v>
      </c>
      <c r="F4" s="52"/>
      <c r="G4" s="52" t="s">
        <v>28</v>
      </c>
      <c r="H4" s="52"/>
      <c r="I4" s="52" t="s">
        <v>51</v>
      </c>
      <c r="J4" s="25" t="str">
        <f>E4</f>
        <v>May</v>
      </c>
    </row>
    <row r="5" spans="1:11" ht="1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1" ht="18" x14ac:dyDescent="0.25">
      <c r="A6" s="52" t="s">
        <v>71</v>
      </c>
      <c r="B6" s="52"/>
      <c r="C6" s="52"/>
      <c r="D6" s="52"/>
      <c r="E6" s="26">
        <v>36594834</v>
      </c>
      <c r="F6" s="52"/>
      <c r="G6" s="52" t="s">
        <v>29</v>
      </c>
      <c r="H6" s="52"/>
      <c r="I6" s="52"/>
      <c r="J6" s="59"/>
      <c r="K6" s="55"/>
    </row>
    <row r="7" spans="1:11" ht="18" x14ac:dyDescent="0.25">
      <c r="A7" s="52"/>
      <c r="B7" s="52"/>
      <c r="C7" s="52"/>
      <c r="D7" s="52"/>
      <c r="E7" s="60"/>
      <c r="F7" s="52"/>
      <c r="G7" s="52"/>
      <c r="H7" s="52"/>
      <c r="I7" s="52"/>
      <c r="J7" s="52"/>
    </row>
    <row r="8" spans="1:11" ht="18" x14ac:dyDescent="0.25">
      <c r="A8" s="52" t="s">
        <v>72</v>
      </c>
      <c r="B8" s="52"/>
      <c r="C8" s="52"/>
      <c r="D8" s="52"/>
      <c r="E8" s="26">
        <v>35410638</v>
      </c>
      <c r="F8" s="52"/>
      <c r="G8" s="52" t="s">
        <v>30</v>
      </c>
      <c r="H8" s="52"/>
      <c r="I8" s="52"/>
      <c r="J8" s="54">
        <v>258726</v>
      </c>
    </row>
    <row r="9" spans="1:11" ht="18" x14ac:dyDescent="0.25">
      <c r="A9" s="52"/>
      <c r="B9" s="52"/>
      <c r="C9" s="52"/>
      <c r="D9" s="52"/>
      <c r="E9" s="60"/>
      <c r="F9" s="52"/>
      <c r="G9" s="52"/>
      <c r="H9" s="52" t="s">
        <v>26</v>
      </c>
      <c r="I9" s="52"/>
      <c r="J9" s="29" t="s">
        <v>26</v>
      </c>
    </row>
    <row r="10" spans="1:11" ht="18" x14ac:dyDescent="0.25">
      <c r="A10" s="52"/>
      <c r="B10" s="52"/>
      <c r="C10" s="52"/>
      <c r="D10" s="52"/>
      <c r="E10" s="60"/>
      <c r="F10" s="52"/>
      <c r="G10" s="52"/>
      <c r="H10" s="52" t="s">
        <v>26</v>
      </c>
      <c r="I10" s="52"/>
      <c r="J10" s="29" t="s">
        <v>26</v>
      </c>
    </row>
    <row r="11" spans="1:11" ht="18" x14ac:dyDescent="0.25">
      <c r="A11" s="52" t="s">
        <v>3</v>
      </c>
      <c r="B11" s="52"/>
      <c r="C11" s="52"/>
      <c r="D11" s="52"/>
      <c r="E11" s="60">
        <v>0</v>
      </c>
      <c r="F11" s="52"/>
      <c r="G11" s="52" t="s">
        <v>31</v>
      </c>
      <c r="H11" s="52"/>
      <c r="I11" s="52"/>
      <c r="J11" s="61">
        <f>E37</f>
        <v>46666.409050000017</v>
      </c>
    </row>
    <row r="12" spans="1:11" ht="18" x14ac:dyDescent="0.25">
      <c r="A12" s="52"/>
      <c r="B12" s="52"/>
      <c r="C12" s="52"/>
      <c r="D12" s="52"/>
      <c r="E12" s="60"/>
      <c r="F12" s="52"/>
      <c r="G12" s="52"/>
      <c r="H12" s="52"/>
      <c r="I12" s="52"/>
      <c r="J12" s="59"/>
    </row>
    <row r="13" spans="1:11" ht="18" x14ac:dyDescent="0.25">
      <c r="A13" s="52" t="s">
        <v>4</v>
      </c>
      <c r="B13" s="52"/>
      <c r="C13" s="52"/>
      <c r="D13" s="52"/>
      <c r="E13" s="60">
        <f>SUM(E8:E11)</f>
        <v>35410638</v>
      </c>
      <c r="F13" s="52"/>
      <c r="G13" s="52" t="s">
        <v>32</v>
      </c>
      <c r="H13" s="52"/>
      <c r="I13" s="52"/>
      <c r="J13" s="59">
        <v>0</v>
      </c>
    </row>
    <row r="14" spans="1:11" ht="18" x14ac:dyDescent="0.25">
      <c r="A14" s="52"/>
      <c r="B14" s="52"/>
      <c r="C14" s="52"/>
      <c r="D14" s="52"/>
      <c r="E14" s="60"/>
      <c r="F14" s="52"/>
      <c r="G14" s="52"/>
      <c r="H14" s="52"/>
      <c r="I14" s="52"/>
      <c r="J14" s="59"/>
    </row>
    <row r="15" spans="1:11" ht="18" x14ac:dyDescent="0.25">
      <c r="A15" s="52" t="s">
        <v>5</v>
      </c>
      <c r="B15" s="52"/>
      <c r="C15" s="52"/>
      <c r="D15" s="52"/>
      <c r="E15" s="62">
        <f>E6-E13</f>
        <v>1184196</v>
      </c>
      <c r="F15" s="52"/>
      <c r="G15" s="52" t="s">
        <v>33</v>
      </c>
      <c r="H15" s="52"/>
      <c r="I15" s="52"/>
      <c r="J15" s="61">
        <f>ROUND((+J8+J11),4)</f>
        <v>305392.40909999999</v>
      </c>
    </row>
    <row r="16" spans="1:11" ht="18" x14ac:dyDescent="0.25">
      <c r="A16" s="52" t="s">
        <v>6</v>
      </c>
      <c r="B16" s="52"/>
      <c r="C16" s="52"/>
      <c r="D16" s="52"/>
      <c r="E16" s="60"/>
      <c r="F16" s="52"/>
      <c r="G16" s="52" t="s">
        <v>34</v>
      </c>
      <c r="H16" s="52"/>
      <c r="I16" s="52"/>
      <c r="J16" s="59"/>
    </row>
    <row r="17" spans="1:13" ht="18" x14ac:dyDescent="0.25">
      <c r="A17" s="52"/>
      <c r="B17" s="52"/>
      <c r="C17" s="52"/>
      <c r="D17" s="52"/>
      <c r="E17" s="60"/>
      <c r="F17" s="52"/>
      <c r="G17" s="52"/>
      <c r="H17" s="52"/>
      <c r="I17" s="52"/>
      <c r="J17" s="52"/>
    </row>
    <row r="18" spans="1:13" ht="18" x14ac:dyDescent="0.25">
      <c r="A18" s="63" t="s">
        <v>1</v>
      </c>
      <c r="B18" s="63" t="s">
        <v>1</v>
      </c>
      <c r="C18" s="63" t="s">
        <v>1</v>
      </c>
      <c r="D18" s="63" t="s">
        <v>1</v>
      </c>
      <c r="E18" s="64" t="s">
        <v>1</v>
      </c>
      <c r="F18" s="52"/>
      <c r="G18" s="52" t="s">
        <v>35</v>
      </c>
      <c r="H18" s="52"/>
      <c r="I18" s="52"/>
      <c r="J18" s="60">
        <f>E6</f>
        <v>36594834</v>
      </c>
    </row>
    <row r="19" spans="1:13" ht="18" x14ac:dyDescent="0.25">
      <c r="A19" s="63" t="s">
        <v>1</v>
      </c>
      <c r="B19" s="63" t="s">
        <v>1</v>
      </c>
      <c r="C19" s="63" t="s">
        <v>1</v>
      </c>
      <c r="D19" s="63" t="s">
        <v>1</v>
      </c>
      <c r="E19" s="64"/>
      <c r="F19" s="52"/>
      <c r="G19" s="52"/>
      <c r="H19" s="52"/>
      <c r="I19" s="52"/>
      <c r="J19" s="52"/>
    </row>
    <row r="20" spans="1:13" ht="18" x14ac:dyDescent="0.25">
      <c r="A20" s="52" t="s">
        <v>7</v>
      </c>
      <c r="B20" s="52"/>
      <c r="C20" s="52"/>
      <c r="D20" s="52" t="s">
        <v>25</v>
      </c>
      <c r="E20" s="24" t="s">
        <v>89</v>
      </c>
      <c r="F20" s="52"/>
      <c r="G20" s="52" t="s">
        <v>36</v>
      </c>
      <c r="H20" s="52"/>
      <c r="I20" s="52"/>
      <c r="J20" s="34">
        <f>ROUND((J8/J18),5)</f>
        <v>7.0699999999999999E-3</v>
      </c>
    </row>
    <row r="21" spans="1:13" ht="18" x14ac:dyDescent="0.25">
      <c r="A21" s="52"/>
      <c r="B21" s="52"/>
      <c r="C21" s="52"/>
      <c r="D21" s="52"/>
      <c r="E21" s="60"/>
      <c r="F21" s="52"/>
      <c r="G21" s="52" t="s">
        <v>37</v>
      </c>
      <c r="H21" s="52"/>
      <c r="I21" s="52"/>
      <c r="J21" s="52"/>
    </row>
    <row r="22" spans="1:13" ht="18" x14ac:dyDescent="0.25">
      <c r="A22" s="52" t="s">
        <v>8</v>
      </c>
      <c r="B22" s="52"/>
      <c r="C22" s="52"/>
      <c r="D22" s="52"/>
      <c r="E22" s="53">
        <v>1.235E-2</v>
      </c>
      <c r="F22" s="52"/>
      <c r="G22" s="52"/>
      <c r="H22" s="52"/>
      <c r="I22" s="52"/>
      <c r="J22" s="52"/>
    </row>
    <row r="23" spans="1:13" ht="18" x14ac:dyDescent="0.25">
      <c r="A23" s="52"/>
      <c r="B23" s="52"/>
      <c r="C23" s="52"/>
      <c r="D23" s="52"/>
      <c r="E23" s="60"/>
      <c r="F23" s="52"/>
      <c r="G23" s="52" t="s">
        <v>38</v>
      </c>
      <c r="H23" s="52"/>
      <c r="I23" s="52"/>
      <c r="J23" s="52"/>
    </row>
    <row r="24" spans="1:13" ht="18" x14ac:dyDescent="0.25">
      <c r="A24" s="52" t="s">
        <v>9</v>
      </c>
      <c r="B24" s="52"/>
      <c r="C24" s="52"/>
      <c r="D24" s="52"/>
      <c r="E24" s="35">
        <v>35469961</v>
      </c>
      <c r="F24" s="52"/>
      <c r="G24" s="63" t="s">
        <v>1</v>
      </c>
      <c r="H24" s="52"/>
      <c r="I24" s="52"/>
      <c r="J24" s="52"/>
    </row>
    <row r="25" spans="1:13" ht="18" x14ac:dyDescent="0.25">
      <c r="A25" s="52"/>
      <c r="B25" s="52"/>
      <c r="C25" s="52"/>
      <c r="D25" s="52"/>
      <c r="E25" s="35"/>
      <c r="F25" s="52"/>
      <c r="G25" s="52" t="s">
        <v>39</v>
      </c>
      <c r="H25" s="52"/>
      <c r="I25" s="52"/>
      <c r="J25" s="58">
        <f>'12 Mth Avg-May 22'!E31</f>
        <v>2.7961104367366235E-2</v>
      </c>
    </row>
    <row r="26" spans="1:13" ht="18" x14ac:dyDescent="0.25">
      <c r="A26" s="52" t="s">
        <v>10</v>
      </c>
      <c r="B26" s="52"/>
      <c r="C26" s="52"/>
      <c r="D26" s="52"/>
      <c r="E26" s="35">
        <f>-58939-384</f>
        <v>-59323</v>
      </c>
      <c r="F26" s="52"/>
      <c r="G26" s="52"/>
      <c r="H26" s="52"/>
      <c r="I26" s="52"/>
      <c r="J26" s="52"/>
      <c r="M26" s="70"/>
    </row>
    <row r="27" spans="1:13" ht="18" x14ac:dyDescent="0.25">
      <c r="A27" s="52"/>
      <c r="B27" s="52"/>
      <c r="C27" s="52"/>
      <c r="D27" s="52"/>
      <c r="E27" s="62"/>
      <c r="F27" s="52"/>
      <c r="G27" s="52" t="s">
        <v>40</v>
      </c>
      <c r="H27" s="52"/>
      <c r="I27" s="52"/>
      <c r="J27" s="36" t="str">
        <f>E4</f>
        <v>May</v>
      </c>
    </row>
    <row r="28" spans="1:13" ht="18" x14ac:dyDescent="0.25">
      <c r="A28" s="52" t="s">
        <v>11</v>
      </c>
      <c r="B28" s="52"/>
      <c r="C28" s="52"/>
      <c r="D28" s="52"/>
      <c r="E28" s="62">
        <f>SUM(E24:E27)</f>
        <v>35410638</v>
      </c>
      <c r="F28" s="52"/>
      <c r="G28" s="52"/>
      <c r="H28" s="52"/>
      <c r="I28" s="52"/>
      <c r="J28" s="52"/>
    </row>
    <row r="29" spans="1:13" ht="18" x14ac:dyDescent="0.25">
      <c r="A29" s="52" t="s">
        <v>12</v>
      </c>
      <c r="B29" s="52"/>
      <c r="C29" s="52"/>
      <c r="D29" s="52"/>
      <c r="E29" s="60"/>
      <c r="F29" s="52"/>
      <c r="G29" s="52" t="s">
        <v>41</v>
      </c>
      <c r="H29" s="52"/>
      <c r="I29" s="52"/>
      <c r="J29" s="65">
        <f>ROUND((+E15/E6),6)</f>
        <v>3.236E-2</v>
      </c>
    </row>
    <row r="30" spans="1:13" ht="18" x14ac:dyDescent="0.25">
      <c r="A30" s="52"/>
      <c r="B30" s="52" t="s">
        <v>26</v>
      </c>
      <c r="C30" s="52"/>
      <c r="D30" s="52"/>
      <c r="E30" s="60"/>
      <c r="F30" s="52"/>
      <c r="G30" s="52" t="s">
        <v>42</v>
      </c>
      <c r="H30" s="52"/>
      <c r="I30" s="52"/>
      <c r="J30" s="52"/>
    </row>
    <row r="31" spans="1:13" ht="18" x14ac:dyDescent="0.25">
      <c r="A31" s="52" t="s">
        <v>13</v>
      </c>
      <c r="B31" s="52"/>
      <c r="C31" s="52"/>
      <c r="D31" s="52"/>
      <c r="E31" s="54">
        <v>479816.08</v>
      </c>
      <c r="F31" s="52"/>
      <c r="G31" s="52"/>
      <c r="H31" s="52"/>
      <c r="I31" s="52"/>
      <c r="J31" s="52"/>
    </row>
    <row r="32" spans="1:13" ht="18" x14ac:dyDescent="0.25">
      <c r="A32" s="52" t="s">
        <v>14</v>
      </c>
      <c r="B32" s="52"/>
      <c r="C32" s="52"/>
      <c r="D32" s="52"/>
      <c r="E32" s="61"/>
      <c r="F32" s="52"/>
      <c r="G32" s="52" t="s">
        <v>43</v>
      </c>
      <c r="H32" s="52"/>
      <c r="I32" s="52"/>
      <c r="J32" s="52"/>
    </row>
    <row r="33" spans="1:10" ht="18" x14ac:dyDescent="0.25">
      <c r="A33" s="52"/>
      <c r="B33" s="52"/>
      <c r="C33" s="52"/>
      <c r="D33" s="52"/>
      <c r="E33" s="61"/>
      <c r="F33" s="52"/>
      <c r="G33" s="63" t="s">
        <v>1</v>
      </c>
      <c r="H33" s="63" t="s">
        <v>1</v>
      </c>
      <c r="I33" s="63" t="s">
        <v>1</v>
      </c>
      <c r="J33" s="52"/>
    </row>
    <row r="34" spans="1:10" ht="18" x14ac:dyDescent="0.25">
      <c r="A34" s="52" t="s">
        <v>15</v>
      </c>
      <c r="B34" s="52"/>
      <c r="C34" s="52"/>
      <c r="D34" s="52"/>
      <c r="E34" s="61">
        <f>(+E26*E22)+B41</f>
        <v>433149.67095</v>
      </c>
      <c r="F34" s="52"/>
      <c r="G34" s="52" t="s">
        <v>44</v>
      </c>
      <c r="H34" s="52"/>
      <c r="I34" s="52"/>
      <c r="J34" s="65">
        <f>ROUND((1-J25),7)</f>
        <v>0.97203890000000004</v>
      </c>
    </row>
    <row r="35" spans="1:10" ht="18" x14ac:dyDescent="0.25">
      <c r="A35" s="52" t="s">
        <v>16</v>
      </c>
      <c r="B35" s="52"/>
      <c r="C35" s="52"/>
      <c r="D35" s="52"/>
      <c r="E35" s="61"/>
      <c r="F35" s="52"/>
      <c r="G35" s="52" t="s">
        <v>45</v>
      </c>
      <c r="H35" s="52"/>
      <c r="I35" s="52"/>
      <c r="J35" s="52"/>
    </row>
    <row r="36" spans="1:10" ht="18" x14ac:dyDescent="0.25">
      <c r="A36" s="52"/>
      <c r="B36" s="52"/>
      <c r="C36" s="52"/>
      <c r="D36" s="52"/>
      <c r="E36" s="61"/>
      <c r="F36" s="52"/>
      <c r="G36" s="52"/>
      <c r="H36" s="52"/>
      <c r="I36" s="52"/>
      <c r="J36" s="52"/>
    </row>
    <row r="37" spans="1:10" ht="18" x14ac:dyDescent="0.25">
      <c r="A37" s="52" t="s">
        <v>17</v>
      </c>
      <c r="B37" s="52"/>
      <c r="C37" s="52"/>
      <c r="D37" s="52"/>
      <c r="E37" s="61">
        <f>(E31-E34)</f>
        <v>46666.409050000017</v>
      </c>
      <c r="F37" s="52"/>
      <c r="G37" s="52" t="s">
        <v>46</v>
      </c>
      <c r="H37" s="52"/>
      <c r="I37" s="52"/>
      <c r="J37" s="66">
        <f>ROUND((J15/J18),5)</f>
        <v>8.3499999999999998E-3</v>
      </c>
    </row>
    <row r="38" spans="1:10" ht="18" x14ac:dyDescent="0.25">
      <c r="A38" s="52" t="s">
        <v>18</v>
      </c>
      <c r="B38" s="52"/>
      <c r="C38" s="52"/>
      <c r="D38" s="52"/>
      <c r="E38" s="61"/>
      <c r="F38" s="52"/>
      <c r="G38" s="52" t="s">
        <v>47</v>
      </c>
      <c r="H38" s="52"/>
      <c r="I38" s="52"/>
      <c r="J38" s="66"/>
    </row>
    <row r="39" spans="1:10" ht="18" x14ac:dyDescent="0.25">
      <c r="A39" s="52"/>
      <c r="B39" s="52"/>
      <c r="C39" s="52"/>
      <c r="D39" s="52"/>
      <c r="E39" s="59"/>
      <c r="F39" s="52"/>
      <c r="G39" s="52"/>
      <c r="H39" s="52"/>
      <c r="I39" s="52"/>
      <c r="J39" s="66"/>
    </row>
    <row r="40" spans="1:10" ht="18" x14ac:dyDescent="0.25">
      <c r="A40" s="52"/>
      <c r="B40" s="39" t="s">
        <v>24</v>
      </c>
      <c r="C40" s="39"/>
      <c r="D40" s="39"/>
      <c r="E40" s="59"/>
      <c r="F40" s="52"/>
      <c r="G40" s="52" t="s">
        <v>48</v>
      </c>
      <c r="H40" s="52"/>
      <c r="I40" s="52"/>
      <c r="J40" s="40">
        <f>ROUND((J37/J34),7)</f>
        <v>8.5901999999999992E-3</v>
      </c>
    </row>
    <row r="41" spans="1:10" ht="18" x14ac:dyDescent="0.25">
      <c r="A41" s="52"/>
      <c r="B41" s="57">
        <f>432069.3+1813.01</f>
        <v>433882.31</v>
      </c>
      <c r="D41" s="41"/>
      <c r="E41" s="59"/>
      <c r="F41" s="52"/>
      <c r="G41" s="52"/>
      <c r="H41" s="52"/>
      <c r="I41" s="52"/>
      <c r="J41" s="52"/>
    </row>
    <row r="42" spans="1:10" ht="18" x14ac:dyDescent="0.25">
      <c r="A42" s="52"/>
      <c r="B42" s="52"/>
      <c r="C42" s="52"/>
      <c r="D42" s="52"/>
      <c r="E42" s="52"/>
      <c r="F42" s="52"/>
      <c r="G42" s="52" t="s">
        <v>49</v>
      </c>
      <c r="H42" s="52"/>
      <c r="I42" s="52"/>
      <c r="J42" s="67">
        <f>ROUND((+J40*100),3)</f>
        <v>0.85899999999999999</v>
      </c>
    </row>
    <row r="43" spans="1:10" ht="18" x14ac:dyDescent="0.25">
      <c r="A43" s="63" t="s">
        <v>1</v>
      </c>
      <c r="B43" s="63" t="s">
        <v>1</v>
      </c>
      <c r="C43" s="63" t="s">
        <v>1</v>
      </c>
      <c r="D43" s="63" t="s">
        <v>1</v>
      </c>
      <c r="E43" s="63" t="s">
        <v>1</v>
      </c>
      <c r="F43" s="63" t="s">
        <v>1</v>
      </c>
      <c r="G43" s="63" t="s">
        <v>1</v>
      </c>
      <c r="H43" s="63" t="s">
        <v>1</v>
      </c>
      <c r="I43" s="63" t="s">
        <v>1</v>
      </c>
      <c r="J43" s="63" t="s">
        <v>1</v>
      </c>
    </row>
    <row r="44" spans="1:10" ht="18" x14ac:dyDescent="0.25">
      <c r="A44" s="52" t="s">
        <v>19</v>
      </c>
      <c r="B44" s="52"/>
      <c r="C44" s="52"/>
      <c r="D44" s="68">
        <f>J42</f>
        <v>0.85899999999999999</v>
      </c>
      <c r="E44" s="52" t="s">
        <v>26</v>
      </c>
      <c r="F44" s="69"/>
      <c r="G44" s="52"/>
      <c r="H44" s="52"/>
      <c r="I44" s="52"/>
      <c r="J44" s="52"/>
    </row>
    <row r="45" spans="1:10" ht="18" x14ac:dyDescent="0.25">
      <c r="A45" s="52" t="s">
        <v>20</v>
      </c>
      <c r="B45" s="71">
        <f>I46+28</f>
        <v>44761</v>
      </c>
      <c r="C45" s="52"/>
      <c r="D45" s="52" t="s">
        <v>26</v>
      </c>
      <c r="E45" s="52"/>
      <c r="F45" s="52"/>
      <c r="G45" s="52"/>
      <c r="H45" s="52"/>
      <c r="I45" s="52"/>
      <c r="J45" s="52"/>
    </row>
    <row r="46" spans="1:10" ht="18" x14ac:dyDescent="0.25">
      <c r="A46" s="52"/>
      <c r="B46" s="52"/>
      <c r="C46" s="52"/>
      <c r="D46" s="52"/>
      <c r="E46" s="36"/>
      <c r="F46" s="52"/>
      <c r="G46" s="52"/>
      <c r="H46" s="45" t="s">
        <v>50</v>
      </c>
      <c r="I46" s="71">
        <v>44733</v>
      </c>
      <c r="J46" s="46"/>
    </row>
    <row r="47" spans="1:10" ht="18" x14ac:dyDescent="0.25">
      <c r="A47" s="52" t="s">
        <v>100</v>
      </c>
      <c r="B47" s="52" t="s">
        <v>105</v>
      </c>
      <c r="C47" s="52"/>
      <c r="D47" s="52"/>
      <c r="E47" s="52"/>
      <c r="F47" s="52"/>
      <c r="G47" s="52"/>
      <c r="H47" s="52" t="s">
        <v>106</v>
      </c>
      <c r="I47" s="52"/>
      <c r="J47" s="52"/>
    </row>
    <row r="48" spans="1:10" ht="18" x14ac:dyDescent="0.25">
      <c r="A48" s="52" t="s">
        <v>21</v>
      </c>
      <c r="B48" s="52"/>
      <c r="C48" s="52"/>
      <c r="D48" s="52"/>
      <c r="E48" s="52"/>
      <c r="F48" s="52"/>
      <c r="G48" s="52"/>
      <c r="H48" s="52" t="s">
        <v>103</v>
      </c>
      <c r="I48" s="52"/>
      <c r="J48" s="52"/>
    </row>
    <row r="49" spans="1:10" ht="15.75" x14ac:dyDescent="0.25">
      <c r="A49" s="6" t="s">
        <v>22</v>
      </c>
      <c r="B49" s="2"/>
      <c r="C49" s="2"/>
      <c r="D49" s="2"/>
      <c r="E49" s="2"/>
      <c r="F49" s="7"/>
      <c r="G49" s="2"/>
      <c r="H49" s="7"/>
      <c r="I49" s="2" t="s">
        <v>26</v>
      </c>
      <c r="J49" s="4"/>
    </row>
    <row r="50" spans="1:10" ht="15.75" x14ac:dyDescent="0.25">
      <c r="A50" s="2"/>
      <c r="B50" s="2"/>
      <c r="C50" s="2"/>
      <c r="D50" s="2"/>
      <c r="E50" s="2"/>
      <c r="F50" s="2"/>
      <c r="G50" s="2"/>
      <c r="H50" s="7"/>
      <c r="I50" s="7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8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5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5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5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5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5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5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5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5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5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5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5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5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5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5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5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5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5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5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5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5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5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5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5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19014-93BA-47E4-9E31-1F65F9B74BDE}">
  <dimension ref="A1:G40"/>
  <sheetViews>
    <sheetView workbookViewId="0">
      <selection activeCell="M29" sqref="M29"/>
    </sheetView>
  </sheetViews>
  <sheetFormatPr defaultRowHeight="15" x14ac:dyDescent="0.2"/>
  <cols>
    <col min="1" max="1" width="21" customWidth="1"/>
    <col min="3" max="3" width="11.5546875" customWidth="1"/>
    <col min="4" max="4" width="3.6640625" customWidth="1"/>
    <col min="5" max="5" width="11.88671875" bestFit="1" customWidth="1"/>
    <col min="6" max="6" width="3.77734375" customWidth="1"/>
    <col min="7" max="7" width="12" customWidth="1"/>
  </cols>
  <sheetData>
    <row r="1" spans="1:7" ht="15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59</v>
      </c>
      <c r="B2" s="15"/>
      <c r="C2" s="15"/>
      <c r="D2" s="15"/>
      <c r="E2" s="15"/>
      <c r="F2" s="15"/>
      <c r="G2" s="15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 t="s">
        <v>60</v>
      </c>
      <c r="B5" s="11"/>
      <c r="C5" s="11"/>
      <c r="D5" s="11"/>
      <c r="E5" s="11"/>
      <c r="F5" s="11"/>
      <c r="G5" s="11"/>
    </row>
    <row r="6" spans="1:7" ht="15.75" x14ac:dyDescent="0.25">
      <c r="A6" s="11" t="s">
        <v>61</v>
      </c>
      <c r="B6" s="11"/>
      <c r="C6" s="11"/>
      <c r="D6" s="11"/>
      <c r="E6" s="11"/>
      <c r="F6" s="11"/>
      <c r="G6" s="11"/>
    </row>
    <row r="7" spans="1:7" ht="15.75" x14ac:dyDescent="0.25">
      <c r="A7" s="11" t="s">
        <v>62</v>
      </c>
      <c r="B7" s="11"/>
      <c r="C7" s="11"/>
      <c r="D7" s="11"/>
      <c r="E7" s="11"/>
      <c r="F7" s="11"/>
      <c r="G7" s="11"/>
    </row>
    <row r="8" spans="1:7" ht="15.75" x14ac:dyDescent="0.25">
      <c r="A8" s="9"/>
      <c r="B8" s="9"/>
      <c r="C8" s="9"/>
      <c r="D8" s="9"/>
      <c r="E8" s="9"/>
      <c r="F8" s="9"/>
      <c r="G8" s="9"/>
    </row>
    <row r="9" spans="1:7" ht="15.75" x14ac:dyDescent="0.25">
      <c r="A9" s="19">
        <v>44712</v>
      </c>
      <c r="B9" s="11"/>
      <c r="C9" s="11"/>
      <c r="D9" s="11"/>
      <c r="E9" s="11"/>
      <c r="F9" s="11"/>
      <c r="G9" s="11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15"/>
      <c r="B11" s="15"/>
      <c r="C11" s="15"/>
      <c r="D11" s="15"/>
      <c r="E11" s="15"/>
      <c r="F11" s="15"/>
      <c r="G11" s="15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2"/>
      <c r="B13" s="12"/>
      <c r="C13" s="16" t="s">
        <v>63</v>
      </c>
      <c r="D13" s="12"/>
      <c r="E13" s="16" t="s">
        <v>66</v>
      </c>
      <c r="F13" s="16"/>
      <c r="G13" s="16" t="s">
        <v>69</v>
      </c>
    </row>
    <row r="14" spans="1:7" ht="15.75" x14ac:dyDescent="0.25">
      <c r="A14" s="12"/>
      <c r="B14" s="12"/>
      <c r="C14" s="16" t="s">
        <v>64</v>
      </c>
      <c r="D14" s="12"/>
      <c r="E14" s="16" t="s">
        <v>64</v>
      </c>
      <c r="F14" s="16"/>
      <c r="G14" s="16" t="s">
        <v>64</v>
      </c>
    </row>
    <row r="15" spans="1:7" ht="15.75" x14ac:dyDescent="0.25">
      <c r="A15" s="12"/>
      <c r="B15" s="12"/>
      <c r="C15" s="16" t="s">
        <v>65</v>
      </c>
      <c r="D15" s="12"/>
      <c r="E15" s="16" t="s">
        <v>67</v>
      </c>
      <c r="F15" s="16"/>
      <c r="G15" s="16" t="s">
        <v>68</v>
      </c>
    </row>
    <row r="16" spans="1:7" ht="15.75" x14ac:dyDescent="0.25">
      <c r="A16" s="12"/>
      <c r="B16" s="12"/>
      <c r="C16" s="16"/>
      <c r="D16" s="12"/>
      <c r="E16" s="16" t="s">
        <v>70</v>
      </c>
      <c r="F16" s="16"/>
      <c r="G16" s="16"/>
    </row>
    <row r="17" spans="1:7" ht="15.75" x14ac:dyDescent="0.25">
      <c r="A17" s="9"/>
      <c r="B17" s="9"/>
      <c r="C17" s="9"/>
      <c r="D17" s="9"/>
      <c r="E17" s="9"/>
      <c r="F17" s="9"/>
      <c r="G17" s="9"/>
    </row>
    <row r="18" spans="1:7" ht="15.75" x14ac:dyDescent="0.25">
      <c r="A18" s="9" t="s">
        <v>52</v>
      </c>
      <c r="B18" s="9"/>
      <c r="C18" s="9"/>
      <c r="D18" s="9"/>
      <c r="E18" s="9"/>
      <c r="F18" s="9"/>
      <c r="G18" s="9"/>
    </row>
    <row r="19" spans="1:7" ht="15.75" x14ac:dyDescent="0.25">
      <c r="A19" s="9" t="s">
        <v>53</v>
      </c>
      <c r="B19" s="9"/>
      <c r="C19" s="13">
        <v>486289961</v>
      </c>
      <c r="D19" s="14"/>
      <c r="E19" s="13">
        <v>473261037</v>
      </c>
      <c r="F19" s="14"/>
      <c r="G19" s="13">
        <f>C19-E19</f>
        <v>13028924</v>
      </c>
    </row>
    <row r="20" spans="1:7" ht="15.75" x14ac:dyDescent="0.25">
      <c r="A20" s="9"/>
      <c r="B20" s="9"/>
      <c r="C20" s="13"/>
      <c r="D20" s="14"/>
      <c r="E20" s="13"/>
      <c r="F20" s="14"/>
      <c r="G20" s="13"/>
    </row>
    <row r="21" spans="1:7" ht="15.75" x14ac:dyDescent="0.25">
      <c r="A21" s="9" t="s">
        <v>54</v>
      </c>
      <c r="B21" s="9"/>
      <c r="C21" s="13"/>
      <c r="D21" s="14"/>
      <c r="E21" s="13"/>
      <c r="F21" s="14"/>
      <c r="G21" s="13"/>
    </row>
    <row r="22" spans="1:7" ht="15.75" x14ac:dyDescent="0.25">
      <c r="A22" s="9" t="s">
        <v>55</v>
      </c>
      <c r="B22" s="9"/>
      <c r="C22" s="13">
        <v>34558196</v>
      </c>
      <c r="D22" s="14"/>
      <c r="E22" s="13">
        <v>33999227</v>
      </c>
      <c r="F22" s="14"/>
      <c r="G22" s="13">
        <f>C22-E22</f>
        <v>558969</v>
      </c>
    </row>
    <row r="23" spans="1:7" ht="15.75" x14ac:dyDescent="0.25">
      <c r="A23" s="9"/>
      <c r="B23" s="9"/>
      <c r="C23" s="13"/>
      <c r="D23" s="14"/>
      <c r="E23" s="13"/>
      <c r="F23" s="14"/>
      <c r="G23" s="13"/>
    </row>
    <row r="24" spans="1:7" ht="15.75" x14ac:dyDescent="0.25">
      <c r="A24" s="9" t="s">
        <v>56</v>
      </c>
      <c r="B24" s="9"/>
      <c r="C24" s="13"/>
      <c r="D24" s="14"/>
      <c r="E24" s="13"/>
      <c r="F24" s="14"/>
      <c r="G24" s="13"/>
    </row>
    <row r="25" spans="1:7" ht="15.75" x14ac:dyDescent="0.25">
      <c r="A25" s="9" t="s">
        <v>55</v>
      </c>
      <c r="B25" s="9"/>
      <c r="C25" s="13">
        <v>36594834</v>
      </c>
      <c r="D25" s="14"/>
      <c r="E25" s="13">
        <v>35410638</v>
      </c>
      <c r="F25" s="14"/>
      <c r="G25" s="13">
        <f>C25-E25</f>
        <v>1184196</v>
      </c>
    </row>
    <row r="26" spans="1:7" ht="15.75" x14ac:dyDescent="0.25">
      <c r="A26" s="9"/>
      <c r="B26" s="9"/>
      <c r="C26" s="10"/>
      <c r="D26" s="9"/>
      <c r="E26" s="10"/>
      <c r="F26" s="9"/>
      <c r="G26" s="10"/>
    </row>
    <row r="27" spans="1:7" ht="15.75" x14ac:dyDescent="0.25">
      <c r="A27" s="9" t="s">
        <v>57</v>
      </c>
      <c r="B27" s="9"/>
      <c r="C27" s="10"/>
      <c r="D27" s="9"/>
      <c r="E27" s="10"/>
      <c r="F27" s="9"/>
      <c r="G27" s="10"/>
    </row>
    <row r="28" spans="1:7" ht="15.75" x14ac:dyDescent="0.25">
      <c r="A28" s="9" t="s">
        <v>53</v>
      </c>
      <c r="B28" s="9"/>
      <c r="C28" s="10">
        <f>C19-C22+C25</f>
        <v>488326599</v>
      </c>
      <c r="D28" s="9"/>
      <c r="E28" s="10">
        <f>E19-E22+E25</f>
        <v>474672448</v>
      </c>
      <c r="F28" s="9"/>
      <c r="G28" s="10">
        <f>C28-E28</f>
        <v>13654151</v>
      </c>
    </row>
    <row r="29" spans="1:7" ht="15.75" x14ac:dyDescent="0.25">
      <c r="A29" s="9"/>
      <c r="B29" s="9"/>
      <c r="C29" s="10"/>
      <c r="D29" s="9"/>
      <c r="E29" s="10"/>
      <c r="F29" s="9"/>
      <c r="G29" s="10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 t="s">
        <v>58</v>
      </c>
      <c r="B31" s="9"/>
      <c r="C31" s="9"/>
      <c r="D31" s="9"/>
      <c r="E31" s="56">
        <f>G28/C28</f>
        <v>2.7961104367366235E-2</v>
      </c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9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</sheetData>
  <pageMargins left="0.75" right="0.75" top="1.2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AA32C-F2BB-498B-9C03-745FA332DF41}">
  <sheetPr>
    <pageSetUpPr fitToPage="1"/>
  </sheetPr>
  <dimension ref="A1:K99"/>
  <sheetViews>
    <sheetView zoomScale="60" zoomScaleNormal="60" workbookViewId="0">
      <selection activeCell="J25" sqref="J25"/>
    </sheetView>
  </sheetViews>
  <sheetFormatPr defaultColWidth="9.6640625" defaultRowHeight="15" x14ac:dyDescent="0.2"/>
  <cols>
    <col min="1" max="1" width="11.33203125" style="1" customWidth="1"/>
    <col min="2" max="2" width="19.5546875" style="1" customWidth="1"/>
    <col min="3" max="3" width="19.33203125" style="1" customWidth="1"/>
    <col min="4" max="4" width="10" style="1" customWidth="1"/>
    <col min="5" max="5" width="17.6640625" style="1" customWidth="1"/>
    <col min="6" max="6" width="9.6640625" style="1" customWidth="1"/>
    <col min="7" max="7" width="8.5546875" style="1" customWidth="1"/>
    <col min="8" max="8" width="13.77734375" style="1" customWidth="1"/>
    <col min="9" max="9" width="19.88671875" style="1" customWidth="1"/>
    <col min="10" max="10" width="20.6640625" style="1" customWidth="1"/>
    <col min="11" max="16384" width="9.6640625" style="1"/>
  </cols>
  <sheetData>
    <row r="1" spans="1:11" x14ac:dyDescent="0.2">
      <c r="A1" s="2" t="s">
        <v>0</v>
      </c>
      <c r="B1" s="2" t="s">
        <v>23</v>
      </c>
      <c r="C1" s="2"/>
      <c r="D1" s="2"/>
      <c r="E1" s="2"/>
      <c r="F1" s="2"/>
      <c r="G1" s="2" t="s">
        <v>27</v>
      </c>
      <c r="H1" s="2"/>
      <c r="I1" s="2"/>
      <c r="J1" s="2"/>
    </row>
    <row r="2" spans="1:11" x14ac:dyDescent="0.2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</row>
    <row r="3" spans="1:11" x14ac:dyDescent="0.2">
      <c r="A3" s="3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</row>
    <row r="4" spans="1:11" ht="18" x14ac:dyDescent="0.25">
      <c r="A4" s="52" t="s">
        <v>2</v>
      </c>
      <c r="B4" s="52"/>
      <c r="C4" s="52"/>
      <c r="D4" s="52"/>
      <c r="E4" s="24" t="s">
        <v>80</v>
      </c>
      <c r="F4" s="52"/>
      <c r="G4" s="52" t="s">
        <v>28</v>
      </c>
      <c r="H4" s="52"/>
      <c r="I4" s="52" t="s">
        <v>51</v>
      </c>
      <c r="J4" s="25" t="str">
        <f>E4</f>
        <v>December</v>
      </c>
    </row>
    <row r="5" spans="1:11" ht="1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1" ht="18" x14ac:dyDescent="0.25">
      <c r="A6" s="52" t="s">
        <v>71</v>
      </c>
      <c r="B6" s="52"/>
      <c r="C6" s="52"/>
      <c r="D6" s="52"/>
      <c r="E6" s="26">
        <v>48221650</v>
      </c>
      <c r="F6" s="52"/>
      <c r="G6" s="52" t="s">
        <v>29</v>
      </c>
      <c r="H6" s="52"/>
      <c r="I6" s="52"/>
      <c r="J6" s="59"/>
      <c r="K6" s="55"/>
    </row>
    <row r="7" spans="1:11" ht="18" x14ac:dyDescent="0.25">
      <c r="A7" s="52"/>
      <c r="B7" s="52"/>
      <c r="C7" s="52"/>
      <c r="D7" s="52"/>
      <c r="E7" s="60"/>
      <c r="F7" s="52"/>
      <c r="G7" s="52"/>
      <c r="H7" s="52"/>
      <c r="I7" s="52"/>
      <c r="J7" s="52"/>
    </row>
    <row r="8" spans="1:11" ht="18" x14ac:dyDescent="0.25">
      <c r="A8" s="52" t="s">
        <v>72</v>
      </c>
      <c r="B8" s="52"/>
      <c r="C8" s="52"/>
      <c r="D8" s="52"/>
      <c r="E8" s="26">
        <v>44648252</v>
      </c>
      <c r="F8" s="52"/>
      <c r="G8" s="52" t="s">
        <v>30</v>
      </c>
      <c r="H8" s="52"/>
      <c r="I8" s="52"/>
      <c r="J8" s="54">
        <v>-239662</v>
      </c>
    </row>
    <row r="9" spans="1:11" ht="18" x14ac:dyDescent="0.25">
      <c r="A9" s="52"/>
      <c r="B9" s="52"/>
      <c r="C9" s="52"/>
      <c r="D9" s="52"/>
      <c r="E9" s="60"/>
      <c r="F9" s="52"/>
      <c r="G9" s="52"/>
      <c r="H9" s="52" t="s">
        <v>26</v>
      </c>
      <c r="I9" s="52"/>
      <c r="J9" s="29" t="s">
        <v>26</v>
      </c>
    </row>
    <row r="10" spans="1:11" ht="18" x14ac:dyDescent="0.25">
      <c r="A10" s="52"/>
      <c r="B10" s="52"/>
      <c r="C10" s="52"/>
      <c r="D10" s="52"/>
      <c r="E10" s="60"/>
      <c r="F10" s="52"/>
      <c r="G10" s="52"/>
      <c r="H10" s="52" t="s">
        <v>26</v>
      </c>
      <c r="I10" s="52"/>
      <c r="J10" s="29" t="s">
        <v>26</v>
      </c>
    </row>
    <row r="11" spans="1:11" ht="18" x14ac:dyDescent="0.25">
      <c r="A11" s="52" t="s">
        <v>3</v>
      </c>
      <c r="B11" s="52"/>
      <c r="C11" s="52"/>
      <c r="D11" s="52"/>
      <c r="E11" s="60">
        <v>0</v>
      </c>
      <c r="F11" s="52"/>
      <c r="G11" s="52" t="s">
        <v>31</v>
      </c>
      <c r="H11" s="52"/>
      <c r="I11" s="52"/>
      <c r="J11" s="61">
        <f>E37</f>
        <v>99088.90797</v>
      </c>
    </row>
    <row r="12" spans="1:11" ht="18" x14ac:dyDescent="0.25">
      <c r="A12" s="52"/>
      <c r="B12" s="52"/>
      <c r="C12" s="52"/>
      <c r="D12" s="52"/>
      <c r="E12" s="60"/>
      <c r="F12" s="52"/>
      <c r="G12" s="52"/>
      <c r="H12" s="52"/>
      <c r="I12" s="52"/>
      <c r="J12" s="59"/>
    </row>
    <row r="13" spans="1:11" ht="18" x14ac:dyDescent="0.25">
      <c r="A13" s="52" t="s">
        <v>4</v>
      </c>
      <c r="B13" s="52"/>
      <c r="C13" s="52"/>
      <c r="D13" s="52"/>
      <c r="E13" s="60">
        <f>SUM(E8:E11)</f>
        <v>44648252</v>
      </c>
      <c r="F13" s="52"/>
      <c r="G13" s="52" t="s">
        <v>32</v>
      </c>
      <c r="H13" s="52"/>
      <c r="I13" s="52"/>
      <c r="J13" s="59">
        <v>0</v>
      </c>
    </row>
    <row r="14" spans="1:11" ht="18" x14ac:dyDescent="0.25">
      <c r="A14" s="52"/>
      <c r="B14" s="52"/>
      <c r="C14" s="52"/>
      <c r="D14" s="52"/>
      <c r="E14" s="60"/>
      <c r="F14" s="52"/>
      <c r="G14" s="52"/>
      <c r="H14" s="52"/>
      <c r="I14" s="52"/>
      <c r="J14" s="59"/>
    </row>
    <row r="15" spans="1:11" ht="18" x14ac:dyDescent="0.25">
      <c r="A15" s="52" t="s">
        <v>5</v>
      </c>
      <c r="B15" s="52"/>
      <c r="C15" s="52"/>
      <c r="D15" s="52"/>
      <c r="E15" s="62">
        <f>E6-E13</f>
        <v>3573398</v>
      </c>
      <c r="F15" s="52"/>
      <c r="G15" s="52" t="s">
        <v>33</v>
      </c>
      <c r="H15" s="52"/>
      <c r="I15" s="52"/>
      <c r="J15" s="61">
        <f>ROUND((+J8+J11),4)</f>
        <v>-140573.092</v>
      </c>
    </row>
    <row r="16" spans="1:11" ht="18" x14ac:dyDescent="0.25">
      <c r="A16" s="52" t="s">
        <v>6</v>
      </c>
      <c r="B16" s="52"/>
      <c r="C16" s="52"/>
      <c r="D16" s="52"/>
      <c r="E16" s="60"/>
      <c r="F16" s="52"/>
      <c r="G16" s="52" t="s">
        <v>34</v>
      </c>
      <c r="H16" s="52"/>
      <c r="I16" s="52"/>
      <c r="J16" s="59"/>
    </row>
    <row r="17" spans="1:10" ht="18" x14ac:dyDescent="0.25">
      <c r="A17" s="52"/>
      <c r="B17" s="52"/>
      <c r="C17" s="52"/>
      <c r="D17" s="52"/>
      <c r="E17" s="60"/>
      <c r="F17" s="52"/>
      <c r="G17" s="52"/>
      <c r="H17" s="52"/>
      <c r="I17" s="52"/>
      <c r="J17" s="52"/>
    </row>
    <row r="18" spans="1:10" ht="18" x14ac:dyDescent="0.25">
      <c r="A18" s="63" t="s">
        <v>1</v>
      </c>
      <c r="B18" s="63" t="s">
        <v>1</v>
      </c>
      <c r="C18" s="63" t="s">
        <v>1</v>
      </c>
      <c r="D18" s="63" t="s">
        <v>1</v>
      </c>
      <c r="E18" s="64" t="s">
        <v>1</v>
      </c>
      <c r="F18" s="52"/>
      <c r="G18" s="52" t="s">
        <v>35</v>
      </c>
      <c r="H18" s="52"/>
      <c r="I18" s="52"/>
      <c r="J18" s="60">
        <f>E6</f>
        <v>48221650</v>
      </c>
    </row>
    <row r="19" spans="1:10" ht="18" x14ac:dyDescent="0.25">
      <c r="A19" s="63" t="s">
        <v>1</v>
      </c>
      <c r="B19" s="63" t="s">
        <v>1</v>
      </c>
      <c r="C19" s="63" t="s">
        <v>1</v>
      </c>
      <c r="D19" s="63" t="s">
        <v>1</v>
      </c>
      <c r="E19" s="64"/>
      <c r="F19" s="52"/>
      <c r="G19" s="52"/>
      <c r="H19" s="52"/>
      <c r="I19" s="52"/>
      <c r="J19" s="52"/>
    </row>
    <row r="20" spans="1:10" ht="18" x14ac:dyDescent="0.25">
      <c r="A20" s="52" t="s">
        <v>7</v>
      </c>
      <c r="B20" s="52"/>
      <c r="C20" s="52"/>
      <c r="D20" s="52" t="s">
        <v>25</v>
      </c>
      <c r="E20" s="24" t="s">
        <v>81</v>
      </c>
      <c r="F20" s="52"/>
      <c r="G20" s="52" t="s">
        <v>36</v>
      </c>
      <c r="H20" s="52"/>
      <c r="I20" s="52"/>
      <c r="J20" s="34">
        <f>ROUND((J8/J18),5)</f>
        <v>-4.9699999999999996E-3</v>
      </c>
    </row>
    <row r="21" spans="1:10" ht="18" x14ac:dyDescent="0.25">
      <c r="A21" s="52"/>
      <c r="B21" s="52"/>
      <c r="C21" s="52"/>
      <c r="D21" s="52"/>
      <c r="E21" s="60"/>
      <c r="F21" s="52"/>
      <c r="G21" s="52" t="s">
        <v>37</v>
      </c>
      <c r="H21" s="52"/>
      <c r="I21" s="52"/>
      <c r="J21" s="52"/>
    </row>
    <row r="22" spans="1:10" ht="18" x14ac:dyDescent="0.25">
      <c r="A22" s="52" t="s">
        <v>8</v>
      </c>
      <c r="B22" s="52"/>
      <c r="C22" s="52"/>
      <c r="D22" s="52"/>
      <c r="E22" s="53">
        <v>-8.77E-3</v>
      </c>
      <c r="F22" s="52"/>
      <c r="G22" s="52"/>
      <c r="H22" s="52"/>
      <c r="I22" s="52"/>
      <c r="J22" s="52"/>
    </row>
    <row r="23" spans="1:10" ht="18" x14ac:dyDescent="0.25">
      <c r="A23" s="52"/>
      <c r="B23" s="52"/>
      <c r="C23" s="52"/>
      <c r="D23" s="52"/>
      <c r="E23" s="60"/>
      <c r="F23" s="52"/>
      <c r="G23" s="52" t="s">
        <v>38</v>
      </c>
      <c r="H23" s="52"/>
      <c r="I23" s="52"/>
      <c r="J23" s="52"/>
    </row>
    <row r="24" spans="1:10" ht="18" x14ac:dyDescent="0.25">
      <c r="A24" s="52" t="s">
        <v>9</v>
      </c>
      <c r="B24" s="52"/>
      <c r="C24" s="52"/>
      <c r="D24" s="52"/>
      <c r="E24" s="35">
        <v>44648291</v>
      </c>
      <c r="F24" s="52"/>
      <c r="G24" s="63" t="s">
        <v>1</v>
      </c>
      <c r="H24" s="52"/>
      <c r="I24" s="52"/>
      <c r="J24" s="52"/>
    </row>
    <row r="25" spans="1:10" ht="18" x14ac:dyDescent="0.25">
      <c r="A25" s="52"/>
      <c r="B25" s="52"/>
      <c r="C25" s="52"/>
      <c r="D25" s="52"/>
      <c r="E25" s="35"/>
      <c r="F25" s="52"/>
      <c r="G25" s="52" t="s">
        <v>39</v>
      </c>
      <c r="H25" s="52"/>
      <c r="I25" s="52"/>
      <c r="J25" s="58">
        <f>'12 Mth Avg-Dec 20'!E31</f>
        <v>3.2685557404378895E-2</v>
      </c>
    </row>
    <row r="26" spans="1:10" ht="18" x14ac:dyDescent="0.25">
      <c r="A26" s="52" t="s">
        <v>10</v>
      </c>
      <c r="B26" s="52"/>
      <c r="C26" s="52"/>
      <c r="D26" s="52"/>
      <c r="E26" s="35">
        <v>-39</v>
      </c>
      <c r="F26" s="52"/>
      <c r="G26" s="52"/>
      <c r="H26" s="52"/>
      <c r="I26" s="52"/>
      <c r="J26" s="52"/>
    </row>
    <row r="27" spans="1:10" ht="18" x14ac:dyDescent="0.25">
      <c r="A27" s="52"/>
      <c r="B27" s="52"/>
      <c r="C27" s="52"/>
      <c r="D27" s="52"/>
      <c r="E27" s="62"/>
      <c r="F27" s="52"/>
      <c r="G27" s="52" t="s">
        <v>40</v>
      </c>
      <c r="H27" s="52"/>
      <c r="I27" s="52"/>
      <c r="J27" s="36" t="str">
        <f>E4</f>
        <v>December</v>
      </c>
    </row>
    <row r="28" spans="1:10" ht="18" x14ac:dyDescent="0.25">
      <c r="A28" s="52" t="s">
        <v>11</v>
      </c>
      <c r="B28" s="52"/>
      <c r="C28" s="52"/>
      <c r="D28" s="52"/>
      <c r="E28" s="62">
        <f>SUM(E24:E26)</f>
        <v>44648252</v>
      </c>
      <c r="F28" s="52"/>
      <c r="G28" s="52"/>
      <c r="H28" s="52"/>
      <c r="I28" s="52"/>
      <c r="J28" s="52"/>
    </row>
    <row r="29" spans="1:10" ht="18" x14ac:dyDescent="0.25">
      <c r="A29" s="52" t="s">
        <v>12</v>
      </c>
      <c r="B29" s="52"/>
      <c r="C29" s="52"/>
      <c r="D29" s="52"/>
      <c r="E29" s="60"/>
      <c r="F29" s="52"/>
      <c r="G29" s="52" t="s">
        <v>41</v>
      </c>
      <c r="H29" s="52"/>
      <c r="I29" s="52"/>
      <c r="J29" s="65">
        <f>ROUND((+E15/E6),6)</f>
        <v>7.4104000000000003E-2</v>
      </c>
    </row>
    <row r="30" spans="1:10" ht="18" x14ac:dyDescent="0.25">
      <c r="A30" s="52"/>
      <c r="B30" s="52" t="s">
        <v>26</v>
      </c>
      <c r="C30" s="52"/>
      <c r="D30" s="52"/>
      <c r="E30" s="60"/>
      <c r="F30" s="52"/>
      <c r="G30" s="52" t="s">
        <v>42</v>
      </c>
      <c r="H30" s="52"/>
      <c r="I30" s="52"/>
      <c r="J30" s="52"/>
    </row>
    <row r="31" spans="1:10" ht="18" x14ac:dyDescent="0.25">
      <c r="A31" s="52" t="s">
        <v>13</v>
      </c>
      <c r="B31" s="52"/>
      <c r="C31" s="52"/>
      <c r="D31" s="52"/>
      <c r="E31" s="54">
        <v>-292284.76</v>
      </c>
      <c r="F31" s="52"/>
      <c r="G31" s="52"/>
      <c r="H31" s="52"/>
      <c r="I31" s="52"/>
      <c r="J31" s="52"/>
    </row>
    <row r="32" spans="1:10" ht="18" x14ac:dyDescent="0.25">
      <c r="A32" s="52" t="s">
        <v>14</v>
      </c>
      <c r="B32" s="52"/>
      <c r="C32" s="52"/>
      <c r="D32" s="52"/>
      <c r="E32" s="61"/>
      <c r="F32" s="52"/>
      <c r="G32" s="52" t="s">
        <v>43</v>
      </c>
      <c r="H32" s="52"/>
      <c r="I32" s="52"/>
      <c r="J32" s="52"/>
    </row>
    <row r="33" spans="1:10" ht="18" x14ac:dyDescent="0.25">
      <c r="A33" s="52"/>
      <c r="B33" s="52"/>
      <c r="C33" s="52"/>
      <c r="D33" s="52"/>
      <c r="E33" s="61"/>
      <c r="F33" s="52"/>
      <c r="G33" s="63" t="s">
        <v>1</v>
      </c>
      <c r="H33" s="63" t="s">
        <v>1</v>
      </c>
      <c r="I33" s="63" t="s">
        <v>1</v>
      </c>
      <c r="J33" s="52"/>
    </row>
    <row r="34" spans="1:10" ht="18" x14ac:dyDescent="0.25">
      <c r="A34" s="52" t="s">
        <v>15</v>
      </c>
      <c r="B34" s="52"/>
      <c r="C34" s="52"/>
      <c r="D34" s="52"/>
      <c r="E34" s="61">
        <f>(+E26*E22)+B41</f>
        <v>-391373.66797000001</v>
      </c>
      <c r="F34" s="52"/>
      <c r="G34" s="52" t="s">
        <v>44</v>
      </c>
      <c r="H34" s="52"/>
      <c r="I34" s="52"/>
      <c r="J34" s="65">
        <f>ROUND((1-J25),7)</f>
        <v>0.96731440000000002</v>
      </c>
    </row>
    <row r="35" spans="1:10" ht="18" x14ac:dyDescent="0.25">
      <c r="A35" s="52" t="s">
        <v>16</v>
      </c>
      <c r="B35" s="52"/>
      <c r="C35" s="52"/>
      <c r="D35" s="52"/>
      <c r="E35" s="61"/>
      <c r="F35" s="52"/>
      <c r="G35" s="52" t="s">
        <v>45</v>
      </c>
      <c r="H35" s="52"/>
      <c r="I35" s="52"/>
      <c r="J35" s="52"/>
    </row>
    <row r="36" spans="1:10" ht="18" x14ac:dyDescent="0.25">
      <c r="A36" s="52"/>
      <c r="B36" s="52"/>
      <c r="C36" s="52"/>
      <c r="D36" s="52"/>
      <c r="E36" s="61"/>
      <c r="F36" s="52"/>
      <c r="G36" s="52"/>
      <c r="H36" s="52"/>
      <c r="I36" s="52"/>
      <c r="J36" s="52"/>
    </row>
    <row r="37" spans="1:10" ht="18" x14ac:dyDescent="0.25">
      <c r="A37" s="52" t="s">
        <v>17</v>
      </c>
      <c r="B37" s="52"/>
      <c r="C37" s="52"/>
      <c r="D37" s="52"/>
      <c r="E37" s="61">
        <f>(E31-E34)</f>
        <v>99088.90797</v>
      </c>
      <c r="F37" s="52"/>
      <c r="G37" s="52" t="s">
        <v>46</v>
      </c>
      <c r="H37" s="52"/>
      <c r="I37" s="52"/>
      <c r="J37" s="66">
        <f>ROUND((J15/J18),5)</f>
        <v>-2.9199999999999999E-3</v>
      </c>
    </row>
    <row r="38" spans="1:10" ht="18" x14ac:dyDescent="0.25">
      <c r="A38" s="52" t="s">
        <v>18</v>
      </c>
      <c r="B38" s="52"/>
      <c r="C38" s="52"/>
      <c r="D38" s="52"/>
      <c r="E38" s="61"/>
      <c r="F38" s="52"/>
      <c r="G38" s="52" t="s">
        <v>47</v>
      </c>
      <c r="H38" s="52"/>
      <c r="I38" s="52"/>
      <c r="J38" s="66"/>
    </row>
    <row r="39" spans="1:10" ht="18" x14ac:dyDescent="0.25">
      <c r="A39" s="52"/>
      <c r="B39" s="52"/>
      <c r="C39" s="52"/>
      <c r="D39" s="52"/>
      <c r="E39" s="59"/>
      <c r="F39" s="52"/>
      <c r="G39" s="52"/>
      <c r="H39" s="52"/>
      <c r="I39" s="52"/>
      <c r="J39" s="66"/>
    </row>
    <row r="40" spans="1:10" ht="18" x14ac:dyDescent="0.25">
      <c r="A40" s="52"/>
      <c r="B40" s="39" t="s">
        <v>24</v>
      </c>
      <c r="C40" s="39"/>
      <c r="D40" s="39"/>
      <c r="E40" s="59"/>
      <c r="F40" s="52"/>
      <c r="G40" s="52" t="s">
        <v>48</v>
      </c>
      <c r="H40" s="52"/>
      <c r="I40" s="52"/>
      <c r="J40" s="40">
        <f>ROUND((J37/J34),7)</f>
        <v>-3.0187E-3</v>
      </c>
    </row>
    <row r="41" spans="1:10" ht="18" x14ac:dyDescent="0.25">
      <c r="A41" s="52"/>
      <c r="B41" s="57">
        <v>-391374.01</v>
      </c>
      <c r="D41" s="41"/>
      <c r="E41" s="59"/>
      <c r="F41" s="52"/>
      <c r="G41" s="52"/>
      <c r="H41" s="52"/>
      <c r="I41" s="52"/>
      <c r="J41" s="52"/>
    </row>
    <row r="42" spans="1:10" ht="18" x14ac:dyDescent="0.25">
      <c r="A42" s="52"/>
      <c r="B42" s="52"/>
      <c r="C42" s="52"/>
      <c r="D42" s="52"/>
      <c r="E42" s="52"/>
      <c r="F42" s="52"/>
      <c r="G42" s="52" t="s">
        <v>49</v>
      </c>
      <c r="H42" s="52"/>
      <c r="I42" s="52"/>
      <c r="J42" s="67">
        <f>ROUND((+J40*100),3)</f>
        <v>-0.30199999999999999</v>
      </c>
    </row>
    <row r="43" spans="1:10" ht="18" x14ac:dyDescent="0.25">
      <c r="A43" s="63" t="s">
        <v>1</v>
      </c>
      <c r="B43" s="63" t="s">
        <v>1</v>
      </c>
      <c r="C43" s="63" t="s">
        <v>1</v>
      </c>
      <c r="D43" s="63" t="s">
        <v>1</v>
      </c>
      <c r="E43" s="63" t="s">
        <v>1</v>
      </c>
      <c r="F43" s="63" t="s">
        <v>1</v>
      </c>
      <c r="G43" s="63" t="s">
        <v>1</v>
      </c>
      <c r="H43" s="63" t="s">
        <v>1</v>
      </c>
      <c r="I43" s="63" t="s">
        <v>1</v>
      </c>
      <c r="J43" s="63" t="s">
        <v>1</v>
      </c>
    </row>
    <row r="44" spans="1:10" ht="18" x14ac:dyDescent="0.25">
      <c r="A44" s="52" t="s">
        <v>19</v>
      </c>
      <c r="B44" s="52"/>
      <c r="C44" s="52"/>
      <c r="D44" s="68">
        <f>J42</f>
        <v>-0.30199999999999999</v>
      </c>
      <c r="E44" s="52" t="s">
        <v>26</v>
      </c>
      <c r="F44" s="69"/>
      <c r="G44" s="52"/>
      <c r="H44" s="52"/>
      <c r="I44" s="52"/>
      <c r="J44" s="52"/>
    </row>
    <row r="45" spans="1:10" ht="18" x14ac:dyDescent="0.25">
      <c r="A45" s="52" t="s">
        <v>20</v>
      </c>
      <c r="B45" s="24" t="s">
        <v>82</v>
      </c>
      <c r="C45" s="52"/>
      <c r="D45" s="52" t="s">
        <v>26</v>
      </c>
      <c r="E45" s="52"/>
      <c r="F45" s="52"/>
      <c r="G45" s="52"/>
      <c r="H45" s="52"/>
      <c r="I45" s="52"/>
      <c r="J45" s="52"/>
    </row>
    <row r="46" spans="1:10" ht="18" x14ac:dyDescent="0.25">
      <c r="A46" s="52"/>
      <c r="B46" s="52"/>
      <c r="C46" s="52"/>
      <c r="D46" s="52"/>
      <c r="E46" s="36"/>
      <c r="F46" s="52"/>
      <c r="G46" s="52"/>
      <c r="H46" s="45" t="s">
        <v>50</v>
      </c>
      <c r="I46" s="24" t="s">
        <v>83</v>
      </c>
      <c r="J46" s="46"/>
    </row>
    <row r="47" spans="1:10" ht="18" x14ac:dyDescent="0.25">
      <c r="A47" s="52" t="s">
        <v>73</v>
      </c>
      <c r="B47" s="52"/>
      <c r="C47" s="52"/>
      <c r="D47" s="52"/>
      <c r="E47" s="52"/>
      <c r="F47" s="52"/>
      <c r="G47" s="52"/>
      <c r="H47" s="52" t="s">
        <v>74</v>
      </c>
      <c r="I47" s="52"/>
      <c r="J47" s="52"/>
    </row>
    <row r="48" spans="1:10" ht="18" x14ac:dyDescent="0.25">
      <c r="A48" s="52" t="s">
        <v>21</v>
      </c>
      <c r="B48" s="52"/>
      <c r="C48" s="52"/>
      <c r="D48" s="52"/>
      <c r="E48" s="52"/>
      <c r="F48" s="52"/>
      <c r="G48" s="52"/>
      <c r="H48" s="52" t="s">
        <v>75</v>
      </c>
      <c r="I48" s="52"/>
      <c r="J48" s="52"/>
    </row>
    <row r="49" spans="1:10" ht="15.75" x14ac:dyDescent="0.25">
      <c r="A49" s="6" t="s">
        <v>22</v>
      </c>
      <c r="B49" s="2"/>
      <c r="C49" s="2"/>
      <c r="D49" s="2"/>
      <c r="E49" s="2"/>
      <c r="F49" s="7"/>
      <c r="G49" s="2"/>
      <c r="H49" s="7"/>
      <c r="I49" s="2" t="s">
        <v>26</v>
      </c>
      <c r="J49" s="4"/>
    </row>
    <row r="50" spans="1:10" ht="15.75" x14ac:dyDescent="0.25">
      <c r="A50" s="2"/>
      <c r="B50" s="2"/>
      <c r="C50" s="2"/>
      <c r="D50" s="2"/>
      <c r="E50" s="2"/>
      <c r="F50" s="2"/>
      <c r="G50" s="2"/>
      <c r="H50" s="7"/>
      <c r="I50" s="7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8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5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5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5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5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5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5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5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5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5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5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5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5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5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5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5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5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5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5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5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5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5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5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5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2F9F3-91DC-4D4F-9881-F513BFD48077}">
  <sheetPr>
    <pageSetUpPr fitToPage="1"/>
  </sheetPr>
  <dimension ref="A1:W99"/>
  <sheetViews>
    <sheetView zoomScale="55" zoomScaleNormal="55" workbookViewId="0">
      <selection activeCell="M26" sqref="M26"/>
    </sheetView>
  </sheetViews>
  <sheetFormatPr defaultColWidth="9.6640625" defaultRowHeight="15" x14ac:dyDescent="0.2"/>
  <cols>
    <col min="1" max="1" width="11.33203125" style="1" customWidth="1"/>
    <col min="2" max="2" width="28.77734375" style="1" customWidth="1"/>
    <col min="3" max="3" width="19.33203125" style="1" customWidth="1"/>
    <col min="4" max="4" width="10" style="1" customWidth="1"/>
    <col min="5" max="5" width="17.6640625" style="1" customWidth="1"/>
    <col min="6" max="6" width="9.6640625" style="1" customWidth="1"/>
    <col min="7" max="7" width="8.5546875" style="1" customWidth="1"/>
    <col min="8" max="8" width="13.77734375" style="1" customWidth="1"/>
    <col min="9" max="9" width="21.88671875" style="1" customWidth="1"/>
    <col min="10" max="10" width="20.6640625" style="1" customWidth="1"/>
    <col min="11" max="20" width="9.6640625" style="1"/>
    <col min="21" max="21" width="17" style="73" bestFit="1" customWidth="1"/>
    <col min="22" max="22" width="9.6640625" style="1"/>
    <col min="23" max="23" width="14" style="73" bestFit="1" customWidth="1"/>
    <col min="24" max="16384" width="9.6640625" style="1"/>
  </cols>
  <sheetData>
    <row r="1" spans="1:11" x14ac:dyDescent="0.2">
      <c r="A1" s="2" t="s">
        <v>0</v>
      </c>
      <c r="B1" s="2" t="s">
        <v>23</v>
      </c>
      <c r="C1" s="2"/>
      <c r="D1" s="2"/>
      <c r="E1" s="2"/>
      <c r="F1" s="2"/>
      <c r="G1" s="2" t="s">
        <v>27</v>
      </c>
      <c r="H1" s="2"/>
      <c r="I1" s="2"/>
      <c r="J1" s="2"/>
    </row>
    <row r="2" spans="1:11" x14ac:dyDescent="0.2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</row>
    <row r="3" spans="1:11" x14ac:dyDescent="0.2">
      <c r="A3" s="3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</row>
    <row r="4" spans="1:11" ht="18" x14ac:dyDescent="0.25">
      <c r="A4" s="52" t="s">
        <v>2</v>
      </c>
      <c r="B4" s="52"/>
      <c r="C4" s="52"/>
      <c r="D4" s="52"/>
      <c r="E4" s="24" t="s">
        <v>97</v>
      </c>
      <c r="F4" s="52"/>
      <c r="G4" s="52" t="s">
        <v>28</v>
      </c>
      <c r="H4" s="52"/>
      <c r="I4" s="52" t="s">
        <v>51</v>
      </c>
      <c r="J4" s="25" t="str">
        <f>E4</f>
        <v>June</v>
      </c>
    </row>
    <row r="5" spans="1:11" ht="1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1" ht="18" x14ac:dyDescent="0.25">
      <c r="A6" s="52" t="s">
        <v>71</v>
      </c>
      <c r="B6" s="52"/>
      <c r="C6" s="52"/>
      <c r="D6" s="52"/>
      <c r="E6" s="26">
        <v>41591725</v>
      </c>
      <c r="F6" s="52"/>
      <c r="G6" s="52" t="s">
        <v>29</v>
      </c>
      <c r="H6" s="52"/>
      <c r="I6" s="52"/>
      <c r="J6" s="59"/>
      <c r="K6" s="55"/>
    </row>
    <row r="7" spans="1:11" ht="18" x14ac:dyDescent="0.25">
      <c r="A7" s="52"/>
      <c r="B7" s="52"/>
      <c r="C7" s="52"/>
      <c r="D7" s="52"/>
      <c r="E7" s="60"/>
      <c r="F7" s="52"/>
      <c r="G7" s="52"/>
      <c r="H7" s="52"/>
      <c r="I7" s="52"/>
      <c r="J7" s="52"/>
    </row>
    <row r="8" spans="1:11" ht="18" x14ac:dyDescent="0.25">
      <c r="A8" s="52" t="s">
        <v>72</v>
      </c>
      <c r="B8" s="52"/>
      <c r="C8" s="52"/>
      <c r="D8" s="52"/>
      <c r="E8" s="26">
        <v>41064360</v>
      </c>
      <c r="F8" s="52"/>
      <c r="G8" s="52" t="s">
        <v>30</v>
      </c>
      <c r="H8" s="52"/>
      <c r="I8" s="52"/>
      <c r="J8" s="54">
        <v>381811</v>
      </c>
    </row>
    <row r="9" spans="1:11" ht="18" x14ac:dyDescent="0.25">
      <c r="A9" s="52"/>
      <c r="B9" s="52"/>
      <c r="C9" s="52"/>
      <c r="D9" s="52"/>
      <c r="E9" s="60"/>
      <c r="F9" s="52"/>
      <c r="G9" s="52"/>
      <c r="H9" s="52" t="s">
        <v>26</v>
      </c>
      <c r="I9" s="52"/>
      <c r="J9" s="29" t="s">
        <v>26</v>
      </c>
    </row>
    <row r="10" spans="1:11" ht="18" x14ac:dyDescent="0.25">
      <c r="A10" s="52"/>
      <c r="B10" s="52"/>
      <c r="C10" s="52"/>
      <c r="D10" s="52"/>
      <c r="E10" s="60"/>
      <c r="F10" s="52"/>
      <c r="G10" s="52"/>
      <c r="H10" s="52" t="s">
        <v>26</v>
      </c>
      <c r="I10" s="52"/>
      <c r="J10" s="29" t="s">
        <v>26</v>
      </c>
    </row>
    <row r="11" spans="1:11" ht="18" x14ac:dyDescent="0.25">
      <c r="A11" s="52" t="s">
        <v>3</v>
      </c>
      <c r="B11" s="52"/>
      <c r="C11" s="52"/>
      <c r="D11" s="52"/>
      <c r="E11" s="60">
        <v>0</v>
      </c>
      <c r="F11" s="52"/>
      <c r="G11" s="52" t="s">
        <v>31</v>
      </c>
      <c r="H11" s="52"/>
      <c r="I11" s="52"/>
      <c r="J11" s="61">
        <f>E37</f>
        <v>-60316.959999999963</v>
      </c>
    </row>
    <row r="12" spans="1:11" ht="18" x14ac:dyDescent="0.25">
      <c r="A12" s="52"/>
      <c r="B12" s="52"/>
      <c r="C12" s="52"/>
      <c r="D12" s="52"/>
      <c r="E12" s="60"/>
      <c r="F12" s="52"/>
      <c r="G12" s="52"/>
      <c r="H12" s="52"/>
      <c r="I12" s="52"/>
      <c r="J12" s="59"/>
    </row>
    <row r="13" spans="1:11" ht="18" x14ac:dyDescent="0.25">
      <c r="A13" s="52" t="s">
        <v>4</v>
      </c>
      <c r="B13" s="52"/>
      <c r="C13" s="52"/>
      <c r="D13" s="52"/>
      <c r="E13" s="60">
        <f>SUM(E8:E11)</f>
        <v>41064360</v>
      </c>
      <c r="F13" s="52"/>
      <c r="G13" s="52" t="s">
        <v>32</v>
      </c>
      <c r="H13" s="52"/>
      <c r="I13" s="52"/>
      <c r="J13" s="59">
        <v>0</v>
      </c>
    </row>
    <row r="14" spans="1:11" ht="18" x14ac:dyDescent="0.25">
      <c r="A14" s="52"/>
      <c r="B14" s="52"/>
      <c r="C14" s="52"/>
      <c r="D14" s="52"/>
      <c r="E14" s="60"/>
      <c r="F14" s="52"/>
      <c r="G14" s="52"/>
      <c r="H14" s="52"/>
      <c r="I14" s="52"/>
      <c r="J14" s="59"/>
    </row>
    <row r="15" spans="1:11" ht="18" x14ac:dyDescent="0.25">
      <c r="A15" s="52" t="s">
        <v>5</v>
      </c>
      <c r="B15" s="52"/>
      <c r="C15" s="52"/>
      <c r="D15" s="52"/>
      <c r="E15" s="62">
        <f>E6-E13</f>
        <v>527365</v>
      </c>
      <c r="F15" s="52"/>
      <c r="G15" s="52" t="s">
        <v>33</v>
      </c>
      <c r="H15" s="52"/>
      <c r="I15" s="52"/>
      <c r="J15" s="61">
        <f>ROUND((+J8+J11),4)</f>
        <v>321494.03999999998</v>
      </c>
    </row>
    <row r="16" spans="1:11" ht="18" x14ac:dyDescent="0.25">
      <c r="A16" s="52" t="s">
        <v>6</v>
      </c>
      <c r="B16" s="52"/>
      <c r="C16" s="52"/>
      <c r="D16" s="52"/>
      <c r="E16" s="60"/>
      <c r="F16" s="52"/>
      <c r="G16" s="52" t="s">
        <v>34</v>
      </c>
      <c r="H16" s="52"/>
      <c r="I16" s="52"/>
      <c r="J16" s="59"/>
    </row>
    <row r="17" spans="1:13" ht="18" x14ac:dyDescent="0.25">
      <c r="A17" s="52"/>
      <c r="B17" s="52"/>
      <c r="C17" s="52"/>
      <c r="D17" s="52"/>
      <c r="E17" s="60"/>
      <c r="F17" s="52"/>
      <c r="G17" s="52"/>
      <c r="H17" s="52"/>
      <c r="I17" s="52"/>
      <c r="J17" s="52"/>
    </row>
    <row r="18" spans="1:13" ht="18" x14ac:dyDescent="0.25">
      <c r="A18" s="63" t="s">
        <v>1</v>
      </c>
      <c r="B18" s="63" t="s">
        <v>1</v>
      </c>
      <c r="C18" s="63" t="s">
        <v>1</v>
      </c>
      <c r="D18" s="63" t="s">
        <v>1</v>
      </c>
      <c r="E18" s="64" t="s">
        <v>1</v>
      </c>
      <c r="F18" s="52"/>
      <c r="G18" s="52" t="s">
        <v>35</v>
      </c>
      <c r="H18" s="52"/>
      <c r="I18" s="52"/>
      <c r="J18" s="60">
        <f>E6</f>
        <v>41591725</v>
      </c>
    </row>
    <row r="19" spans="1:13" ht="18" x14ac:dyDescent="0.25">
      <c r="A19" s="63" t="s">
        <v>1</v>
      </c>
      <c r="B19" s="63" t="s">
        <v>1</v>
      </c>
      <c r="C19" s="63" t="s">
        <v>1</v>
      </c>
      <c r="D19" s="63" t="s">
        <v>1</v>
      </c>
      <c r="E19" s="64"/>
      <c r="F19" s="52"/>
      <c r="G19" s="52"/>
      <c r="H19" s="52"/>
      <c r="I19" s="52"/>
      <c r="J19" s="52"/>
    </row>
    <row r="20" spans="1:13" ht="18" x14ac:dyDescent="0.25">
      <c r="A20" s="52" t="s">
        <v>7</v>
      </c>
      <c r="B20" s="52"/>
      <c r="C20" s="52"/>
      <c r="D20" s="52" t="s">
        <v>25</v>
      </c>
      <c r="E20" s="24" t="s">
        <v>92</v>
      </c>
      <c r="F20" s="52"/>
      <c r="G20" s="52" t="s">
        <v>36</v>
      </c>
      <c r="H20" s="52"/>
      <c r="I20" s="52"/>
      <c r="J20" s="34">
        <f>ROUND((J8/J18),5)</f>
        <v>9.1800000000000007E-3</v>
      </c>
    </row>
    <row r="21" spans="1:13" ht="18" x14ac:dyDescent="0.25">
      <c r="A21" s="52"/>
      <c r="B21" s="52"/>
      <c r="C21" s="52"/>
      <c r="D21" s="52"/>
      <c r="E21" s="60"/>
      <c r="F21" s="52"/>
      <c r="G21" s="52" t="s">
        <v>37</v>
      </c>
      <c r="H21" s="52"/>
      <c r="I21" s="52"/>
      <c r="J21" s="52"/>
    </row>
    <row r="22" spans="1:13" ht="18" x14ac:dyDescent="0.25">
      <c r="A22" s="52" t="s">
        <v>8</v>
      </c>
      <c r="B22" s="52"/>
      <c r="C22" s="52"/>
      <c r="D22" s="52"/>
      <c r="E22" s="53">
        <v>9.6699999999999998E-3</v>
      </c>
      <c r="F22" s="52"/>
      <c r="G22" s="52"/>
      <c r="H22" s="52"/>
      <c r="I22" s="52"/>
      <c r="J22" s="52"/>
    </row>
    <row r="23" spans="1:13" ht="18" x14ac:dyDescent="0.25">
      <c r="A23" s="52"/>
      <c r="B23" s="52"/>
      <c r="C23" s="52"/>
      <c r="D23" s="52"/>
      <c r="E23" s="60"/>
      <c r="F23" s="52"/>
      <c r="G23" s="52" t="s">
        <v>38</v>
      </c>
      <c r="H23" s="52"/>
      <c r="I23" s="52"/>
      <c r="J23" s="52"/>
    </row>
    <row r="24" spans="1:13" ht="18" x14ac:dyDescent="0.25">
      <c r="A24" s="52" t="s">
        <v>9</v>
      </c>
      <c r="B24" s="52"/>
      <c r="C24" s="52"/>
      <c r="D24" s="52"/>
      <c r="E24" s="35">
        <v>41064360</v>
      </c>
      <c r="F24" s="52"/>
      <c r="G24" s="63" t="s">
        <v>1</v>
      </c>
      <c r="H24" s="52"/>
      <c r="I24" s="52"/>
      <c r="J24" s="52"/>
    </row>
    <row r="25" spans="1:13" ht="18" x14ac:dyDescent="0.25">
      <c r="A25" s="52"/>
      <c r="B25" s="52"/>
      <c r="C25" s="52"/>
      <c r="D25" s="52"/>
      <c r="E25" s="35"/>
      <c r="F25" s="52"/>
      <c r="G25" s="52" t="s">
        <v>39</v>
      </c>
      <c r="H25" s="52"/>
      <c r="I25" s="52"/>
      <c r="J25" s="58">
        <f>'12 Mth Avg-Jun 22'!E31</f>
        <v>2.6243534822554974E-2</v>
      </c>
    </row>
    <row r="26" spans="1:13" ht="18" x14ac:dyDescent="0.25">
      <c r="A26" s="52" t="s">
        <v>10</v>
      </c>
      <c r="B26" s="52"/>
      <c r="C26" s="52"/>
      <c r="D26" s="52"/>
      <c r="E26" s="35">
        <v>0</v>
      </c>
      <c r="F26" s="52"/>
      <c r="G26" s="52"/>
      <c r="H26" s="52"/>
      <c r="I26" s="52"/>
      <c r="J26" s="52"/>
      <c r="M26" s="70"/>
    </row>
    <row r="27" spans="1:13" ht="18" x14ac:dyDescent="0.25">
      <c r="A27" s="52"/>
      <c r="B27" s="52"/>
      <c r="C27" s="52"/>
      <c r="D27" s="52"/>
      <c r="E27" s="62"/>
      <c r="F27" s="52"/>
      <c r="G27" s="52" t="s">
        <v>40</v>
      </c>
      <c r="H27" s="52"/>
      <c r="I27" s="52"/>
      <c r="J27" s="36" t="str">
        <f>E4</f>
        <v>June</v>
      </c>
    </row>
    <row r="28" spans="1:13" ht="18" x14ac:dyDescent="0.25">
      <c r="A28" s="52" t="s">
        <v>11</v>
      </c>
      <c r="B28" s="52"/>
      <c r="C28" s="52"/>
      <c r="D28" s="52"/>
      <c r="E28" s="62">
        <f>SUM(E24:E27)</f>
        <v>41064360</v>
      </c>
      <c r="F28" s="52"/>
      <c r="G28" s="52"/>
      <c r="H28" s="52"/>
      <c r="I28" s="52"/>
      <c r="J28" s="52"/>
    </row>
    <row r="29" spans="1:13" ht="18" x14ac:dyDescent="0.25">
      <c r="A29" s="52" t="s">
        <v>12</v>
      </c>
      <c r="B29" s="52"/>
      <c r="C29" s="52"/>
      <c r="D29" s="52"/>
      <c r="E29" s="60"/>
      <c r="F29" s="52"/>
      <c r="G29" s="52" t="s">
        <v>41</v>
      </c>
      <c r="H29" s="52"/>
      <c r="I29" s="52"/>
      <c r="J29" s="65">
        <f>ROUND((+E15/E6),6)</f>
        <v>1.268E-2</v>
      </c>
    </row>
    <row r="30" spans="1:13" ht="18" x14ac:dyDescent="0.25">
      <c r="A30" s="52"/>
      <c r="B30" s="52" t="s">
        <v>26</v>
      </c>
      <c r="C30" s="52"/>
      <c r="D30" s="52"/>
      <c r="E30" s="60"/>
      <c r="F30" s="52"/>
      <c r="G30" s="52" t="s">
        <v>42</v>
      </c>
      <c r="H30" s="52"/>
      <c r="I30" s="52"/>
      <c r="J30" s="52"/>
    </row>
    <row r="31" spans="1:13" ht="18" x14ac:dyDescent="0.25">
      <c r="A31" s="52" t="s">
        <v>13</v>
      </c>
      <c r="B31" s="52"/>
      <c r="C31" s="52"/>
      <c r="D31" s="52"/>
      <c r="E31" s="54">
        <v>334402.75</v>
      </c>
      <c r="F31" s="52"/>
      <c r="G31" s="52"/>
      <c r="H31" s="52"/>
      <c r="I31" s="52"/>
      <c r="J31" s="52"/>
    </row>
    <row r="32" spans="1:13" ht="18" x14ac:dyDescent="0.25">
      <c r="A32" s="52" t="s">
        <v>14</v>
      </c>
      <c r="B32" s="52"/>
      <c r="C32" s="52"/>
      <c r="D32" s="52"/>
      <c r="E32" s="61"/>
      <c r="F32" s="52"/>
      <c r="G32" s="52" t="s">
        <v>43</v>
      </c>
      <c r="H32" s="52"/>
      <c r="I32" s="52"/>
      <c r="J32" s="52"/>
    </row>
    <row r="33" spans="1:10" ht="18" x14ac:dyDescent="0.25">
      <c r="A33" s="52"/>
      <c r="B33" s="52"/>
      <c r="C33" s="52"/>
      <c r="D33" s="52"/>
      <c r="E33" s="61"/>
      <c r="F33" s="52"/>
      <c r="G33" s="63" t="s">
        <v>1</v>
      </c>
      <c r="H33" s="63" t="s">
        <v>1</v>
      </c>
      <c r="I33" s="63" t="s">
        <v>1</v>
      </c>
      <c r="J33" s="52"/>
    </row>
    <row r="34" spans="1:10" ht="18" x14ac:dyDescent="0.25">
      <c r="A34" s="52" t="s">
        <v>15</v>
      </c>
      <c r="B34" s="52"/>
      <c r="C34" s="52"/>
      <c r="D34" s="52"/>
      <c r="E34" s="61">
        <f>(+E26*E22)+B41</f>
        <v>394719.70999999996</v>
      </c>
      <c r="F34" s="52"/>
      <c r="G34" s="52" t="s">
        <v>44</v>
      </c>
      <c r="H34" s="52"/>
      <c r="I34" s="52"/>
      <c r="J34" s="65">
        <f>ROUND((1-J25),7)</f>
        <v>0.97375650000000002</v>
      </c>
    </row>
    <row r="35" spans="1:10" ht="18" x14ac:dyDescent="0.25">
      <c r="A35" s="52" t="s">
        <v>16</v>
      </c>
      <c r="B35" s="52"/>
      <c r="C35" s="52"/>
      <c r="D35" s="52"/>
      <c r="E35" s="61"/>
      <c r="F35" s="52"/>
      <c r="G35" s="52" t="s">
        <v>45</v>
      </c>
      <c r="H35" s="52"/>
      <c r="I35" s="52"/>
      <c r="J35" s="52"/>
    </row>
    <row r="36" spans="1:10" ht="18" x14ac:dyDescent="0.25">
      <c r="A36" s="52"/>
      <c r="B36" s="52"/>
      <c r="C36" s="52"/>
      <c r="D36" s="52"/>
      <c r="E36" s="61"/>
      <c r="F36" s="52"/>
      <c r="G36" s="52"/>
      <c r="H36" s="52"/>
      <c r="I36" s="52"/>
      <c r="J36" s="52"/>
    </row>
    <row r="37" spans="1:10" ht="18" x14ac:dyDescent="0.25">
      <c r="A37" s="52" t="s">
        <v>17</v>
      </c>
      <c r="B37" s="52"/>
      <c r="C37" s="52"/>
      <c r="D37" s="52"/>
      <c r="E37" s="61">
        <f>(E31-E34)</f>
        <v>-60316.959999999963</v>
      </c>
      <c r="F37" s="52"/>
      <c r="G37" s="52" t="s">
        <v>46</v>
      </c>
      <c r="H37" s="52"/>
      <c r="I37" s="52"/>
      <c r="J37" s="66">
        <f>ROUND((J15/J18),5)</f>
        <v>7.7299999999999999E-3</v>
      </c>
    </row>
    <row r="38" spans="1:10" ht="18" x14ac:dyDescent="0.25">
      <c r="A38" s="52" t="s">
        <v>18</v>
      </c>
      <c r="B38" s="52"/>
      <c r="C38" s="52"/>
      <c r="D38" s="52"/>
      <c r="E38" s="61"/>
      <c r="F38" s="52"/>
      <c r="G38" s="52" t="s">
        <v>47</v>
      </c>
      <c r="H38" s="52"/>
      <c r="I38" s="52"/>
      <c r="J38" s="66"/>
    </row>
    <row r="39" spans="1:10" ht="18" x14ac:dyDescent="0.25">
      <c r="A39" s="52"/>
      <c r="B39" s="52"/>
      <c r="C39" s="52"/>
      <c r="D39" s="52"/>
      <c r="E39" s="59"/>
      <c r="F39" s="52"/>
      <c r="G39" s="52"/>
      <c r="H39" s="52"/>
      <c r="I39" s="52"/>
      <c r="J39" s="66"/>
    </row>
    <row r="40" spans="1:10" ht="18" x14ac:dyDescent="0.25">
      <c r="A40" s="52"/>
      <c r="B40" s="39" t="s">
        <v>24</v>
      </c>
      <c r="C40" s="39"/>
      <c r="D40" s="39"/>
      <c r="E40" s="59"/>
      <c r="F40" s="52"/>
      <c r="G40" s="52" t="s">
        <v>48</v>
      </c>
      <c r="H40" s="52"/>
      <c r="I40" s="52"/>
      <c r="J40" s="40">
        <f>ROUND((J37/J34),7)</f>
        <v>7.9383000000000006E-3</v>
      </c>
    </row>
    <row r="41" spans="1:10" ht="18" x14ac:dyDescent="0.25">
      <c r="A41" s="52"/>
      <c r="B41" s="57">
        <f>393310.49+1409.22</f>
        <v>394719.70999999996</v>
      </c>
      <c r="D41" s="41"/>
      <c r="E41" s="59"/>
      <c r="F41" s="52"/>
      <c r="G41" s="52"/>
      <c r="H41" s="52"/>
      <c r="I41" s="52"/>
      <c r="J41" s="52"/>
    </row>
    <row r="42" spans="1:10" ht="18" x14ac:dyDescent="0.25">
      <c r="A42" s="52"/>
      <c r="B42" s="52"/>
      <c r="C42" s="52"/>
      <c r="D42" s="52"/>
      <c r="E42" s="52"/>
      <c r="F42" s="52"/>
      <c r="G42" s="52" t="s">
        <v>49</v>
      </c>
      <c r="H42" s="52"/>
      <c r="I42" s="52"/>
      <c r="J42" s="67">
        <f>ROUND((+J40*100),3)</f>
        <v>0.79400000000000004</v>
      </c>
    </row>
    <row r="43" spans="1:10" ht="18" x14ac:dyDescent="0.25">
      <c r="A43" s="63" t="s">
        <v>1</v>
      </c>
      <c r="B43" s="63" t="s">
        <v>1</v>
      </c>
      <c r="C43" s="63" t="s">
        <v>1</v>
      </c>
      <c r="D43" s="63" t="s">
        <v>1</v>
      </c>
      <c r="E43" s="63" t="s">
        <v>1</v>
      </c>
      <c r="F43" s="63" t="s">
        <v>1</v>
      </c>
      <c r="G43" s="63" t="s">
        <v>1</v>
      </c>
      <c r="H43" s="63" t="s">
        <v>1</v>
      </c>
      <c r="I43" s="63" t="s">
        <v>1</v>
      </c>
      <c r="J43" s="63" t="s">
        <v>1</v>
      </c>
    </row>
    <row r="44" spans="1:10" ht="18" x14ac:dyDescent="0.25">
      <c r="A44" s="52" t="s">
        <v>19</v>
      </c>
      <c r="B44" s="52"/>
      <c r="C44" s="52"/>
      <c r="D44" s="68">
        <f>J42</f>
        <v>0.79400000000000004</v>
      </c>
      <c r="E44" s="52" t="s">
        <v>26</v>
      </c>
      <c r="F44" s="69"/>
      <c r="G44" s="52"/>
      <c r="H44" s="52"/>
      <c r="I44" s="52"/>
      <c r="J44" s="52"/>
    </row>
    <row r="45" spans="1:10" ht="18" x14ac:dyDescent="0.25">
      <c r="A45" s="52" t="s">
        <v>20</v>
      </c>
      <c r="B45" s="71">
        <f>I46+28</f>
        <v>44788</v>
      </c>
      <c r="C45" s="52"/>
      <c r="D45" s="52" t="s">
        <v>26</v>
      </c>
      <c r="E45" s="52"/>
      <c r="F45" s="52"/>
      <c r="G45" s="52"/>
      <c r="H45" s="52"/>
      <c r="I45" s="52"/>
      <c r="J45" s="52"/>
    </row>
    <row r="46" spans="1:10" ht="18" x14ac:dyDescent="0.25">
      <c r="A46" s="52"/>
      <c r="B46" s="52"/>
      <c r="C46" s="52"/>
      <c r="D46" s="52"/>
      <c r="E46" s="36"/>
      <c r="F46" s="52"/>
      <c r="G46" s="52"/>
      <c r="H46" s="45" t="s">
        <v>50</v>
      </c>
      <c r="I46" s="71">
        <v>44760</v>
      </c>
      <c r="J46" s="46"/>
    </row>
    <row r="47" spans="1:10" ht="18" x14ac:dyDescent="0.25">
      <c r="A47" s="52" t="s">
        <v>100</v>
      </c>
      <c r="B47" s="52" t="s">
        <v>105</v>
      </c>
      <c r="C47" s="52"/>
      <c r="D47" s="52"/>
      <c r="E47" s="52"/>
      <c r="F47" s="52"/>
      <c r="G47" s="52"/>
      <c r="H47" s="52" t="s">
        <v>106</v>
      </c>
      <c r="I47" s="52"/>
      <c r="J47" s="52"/>
    </row>
    <row r="48" spans="1:10" ht="18" x14ac:dyDescent="0.25">
      <c r="A48" s="52" t="s">
        <v>21</v>
      </c>
      <c r="B48" s="52"/>
      <c r="C48" s="52"/>
      <c r="D48" s="52"/>
      <c r="E48" s="52"/>
      <c r="F48" s="52"/>
      <c r="G48" s="52"/>
      <c r="H48" s="52" t="s">
        <v>103</v>
      </c>
      <c r="I48" s="52"/>
      <c r="J48" s="52"/>
    </row>
    <row r="49" spans="1:10" ht="15.75" x14ac:dyDescent="0.25">
      <c r="A49" s="6" t="s">
        <v>22</v>
      </c>
      <c r="B49" s="2"/>
      <c r="C49" s="2"/>
      <c r="D49" s="2"/>
      <c r="E49" s="2"/>
      <c r="F49" s="7"/>
      <c r="G49" s="2"/>
      <c r="H49" s="7"/>
      <c r="I49" s="2" t="s">
        <v>26</v>
      </c>
      <c r="J49" s="4"/>
    </row>
    <row r="50" spans="1:10" ht="15.75" x14ac:dyDescent="0.25">
      <c r="A50" s="2"/>
      <c r="B50" s="2"/>
      <c r="C50" s="2"/>
      <c r="D50" s="2"/>
      <c r="E50" s="2"/>
      <c r="F50" s="2"/>
      <c r="G50" s="2"/>
      <c r="H50" s="7"/>
      <c r="I50" s="7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8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5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5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5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5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5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5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5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5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5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5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5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5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5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5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5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5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5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5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5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5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5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5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5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8D432-8EAD-43B7-9EC5-A75CE19048F3}">
  <dimension ref="A1:G40"/>
  <sheetViews>
    <sheetView workbookViewId="0">
      <selection activeCell="J22" sqref="J22"/>
    </sheetView>
  </sheetViews>
  <sheetFormatPr defaultRowHeight="15" x14ac:dyDescent="0.2"/>
  <cols>
    <col min="1" max="1" width="21" customWidth="1"/>
    <col min="3" max="3" width="11.5546875" customWidth="1"/>
    <col min="4" max="4" width="3.6640625" customWidth="1"/>
    <col min="5" max="5" width="11.88671875" bestFit="1" customWidth="1"/>
    <col min="6" max="6" width="3.77734375" customWidth="1"/>
    <col min="7" max="7" width="12" customWidth="1"/>
  </cols>
  <sheetData>
    <row r="1" spans="1:7" ht="15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59</v>
      </c>
      <c r="B2" s="15"/>
      <c r="C2" s="15"/>
      <c r="D2" s="15"/>
      <c r="E2" s="15"/>
      <c r="F2" s="15"/>
      <c r="G2" s="15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 t="s">
        <v>60</v>
      </c>
      <c r="B5" s="11"/>
      <c r="C5" s="11"/>
      <c r="D5" s="11"/>
      <c r="E5" s="11"/>
      <c r="F5" s="11"/>
      <c r="G5" s="11"/>
    </row>
    <row r="6" spans="1:7" ht="15.75" x14ac:dyDescent="0.25">
      <c r="A6" s="11" t="s">
        <v>61</v>
      </c>
      <c r="B6" s="11"/>
      <c r="C6" s="11"/>
      <c r="D6" s="11"/>
      <c r="E6" s="11"/>
      <c r="F6" s="11"/>
      <c r="G6" s="11"/>
    </row>
    <row r="7" spans="1:7" ht="15.75" x14ac:dyDescent="0.25">
      <c r="A7" s="11" t="s">
        <v>62</v>
      </c>
      <c r="B7" s="11"/>
      <c r="C7" s="11"/>
      <c r="D7" s="11"/>
      <c r="E7" s="11"/>
      <c r="F7" s="11"/>
      <c r="G7" s="11"/>
    </row>
    <row r="8" spans="1:7" ht="15.75" x14ac:dyDescent="0.25">
      <c r="A8" s="9"/>
      <c r="B8" s="9"/>
      <c r="C8" s="9"/>
      <c r="D8" s="9"/>
      <c r="E8" s="9"/>
      <c r="F8" s="9"/>
      <c r="G8" s="9"/>
    </row>
    <row r="9" spans="1:7" ht="15.75" x14ac:dyDescent="0.25">
      <c r="A9" s="19">
        <v>44742</v>
      </c>
      <c r="B9" s="11"/>
      <c r="C9" s="11"/>
      <c r="D9" s="11"/>
      <c r="E9" s="11"/>
      <c r="F9" s="11"/>
      <c r="G9" s="11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15"/>
      <c r="B11" s="15"/>
      <c r="C11" s="15"/>
      <c r="D11" s="15"/>
      <c r="E11" s="15"/>
      <c r="F11" s="15"/>
      <c r="G11" s="15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2"/>
      <c r="B13" s="12"/>
      <c r="C13" s="16" t="s">
        <v>63</v>
      </c>
      <c r="D13" s="12"/>
      <c r="E13" s="16" t="s">
        <v>66</v>
      </c>
      <c r="F13" s="16"/>
      <c r="G13" s="16" t="s">
        <v>69</v>
      </c>
    </row>
    <row r="14" spans="1:7" ht="15.75" x14ac:dyDescent="0.25">
      <c r="A14" s="12"/>
      <c r="B14" s="12"/>
      <c r="C14" s="16" t="s">
        <v>64</v>
      </c>
      <c r="D14" s="12"/>
      <c r="E14" s="16" t="s">
        <v>64</v>
      </c>
      <c r="F14" s="16"/>
      <c r="G14" s="16" t="s">
        <v>64</v>
      </c>
    </row>
    <row r="15" spans="1:7" ht="15.75" x14ac:dyDescent="0.25">
      <c r="A15" s="12"/>
      <c r="B15" s="12"/>
      <c r="C15" s="16" t="s">
        <v>65</v>
      </c>
      <c r="D15" s="12"/>
      <c r="E15" s="16" t="s">
        <v>67</v>
      </c>
      <c r="F15" s="16"/>
      <c r="G15" s="16" t="s">
        <v>68</v>
      </c>
    </row>
    <row r="16" spans="1:7" ht="15.75" x14ac:dyDescent="0.25">
      <c r="A16" s="12"/>
      <c r="B16" s="12"/>
      <c r="C16" s="16"/>
      <c r="D16" s="12"/>
      <c r="E16" s="16" t="s">
        <v>70</v>
      </c>
      <c r="F16" s="16"/>
      <c r="G16" s="16"/>
    </row>
    <row r="17" spans="1:7" ht="15.75" x14ac:dyDescent="0.25">
      <c r="A17" s="9"/>
      <c r="B17" s="9"/>
      <c r="C17" s="9"/>
      <c r="D17" s="9"/>
      <c r="E17" s="9"/>
      <c r="F17" s="9"/>
      <c r="G17" s="9"/>
    </row>
    <row r="18" spans="1:7" ht="15.75" x14ac:dyDescent="0.25">
      <c r="A18" s="9" t="s">
        <v>52</v>
      </c>
      <c r="B18" s="9"/>
      <c r="C18" s="9"/>
      <c r="D18" s="9"/>
      <c r="E18" s="9"/>
      <c r="F18" s="9"/>
      <c r="G18" s="9"/>
    </row>
    <row r="19" spans="1:7" ht="15.75" x14ac:dyDescent="0.25">
      <c r="A19" s="9" t="s">
        <v>53</v>
      </c>
      <c r="B19" s="9"/>
      <c r="C19" s="13">
        <v>488326599</v>
      </c>
      <c r="D19" s="14"/>
      <c r="E19" s="13">
        <v>474672448</v>
      </c>
      <c r="F19" s="14"/>
      <c r="G19" s="13">
        <f>C19-E19</f>
        <v>13654151</v>
      </c>
    </row>
    <row r="20" spans="1:7" ht="15.75" x14ac:dyDescent="0.25">
      <c r="A20" s="9"/>
      <c r="B20" s="9"/>
      <c r="C20" s="13"/>
      <c r="D20" s="14"/>
      <c r="E20" s="13"/>
      <c r="F20" s="14"/>
      <c r="G20" s="13"/>
    </row>
    <row r="21" spans="1:7" ht="15.75" x14ac:dyDescent="0.25">
      <c r="A21" s="9" t="s">
        <v>54</v>
      </c>
      <c r="B21" s="9"/>
      <c r="C21" s="13"/>
      <c r="D21" s="14"/>
      <c r="E21" s="13"/>
      <c r="F21" s="14"/>
      <c r="G21" s="13"/>
    </row>
    <row r="22" spans="1:7" ht="15.75" x14ac:dyDescent="0.25">
      <c r="A22" s="9" t="s">
        <v>55</v>
      </c>
      <c r="B22" s="9"/>
      <c r="C22" s="13">
        <v>39519371</v>
      </c>
      <c r="D22" s="14"/>
      <c r="E22" s="13">
        <v>38207657</v>
      </c>
      <c r="F22" s="14"/>
      <c r="G22" s="13">
        <f>C22-E22</f>
        <v>1311714</v>
      </c>
    </row>
    <row r="23" spans="1:7" ht="15.75" x14ac:dyDescent="0.25">
      <c r="A23" s="9"/>
      <c r="B23" s="9"/>
      <c r="C23" s="13"/>
      <c r="D23" s="14"/>
      <c r="E23" s="13"/>
      <c r="F23" s="14"/>
      <c r="G23" s="13"/>
    </row>
    <row r="24" spans="1:7" ht="15.75" x14ac:dyDescent="0.25">
      <c r="A24" s="9" t="s">
        <v>56</v>
      </c>
      <c r="B24" s="9"/>
      <c r="C24" s="13"/>
      <c r="D24" s="14"/>
      <c r="E24" s="13"/>
      <c r="F24" s="14"/>
      <c r="G24" s="13"/>
    </row>
    <row r="25" spans="1:7" ht="15.75" x14ac:dyDescent="0.25">
      <c r="A25" s="9" t="s">
        <v>55</v>
      </c>
      <c r="B25" s="9"/>
      <c r="C25" s="13">
        <v>41591725</v>
      </c>
      <c r="D25" s="14"/>
      <c r="E25" s="13">
        <v>41064360</v>
      </c>
      <c r="F25" s="14"/>
      <c r="G25" s="13">
        <f>C25-E25</f>
        <v>527365</v>
      </c>
    </row>
    <row r="26" spans="1:7" ht="15.75" x14ac:dyDescent="0.25">
      <c r="A26" s="9"/>
      <c r="B26" s="9"/>
      <c r="C26" s="10"/>
      <c r="D26" s="9"/>
      <c r="E26" s="10"/>
      <c r="F26" s="9"/>
      <c r="G26" s="10"/>
    </row>
    <row r="27" spans="1:7" ht="15.75" x14ac:dyDescent="0.25">
      <c r="A27" s="9" t="s">
        <v>57</v>
      </c>
      <c r="B27" s="9"/>
      <c r="C27" s="10"/>
      <c r="D27" s="9"/>
      <c r="E27" s="10"/>
      <c r="F27" s="9"/>
      <c r="G27" s="10"/>
    </row>
    <row r="28" spans="1:7" ht="15.75" x14ac:dyDescent="0.25">
      <c r="A28" s="9" t="s">
        <v>53</v>
      </c>
      <c r="B28" s="9"/>
      <c r="C28" s="10">
        <f>C19-C22+C25</f>
        <v>490398953</v>
      </c>
      <c r="D28" s="9"/>
      <c r="E28" s="10">
        <f>E19-E22+E25</f>
        <v>477529151</v>
      </c>
      <c r="F28" s="9"/>
      <c r="G28" s="10">
        <f>C28-E28</f>
        <v>12869802</v>
      </c>
    </row>
    <row r="29" spans="1:7" ht="15.75" x14ac:dyDescent="0.25">
      <c r="A29" s="9"/>
      <c r="B29" s="9"/>
      <c r="C29" s="10"/>
      <c r="D29" s="9"/>
      <c r="E29" s="10"/>
      <c r="F29" s="9"/>
      <c r="G29" s="10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 t="s">
        <v>58</v>
      </c>
      <c r="B31" s="9"/>
      <c r="C31" s="9"/>
      <c r="D31" s="9"/>
      <c r="E31" s="56">
        <f>G28/C28</f>
        <v>2.6243534822554974E-2</v>
      </c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56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</sheetData>
  <pageMargins left="0.75" right="0.75" top="1.2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BD497-5868-4354-842B-70E1A8187170}">
  <sheetPr>
    <pageSetUpPr fitToPage="1"/>
  </sheetPr>
  <dimension ref="A1:W99"/>
  <sheetViews>
    <sheetView zoomScale="55" zoomScaleNormal="55" workbookViewId="0">
      <selection activeCell="M26" sqref="M26"/>
    </sheetView>
  </sheetViews>
  <sheetFormatPr defaultColWidth="9.6640625" defaultRowHeight="15" x14ac:dyDescent="0.2"/>
  <cols>
    <col min="1" max="1" width="11.33203125" style="1" customWidth="1"/>
    <col min="2" max="2" width="28.77734375" style="1" customWidth="1"/>
    <col min="3" max="3" width="19.33203125" style="1" customWidth="1"/>
    <col min="4" max="4" width="10" style="1" customWidth="1"/>
    <col min="5" max="5" width="17.6640625" style="1" customWidth="1"/>
    <col min="6" max="6" width="9.6640625" style="1" customWidth="1"/>
    <col min="7" max="7" width="8.5546875" style="1" customWidth="1"/>
    <col min="8" max="8" width="13.77734375" style="1" customWidth="1"/>
    <col min="9" max="9" width="21.88671875" style="1" customWidth="1"/>
    <col min="10" max="10" width="20.6640625" style="1" customWidth="1"/>
    <col min="11" max="20" width="9.6640625" style="1"/>
    <col min="21" max="21" width="17" style="73" bestFit="1" customWidth="1"/>
    <col min="22" max="22" width="9.6640625" style="1"/>
    <col min="23" max="23" width="14" style="73" bestFit="1" customWidth="1"/>
    <col min="24" max="16384" width="9.6640625" style="1"/>
  </cols>
  <sheetData>
    <row r="1" spans="1:11" x14ac:dyDescent="0.2">
      <c r="A1" s="2" t="s">
        <v>0</v>
      </c>
      <c r="B1" s="2" t="s">
        <v>23</v>
      </c>
      <c r="C1" s="2"/>
      <c r="D1" s="2"/>
      <c r="E1" s="2"/>
      <c r="F1" s="2"/>
      <c r="G1" s="2" t="s">
        <v>27</v>
      </c>
      <c r="H1" s="2"/>
      <c r="I1" s="2"/>
      <c r="J1" s="2"/>
    </row>
    <row r="2" spans="1:11" x14ac:dyDescent="0.2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</row>
    <row r="3" spans="1:11" x14ac:dyDescent="0.2">
      <c r="A3" s="3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</row>
    <row r="4" spans="1:11" ht="18" x14ac:dyDescent="0.25">
      <c r="A4" s="52" t="s">
        <v>2</v>
      </c>
      <c r="B4" s="52"/>
      <c r="C4" s="52"/>
      <c r="D4" s="52"/>
      <c r="E4" s="24" t="s">
        <v>104</v>
      </c>
      <c r="F4" s="52"/>
      <c r="G4" s="52" t="s">
        <v>28</v>
      </c>
      <c r="H4" s="52"/>
      <c r="I4" s="52" t="s">
        <v>51</v>
      </c>
      <c r="J4" s="25" t="str">
        <f>E4</f>
        <v>July</v>
      </c>
    </row>
    <row r="5" spans="1:11" ht="1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1" ht="18" x14ac:dyDescent="0.25">
      <c r="A6" s="52" t="s">
        <v>71</v>
      </c>
      <c r="B6" s="52"/>
      <c r="C6" s="52"/>
      <c r="D6" s="52"/>
      <c r="E6" s="26">
        <v>45310813</v>
      </c>
      <c r="F6" s="52"/>
      <c r="G6" s="52" t="s">
        <v>29</v>
      </c>
      <c r="H6" s="52"/>
      <c r="I6" s="52"/>
      <c r="J6" s="59"/>
      <c r="K6" s="55"/>
    </row>
    <row r="7" spans="1:11" ht="18" x14ac:dyDescent="0.25">
      <c r="A7" s="52"/>
      <c r="B7" s="52"/>
      <c r="C7" s="52"/>
      <c r="D7" s="52"/>
      <c r="E7" s="60"/>
      <c r="F7" s="52"/>
      <c r="G7" s="52"/>
      <c r="H7" s="52"/>
      <c r="I7" s="52"/>
      <c r="J7" s="52"/>
    </row>
    <row r="8" spans="1:11" ht="18" x14ac:dyDescent="0.25">
      <c r="A8" s="52" t="s">
        <v>72</v>
      </c>
      <c r="B8" s="52"/>
      <c r="C8" s="52"/>
      <c r="D8" s="52"/>
      <c r="E8" s="26">
        <v>42886297</v>
      </c>
      <c r="F8" s="52"/>
      <c r="G8" s="52" t="s">
        <v>30</v>
      </c>
      <c r="H8" s="52"/>
      <c r="I8" s="52"/>
      <c r="J8" s="54">
        <v>746723</v>
      </c>
    </row>
    <row r="9" spans="1:11" ht="18" x14ac:dyDescent="0.25">
      <c r="A9" s="52"/>
      <c r="B9" s="52"/>
      <c r="C9" s="52"/>
      <c r="D9" s="52"/>
      <c r="E9" s="60"/>
      <c r="F9" s="52"/>
      <c r="G9" s="52"/>
      <c r="H9" s="52" t="s">
        <v>26</v>
      </c>
      <c r="I9" s="52"/>
      <c r="J9" s="29" t="s">
        <v>26</v>
      </c>
    </row>
    <row r="10" spans="1:11" ht="18" x14ac:dyDescent="0.25">
      <c r="A10" s="52"/>
      <c r="B10" s="52"/>
      <c r="C10" s="52"/>
      <c r="D10" s="52"/>
      <c r="E10" s="60"/>
      <c r="F10" s="52"/>
      <c r="G10" s="52"/>
      <c r="H10" s="52" t="s">
        <v>26</v>
      </c>
      <c r="I10" s="52"/>
      <c r="J10" s="29" t="s">
        <v>26</v>
      </c>
    </row>
    <row r="11" spans="1:11" ht="18" x14ac:dyDescent="0.25">
      <c r="A11" s="52" t="s">
        <v>3</v>
      </c>
      <c r="B11" s="52"/>
      <c r="C11" s="52"/>
      <c r="D11" s="52"/>
      <c r="E11" s="60">
        <v>0</v>
      </c>
      <c r="F11" s="52"/>
      <c r="G11" s="52" t="s">
        <v>31</v>
      </c>
      <c r="H11" s="52"/>
      <c r="I11" s="52"/>
      <c r="J11" s="61">
        <f>E37</f>
        <v>-62333.649660000054</v>
      </c>
    </row>
    <row r="12" spans="1:11" ht="18" x14ac:dyDescent="0.25">
      <c r="A12" s="52"/>
      <c r="B12" s="52"/>
      <c r="C12" s="52"/>
      <c r="D12" s="52"/>
      <c r="E12" s="60"/>
      <c r="F12" s="52"/>
      <c r="G12" s="52"/>
      <c r="H12" s="52"/>
      <c r="I12" s="52"/>
      <c r="J12" s="59"/>
    </row>
    <row r="13" spans="1:11" ht="18" x14ac:dyDescent="0.25">
      <c r="A13" s="52" t="s">
        <v>4</v>
      </c>
      <c r="B13" s="52"/>
      <c r="C13" s="52"/>
      <c r="D13" s="52"/>
      <c r="E13" s="60">
        <f>SUM(E8:E11)</f>
        <v>42886297</v>
      </c>
      <c r="F13" s="52"/>
      <c r="G13" s="52" t="s">
        <v>32</v>
      </c>
      <c r="H13" s="52"/>
      <c r="I13" s="52"/>
      <c r="J13" s="59">
        <v>0</v>
      </c>
    </row>
    <row r="14" spans="1:11" ht="18" x14ac:dyDescent="0.25">
      <c r="A14" s="52"/>
      <c r="B14" s="52"/>
      <c r="C14" s="52"/>
      <c r="D14" s="52"/>
      <c r="E14" s="60"/>
      <c r="F14" s="52"/>
      <c r="G14" s="52"/>
      <c r="H14" s="52"/>
      <c r="I14" s="52"/>
      <c r="J14" s="59"/>
    </row>
    <row r="15" spans="1:11" ht="18" x14ac:dyDescent="0.25">
      <c r="A15" s="52" t="s">
        <v>5</v>
      </c>
      <c r="B15" s="52"/>
      <c r="C15" s="52"/>
      <c r="D15" s="52"/>
      <c r="E15" s="62">
        <f>E6-E13</f>
        <v>2424516</v>
      </c>
      <c r="F15" s="52"/>
      <c r="G15" s="52" t="s">
        <v>33</v>
      </c>
      <c r="H15" s="52"/>
      <c r="I15" s="52"/>
      <c r="J15" s="61">
        <f>ROUND((+J8+J11),4)</f>
        <v>684389.35030000005</v>
      </c>
    </row>
    <row r="16" spans="1:11" ht="18" x14ac:dyDescent="0.25">
      <c r="A16" s="52" t="s">
        <v>6</v>
      </c>
      <c r="B16" s="52"/>
      <c r="C16" s="52"/>
      <c r="D16" s="52"/>
      <c r="E16" s="60"/>
      <c r="F16" s="52"/>
      <c r="G16" s="52" t="s">
        <v>34</v>
      </c>
      <c r="H16" s="52"/>
      <c r="I16" s="52"/>
      <c r="J16" s="59"/>
    </row>
    <row r="17" spans="1:13" ht="18" x14ac:dyDescent="0.25">
      <c r="A17" s="52"/>
      <c r="B17" s="52"/>
      <c r="C17" s="52"/>
      <c r="D17" s="52"/>
      <c r="E17" s="60"/>
      <c r="F17" s="52"/>
      <c r="G17" s="52"/>
      <c r="H17" s="52"/>
      <c r="I17" s="52"/>
      <c r="J17" s="52"/>
    </row>
    <row r="18" spans="1:13" ht="18" x14ac:dyDescent="0.25">
      <c r="A18" s="63" t="s">
        <v>1</v>
      </c>
      <c r="B18" s="63" t="s">
        <v>1</v>
      </c>
      <c r="C18" s="63" t="s">
        <v>1</v>
      </c>
      <c r="D18" s="63" t="s">
        <v>1</v>
      </c>
      <c r="E18" s="64" t="s">
        <v>1</v>
      </c>
      <c r="F18" s="52"/>
      <c r="G18" s="52" t="s">
        <v>35</v>
      </c>
      <c r="H18" s="52"/>
      <c r="I18" s="52"/>
      <c r="J18" s="60">
        <f>E6</f>
        <v>45310813</v>
      </c>
    </row>
    <row r="19" spans="1:13" ht="18" x14ac:dyDescent="0.25">
      <c r="A19" s="63" t="s">
        <v>1</v>
      </c>
      <c r="B19" s="63" t="s">
        <v>1</v>
      </c>
      <c r="C19" s="63" t="s">
        <v>1</v>
      </c>
      <c r="D19" s="63" t="s">
        <v>1</v>
      </c>
      <c r="E19" s="64"/>
      <c r="F19" s="52"/>
      <c r="G19" s="52"/>
      <c r="H19" s="52"/>
      <c r="I19" s="52"/>
      <c r="J19" s="52"/>
    </row>
    <row r="20" spans="1:13" ht="18" x14ac:dyDescent="0.25">
      <c r="A20" s="52" t="s">
        <v>7</v>
      </c>
      <c r="B20" s="52"/>
      <c r="C20" s="52"/>
      <c r="D20" s="52" t="s">
        <v>25</v>
      </c>
      <c r="E20" s="24" t="s">
        <v>94</v>
      </c>
      <c r="F20" s="52"/>
      <c r="G20" s="52" t="s">
        <v>36</v>
      </c>
      <c r="H20" s="52"/>
      <c r="I20" s="52"/>
      <c r="J20" s="34">
        <f>ROUND((J8/J18),5)</f>
        <v>1.6480000000000002E-2</v>
      </c>
    </row>
    <row r="21" spans="1:13" ht="18" x14ac:dyDescent="0.25">
      <c r="A21" s="52"/>
      <c r="B21" s="52"/>
      <c r="C21" s="52"/>
      <c r="D21" s="52"/>
      <c r="E21" s="60"/>
      <c r="F21" s="52"/>
      <c r="G21" s="52" t="s">
        <v>37</v>
      </c>
      <c r="H21" s="52"/>
      <c r="I21" s="52"/>
      <c r="J21" s="52"/>
    </row>
    <row r="22" spans="1:13" ht="18" x14ac:dyDescent="0.25">
      <c r="A22" s="52" t="s">
        <v>8</v>
      </c>
      <c r="B22" s="52"/>
      <c r="C22" s="52"/>
      <c r="D22" s="52"/>
      <c r="E22" s="53">
        <v>8.5900000000000004E-3</v>
      </c>
      <c r="F22" s="52"/>
      <c r="G22" s="52"/>
      <c r="H22" s="52"/>
      <c r="I22" s="52"/>
      <c r="J22" s="52"/>
    </row>
    <row r="23" spans="1:13" ht="18" x14ac:dyDescent="0.25">
      <c r="A23" s="52"/>
      <c r="B23" s="52"/>
      <c r="C23" s="52"/>
      <c r="D23" s="52"/>
      <c r="E23" s="60"/>
      <c r="F23" s="52"/>
      <c r="G23" s="52" t="s">
        <v>38</v>
      </c>
      <c r="H23" s="52"/>
      <c r="I23" s="52"/>
      <c r="J23" s="52"/>
    </row>
    <row r="24" spans="1:13" ht="18" x14ac:dyDescent="0.25">
      <c r="A24" s="52" t="s">
        <v>9</v>
      </c>
      <c r="B24" s="52"/>
      <c r="C24" s="52"/>
      <c r="D24" s="52"/>
      <c r="E24" s="35">
        <v>42755623</v>
      </c>
      <c r="F24" s="52"/>
      <c r="G24" s="63" t="s">
        <v>1</v>
      </c>
      <c r="H24" s="52"/>
      <c r="I24" s="52"/>
      <c r="J24" s="52"/>
    </row>
    <row r="25" spans="1:13" ht="18" x14ac:dyDescent="0.25">
      <c r="A25" s="52"/>
      <c r="B25" s="52"/>
      <c r="C25" s="52"/>
      <c r="D25" s="52"/>
      <c r="E25" s="35"/>
      <c r="F25" s="52"/>
      <c r="G25" s="52" t="s">
        <v>39</v>
      </c>
      <c r="H25" s="52"/>
      <c r="I25" s="52"/>
      <c r="J25" s="58">
        <f>'12 Mth Avg-Jul 22'!E31</f>
        <v>2.7422490106706353E-2</v>
      </c>
    </row>
    <row r="26" spans="1:13" ht="18" x14ac:dyDescent="0.25">
      <c r="A26" s="52" t="s">
        <v>10</v>
      </c>
      <c r="B26" s="52"/>
      <c r="C26" s="52"/>
      <c r="D26" s="52"/>
      <c r="E26" s="35">
        <f>130674</f>
        <v>130674</v>
      </c>
      <c r="F26" s="52"/>
      <c r="G26" s="52"/>
      <c r="H26" s="52"/>
      <c r="I26" s="52"/>
      <c r="J26" s="52"/>
      <c r="M26" s="70"/>
    </row>
    <row r="27" spans="1:13" ht="18" x14ac:dyDescent="0.25">
      <c r="A27" s="52"/>
      <c r="B27" s="52"/>
      <c r="C27" s="52"/>
      <c r="D27" s="52"/>
      <c r="E27" s="62"/>
      <c r="F27" s="52"/>
      <c r="G27" s="52" t="s">
        <v>40</v>
      </c>
      <c r="H27" s="52"/>
      <c r="I27" s="52"/>
      <c r="J27" s="36" t="str">
        <f>E4</f>
        <v>July</v>
      </c>
    </row>
    <row r="28" spans="1:13" ht="18" x14ac:dyDescent="0.25">
      <c r="A28" s="52" t="s">
        <v>11</v>
      </c>
      <c r="B28" s="52"/>
      <c r="C28" s="52"/>
      <c r="D28" s="52"/>
      <c r="E28" s="62">
        <f>SUM(E24:E27)</f>
        <v>42886297</v>
      </c>
      <c r="F28" s="52"/>
      <c r="G28" s="52"/>
      <c r="H28" s="52"/>
      <c r="I28" s="52"/>
      <c r="J28" s="52"/>
    </row>
    <row r="29" spans="1:13" ht="18" x14ac:dyDescent="0.25">
      <c r="A29" s="52" t="s">
        <v>12</v>
      </c>
      <c r="B29" s="52"/>
      <c r="C29" s="52"/>
      <c r="D29" s="52"/>
      <c r="E29" s="60"/>
      <c r="F29" s="52"/>
      <c r="G29" s="52" t="s">
        <v>41</v>
      </c>
      <c r="H29" s="52"/>
      <c r="I29" s="52"/>
      <c r="J29" s="65">
        <f>ROUND((+E15/E6),6)</f>
        <v>5.3509000000000001E-2</v>
      </c>
    </row>
    <row r="30" spans="1:13" ht="18" x14ac:dyDescent="0.25">
      <c r="A30" s="52"/>
      <c r="B30" s="52" t="s">
        <v>26</v>
      </c>
      <c r="C30" s="52"/>
      <c r="D30" s="52"/>
      <c r="E30" s="60"/>
      <c r="F30" s="52"/>
      <c r="G30" s="52" t="s">
        <v>42</v>
      </c>
      <c r="H30" s="52"/>
      <c r="I30" s="52"/>
      <c r="J30" s="52"/>
    </row>
    <row r="31" spans="1:13" ht="18" x14ac:dyDescent="0.25">
      <c r="A31" s="52" t="s">
        <v>13</v>
      </c>
      <c r="B31" s="52"/>
      <c r="C31" s="52"/>
      <c r="D31" s="52"/>
      <c r="E31" s="54">
        <v>305392.40999999997</v>
      </c>
      <c r="F31" s="52"/>
      <c r="G31" s="52"/>
      <c r="H31" s="52"/>
      <c r="I31" s="52"/>
      <c r="J31" s="52"/>
    </row>
    <row r="32" spans="1:13" ht="18" x14ac:dyDescent="0.25">
      <c r="A32" s="52" t="s">
        <v>14</v>
      </c>
      <c r="B32" s="52"/>
      <c r="C32" s="52"/>
      <c r="D32" s="52"/>
      <c r="E32" s="61"/>
      <c r="F32" s="52"/>
      <c r="G32" s="52" t="s">
        <v>43</v>
      </c>
      <c r="H32" s="52"/>
      <c r="I32" s="52"/>
      <c r="J32" s="52"/>
    </row>
    <row r="33" spans="1:10" ht="18" x14ac:dyDescent="0.25">
      <c r="A33" s="52"/>
      <c r="B33" s="52"/>
      <c r="C33" s="52"/>
      <c r="D33" s="52"/>
      <c r="E33" s="61"/>
      <c r="F33" s="52"/>
      <c r="G33" s="63" t="s">
        <v>1</v>
      </c>
      <c r="H33" s="63" t="s">
        <v>1</v>
      </c>
      <c r="I33" s="63" t="s">
        <v>1</v>
      </c>
      <c r="J33" s="52"/>
    </row>
    <row r="34" spans="1:10" ht="18" x14ac:dyDescent="0.25">
      <c r="A34" s="52" t="s">
        <v>15</v>
      </c>
      <c r="B34" s="52"/>
      <c r="C34" s="52"/>
      <c r="D34" s="52"/>
      <c r="E34" s="61">
        <f>(+E26*E22)+B41</f>
        <v>367726.05966000003</v>
      </c>
      <c r="F34" s="52"/>
      <c r="G34" s="52" t="s">
        <v>44</v>
      </c>
      <c r="H34" s="52"/>
      <c r="I34" s="52"/>
      <c r="J34" s="65">
        <f>ROUND((1-J25),7)</f>
        <v>0.97257749999999998</v>
      </c>
    </row>
    <row r="35" spans="1:10" ht="18" x14ac:dyDescent="0.25">
      <c r="A35" s="52" t="s">
        <v>16</v>
      </c>
      <c r="B35" s="52"/>
      <c r="C35" s="52"/>
      <c r="D35" s="52"/>
      <c r="E35" s="61"/>
      <c r="F35" s="52"/>
      <c r="G35" s="52" t="s">
        <v>45</v>
      </c>
      <c r="H35" s="52"/>
      <c r="I35" s="52"/>
      <c r="J35" s="52"/>
    </row>
    <row r="36" spans="1:10" ht="18" x14ac:dyDescent="0.25">
      <c r="A36" s="52"/>
      <c r="B36" s="52"/>
      <c r="C36" s="52"/>
      <c r="D36" s="52"/>
      <c r="E36" s="61"/>
      <c r="F36" s="52"/>
      <c r="G36" s="52"/>
      <c r="H36" s="52"/>
      <c r="I36" s="52"/>
      <c r="J36" s="52"/>
    </row>
    <row r="37" spans="1:10" ht="18" x14ac:dyDescent="0.25">
      <c r="A37" s="52" t="s">
        <v>17</v>
      </c>
      <c r="B37" s="52"/>
      <c r="C37" s="52"/>
      <c r="D37" s="52"/>
      <c r="E37" s="61">
        <f>(E31-E34)</f>
        <v>-62333.649660000054</v>
      </c>
      <c r="F37" s="52"/>
      <c r="G37" s="52" t="s">
        <v>46</v>
      </c>
      <c r="H37" s="52"/>
      <c r="I37" s="52"/>
      <c r="J37" s="66">
        <f>ROUND((J15/J18),5)</f>
        <v>1.5100000000000001E-2</v>
      </c>
    </row>
    <row r="38" spans="1:10" ht="18" x14ac:dyDescent="0.25">
      <c r="A38" s="52" t="s">
        <v>18</v>
      </c>
      <c r="B38" s="52"/>
      <c r="C38" s="52"/>
      <c r="D38" s="52"/>
      <c r="E38" s="61"/>
      <c r="F38" s="52"/>
      <c r="G38" s="52" t="s">
        <v>47</v>
      </c>
      <c r="H38" s="52"/>
      <c r="I38" s="52"/>
      <c r="J38" s="66"/>
    </row>
    <row r="39" spans="1:10" ht="18" x14ac:dyDescent="0.25">
      <c r="A39" s="52"/>
      <c r="B39" s="52"/>
      <c r="C39" s="52"/>
      <c r="D39" s="52"/>
      <c r="E39" s="59"/>
      <c r="F39" s="52"/>
      <c r="G39" s="52"/>
      <c r="H39" s="52"/>
      <c r="I39" s="52"/>
      <c r="J39" s="66"/>
    </row>
    <row r="40" spans="1:10" ht="18" x14ac:dyDescent="0.25">
      <c r="A40" s="52"/>
      <c r="B40" s="39" t="s">
        <v>24</v>
      </c>
      <c r="C40" s="39"/>
      <c r="D40" s="39"/>
      <c r="E40" s="59"/>
      <c r="F40" s="52"/>
      <c r="G40" s="52" t="s">
        <v>48</v>
      </c>
      <c r="H40" s="52"/>
      <c r="I40" s="52"/>
      <c r="J40" s="40">
        <f>ROUND((J37/J34),7)</f>
        <v>1.5525799999999999E-2</v>
      </c>
    </row>
    <row r="41" spans="1:10" ht="18" x14ac:dyDescent="0.25">
      <c r="A41" s="52"/>
      <c r="B41" s="57">
        <f>365340.36+1263.21</f>
        <v>366603.57</v>
      </c>
      <c r="D41" s="41"/>
      <c r="E41" s="59"/>
      <c r="F41" s="52"/>
      <c r="G41" s="52"/>
      <c r="H41" s="52"/>
      <c r="I41" s="52"/>
      <c r="J41" s="52"/>
    </row>
    <row r="42" spans="1:10" ht="18" x14ac:dyDescent="0.25">
      <c r="A42" s="52"/>
      <c r="B42" s="52"/>
      <c r="C42" s="52"/>
      <c r="D42" s="52"/>
      <c r="E42" s="52"/>
      <c r="F42" s="52"/>
      <c r="G42" s="52" t="s">
        <v>49</v>
      </c>
      <c r="H42" s="52"/>
      <c r="I42" s="52"/>
      <c r="J42" s="67">
        <f>ROUND((+J40*100),3)</f>
        <v>1.5529999999999999</v>
      </c>
    </row>
    <row r="43" spans="1:10" ht="18" x14ac:dyDescent="0.25">
      <c r="A43" s="63" t="s">
        <v>1</v>
      </c>
      <c r="B43" s="63" t="s">
        <v>1</v>
      </c>
      <c r="C43" s="63" t="s">
        <v>1</v>
      </c>
      <c r="D43" s="63" t="s">
        <v>1</v>
      </c>
      <c r="E43" s="63" t="s">
        <v>1</v>
      </c>
      <c r="F43" s="63" t="s">
        <v>1</v>
      </c>
      <c r="G43" s="63" t="s">
        <v>1</v>
      </c>
      <c r="H43" s="63" t="s">
        <v>1</v>
      </c>
      <c r="I43" s="63" t="s">
        <v>1</v>
      </c>
      <c r="J43" s="63" t="s">
        <v>1</v>
      </c>
    </row>
    <row r="44" spans="1:10" ht="18" x14ac:dyDescent="0.25">
      <c r="A44" s="52" t="s">
        <v>19</v>
      </c>
      <c r="B44" s="52"/>
      <c r="C44" s="52"/>
      <c r="D44" s="68">
        <f>J42</f>
        <v>1.5529999999999999</v>
      </c>
      <c r="E44" s="52" t="s">
        <v>26</v>
      </c>
      <c r="F44" s="69"/>
      <c r="G44" s="52"/>
      <c r="H44" s="52"/>
      <c r="I44" s="52"/>
      <c r="J44" s="52"/>
    </row>
    <row r="45" spans="1:10" ht="18" x14ac:dyDescent="0.25">
      <c r="A45" s="52" t="s">
        <v>20</v>
      </c>
      <c r="B45" s="71">
        <f>I46+28</f>
        <v>44819</v>
      </c>
      <c r="C45" s="52"/>
      <c r="D45" s="52" t="s">
        <v>26</v>
      </c>
      <c r="E45" s="52"/>
      <c r="F45" s="52"/>
      <c r="G45" s="52"/>
      <c r="H45" s="52"/>
      <c r="I45" s="52"/>
      <c r="J45" s="52"/>
    </row>
    <row r="46" spans="1:10" ht="18" x14ac:dyDescent="0.25">
      <c r="A46" s="52"/>
      <c r="B46" s="52"/>
      <c r="C46" s="52"/>
      <c r="D46" s="52"/>
      <c r="E46" s="36"/>
      <c r="F46" s="52"/>
      <c r="G46" s="52"/>
      <c r="H46" s="45" t="s">
        <v>50</v>
      </c>
      <c r="I46" s="71">
        <v>44791</v>
      </c>
      <c r="J46" s="46"/>
    </row>
    <row r="47" spans="1:10" ht="18" x14ac:dyDescent="0.25">
      <c r="A47" s="52" t="s">
        <v>100</v>
      </c>
      <c r="B47" s="52" t="s">
        <v>105</v>
      </c>
      <c r="C47" s="52"/>
      <c r="D47" s="52"/>
      <c r="E47" s="52"/>
      <c r="F47" s="52"/>
      <c r="G47" s="52"/>
      <c r="H47" s="52" t="s">
        <v>106</v>
      </c>
      <c r="I47" s="52"/>
      <c r="J47" s="52"/>
    </row>
    <row r="48" spans="1:10" ht="18" x14ac:dyDescent="0.25">
      <c r="A48" s="52" t="s">
        <v>21</v>
      </c>
      <c r="B48" s="52"/>
      <c r="C48" s="52"/>
      <c r="D48" s="52"/>
      <c r="E48" s="52"/>
      <c r="F48" s="52"/>
      <c r="G48" s="52"/>
      <c r="H48" s="52" t="s">
        <v>103</v>
      </c>
      <c r="I48" s="52"/>
      <c r="J48" s="52"/>
    </row>
    <row r="49" spans="1:10" ht="15.75" x14ac:dyDescent="0.25">
      <c r="A49" s="6" t="s">
        <v>22</v>
      </c>
      <c r="B49" s="2"/>
      <c r="C49" s="2"/>
      <c r="D49" s="2"/>
      <c r="E49" s="2"/>
      <c r="F49" s="7"/>
      <c r="G49" s="2"/>
      <c r="H49" s="7"/>
      <c r="I49" s="2" t="s">
        <v>26</v>
      </c>
      <c r="J49" s="4"/>
    </row>
    <row r="50" spans="1:10" ht="15.75" x14ac:dyDescent="0.25">
      <c r="A50" s="2"/>
      <c r="B50" s="2"/>
      <c r="C50" s="2"/>
      <c r="D50" s="2"/>
      <c r="E50" s="2"/>
      <c r="F50" s="2"/>
      <c r="G50" s="2"/>
      <c r="H50" s="7"/>
      <c r="I50" s="7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8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5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5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5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5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5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5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5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5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5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5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5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5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5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5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5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5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5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5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5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5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5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5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5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C2A15-3BA6-4D0D-B2FD-6EEB398795C2}">
  <dimension ref="A1:G40"/>
  <sheetViews>
    <sheetView workbookViewId="0">
      <selection activeCell="E22" sqref="E22"/>
    </sheetView>
  </sheetViews>
  <sheetFormatPr defaultRowHeight="15" x14ac:dyDescent="0.2"/>
  <cols>
    <col min="1" max="1" width="21" customWidth="1"/>
    <col min="3" max="3" width="11.5546875" customWidth="1"/>
    <col min="4" max="4" width="3.6640625" customWidth="1"/>
    <col min="5" max="5" width="11.88671875" bestFit="1" customWidth="1"/>
    <col min="6" max="6" width="3.77734375" customWidth="1"/>
    <col min="7" max="7" width="12" customWidth="1"/>
  </cols>
  <sheetData>
    <row r="1" spans="1:7" ht="15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59</v>
      </c>
      <c r="B2" s="15"/>
      <c r="C2" s="15"/>
      <c r="D2" s="15"/>
      <c r="E2" s="15"/>
      <c r="F2" s="15"/>
      <c r="G2" s="15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 t="s">
        <v>60</v>
      </c>
      <c r="B5" s="11"/>
      <c r="C5" s="11"/>
      <c r="D5" s="11"/>
      <c r="E5" s="11"/>
      <c r="F5" s="11"/>
      <c r="G5" s="11"/>
    </row>
    <row r="6" spans="1:7" ht="15.75" x14ac:dyDescent="0.25">
      <c r="A6" s="11" t="s">
        <v>61</v>
      </c>
      <c r="B6" s="11"/>
      <c r="C6" s="11"/>
      <c r="D6" s="11"/>
      <c r="E6" s="11"/>
      <c r="F6" s="11"/>
      <c r="G6" s="11"/>
    </row>
    <row r="7" spans="1:7" ht="15.75" x14ac:dyDescent="0.25">
      <c r="A7" s="11" t="s">
        <v>62</v>
      </c>
      <c r="B7" s="11"/>
      <c r="C7" s="11"/>
      <c r="D7" s="11"/>
      <c r="E7" s="11"/>
      <c r="F7" s="11"/>
      <c r="G7" s="11"/>
    </row>
    <row r="8" spans="1:7" ht="15.75" x14ac:dyDescent="0.25">
      <c r="A8" s="9"/>
      <c r="B8" s="9"/>
      <c r="C8" s="9"/>
      <c r="D8" s="9"/>
      <c r="E8" s="9"/>
      <c r="F8" s="9"/>
      <c r="G8" s="9"/>
    </row>
    <row r="9" spans="1:7" ht="15.75" x14ac:dyDescent="0.25">
      <c r="A9" s="19">
        <v>44773</v>
      </c>
      <c r="B9" s="11"/>
      <c r="C9" s="11"/>
      <c r="D9" s="11"/>
      <c r="E9" s="11"/>
      <c r="F9" s="11"/>
      <c r="G9" s="11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15"/>
      <c r="B11" s="15"/>
      <c r="C11" s="15"/>
      <c r="D11" s="15"/>
      <c r="E11" s="15"/>
      <c r="F11" s="15"/>
      <c r="G11" s="15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2"/>
      <c r="B13" s="12"/>
      <c r="C13" s="16" t="s">
        <v>63</v>
      </c>
      <c r="D13" s="12"/>
      <c r="E13" s="16" t="s">
        <v>66</v>
      </c>
      <c r="F13" s="16"/>
      <c r="G13" s="16" t="s">
        <v>69</v>
      </c>
    </row>
    <row r="14" spans="1:7" ht="15.75" x14ac:dyDescent="0.25">
      <c r="A14" s="12"/>
      <c r="B14" s="12"/>
      <c r="C14" s="16" t="s">
        <v>64</v>
      </c>
      <c r="D14" s="12"/>
      <c r="E14" s="16" t="s">
        <v>64</v>
      </c>
      <c r="F14" s="16"/>
      <c r="G14" s="16" t="s">
        <v>64</v>
      </c>
    </row>
    <row r="15" spans="1:7" ht="15.75" x14ac:dyDescent="0.25">
      <c r="A15" s="12"/>
      <c r="B15" s="12"/>
      <c r="C15" s="16" t="s">
        <v>65</v>
      </c>
      <c r="D15" s="12"/>
      <c r="E15" s="16" t="s">
        <v>67</v>
      </c>
      <c r="F15" s="16"/>
      <c r="G15" s="16" t="s">
        <v>68</v>
      </c>
    </row>
    <row r="16" spans="1:7" ht="15.75" x14ac:dyDescent="0.25">
      <c r="A16" s="12"/>
      <c r="B16" s="12"/>
      <c r="C16" s="16"/>
      <c r="D16" s="12"/>
      <c r="E16" s="16" t="s">
        <v>70</v>
      </c>
      <c r="F16" s="16"/>
      <c r="G16" s="16"/>
    </row>
    <row r="17" spans="1:7" ht="15.75" x14ac:dyDescent="0.25">
      <c r="A17" s="9"/>
      <c r="B17" s="9"/>
      <c r="C17" s="9"/>
      <c r="D17" s="9"/>
      <c r="E17" s="9"/>
      <c r="F17" s="9"/>
      <c r="G17" s="9"/>
    </row>
    <row r="18" spans="1:7" ht="15.75" x14ac:dyDescent="0.25">
      <c r="A18" s="9" t="s">
        <v>52</v>
      </c>
      <c r="B18" s="9"/>
      <c r="C18" s="9"/>
      <c r="D18" s="9"/>
      <c r="E18" s="9"/>
      <c r="F18" s="9"/>
      <c r="G18" s="9"/>
    </row>
    <row r="19" spans="1:7" ht="15.75" x14ac:dyDescent="0.25">
      <c r="A19" s="9" t="s">
        <v>53</v>
      </c>
      <c r="B19" s="9"/>
      <c r="C19" s="13">
        <v>490398953</v>
      </c>
      <c r="D19" s="14"/>
      <c r="E19" s="13">
        <v>477529151</v>
      </c>
      <c r="F19" s="14"/>
      <c r="G19" s="13">
        <f>C19-E19</f>
        <v>12869802</v>
      </c>
    </row>
    <row r="20" spans="1:7" ht="15.75" x14ac:dyDescent="0.25">
      <c r="A20" s="9"/>
      <c r="B20" s="9"/>
      <c r="C20" s="13"/>
      <c r="D20" s="14"/>
      <c r="E20" s="13"/>
      <c r="F20" s="14"/>
      <c r="G20" s="13"/>
    </row>
    <row r="21" spans="1:7" ht="15.75" x14ac:dyDescent="0.25">
      <c r="A21" s="9" t="s">
        <v>54</v>
      </c>
      <c r="B21" s="9"/>
      <c r="C21" s="13"/>
      <c r="D21" s="14"/>
      <c r="E21" s="13"/>
      <c r="F21" s="14"/>
      <c r="G21" s="13"/>
    </row>
    <row r="22" spans="1:7" ht="15.75" x14ac:dyDescent="0.25">
      <c r="A22" s="9" t="s">
        <v>55</v>
      </c>
      <c r="B22" s="9"/>
      <c r="C22" s="13">
        <v>42774079</v>
      </c>
      <c r="D22" s="14"/>
      <c r="E22" s="13">
        <v>40997285</v>
      </c>
      <c r="F22" s="14"/>
      <c r="G22" s="13">
        <f>C22-E22</f>
        <v>1776794</v>
      </c>
    </row>
    <row r="23" spans="1:7" ht="15.75" x14ac:dyDescent="0.25">
      <c r="A23" s="9"/>
      <c r="B23" s="9"/>
      <c r="C23" s="13"/>
      <c r="D23" s="14"/>
      <c r="E23" s="13"/>
      <c r="F23" s="14"/>
      <c r="G23" s="13"/>
    </row>
    <row r="24" spans="1:7" ht="15.75" x14ac:dyDescent="0.25">
      <c r="A24" s="9" t="s">
        <v>56</v>
      </c>
      <c r="B24" s="9"/>
      <c r="C24" s="13"/>
      <c r="D24" s="14"/>
      <c r="E24" s="13"/>
      <c r="F24" s="14"/>
      <c r="G24" s="13"/>
    </row>
    <row r="25" spans="1:7" ht="15.75" x14ac:dyDescent="0.25">
      <c r="A25" s="9" t="s">
        <v>55</v>
      </c>
      <c r="B25" s="9"/>
      <c r="C25" s="13">
        <v>45310813</v>
      </c>
      <c r="D25" s="14"/>
      <c r="E25" s="13">
        <v>42886297</v>
      </c>
      <c r="F25" s="14"/>
      <c r="G25" s="13">
        <f>C25-E25</f>
        <v>2424516</v>
      </c>
    </row>
    <row r="26" spans="1:7" ht="15.75" x14ac:dyDescent="0.25">
      <c r="A26" s="9"/>
      <c r="B26" s="9"/>
      <c r="C26" s="10"/>
      <c r="D26" s="9"/>
      <c r="E26" s="10"/>
      <c r="F26" s="9"/>
      <c r="G26" s="10"/>
    </row>
    <row r="27" spans="1:7" ht="15.75" x14ac:dyDescent="0.25">
      <c r="A27" s="9" t="s">
        <v>57</v>
      </c>
      <c r="B27" s="9"/>
      <c r="C27" s="10"/>
      <c r="D27" s="9"/>
      <c r="E27" s="10"/>
      <c r="F27" s="9"/>
      <c r="G27" s="10"/>
    </row>
    <row r="28" spans="1:7" ht="15.75" x14ac:dyDescent="0.25">
      <c r="A28" s="9" t="s">
        <v>53</v>
      </c>
      <c r="B28" s="9"/>
      <c r="C28" s="10">
        <f>C19-C22+C25</f>
        <v>492935687</v>
      </c>
      <c r="D28" s="9"/>
      <c r="E28" s="10">
        <f>E19-E22+E25</f>
        <v>479418163</v>
      </c>
      <c r="F28" s="9"/>
      <c r="G28" s="10">
        <f>C28-E28</f>
        <v>13517524</v>
      </c>
    </row>
    <row r="29" spans="1:7" ht="15.75" x14ac:dyDescent="0.25">
      <c r="A29" s="9"/>
      <c r="B29" s="9"/>
      <c r="C29" s="10"/>
      <c r="D29" s="9"/>
      <c r="E29" s="10"/>
      <c r="F29" s="9"/>
      <c r="G29" s="10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 t="s">
        <v>58</v>
      </c>
      <c r="B31" s="9"/>
      <c r="C31" s="9"/>
      <c r="D31" s="9"/>
      <c r="E31" s="56">
        <f>G28/C28</f>
        <v>2.7422490106706353E-2</v>
      </c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56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</sheetData>
  <pageMargins left="0.75" right="0.75" top="1.2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0A4C2-BA26-4D4A-A52F-02798FA2DD8F}">
  <sheetPr>
    <pageSetUpPr fitToPage="1"/>
  </sheetPr>
  <dimension ref="A1:W99"/>
  <sheetViews>
    <sheetView zoomScale="70" zoomScaleNormal="70" workbookViewId="0">
      <selection activeCell="M26" sqref="M26"/>
    </sheetView>
  </sheetViews>
  <sheetFormatPr defaultColWidth="9.6640625" defaultRowHeight="15" x14ac:dyDescent="0.2"/>
  <cols>
    <col min="1" max="1" width="11.33203125" style="1" customWidth="1"/>
    <col min="2" max="2" width="28.77734375" style="1" customWidth="1"/>
    <col min="3" max="3" width="19.33203125" style="1" customWidth="1"/>
    <col min="4" max="4" width="10" style="1" customWidth="1"/>
    <col min="5" max="5" width="17.6640625" style="1" customWidth="1"/>
    <col min="6" max="6" width="9.6640625" style="1" customWidth="1"/>
    <col min="7" max="7" width="8.5546875" style="1" customWidth="1"/>
    <col min="8" max="8" width="13.77734375" style="1" customWidth="1"/>
    <col min="9" max="9" width="21.88671875" style="1" customWidth="1"/>
    <col min="10" max="10" width="20.6640625" style="1" customWidth="1"/>
    <col min="11" max="20" width="9.6640625" style="1"/>
    <col min="21" max="21" width="17" style="73" bestFit="1" customWidth="1"/>
    <col min="22" max="22" width="9.6640625" style="1"/>
    <col min="23" max="23" width="14" style="73" bestFit="1" customWidth="1"/>
    <col min="24" max="16384" width="9.6640625" style="1"/>
  </cols>
  <sheetData>
    <row r="1" spans="1:11" x14ac:dyDescent="0.2">
      <c r="A1" s="2" t="s">
        <v>0</v>
      </c>
      <c r="B1" s="2" t="s">
        <v>23</v>
      </c>
      <c r="C1" s="2"/>
      <c r="D1" s="2"/>
      <c r="E1" s="2"/>
      <c r="F1" s="2"/>
      <c r="G1" s="2" t="s">
        <v>27</v>
      </c>
      <c r="H1" s="2"/>
      <c r="I1" s="2"/>
      <c r="J1" s="2"/>
    </row>
    <row r="2" spans="1:11" x14ac:dyDescent="0.2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</row>
    <row r="3" spans="1:11" x14ac:dyDescent="0.2">
      <c r="A3" s="3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</row>
    <row r="4" spans="1:11" ht="18" x14ac:dyDescent="0.25">
      <c r="A4" s="52" t="s">
        <v>2</v>
      </c>
      <c r="B4" s="52"/>
      <c r="C4" s="52"/>
      <c r="D4" s="52"/>
      <c r="E4" s="24" t="s">
        <v>107</v>
      </c>
      <c r="F4" s="52"/>
      <c r="G4" s="52" t="s">
        <v>28</v>
      </c>
      <c r="H4" s="52"/>
      <c r="I4" s="52" t="s">
        <v>51</v>
      </c>
      <c r="J4" s="25" t="str">
        <f>E4</f>
        <v>August</v>
      </c>
    </row>
    <row r="5" spans="1:11" ht="1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1" ht="18" x14ac:dyDescent="0.25">
      <c r="A6" s="52" t="s">
        <v>71</v>
      </c>
      <c r="B6" s="52"/>
      <c r="C6" s="52"/>
      <c r="D6" s="52"/>
      <c r="E6" s="26">
        <v>43540444</v>
      </c>
      <c r="F6" s="52"/>
      <c r="G6" s="52" t="s">
        <v>29</v>
      </c>
      <c r="H6" s="52"/>
      <c r="I6" s="52"/>
      <c r="J6" s="59"/>
      <c r="K6" s="55"/>
    </row>
    <row r="7" spans="1:11" ht="18" x14ac:dyDescent="0.25">
      <c r="A7" s="52"/>
      <c r="B7" s="52"/>
      <c r="C7" s="52"/>
      <c r="D7" s="52"/>
      <c r="E7" s="60"/>
      <c r="F7" s="52"/>
      <c r="G7" s="52"/>
      <c r="H7" s="52"/>
      <c r="I7" s="52"/>
      <c r="J7" s="52"/>
    </row>
    <row r="8" spans="1:11" ht="18" x14ac:dyDescent="0.25">
      <c r="A8" s="52" t="s">
        <v>72</v>
      </c>
      <c r="B8" s="52"/>
      <c r="C8" s="52"/>
      <c r="D8" s="52"/>
      <c r="E8" s="26">
        <f>41062219+148707</f>
        <v>41210926</v>
      </c>
      <c r="F8" s="52"/>
      <c r="G8" s="52" t="s">
        <v>30</v>
      </c>
      <c r="H8" s="52"/>
      <c r="I8" s="52"/>
      <c r="J8" s="54">
        <v>647010</v>
      </c>
    </row>
    <row r="9" spans="1:11" ht="18" x14ac:dyDescent="0.25">
      <c r="A9" s="52"/>
      <c r="B9" s="52"/>
      <c r="C9" s="52"/>
      <c r="D9" s="52"/>
      <c r="E9" s="60"/>
      <c r="F9" s="52"/>
      <c r="G9" s="52"/>
      <c r="H9" s="52" t="s">
        <v>26</v>
      </c>
      <c r="I9" s="52"/>
      <c r="J9" s="29" t="s">
        <v>26</v>
      </c>
    </row>
    <row r="10" spans="1:11" ht="18" x14ac:dyDescent="0.25">
      <c r="A10" s="52"/>
      <c r="B10" s="52"/>
      <c r="C10" s="52"/>
      <c r="D10" s="52"/>
      <c r="E10" s="60"/>
      <c r="F10" s="52"/>
      <c r="G10" s="52"/>
      <c r="H10" s="52" t="s">
        <v>26</v>
      </c>
      <c r="I10" s="52"/>
      <c r="J10" s="29" t="s">
        <v>26</v>
      </c>
    </row>
    <row r="11" spans="1:11" ht="18" x14ac:dyDescent="0.25">
      <c r="A11" s="52" t="s">
        <v>3</v>
      </c>
      <c r="B11" s="52"/>
      <c r="C11" s="52"/>
      <c r="D11" s="52"/>
      <c r="E11" s="60">
        <v>0</v>
      </c>
      <c r="F11" s="52"/>
      <c r="G11" s="52" t="s">
        <v>31</v>
      </c>
      <c r="H11" s="52"/>
      <c r="I11" s="52"/>
      <c r="J11" s="61">
        <f>E37</f>
        <v>-3405.7099200000521</v>
      </c>
    </row>
    <row r="12" spans="1:11" ht="18" x14ac:dyDescent="0.25">
      <c r="A12" s="52"/>
      <c r="B12" s="52"/>
      <c r="C12" s="52"/>
      <c r="D12" s="52"/>
      <c r="E12" s="60"/>
      <c r="F12" s="52"/>
      <c r="G12" s="52"/>
      <c r="H12" s="52"/>
      <c r="I12" s="52"/>
      <c r="J12" s="59"/>
    </row>
    <row r="13" spans="1:11" ht="18" x14ac:dyDescent="0.25">
      <c r="A13" s="52" t="s">
        <v>4</v>
      </c>
      <c r="B13" s="52"/>
      <c r="C13" s="52"/>
      <c r="D13" s="52"/>
      <c r="E13" s="60">
        <f>SUM(E8:E11)</f>
        <v>41210926</v>
      </c>
      <c r="F13" s="52"/>
      <c r="G13" s="52" t="s">
        <v>32</v>
      </c>
      <c r="H13" s="52"/>
      <c r="I13" s="52"/>
      <c r="J13" s="59">
        <v>0</v>
      </c>
    </row>
    <row r="14" spans="1:11" ht="18" x14ac:dyDescent="0.25">
      <c r="A14" s="52"/>
      <c r="B14" s="52"/>
      <c r="C14" s="52"/>
      <c r="D14" s="52"/>
      <c r="E14" s="60"/>
      <c r="F14" s="52"/>
      <c r="G14" s="52"/>
      <c r="H14" s="52"/>
      <c r="I14" s="52"/>
      <c r="J14" s="59"/>
    </row>
    <row r="15" spans="1:11" ht="18" x14ac:dyDescent="0.25">
      <c r="A15" s="52" t="s">
        <v>5</v>
      </c>
      <c r="B15" s="52"/>
      <c r="C15" s="52"/>
      <c r="D15" s="52"/>
      <c r="E15" s="62">
        <f>E6-E13</f>
        <v>2329518</v>
      </c>
      <c r="F15" s="52"/>
      <c r="G15" s="52" t="s">
        <v>33</v>
      </c>
      <c r="H15" s="52"/>
      <c r="I15" s="52"/>
      <c r="J15" s="61">
        <f>ROUND((+J8+J11),4)</f>
        <v>643604.29009999998</v>
      </c>
    </row>
    <row r="16" spans="1:11" ht="18" x14ac:dyDescent="0.25">
      <c r="A16" s="52" t="s">
        <v>6</v>
      </c>
      <c r="B16" s="52"/>
      <c r="C16" s="52"/>
      <c r="D16" s="52"/>
      <c r="E16" s="60"/>
      <c r="F16" s="52"/>
      <c r="G16" s="52" t="s">
        <v>34</v>
      </c>
      <c r="H16" s="52"/>
      <c r="I16" s="52"/>
      <c r="J16" s="59"/>
    </row>
    <row r="17" spans="1:13" ht="18" x14ac:dyDescent="0.25">
      <c r="A17" s="52"/>
      <c r="B17" s="52"/>
      <c r="C17" s="52"/>
      <c r="D17" s="52"/>
      <c r="E17" s="60"/>
      <c r="F17" s="52"/>
      <c r="G17" s="52"/>
      <c r="H17" s="52"/>
      <c r="I17" s="52"/>
      <c r="J17" s="52"/>
    </row>
    <row r="18" spans="1:13" ht="18" x14ac:dyDescent="0.25">
      <c r="A18" s="63" t="s">
        <v>1</v>
      </c>
      <c r="B18" s="63" t="s">
        <v>1</v>
      </c>
      <c r="C18" s="63" t="s">
        <v>1</v>
      </c>
      <c r="D18" s="63" t="s">
        <v>1</v>
      </c>
      <c r="E18" s="64" t="s">
        <v>1</v>
      </c>
      <c r="F18" s="52"/>
      <c r="G18" s="52" t="s">
        <v>35</v>
      </c>
      <c r="H18" s="52"/>
      <c r="I18" s="52"/>
      <c r="J18" s="60">
        <f>E6</f>
        <v>43540444</v>
      </c>
    </row>
    <row r="19" spans="1:13" ht="18" x14ac:dyDescent="0.25">
      <c r="A19" s="63" t="s">
        <v>1</v>
      </c>
      <c r="B19" s="63" t="s">
        <v>1</v>
      </c>
      <c r="C19" s="63" t="s">
        <v>1</v>
      </c>
      <c r="D19" s="63" t="s">
        <v>1</v>
      </c>
      <c r="E19" s="64"/>
      <c r="F19" s="52"/>
      <c r="G19" s="52"/>
      <c r="H19" s="52"/>
      <c r="I19" s="52"/>
      <c r="J19" s="52"/>
    </row>
    <row r="20" spans="1:13" ht="18" x14ac:dyDescent="0.25">
      <c r="A20" s="52" t="s">
        <v>7</v>
      </c>
      <c r="B20" s="52"/>
      <c r="C20" s="52"/>
      <c r="D20" s="52" t="s">
        <v>25</v>
      </c>
      <c r="E20" s="24" t="s">
        <v>97</v>
      </c>
      <c r="F20" s="52"/>
      <c r="G20" s="52" t="s">
        <v>36</v>
      </c>
      <c r="H20" s="52"/>
      <c r="I20" s="52"/>
      <c r="J20" s="34">
        <f>ROUND((J8/J18),5)</f>
        <v>1.486E-2</v>
      </c>
    </row>
    <row r="21" spans="1:13" ht="18" x14ac:dyDescent="0.25">
      <c r="A21" s="52"/>
      <c r="B21" s="52"/>
      <c r="C21" s="52"/>
      <c r="D21" s="52"/>
      <c r="E21" s="60"/>
      <c r="F21" s="52"/>
      <c r="G21" s="52" t="s">
        <v>37</v>
      </c>
      <c r="H21" s="52"/>
      <c r="I21" s="52"/>
      <c r="J21" s="52"/>
    </row>
    <row r="22" spans="1:13" ht="18" x14ac:dyDescent="0.25">
      <c r="A22" s="52" t="s">
        <v>8</v>
      </c>
      <c r="B22" s="52"/>
      <c r="C22" s="52"/>
      <c r="D22" s="52"/>
      <c r="E22" s="53">
        <v>7.9399999999999991E-3</v>
      </c>
      <c r="F22" s="52"/>
      <c r="G22" s="52"/>
      <c r="H22" s="52"/>
      <c r="I22" s="52"/>
      <c r="J22" s="52"/>
    </row>
    <row r="23" spans="1:13" ht="18" x14ac:dyDescent="0.25">
      <c r="A23" s="52"/>
      <c r="B23" s="52"/>
      <c r="C23" s="52"/>
      <c r="D23" s="52"/>
      <c r="E23" s="60"/>
      <c r="F23" s="52"/>
      <c r="G23" s="52" t="s">
        <v>38</v>
      </c>
      <c r="H23" s="52"/>
      <c r="I23" s="52"/>
      <c r="J23" s="52"/>
    </row>
    <row r="24" spans="1:13" ht="18" x14ac:dyDescent="0.25">
      <c r="A24" s="52" t="s">
        <v>9</v>
      </c>
      <c r="B24" s="52"/>
      <c r="C24" s="52"/>
      <c r="D24" s="52"/>
      <c r="E24" s="35">
        <f>41124651+148707</f>
        <v>41273358</v>
      </c>
      <c r="F24" s="52"/>
      <c r="G24" s="63" t="s">
        <v>1</v>
      </c>
      <c r="H24" s="52"/>
      <c r="I24" s="52"/>
      <c r="J24" s="52"/>
    </row>
    <row r="25" spans="1:13" ht="18" x14ac:dyDescent="0.25">
      <c r="A25" s="52"/>
      <c r="B25" s="52"/>
      <c r="C25" s="52"/>
      <c r="D25" s="52"/>
      <c r="E25" s="35"/>
      <c r="F25" s="52"/>
      <c r="G25" s="52" t="s">
        <v>39</v>
      </c>
      <c r="H25" s="52"/>
      <c r="I25" s="52"/>
      <c r="J25" s="58">
        <f>'12 Mth Avg-Aug 22'!E31</f>
        <v>2.8829271405183897E-2</v>
      </c>
    </row>
    <row r="26" spans="1:13" ht="18" x14ac:dyDescent="0.25">
      <c r="A26" s="52" t="s">
        <v>10</v>
      </c>
      <c r="B26" s="52"/>
      <c r="C26" s="52"/>
      <c r="D26" s="52"/>
      <c r="E26" s="35">
        <f>-62264-168</f>
        <v>-62432</v>
      </c>
      <c r="F26" s="52"/>
      <c r="G26" s="52"/>
      <c r="H26" s="52"/>
      <c r="I26" s="52"/>
      <c r="J26" s="52"/>
      <c r="M26" s="70"/>
    </row>
    <row r="27" spans="1:13" ht="18" x14ac:dyDescent="0.25">
      <c r="A27" s="52"/>
      <c r="B27" s="52"/>
      <c r="C27" s="52"/>
      <c r="D27" s="52"/>
      <c r="E27" s="62"/>
      <c r="F27" s="52"/>
      <c r="G27" s="52" t="s">
        <v>40</v>
      </c>
      <c r="H27" s="52"/>
      <c r="I27" s="52"/>
      <c r="J27" s="36" t="str">
        <f>E4</f>
        <v>August</v>
      </c>
    </row>
    <row r="28" spans="1:13" ht="18" x14ac:dyDescent="0.25">
      <c r="A28" s="52" t="s">
        <v>11</v>
      </c>
      <c r="B28" s="52"/>
      <c r="C28" s="52"/>
      <c r="D28" s="52"/>
      <c r="E28" s="62">
        <f>SUM(E24:E27)</f>
        <v>41210926</v>
      </c>
      <c r="F28" s="52"/>
      <c r="G28" s="52"/>
      <c r="H28" s="52"/>
      <c r="I28" s="52"/>
      <c r="J28" s="52"/>
    </row>
    <row r="29" spans="1:13" ht="18" x14ac:dyDescent="0.25">
      <c r="A29" s="52" t="s">
        <v>12</v>
      </c>
      <c r="B29" s="52"/>
      <c r="C29" s="52"/>
      <c r="D29" s="52"/>
      <c r="E29" s="60"/>
      <c r="F29" s="52"/>
      <c r="G29" s="52" t="s">
        <v>41</v>
      </c>
      <c r="H29" s="52"/>
      <c r="I29" s="52"/>
      <c r="J29" s="65">
        <f>ROUND((+E15/E6),6)</f>
        <v>5.3502000000000001E-2</v>
      </c>
    </row>
    <row r="30" spans="1:13" ht="18" x14ac:dyDescent="0.25">
      <c r="A30" s="52"/>
      <c r="B30" s="52" t="s">
        <v>26</v>
      </c>
      <c r="C30" s="52"/>
      <c r="D30" s="52"/>
      <c r="E30" s="60"/>
      <c r="F30" s="52"/>
      <c r="G30" s="52" t="s">
        <v>42</v>
      </c>
      <c r="H30" s="52"/>
      <c r="I30" s="52"/>
      <c r="J30" s="52"/>
    </row>
    <row r="31" spans="1:13" ht="18" x14ac:dyDescent="0.25">
      <c r="A31" s="52" t="s">
        <v>13</v>
      </c>
      <c r="B31" s="52"/>
      <c r="C31" s="52"/>
      <c r="D31" s="52"/>
      <c r="E31" s="54">
        <v>321494.03999999998</v>
      </c>
      <c r="F31" s="52"/>
      <c r="G31" s="52"/>
      <c r="H31" s="52"/>
      <c r="I31" s="52"/>
      <c r="J31" s="52"/>
    </row>
    <row r="32" spans="1:13" ht="18" x14ac:dyDescent="0.25">
      <c r="A32" s="52" t="s">
        <v>14</v>
      </c>
      <c r="B32" s="52"/>
      <c r="C32" s="52"/>
      <c r="D32" s="52"/>
      <c r="E32" s="61"/>
      <c r="F32" s="52"/>
      <c r="G32" s="52" t="s">
        <v>43</v>
      </c>
      <c r="H32" s="52"/>
      <c r="I32" s="52"/>
      <c r="J32" s="52"/>
    </row>
    <row r="33" spans="1:10" ht="18" x14ac:dyDescent="0.25">
      <c r="A33" s="52"/>
      <c r="B33" s="52"/>
      <c r="C33" s="52"/>
      <c r="D33" s="52"/>
      <c r="E33" s="61"/>
      <c r="F33" s="52"/>
      <c r="G33" s="63" t="s">
        <v>1</v>
      </c>
      <c r="H33" s="63" t="s">
        <v>1</v>
      </c>
      <c r="I33" s="63" t="s">
        <v>1</v>
      </c>
      <c r="J33" s="52"/>
    </row>
    <row r="34" spans="1:10" ht="18" x14ac:dyDescent="0.25">
      <c r="A34" s="52" t="s">
        <v>15</v>
      </c>
      <c r="B34" s="52"/>
      <c r="C34" s="52"/>
      <c r="D34" s="52"/>
      <c r="E34" s="61">
        <f>(+E26*E22)+B41</f>
        <v>324899.74992000003</v>
      </c>
      <c r="F34" s="52"/>
      <c r="G34" s="52" t="s">
        <v>44</v>
      </c>
      <c r="H34" s="52"/>
      <c r="I34" s="52"/>
      <c r="J34" s="65">
        <f>ROUND((1-J25),7)</f>
        <v>0.97117070000000005</v>
      </c>
    </row>
    <row r="35" spans="1:10" ht="18" x14ac:dyDescent="0.25">
      <c r="A35" s="52" t="s">
        <v>16</v>
      </c>
      <c r="B35" s="52"/>
      <c r="C35" s="52"/>
      <c r="D35" s="52"/>
      <c r="E35" s="61"/>
      <c r="F35" s="52"/>
      <c r="G35" s="52" t="s">
        <v>45</v>
      </c>
      <c r="H35" s="52"/>
      <c r="I35" s="52"/>
      <c r="J35" s="52"/>
    </row>
    <row r="36" spans="1:10" ht="18" x14ac:dyDescent="0.25">
      <c r="A36" s="52"/>
      <c r="B36" s="52"/>
      <c r="C36" s="52"/>
      <c r="D36" s="52"/>
      <c r="E36" s="61"/>
      <c r="F36" s="52"/>
      <c r="G36" s="52"/>
      <c r="H36" s="52"/>
      <c r="I36" s="52"/>
      <c r="J36" s="52"/>
    </row>
    <row r="37" spans="1:10" ht="18" x14ac:dyDescent="0.25">
      <c r="A37" s="52" t="s">
        <v>17</v>
      </c>
      <c r="B37" s="52"/>
      <c r="C37" s="52"/>
      <c r="D37" s="52"/>
      <c r="E37" s="61">
        <f>(E31-E34)</f>
        <v>-3405.7099200000521</v>
      </c>
      <c r="F37" s="52"/>
      <c r="G37" s="52" t="s">
        <v>46</v>
      </c>
      <c r="H37" s="52"/>
      <c r="I37" s="52"/>
      <c r="J37" s="66">
        <f>ROUND((J15/J18),5)</f>
        <v>1.478E-2</v>
      </c>
    </row>
    <row r="38" spans="1:10" ht="18" x14ac:dyDescent="0.25">
      <c r="A38" s="52" t="s">
        <v>18</v>
      </c>
      <c r="B38" s="52"/>
      <c r="C38" s="52"/>
      <c r="D38" s="52"/>
      <c r="E38" s="61"/>
      <c r="F38" s="52"/>
      <c r="G38" s="52" t="s">
        <v>47</v>
      </c>
      <c r="H38" s="52"/>
      <c r="I38" s="52"/>
      <c r="J38" s="66"/>
    </row>
    <row r="39" spans="1:10" ht="18" x14ac:dyDescent="0.25">
      <c r="A39" s="52"/>
      <c r="B39" s="52"/>
      <c r="C39" s="52"/>
      <c r="D39" s="52"/>
      <c r="E39" s="59"/>
      <c r="F39" s="52"/>
      <c r="G39" s="52"/>
      <c r="H39" s="52"/>
      <c r="I39" s="52"/>
      <c r="J39" s="66"/>
    </row>
    <row r="40" spans="1:10" ht="18" x14ac:dyDescent="0.25">
      <c r="A40" s="52"/>
      <c r="B40" s="39" t="s">
        <v>24</v>
      </c>
      <c r="C40" s="39"/>
      <c r="D40" s="39"/>
      <c r="E40" s="59"/>
      <c r="F40" s="52"/>
      <c r="G40" s="52" t="s">
        <v>48</v>
      </c>
      <c r="H40" s="52"/>
      <c r="I40" s="52"/>
      <c r="J40" s="40">
        <f>ROUND((J37/J34),7)</f>
        <v>1.52187E-2</v>
      </c>
    </row>
    <row r="41" spans="1:10" ht="18" x14ac:dyDescent="0.25">
      <c r="A41" s="52"/>
      <c r="B41" s="57">
        <f>324249.06+1146.4</f>
        <v>325395.46000000002</v>
      </c>
      <c r="D41" s="41"/>
      <c r="E41" s="59"/>
      <c r="F41" s="52"/>
      <c r="G41" s="52"/>
      <c r="H41" s="52"/>
      <c r="I41" s="52"/>
      <c r="J41" s="52"/>
    </row>
    <row r="42" spans="1:10" ht="18" x14ac:dyDescent="0.25">
      <c r="A42" s="52"/>
      <c r="B42" s="52"/>
      <c r="C42" s="52"/>
      <c r="D42" s="52"/>
      <c r="E42" s="52"/>
      <c r="F42" s="52"/>
      <c r="G42" s="52" t="s">
        <v>49</v>
      </c>
      <c r="H42" s="52"/>
      <c r="I42" s="52"/>
      <c r="J42" s="67">
        <f>ROUND((+J40*100),3)</f>
        <v>1.522</v>
      </c>
    </row>
    <row r="43" spans="1:10" ht="18" x14ac:dyDescent="0.25">
      <c r="A43" s="63" t="s">
        <v>1</v>
      </c>
      <c r="B43" s="63" t="s">
        <v>1</v>
      </c>
      <c r="C43" s="63" t="s">
        <v>1</v>
      </c>
      <c r="D43" s="63" t="s">
        <v>1</v>
      </c>
      <c r="E43" s="63" t="s">
        <v>1</v>
      </c>
      <c r="F43" s="63" t="s">
        <v>1</v>
      </c>
      <c r="G43" s="63" t="s">
        <v>1</v>
      </c>
      <c r="H43" s="63" t="s">
        <v>1</v>
      </c>
      <c r="I43" s="63" t="s">
        <v>1</v>
      </c>
      <c r="J43" s="63" t="s">
        <v>1</v>
      </c>
    </row>
    <row r="44" spans="1:10" ht="18" x14ac:dyDescent="0.25">
      <c r="A44" s="52" t="s">
        <v>19</v>
      </c>
      <c r="B44" s="52"/>
      <c r="C44" s="52"/>
      <c r="D44" s="68">
        <f>J42</f>
        <v>1.522</v>
      </c>
      <c r="E44" s="52" t="s">
        <v>26</v>
      </c>
      <c r="F44" s="69"/>
      <c r="G44" s="52"/>
      <c r="H44" s="52"/>
      <c r="I44" s="52"/>
      <c r="J44" s="52"/>
    </row>
    <row r="45" spans="1:10" ht="18" x14ac:dyDescent="0.25">
      <c r="A45" s="52" t="s">
        <v>20</v>
      </c>
      <c r="B45" s="71">
        <f>I46+30</f>
        <v>44850</v>
      </c>
      <c r="C45" s="52"/>
      <c r="D45" s="52" t="s">
        <v>26</v>
      </c>
      <c r="E45" s="52"/>
      <c r="F45" s="52"/>
      <c r="G45" s="52"/>
      <c r="H45" s="52"/>
      <c r="I45" s="52"/>
      <c r="J45" s="52"/>
    </row>
    <row r="46" spans="1:10" ht="18" x14ac:dyDescent="0.25">
      <c r="A46" s="52"/>
      <c r="B46" s="52"/>
      <c r="C46" s="52"/>
      <c r="D46" s="52"/>
      <c r="E46" s="36"/>
      <c r="F46" s="52"/>
      <c r="G46" s="52"/>
      <c r="H46" s="45" t="s">
        <v>50</v>
      </c>
      <c r="I46" s="71">
        <v>44820</v>
      </c>
      <c r="J46" s="46"/>
    </row>
    <row r="47" spans="1:10" ht="18" x14ac:dyDescent="0.25">
      <c r="A47" s="52" t="s">
        <v>100</v>
      </c>
      <c r="B47" s="52" t="s">
        <v>105</v>
      </c>
      <c r="C47" s="52"/>
      <c r="D47" s="52"/>
      <c r="E47" s="52"/>
      <c r="F47" s="52"/>
      <c r="G47" s="52"/>
      <c r="H47" s="52" t="s">
        <v>106</v>
      </c>
      <c r="I47" s="52"/>
      <c r="J47" s="52"/>
    </row>
    <row r="48" spans="1:10" ht="18" x14ac:dyDescent="0.25">
      <c r="A48" s="52" t="s">
        <v>21</v>
      </c>
      <c r="B48" s="52"/>
      <c r="C48" s="52"/>
      <c r="D48" s="52"/>
      <c r="E48" s="52"/>
      <c r="F48" s="52"/>
      <c r="G48" s="52"/>
      <c r="H48" s="52" t="s">
        <v>103</v>
      </c>
      <c r="I48" s="52"/>
      <c r="J48" s="52"/>
    </row>
    <row r="49" spans="1:10" ht="15.75" x14ac:dyDescent="0.25">
      <c r="A49" s="6" t="s">
        <v>22</v>
      </c>
      <c r="B49" s="2"/>
      <c r="C49" s="2"/>
      <c r="D49" s="2"/>
      <c r="E49" s="2"/>
      <c r="F49" s="7"/>
      <c r="G49" s="2"/>
      <c r="H49" s="7"/>
      <c r="I49" s="2" t="s">
        <v>26</v>
      </c>
      <c r="J49" s="4"/>
    </row>
    <row r="50" spans="1:10" ht="15.75" x14ac:dyDescent="0.25">
      <c r="A50" s="2"/>
      <c r="B50" s="2"/>
      <c r="C50" s="2"/>
      <c r="D50" s="2"/>
      <c r="E50" s="2"/>
      <c r="F50" s="2"/>
      <c r="G50" s="2"/>
      <c r="H50" s="7"/>
      <c r="I50" s="7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8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5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5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5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5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5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5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5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5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5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5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5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5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5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5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5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5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5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5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5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5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5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5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5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8E584-C54B-4252-A797-48D98BE80F8E}">
  <dimension ref="A1:G40"/>
  <sheetViews>
    <sheetView workbookViewId="0">
      <selection activeCell="N25" sqref="N25"/>
    </sheetView>
  </sheetViews>
  <sheetFormatPr defaultRowHeight="15" x14ac:dyDescent="0.2"/>
  <cols>
    <col min="1" max="1" width="21" customWidth="1"/>
    <col min="3" max="3" width="11.5546875" customWidth="1"/>
    <col min="4" max="4" width="3.6640625" customWidth="1"/>
    <col min="5" max="5" width="11.88671875" bestFit="1" customWidth="1"/>
    <col min="6" max="6" width="3.77734375" customWidth="1"/>
    <col min="7" max="7" width="12" customWidth="1"/>
  </cols>
  <sheetData>
    <row r="1" spans="1:7" ht="15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59</v>
      </c>
      <c r="B2" s="15"/>
      <c r="C2" s="15"/>
      <c r="D2" s="15"/>
      <c r="E2" s="15"/>
      <c r="F2" s="15"/>
      <c r="G2" s="15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 t="s">
        <v>60</v>
      </c>
      <c r="B5" s="11"/>
      <c r="C5" s="11"/>
      <c r="D5" s="11"/>
      <c r="E5" s="11"/>
      <c r="F5" s="11"/>
      <c r="G5" s="11"/>
    </row>
    <row r="6" spans="1:7" ht="15.75" x14ac:dyDescent="0.25">
      <c r="A6" s="11" t="s">
        <v>61</v>
      </c>
      <c r="B6" s="11"/>
      <c r="C6" s="11"/>
      <c r="D6" s="11"/>
      <c r="E6" s="11"/>
      <c r="F6" s="11"/>
      <c r="G6" s="11"/>
    </row>
    <row r="7" spans="1:7" ht="15.75" x14ac:dyDescent="0.25">
      <c r="A7" s="11" t="s">
        <v>62</v>
      </c>
      <c r="B7" s="11"/>
      <c r="C7" s="11"/>
      <c r="D7" s="11"/>
      <c r="E7" s="11"/>
      <c r="F7" s="11"/>
      <c r="G7" s="11"/>
    </row>
    <row r="8" spans="1:7" ht="15.75" x14ac:dyDescent="0.25">
      <c r="A8" s="9"/>
      <c r="B8" s="9"/>
      <c r="C8" s="9"/>
      <c r="D8" s="9"/>
      <c r="E8" s="9"/>
      <c r="F8" s="9"/>
      <c r="G8" s="9"/>
    </row>
    <row r="9" spans="1:7" ht="15.75" x14ac:dyDescent="0.25">
      <c r="A9" s="19">
        <v>44804</v>
      </c>
      <c r="B9" s="11"/>
      <c r="C9" s="11"/>
      <c r="D9" s="11"/>
      <c r="E9" s="11"/>
      <c r="F9" s="11"/>
      <c r="G9" s="11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15"/>
      <c r="B11" s="15"/>
      <c r="C11" s="15"/>
      <c r="D11" s="15"/>
      <c r="E11" s="15"/>
      <c r="F11" s="15"/>
      <c r="G11" s="15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2"/>
      <c r="B13" s="12"/>
      <c r="C13" s="16" t="s">
        <v>63</v>
      </c>
      <c r="D13" s="12"/>
      <c r="E13" s="16" t="s">
        <v>66</v>
      </c>
      <c r="F13" s="16"/>
      <c r="G13" s="16" t="s">
        <v>69</v>
      </c>
    </row>
    <row r="14" spans="1:7" ht="15.75" x14ac:dyDescent="0.25">
      <c r="A14" s="12"/>
      <c r="B14" s="12"/>
      <c r="C14" s="16" t="s">
        <v>64</v>
      </c>
      <c r="D14" s="12"/>
      <c r="E14" s="16" t="s">
        <v>64</v>
      </c>
      <c r="F14" s="16"/>
      <c r="G14" s="16" t="s">
        <v>64</v>
      </c>
    </row>
    <row r="15" spans="1:7" ht="15.75" x14ac:dyDescent="0.25">
      <c r="A15" s="12"/>
      <c r="B15" s="12"/>
      <c r="C15" s="16" t="s">
        <v>65</v>
      </c>
      <c r="D15" s="12"/>
      <c r="E15" s="16" t="s">
        <v>67</v>
      </c>
      <c r="F15" s="16"/>
      <c r="G15" s="16" t="s">
        <v>68</v>
      </c>
    </row>
    <row r="16" spans="1:7" ht="15.75" x14ac:dyDescent="0.25">
      <c r="A16" s="12"/>
      <c r="B16" s="12"/>
      <c r="C16" s="16"/>
      <c r="D16" s="12"/>
      <c r="E16" s="16" t="s">
        <v>70</v>
      </c>
      <c r="F16" s="16"/>
      <c r="G16" s="16"/>
    </row>
    <row r="17" spans="1:7" ht="15.75" x14ac:dyDescent="0.25">
      <c r="A17" s="9"/>
      <c r="B17" s="9"/>
      <c r="C17" s="9"/>
      <c r="D17" s="9"/>
      <c r="E17" s="9"/>
      <c r="F17" s="9"/>
      <c r="G17" s="9"/>
    </row>
    <row r="18" spans="1:7" ht="15.75" x14ac:dyDescent="0.25">
      <c r="A18" s="9" t="s">
        <v>52</v>
      </c>
      <c r="B18" s="9"/>
      <c r="C18" s="9"/>
      <c r="D18" s="9"/>
      <c r="E18" s="9"/>
      <c r="F18" s="9"/>
      <c r="G18" s="9"/>
    </row>
    <row r="19" spans="1:7" ht="15.75" x14ac:dyDescent="0.25">
      <c r="A19" s="9" t="s">
        <v>53</v>
      </c>
      <c r="B19" s="9"/>
      <c r="C19" s="13">
        <v>492935687</v>
      </c>
      <c r="D19" s="14"/>
      <c r="E19" s="13">
        <v>479418163</v>
      </c>
      <c r="F19" s="14"/>
      <c r="G19" s="13">
        <f>C19-E19</f>
        <v>13517524</v>
      </c>
    </row>
    <row r="20" spans="1:7" ht="15.75" x14ac:dyDescent="0.25">
      <c r="A20" s="9"/>
      <c r="B20" s="9"/>
      <c r="C20" s="13"/>
      <c r="D20" s="14"/>
      <c r="E20" s="13"/>
      <c r="F20" s="14"/>
      <c r="G20" s="13"/>
    </row>
    <row r="21" spans="1:7" ht="15.75" x14ac:dyDescent="0.25">
      <c r="A21" s="9" t="s">
        <v>54</v>
      </c>
      <c r="B21" s="9"/>
      <c r="C21" s="13"/>
      <c r="D21" s="14"/>
      <c r="E21" s="13"/>
      <c r="F21" s="14"/>
      <c r="G21" s="13"/>
    </row>
    <row r="22" spans="1:7" ht="15.75" x14ac:dyDescent="0.25">
      <c r="A22" s="9" t="s">
        <v>55</v>
      </c>
      <c r="B22" s="9"/>
      <c r="C22" s="13">
        <v>43938328</v>
      </c>
      <c r="D22" s="14"/>
      <c r="E22" s="13">
        <v>42290792</v>
      </c>
      <c r="F22" s="14"/>
      <c r="G22" s="13">
        <f>C22-E22</f>
        <v>1647536</v>
      </c>
    </row>
    <row r="23" spans="1:7" ht="15.75" x14ac:dyDescent="0.25">
      <c r="A23" s="9"/>
      <c r="B23" s="9"/>
      <c r="C23" s="13"/>
      <c r="D23" s="14"/>
      <c r="E23" s="13"/>
      <c r="F23" s="14"/>
      <c r="G23" s="13"/>
    </row>
    <row r="24" spans="1:7" ht="15.75" x14ac:dyDescent="0.25">
      <c r="A24" s="9" t="s">
        <v>56</v>
      </c>
      <c r="B24" s="9"/>
      <c r="C24" s="13"/>
      <c r="D24" s="14"/>
      <c r="E24" s="13"/>
      <c r="F24" s="14"/>
      <c r="G24" s="13"/>
    </row>
    <row r="25" spans="1:7" ht="15.75" x14ac:dyDescent="0.25">
      <c r="A25" s="9" t="s">
        <v>55</v>
      </c>
      <c r="B25" s="9"/>
      <c r="C25" s="13">
        <v>43540444</v>
      </c>
      <c r="D25" s="14"/>
      <c r="E25" s="13">
        <v>41210926</v>
      </c>
      <c r="F25" s="14"/>
      <c r="G25" s="13">
        <f>C25-E25</f>
        <v>2329518</v>
      </c>
    </row>
    <row r="26" spans="1:7" ht="15.75" x14ac:dyDescent="0.25">
      <c r="A26" s="9"/>
      <c r="B26" s="9"/>
      <c r="C26" s="10"/>
      <c r="D26" s="9"/>
      <c r="E26" s="10"/>
      <c r="F26" s="9"/>
      <c r="G26" s="10"/>
    </row>
    <row r="27" spans="1:7" ht="15.75" x14ac:dyDescent="0.25">
      <c r="A27" s="9" t="s">
        <v>57</v>
      </c>
      <c r="B27" s="9"/>
      <c r="C27" s="10"/>
      <c r="D27" s="9"/>
      <c r="E27" s="10"/>
      <c r="F27" s="9"/>
      <c r="G27" s="10"/>
    </row>
    <row r="28" spans="1:7" ht="15.75" x14ac:dyDescent="0.25">
      <c r="A28" s="9" t="s">
        <v>53</v>
      </c>
      <c r="B28" s="9"/>
      <c r="C28" s="10">
        <f>C19-C22+C25</f>
        <v>492537803</v>
      </c>
      <c r="D28" s="9"/>
      <c r="E28" s="10">
        <f>E19-E22+E25</f>
        <v>478338297</v>
      </c>
      <c r="F28" s="9"/>
      <c r="G28" s="10">
        <f>C28-E28</f>
        <v>14199506</v>
      </c>
    </row>
    <row r="29" spans="1:7" ht="15.75" x14ac:dyDescent="0.25">
      <c r="A29" s="9"/>
      <c r="B29" s="9"/>
      <c r="C29" s="10"/>
      <c r="D29" s="9"/>
      <c r="E29" s="10"/>
      <c r="F29" s="9"/>
      <c r="G29" s="10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 t="s">
        <v>58</v>
      </c>
      <c r="B31" s="9"/>
      <c r="C31" s="9"/>
      <c r="D31" s="9"/>
      <c r="E31" s="56">
        <f>G28/C28</f>
        <v>2.8829271405183897E-2</v>
      </c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56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</sheetData>
  <pageMargins left="0.75" right="0.75" top="1.2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7778B-5269-472A-8827-FCC907957257}">
  <sheetPr>
    <pageSetUpPr fitToPage="1"/>
  </sheetPr>
  <dimension ref="A1:W99"/>
  <sheetViews>
    <sheetView zoomScale="70" zoomScaleNormal="70" workbookViewId="0">
      <selection activeCell="J25" sqref="J25"/>
    </sheetView>
  </sheetViews>
  <sheetFormatPr defaultColWidth="9.6640625" defaultRowHeight="15" x14ac:dyDescent="0.2"/>
  <cols>
    <col min="1" max="1" width="11.33203125" style="99" customWidth="1"/>
    <col min="2" max="2" width="28.77734375" style="99" customWidth="1"/>
    <col min="3" max="3" width="19.33203125" style="99" customWidth="1"/>
    <col min="4" max="4" width="10" style="99" customWidth="1"/>
    <col min="5" max="5" width="17.6640625" style="99" customWidth="1"/>
    <col min="6" max="6" width="9.6640625" style="99" customWidth="1"/>
    <col min="7" max="7" width="8.5546875" style="99" customWidth="1"/>
    <col min="8" max="8" width="13.77734375" style="99" customWidth="1"/>
    <col min="9" max="9" width="21.88671875" style="99" customWidth="1"/>
    <col min="10" max="10" width="20.6640625" style="99" customWidth="1"/>
    <col min="11" max="20" width="9.6640625" style="99"/>
    <col min="21" max="21" width="17" style="73" bestFit="1" customWidth="1"/>
    <col min="22" max="22" width="9.6640625" style="99"/>
    <col min="23" max="23" width="14" style="73" bestFit="1" customWidth="1"/>
    <col min="24" max="16384" width="9.6640625" style="99"/>
  </cols>
  <sheetData>
    <row r="1" spans="1:11" x14ac:dyDescent="0.2">
      <c r="A1" s="98" t="s">
        <v>0</v>
      </c>
      <c r="B1" s="98" t="s">
        <v>23</v>
      </c>
      <c r="C1" s="98"/>
      <c r="D1" s="98"/>
      <c r="E1" s="98"/>
      <c r="F1" s="98"/>
      <c r="G1" s="98" t="s">
        <v>27</v>
      </c>
      <c r="H1" s="98"/>
      <c r="I1" s="98"/>
      <c r="J1" s="98"/>
    </row>
    <row r="2" spans="1:11" x14ac:dyDescent="0.2">
      <c r="A2" s="100" t="s">
        <v>1</v>
      </c>
      <c r="B2" s="100" t="s">
        <v>1</v>
      </c>
      <c r="C2" s="100" t="s">
        <v>1</v>
      </c>
      <c r="D2" s="100" t="s">
        <v>1</v>
      </c>
      <c r="E2" s="100" t="s">
        <v>1</v>
      </c>
      <c r="F2" s="100" t="s">
        <v>1</v>
      </c>
      <c r="G2" s="100" t="s">
        <v>1</v>
      </c>
      <c r="H2" s="100" t="s">
        <v>1</v>
      </c>
      <c r="I2" s="100" t="s">
        <v>1</v>
      </c>
      <c r="J2" s="100" t="s">
        <v>1</v>
      </c>
    </row>
    <row r="3" spans="1:11" x14ac:dyDescent="0.2">
      <c r="A3" s="100" t="s">
        <v>1</v>
      </c>
      <c r="B3" s="100" t="s">
        <v>1</v>
      </c>
      <c r="C3" s="100" t="s">
        <v>1</v>
      </c>
      <c r="D3" s="100" t="s">
        <v>1</v>
      </c>
      <c r="E3" s="100" t="s">
        <v>1</v>
      </c>
      <c r="F3" s="100" t="s">
        <v>1</v>
      </c>
      <c r="G3" s="100" t="s">
        <v>1</v>
      </c>
      <c r="H3" s="100" t="s">
        <v>1</v>
      </c>
      <c r="I3" s="100" t="s">
        <v>1</v>
      </c>
      <c r="J3" s="100" t="s">
        <v>1</v>
      </c>
    </row>
    <row r="4" spans="1:11" ht="18" x14ac:dyDescent="0.25">
      <c r="A4" s="101" t="s">
        <v>2</v>
      </c>
      <c r="B4" s="101"/>
      <c r="C4" s="101"/>
      <c r="D4" s="101"/>
      <c r="E4" s="102" t="s">
        <v>77</v>
      </c>
      <c r="F4" s="101"/>
      <c r="G4" s="101" t="s">
        <v>28</v>
      </c>
      <c r="H4" s="101"/>
      <c r="I4" s="101" t="s">
        <v>51</v>
      </c>
      <c r="J4" s="103" t="str">
        <f>E4</f>
        <v>September</v>
      </c>
    </row>
    <row r="5" spans="1:11" ht="18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1" ht="18" x14ac:dyDescent="0.25">
      <c r="A6" s="101" t="s">
        <v>71</v>
      </c>
      <c r="B6" s="101"/>
      <c r="C6" s="101"/>
      <c r="D6" s="101"/>
      <c r="E6" s="104">
        <v>35842984</v>
      </c>
      <c r="F6" s="101"/>
      <c r="G6" s="101" t="s">
        <v>29</v>
      </c>
      <c r="H6" s="101"/>
      <c r="I6" s="101"/>
      <c r="J6" s="105"/>
      <c r="K6" s="106"/>
    </row>
    <row r="7" spans="1:11" ht="18" x14ac:dyDescent="0.25">
      <c r="A7" s="101"/>
      <c r="B7" s="101"/>
      <c r="C7" s="101"/>
      <c r="D7" s="101"/>
      <c r="E7" s="107"/>
      <c r="F7" s="101"/>
      <c r="G7" s="101"/>
      <c r="H7" s="101"/>
      <c r="I7" s="101"/>
      <c r="J7" s="101"/>
    </row>
    <row r="8" spans="1:11" ht="18" x14ac:dyDescent="0.25">
      <c r="A8" s="101" t="s">
        <v>72</v>
      </c>
      <c r="B8" s="101"/>
      <c r="C8" s="101"/>
      <c r="D8" s="101"/>
      <c r="E8" s="104">
        <v>35655610</v>
      </c>
      <c r="F8" s="101"/>
      <c r="G8" s="101" t="s">
        <v>30</v>
      </c>
      <c r="H8" s="101"/>
      <c r="I8" s="101"/>
      <c r="J8" s="108">
        <v>705748</v>
      </c>
    </row>
    <row r="9" spans="1:11" ht="18" x14ac:dyDescent="0.25">
      <c r="A9" s="101"/>
      <c r="B9" s="101"/>
      <c r="C9" s="101"/>
      <c r="D9" s="101"/>
      <c r="E9" s="107"/>
      <c r="F9" s="101"/>
      <c r="G9" s="101"/>
      <c r="H9" s="101" t="s">
        <v>26</v>
      </c>
      <c r="I9" s="101"/>
      <c r="J9" s="109" t="s">
        <v>26</v>
      </c>
    </row>
    <row r="10" spans="1:11" ht="18" x14ac:dyDescent="0.25">
      <c r="A10" s="101"/>
      <c r="B10" s="101"/>
      <c r="C10" s="101"/>
      <c r="D10" s="101"/>
      <c r="E10" s="107"/>
      <c r="F10" s="101"/>
      <c r="G10" s="101"/>
      <c r="H10" s="101" t="s">
        <v>26</v>
      </c>
      <c r="I10" s="101"/>
      <c r="J10" s="109" t="s">
        <v>26</v>
      </c>
    </row>
    <row r="11" spans="1:11" ht="18" x14ac:dyDescent="0.25">
      <c r="A11" s="101" t="s">
        <v>3</v>
      </c>
      <c r="B11" s="101"/>
      <c r="C11" s="101"/>
      <c r="D11" s="101"/>
      <c r="E11" s="107">
        <v>0</v>
      </c>
      <c r="F11" s="101"/>
      <c r="G11" s="101" t="s">
        <v>31</v>
      </c>
      <c r="H11" s="101"/>
      <c r="I11" s="101"/>
      <c r="J11" s="110">
        <f>E37</f>
        <v>134535.95999999996</v>
      </c>
    </row>
    <row r="12" spans="1:11" ht="18" x14ac:dyDescent="0.25">
      <c r="A12" s="101"/>
      <c r="B12" s="101"/>
      <c r="C12" s="101"/>
      <c r="D12" s="101"/>
      <c r="E12" s="107"/>
      <c r="F12" s="101"/>
      <c r="G12" s="101"/>
      <c r="H12" s="101"/>
      <c r="I12" s="101"/>
      <c r="J12" s="105"/>
    </row>
    <row r="13" spans="1:11" ht="18" x14ac:dyDescent="0.25">
      <c r="A13" s="101" t="s">
        <v>4</v>
      </c>
      <c r="B13" s="101"/>
      <c r="C13" s="101"/>
      <c r="D13" s="101"/>
      <c r="E13" s="107">
        <f>SUM(E8:E11)</f>
        <v>35655610</v>
      </c>
      <c r="F13" s="101"/>
      <c r="G13" s="101" t="s">
        <v>32</v>
      </c>
      <c r="H13" s="101"/>
      <c r="I13" s="101"/>
      <c r="J13" s="105">
        <v>0</v>
      </c>
    </row>
    <row r="14" spans="1:11" ht="18" x14ac:dyDescent="0.25">
      <c r="A14" s="101"/>
      <c r="B14" s="101"/>
      <c r="C14" s="101"/>
      <c r="D14" s="101"/>
      <c r="E14" s="107"/>
      <c r="F14" s="101"/>
      <c r="G14" s="101"/>
      <c r="H14" s="101"/>
      <c r="I14" s="101"/>
      <c r="J14" s="105"/>
    </row>
    <row r="15" spans="1:11" ht="18" x14ac:dyDescent="0.25">
      <c r="A15" s="101" t="s">
        <v>5</v>
      </c>
      <c r="B15" s="101"/>
      <c r="C15" s="101"/>
      <c r="D15" s="101"/>
      <c r="E15" s="111">
        <f>E6-E13</f>
        <v>187374</v>
      </c>
      <c r="F15" s="101"/>
      <c r="G15" s="101" t="s">
        <v>33</v>
      </c>
      <c r="H15" s="101"/>
      <c r="I15" s="101"/>
      <c r="J15" s="110">
        <f>ROUND((+J8+J11),4)</f>
        <v>840283.96</v>
      </c>
    </row>
    <row r="16" spans="1:11" ht="18" x14ac:dyDescent="0.25">
      <c r="A16" s="101" t="s">
        <v>6</v>
      </c>
      <c r="B16" s="101"/>
      <c r="C16" s="101"/>
      <c r="D16" s="101"/>
      <c r="E16" s="107"/>
      <c r="F16" s="101"/>
      <c r="G16" s="101" t="s">
        <v>34</v>
      </c>
      <c r="H16" s="101"/>
      <c r="I16" s="101"/>
      <c r="J16" s="105"/>
    </row>
    <row r="17" spans="1:13" ht="18" x14ac:dyDescent="0.25">
      <c r="A17" s="101"/>
      <c r="B17" s="101"/>
      <c r="C17" s="101"/>
      <c r="D17" s="101"/>
      <c r="E17" s="107"/>
      <c r="F17" s="101"/>
      <c r="G17" s="101"/>
      <c r="H17" s="101"/>
      <c r="I17" s="101"/>
      <c r="J17" s="101"/>
    </row>
    <row r="18" spans="1:13" ht="18" x14ac:dyDescent="0.25">
      <c r="A18" s="112" t="s">
        <v>1</v>
      </c>
      <c r="B18" s="112" t="s">
        <v>1</v>
      </c>
      <c r="C18" s="112" t="s">
        <v>1</v>
      </c>
      <c r="D18" s="112" t="s">
        <v>1</v>
      </c>
      <c r="E18" s="113" t="s">
        <v>1</v>
      </c>
      <c r="F18" s="101"/>
      <c r="G18" s="101" t="s">
        <v>35</v>
      </c>
      <c r="H18" s="101"/>
      <c r="I18" s="101"/>
      <c r="J18" s="107">
        <f>E6</f>
        <v>35842984</v>
      </c>
    </row>
    <row r="19" spans="1:13" ht="18" x14ac:dyDescent="0.25">
      <c r="A19" s="112" t="s">
        <v>1</v>
      </c>
      <c r="B19" s="112" t="s">
        <v>1</v>
      </c>
      <c r="C19" s="112" t="s">
        <v>1</v>
      </c>
      <c r="D19" s="112" t="s">
        <v>1</v>
      </c>
      <c r="E19" s="113"/>
      <c r="F19" s="101"/>
      <c r="G19" s="101"/>
      <c r="H19" s="101"/>
      <c r="I19" s="101"/>
      <c r="J19" s="101"/>
    </row>
    <row r="20" spans="1:13" ht="18" x14ac:dyDescent="0.25">
      <c r="A20" s="101" t="s">
        <v>7</v>
      </c>
      <c r="B20" s="101"/>
      <c r="C20" s="101"/>
      <c r="D20" s="101" t="s">
        <v>25</v>
      </c>
      <c r="E20" s="102" t="s">
        <v>104</v>
      </c>
      <c r="F20" s="101"/>
      <c r="G20" s="101" t="s">
        <v>36</v>
      </c>
      <c r="H20" s="101"/>
      <c r="I20" s="101"/>
      <c r="J20" s="114">
        <f>ROUND((J8/J18),5)</f>
        <v>1.9689999999999999E-2</v>
      </c>
    </row>
    <row r="21" spans="1:13" ht="18" x14ac:dyDescent="0.25">
      <c r="A21" s="101"/>
      <c r="B21" s="101"/>
      <c r="C21" s="101"/>
      <c r="D21" s="101"/>
      <c r="E21" s="107"/>
      <c r="F21" s="101"/>
      <c r="G21" s="101" t="s">
        <v>37</v>
      </c>
      <c r="H21" s="101"/>
      <c r="I21" s="101"/>
      <c r="J21" s="101"/>
    </row>
    <row r="22" spans="1:13" ht="18" x14ac:dyDescent="0.25">
      <c r="A22" s="101" t="s">
        <v>8</v>
      </c>
      <c r="B22" s="101"/>
      <c r="C22" s="101"/>
      <c r="D22" s="101"/>
      <c r="E22" s="115">
        <v>1.553E-2</v>
      </c>
      <c r="F22" s="101"/>
      <c r="G22" s="101"/>
      <c r="H22" s="101"/>
      <c r="I22" s="101"/>
      <c r="J22" s="101"/>
    </row>
    <row r="23" spans="1:13" ht="18" x14ac:dyDescent="0.25">
      <c r="A23" s="101"/>
      <c r="B23" s="101"/>
      <c r="C23" s="101"/>
      <c r="D23" s="101"/>
      <c r="E23" s="107"/>
      <c r="F23" s="101"/>
      <c r="G23" s="101" t="s">
        <v>38</v>
      </c>
      <c r="H23" s="101"/>
      <c r="I23" s="101"/>
      <c r="J23" s="101"/>
    </row>
    <row r="24" spans="1:13" ht="18" x14ac:dyDescent="0.25">
      <c r="A24" s="101" t="s">
        <v>9</v>
      </c>
      <c r="B24" s="101"/>
      <c r="C24" s="101"/>
      <c r="D24" s="101"/>
      <c r="E24" s="116">
        <v>35655610</v>
      </c>
      <c r="F24" s="101"/>
      <c r="G24" s="112" t="s">
        <v>1</v>
      </c>
      <c r="H24" s="101"/>
      <c r="I24" s="101"/>
      <c r="J24" s="101"/>
    </row>
    <row r="25" spans="1:13" ht="18" x14ac:dyDescent="0.25">
      <c r="A25" s="101"/>
      <c r="B25" s="101"/>
      <c r="C25" s="101"/>
      <c r="D25" s="101"/>
      <c r="E25" s="116"/>
      <c r="F25" s="101"/>
      <c r="G25" s="101" t="s">
        <v>39</v>
      </c>
      <c r="H25" s="101"/>
      <c r="I25" s="101"/>
      <c r="J25" s="117">
        <f>'12 Mth Avg-Sep 22'!E31</f>
        <v>2.8966917049014534E-2</v>
      </c>
    </row>
    <row r="26" spans="1:13" ht="18" x14ac:dyDescent="0.25">
      <c r="A26" s="101" t="s">
        <v>10</v>
      </c>
      <c r="B26" s="101"/>
      <c r="C26" s="101"/>
      <c r="D26" s="101"/>
      <c r="E26" s="116">
        <v>0</v>
      </c>
      <c r="F26" s="101"/>
      <c r="G26" s="101"/>
      <c r="H26" s="101"/>
      <c r="I26" s="101"/>
      <c r="J26" s="101"/>
      <c r="M26" s="118"/>
    </row>
    <row r="27" spans="1:13" ht="18" x14ac:dyDescent="0.25">
      <c r="A27" s="101"/>
      <c r="B27" s="101"/>
      <c r="C27" s="101"/>
      <c r="D27" s="101"/>
      <c r="E27" s="111"/>
      <c r="F27" s="101"/>
      <c r="G27" s="101" t="s">
        <v>40</v>
      </c>
      <c r="H27" s="101"/>
      <c r="I27" s="101"/>
      <c r="J27" s="119" t="str">
        <f>E4</f>
        <v>September</v>
      </c>
    </row>
    <row r="28" spans="1:13" ht="18" x14ac:dyDescent="0.25">
      <c r="A28" s="101" t="s">
        <v>11</v>
      </c>
      <c r="B28" s="101"/>
      <c r="C28" s="101"/>
      <c r="D28" s="101"/>
      <c r="E28" s="111">
        <f>SUM(E24:E27)</f>
        <v>35655610</v>
      </c>
      <c r="F28" s="101"/>
      <c r="G28" s="101"/>
      <c r="H28" s="101"/>
      <c r="I28" s="101"/>
      <c r="J28" s="101"/>
    </row>
    <row r="29" spans="1:13" ht="18" x14ac:dyDescent="0.25">
      <c r="A29" s="101" t="s">
        <v>12</v>
      </c>
      <c r="B29" s="101"/>
      <c r="C29" s="101"/>
      <c r="D29" s="101"/>
      <c r="E29" s="107"/>
      <c r="F29" s="101"/>
      <c r="G29" s="101" t="s">
        <v>41</v>
      </c>
      <c r="H29" s="101"/>
      <c r="I29" s="101"/>
      <c r="J29" s="120">
        <f>ROUND((+E15/E6),6)</f>
        <v>5.228E-3</v>
      </c>
    </row>
    <row r="30" spans="1:13" ht="18" x14ac:dyDescent="0.25">
      <c r="A30" s="101"/>
      <c r="B30" s="101" t="s">
        <v>26</v>
      </c>
      <c r="C30" s="101"/>
      <c r="D30" s="101"/>
      <c r="E30" s="107"/>
      <c r="F30" s="101"/>
      <c r="G30" s="101" t="s">
        <v>42</v>
      </c>
      <c r="H30" s="101"/>
      <c r="I30" s="101"/>
      <c r="J30" s="101"/>
    </row>
    <row r="31" spans="1:13" ht="18" x14ac:dyDescent="0.25">
      <c r="A31" s="101" t="s">
        <v>13</v>
      </c>
      <c r="B31" s="101"/>
      <c r="C31" s="101"/>
      <c r="D31" s="101"/>
      <c r="E31" s="108">
        <v>684389.35</v>
      </c>
      <c r="F31" s="101"/>
      <c r="G31" s="101"/>
      <c r="H31" s="101"/>
      <c r="I31" s="101"/>
      <c r="J31" s="101"/>
    </row>
    <row r="32" spans="1:13" ht="18" x14ac:dyDescent="0.25">
      <c r="A32" s="101" t="s">
        <v>14</v>
      </c>
      <c r="B32" s="101"/>
      <c r="C32" s="101"/>
      <c r="D32" s="101"/>
      <c r="E32" s="110"/>
      <c r="F32" s="101"/>
      <c r="G32" s="101" t="s">
        <v>43</v>
      </c>
      <c r="H32" s="101"/>
      <c r="I32" s="101"/>
      <c r="J32" s="101"/>
    </row>
    <row r="33" spans="1:10" ht="18" x14ac:dyDescent="0.25">
      <c r="A33" s="101"/>
      <c r="B33" s="101"/>
      <c r="C33" s="101"/>
      <c r="D33" s="101"/>
      <c r="E33" s="110"/>
      <c r="F33" s="101"/>
      <c r="G33" s="112" t="s">
        <v>1</v>
      </c>
      <c r="H33" s="112" t="s">
        <v>1</v>
      </c>
      <c r="I33" s="112" t="s">
        <v>1</v>
      </c>
      <c r="J33" s="101"/>
    </row>
    <row r="34" spans="1:10" ht="18" x14ac:dyDescent="0.25">
      <c r="A34" s="101" t="s">
        <v>15</v>
      </c>
      <c r="B34" s="101"/>
      <c r="C34" s="101"/>
      <c r="D34" s="101"/>
      <c r="E34" s="110">
        <f>(+E26*E22)+B41</f>
        <v>549853.39</v>
      </c>
      <c r="F34" s="101"/>
      <c r="G34" s="101" t="s">
        <v>44</v>
      </c>
      <c r="H34" s="101"/>
      <c r="I34" s="101"/>
      <c r="J34" s="120">
        <f>ROUND((1-J25),7)</f>
        <v>0.97103309999999998</v>
      </c>
    </row>
    <row r="35" spans="1:10" ht="18" x14ac:dyDescent="0.25">
      <c r="A35" s="101" t="s">
        <v>16</v>
      </c>
      <c r="B35" s="101"/>
      <c r="C35" s="101"/>
      <c r="D35" s="101"/>
      <c r="E35" s="110"/>
      <c r="F35" s="101"/>
      <c r="G35" s="101" t="s">
        <v>45</v>
      </c>
      <c r="H35" s="101"/>
      <c r="I35" s="101"/>
      <c r="J35" s="101"/>
    </row>
    <row r="36" spans="1:10" ht="18" x14ac:dyDescent="0.25">
      <c r="A36" s="101"/>
      <c r="B36" s="101"/>
      <c r="C36" s="101"/>
      <c r="D36" s="101"/>
      <c r="E36" s="110"/>
      <c r="F36" s="101"/>
      <c r="G36" s="101"/>
      <c r="H36" s="101"/>
      <c r="I36" s="101"/>
      <c r="J36" s="101"/>
    </row>
    <row r="37" spans="1:10" ht="18" x14ac:dyDescent="0.25">
      <c r="A37" s="101" t="s">
        <v>17</v>
      </c>
      <c r="B37" s="101"/>
      <c r="C37" s="101"/>
      <c r="D37" s="101"/>
      <c r="E37" s="110">
        <f>(E31-E34)</f>
        <v>134535.95999999996</v>
      </c>
      <c r="F37" s="101"/>
      <c r="G37" s="101" t="s">
        <v>46</v>
      </c>
      <c r="H37" s="101"/>
      <c r="I37" s="101"/>
      <c r="J37" s="121">
        <f>ROUND((J15/J18),5)</f>
        <v>2.3439999999999999E-2</v>
      </c>
    </row>
    <row r="38" spans="1:10" ht="18" x14ac:dyDescent="0.25">
      <c r="A38" s="101" t="s">
        <v>18</v>
      </c>
      <c r="B38" s="101"/>
      <c r="C38" s="101"/>
      <c r="D38" s="101"/>
      <c r="E38" s="110"/>
      <c r="F38" s="101"/>
      <c r="G38" s="101" t="s">
        <v>47</v>
      </c>
      <c r="H38" s="101"/>
      <c r="I38" s="101"/>
      <c r="J38" s="121"/>
    </row>
    <row r="39" spans="1:10" ht="18" x14ac:dyDescent="0.25">
      <c r="A39" s="101"/>
      <c r="B39" s="101"/>
      <c r="C39" s="101"/>
      <c r="D39" s="101"/>
      <c r="E39" s="105"/>
      <c r="F39" s="101"/>
      <c r="G39" s="101"/>
      <c r="H39" s="101"/>
      <c r="I39" s="101"/>
      <c r="J39" s="121"/>
    </row>
    <row r="40" spans="1:10" ht="18" x14ac:dyDescent="0.25">
      <c r="A40" s="101"/>
      <c r="B40" s="122" t="s">
        <v>24</v>
      </c>
      <c r="C40" s="122"/>
      <c r="D40" s="122"/>
      <c r="E40" s="105"/>
      <c r="F40" s="101"/>
      <c r="G40" s="101" t="s">
        <v>48</v>
      </c>
      <c r="H40" s="101"/>
      <c r="I40" s="101"/>
      <c r="J40" s="123">
        <f>ROUND((J37/J34),7)</f>
        <v>2.41392E-2</v>
      </c>
    </row>
    <row r="41" spans="1:10" ht="18" x14ac:dyDescent="0.25">
      <c r="A41" s="101"/>
      <c r="B41" s="124">
        <f>547623.24+2230.15</f>
        <v>549853.39</v>
      </c>
      <c r="D41" s="125"/>
      <c r="E41" s="105"/>
      <c r="F41" s="101"/>
      <c r="G41" s="101"/>
      <c r="H41" s="101"/>
      <c r="I41" s="101"/>
      <c r="J41" s="101"/>
    </row>
    <row r="42" spans="1:10" ht="18" x14ac:dyDescent="0.25">
      <c r="A42" s="101"/>
      <c r="B42" s="101"/>
      <c r="C42" s="101"/>
      <c r="D42" s="101"/>
      <c r="E42" s="101"/>
      <c r="F42" s="101"/>
      <c r="G42" s="101" t="s">
        <v>49</v>
      </c>
      <c r="H42" s="101"/>
      <c r="I42" s="101"/>
      <c r="J42" s="126">
        <f>ROUND((+J40*100),3)</f>
        <v>2.4140000000000001</v>
      </c>
    </row>
    <row r="43" spans="1:10" ht="18" x14ac:dyDescent="0.25">
      <c r="A43" s="112" t="s">
        <v>1</v>
      </c>
      <c r="B43" s="112" t="s">
        <v>1</v>
      </c>
      <c r="C43" s="112" t="s">
        <v>1</v>
      </c>
      <c r="D43" s="112" t="s">
        <v>1</v>
      </c>
      <c r="E43" s="112" t="s">
        <v>1</v>
      </c>
      <c r="F43" s="112" t="s">
        <v>1</v>
      </c>
      <c r="G43" s="112" t="s">
        <v>1</v>
      </c>
      <c r="H43" s="112" t="s">
        <v>1</v>
      </c>
      <c r="I43" s="112" t="s">
        <v>1</v>
      </c>
      <c r="J43" s="112" t="s">
        <v>1</v>
      </c>
    </row>
    <row r="44" spans="1:10" ht="18" x14ac:dyDescent="0.25">
      <c r="A44" s="101" t="s">
        <v>19</v>
      </c>
      <c r="B44" s="101"/>
      <c r="C44" s="101"/>
      <c r="D44" s="127">
        <f>J42</f>
        <v>2.4140000000000001</v>
      </c>
      <c r="E44" s="101" t="s">
        <v>26</v>
      </c>
      <c r="F44" s="128"/>
      <c r="G44" s="101"/>
      <c r="H44" s="101"/>
      <c r="I44" s="101"/>
      <c r="J44" s="101"/>
    </row>
    <row r="45" spans="1:10" ht="18" x14ac:dyDescent="0.25">
      <c r="A45" s="101" t="s">
        <v>20</v>
      </c>
      <c r="B45" s="129">
        <f>I46+30</f>
        <v>44882</v>
      </c>
      <c r="C45" s="101"/>
      <c r="D45" s="101" t="s">
        <v>26</v>
      </c>
      <c r="E45" s="101"/>
      <c r="F45" s="101"/>
      <c r="G45" s="101"/>
      <c r="H45" s="101"/>
      <c r="I45" s="101"/>
      <c r="J45" s="101"/>
    </row>
    <row r="46" spans="1:10" ht="18" x14ac:dyDescent="0.25">
      <c r="A46" s="101"/>
      <c r="B46" s="101"/>
      <c r="C46" s="101"/>
      <c r="D46" s="101"/>
      <c r="E46" s="119"/>
      <c r="F46" s="101"/>
      <c r="G46" s="101"/>
      <c r="H46" s="130" t="s">
        <v>50</v>
      </c>
      <c r="I46" s="129">
        <v>44852</v>
      </c>
      <c r="J46" s="131"/>
    </row>
    <row r="47" spans="1:10" ht="18" x14ac:dyDescent="0.25">
      <c r="A47" s="101" t="s">
        <v>100</v>
      </c>
      <c r="B47" s="101" t="s">
        <v>105</v>
      </c>
      <c r="C47" s="101"/>
      <c r="D47" s="101"/>
      <c r="E47" s="101"/>
      <c r="F47" s="101"/>
      <c r="G47" s="101"/>
      <c r="H47" s="101" t="s">
        <v>106</v>
      </c>
      <c r="I47" s="101"/>
      <c r="J47" s="101"/>
    </row>
    <row r="48" spans="1:10" ht="18" x14ac:dyDescent="0.25">
      <c r="A48" s="101" t="s">
        <v>21</v>
      </c>
      <c r="B48" s="101"/>
      <c r="C48" s="101"/>
      <c r="D48" s="101"/>
      <c r="E48" s="101"/>
      <c r="F48" s="101"/>
      <c r="G48" s="101"/>
      <c r="H48" s="101" t="s">
        <v>103</v>
      </c>
      <c r="I48" s="101"/>
      <c r="J48" s="101"/>
    </row>
    <row r="49" spans="1:10" ht="15.75" x14ac:dyDescent="0.25">
      <c r="A49" s="132" t="s">
        <v>22</v>
      </c>
      <c r="B49" s="98"/>
      <c r="C49" s="98"/>
      <c r="D49" s="98"/>
      <c r="E49" s="98"/>
      <c r="F49" s="133"/>
      <c r="G49" s="98"/>
      <c r="H49" s="133"/>
      <c r="I49" s="98" t="s">
        <v>26</v>
      </c>
      <c r="J49" s="134"/>
    </row>
    <row r="50" spans="1:10" ht="15.75" x14ac:dyDescent="0.25">
      <c r="A50" s="98"/>
      <c r="B50" s="98"/>
      <c r="C50" s="98"/>
      <c r="D50" s="98"/>
      <c r="E50" s="98"/>
      <c r="F50" s="98"/>
      <c r="G50" s="98"/>
      <c r="H50" s="133"/>
      <c r="I50" s="133"/>
      <c r="J50" s="98"/>
    </row>
    <row r="51" spans="1:10" x14ac:dyDescent="0.2">
      <c r="A51" s="98"/>
      <c r="B51" s="98"/>
      <c r="C51" s="98"/>
      <c r="D51" s="98"/>
      <c r="E51" s="98"/>
      <c r="F51" s="98"/>
      <c r="G51" s="98"/>
      <c r="H51" s="98"/>
      <c r="I51" s="135"/>
      <c r="J51" s="98"/>
    </row>
    <row r="52" spans="1:10" x14ac:dyDescent="0.2">
      <c r="A52" s="98"/>
      <c r="B52" s="98"/>
      <c r="C52" s="98"/>
      <c r="D52" s="98"/>
      <c r="E52" s="98"/>
      <c r="F52" s="98"/>
      <c r="G52" s="98"/>
      <c r="H52" s="98"/>
      <c r="I52" s="98"/>
      <c r="J52" s="98"/>
    </row>
    <row r="53" spans="1:10" x14ac:dyDescent="0.2">
      <c r="A53" s="98"/>
      <c r="B53" s="98"/>
      <c r="C53" s="98"/>
      <c r="D53" s="98"/>
      <c r="E53" s="98"/>
      <c r="F53" s="98"/>
      <c r="G53" s="98"/>
      <c r="H53" s="98"/>
      <c r="I53" s="98"/>
      <c r="J53" s="98"/>
    </row>
    <row r="54" spans="1:10" x14ac:dyDescent="0.2">
      <c r="A54" s="98"/>
      <c r="C54" s="98"/>
      <c r="D54" s="98"/>
      <c r="E54" s="98"/>
      <c r="F54" s="98"/>
      <c r="G54" s="98"/>
      <c r="H54" s="98"/>
      <c r="I54" s="98"/>
      <c r="J54" s="98"/>
    </row>
    <row r="55" spans="1:10" x14ac:dyDescent="0.2">
      <c r="A55" s="98"/>
      <c r="B55" s="98"/>
      <c r="C55" s="98"/>
      <c r="D55" s="98"/>
      <c r="E55" s="98"/>
      <c r="F55" s="98"/>
      <c r="G55" s="98"/>
      <c r="H55" s="98"/>
      <c r="I55" s="98"/>
      <c r="J55" s="98"/>
    </row>
    <row r="56" spans="1:10" x14ac:dyDescent="0.2">
      <c r="A56" s="98"/>
      <c r="B56" s="98"/>
      <c r="C56" s="98"/>
      <c r="D56" s="98"/>
      <c r="E56" s="98"/>
      <c r="F56" s="98"/>
      <c r="G56" s="98"/>
      <c r="H56" s="98"/>
      <c r="I56" s="98"/>
      <c r="J56" s="98"/>
    </row>
    <row r="57" spans="1:10" x14ac:dyDescent="0.2">
      <c r="A57" s="98"/>
      <c r="B57" s="98"/>
      <c r="C57" s="98"/>
      <c r="D57" s="98"/>
      <c r="E57" s="98"/>
      <c r="F57" s="98"/>
      <c r="G57" s="98"/>
      <c r="H57" s="98"/>
      <c r="I57" s="98"/>
      <c r="J57" s="98"/>
    </row>
    <row r="58" spans="1:10" x14ac:dyDescent="0.2">
      <c r="A58" s="98"/>
      <c r="B58" s="98"/>
      <c r="C58" s="98"/>
      <c r="D58" s="98"/>
      <c r="E58" s="98"/>
      <c r="F58" s="98"/>
      <c r="G58" s="98"/>
      <c r="H58" s="98"/>
      <c r="I58" s="98"/>
      <c r="J58" s="98"/>
    </row>
    <row r="59" spans="1:10" x14ac:dyDescent="0.2">
      <c r="A59" s="98"/>
      <c r="B59" s="98"/>
      <c r="C59" s="98"/>
      <c r="D59" s="98"/>
      <c r="E59" s="98"/>
      <c r="F59" s="98"/>
      <c r="G59" s="98"/>
      <c r="H59" s="98"/>
      <c r="I59" s="98"/>
      <c r="J59" s="98"/>
    </row>
    <row r="60" spans="1:10" x14ac:dyDescent="0.2">
      <c r="A60" s="98"/>
      <c r="B60" s="98"/>
      <c r="C60" s="98"/>
      <c r="D60" s="98"/>
      <c r="E60" s="98"/>
      <c r="F60" s="98"/>
      <c r="G60" s="98"/>
      <c r="H60" s="98"/>
      <c r="I60" s="98"/>
      <c r="J60" s="98"/>
    </row>
    <row r="61" spans="1:10" x14ac:dyDescent="0.2">
      <c r="A61" s="98"/>
      <c r="B61" s="98"/>
      <c r="C61" s="98"/>
      <c r="D61" s="98"/>
      <c r="E61" s="98"/>
      <c r="F61" s="98"/>
      <c r="G61" s="98"/>
      <c r="H61" s="98"/>
      <c r="I61" s="98"/>
      <c r="J61" s="98"/>
    </row>
    <row r="62" spans="1:10" x14ac:dyDescent="0.2">
      <c r="A62" s="98"/>
      <c r="B62" s="98"/>
      <c r="C62" s="98"/>
      <c r="D62" s="98"/>
      <c r="E62" s="98"/>
      <c r="F62" s="98"/>
      <c r="G62" s="98"/>
      <c r="H62" s="98"/>
      <c r="I62" s="98"/>
      <c r="J62" s="98"/>
    </row>
    <row r="63" spans="1:10" x14ac:dyDescent="0.2">
      <c r="A63" s="98"/>
      <c r="B63" s="98"/>
      <c r="C63" s="98"/>
      <c r="D63" s="98"/>
      <c r="E63" s="98"/>
      <c r="F63" s="98"/>
      <c r="G63" s="98"/>
      <c r="H63" s="98"/>
      <c r="I63" s="98"/>
      <c r="J63" s="98"/>
    </row>
    <row r="64" spans="1:10" x14ac:dyDescent="0.2">
      <c r="A64" s="98"/>
      <c r="B64" s="98"/>
      <c r="C64" s="98"/>
      <c r="D64" s="98"/>
      <c r="E64" s="98"/>
      <c r="F64" s="98"/>
      <c r="G64" s="98"/>
      <c r="H64" s="98"/>
      <c r="I64" s="98"/>
      <c r="J64" s="98"/>
    </row>
    <row r="65" spans="1:10" x14ac:dyDescent="0.2">
      <c r="A65" s="98"/>
      <c r="B65" s="98"/>
      <c r="C65" s="98"/>
      <c r="D65" s="98"/>
      <c r="E65" s="98"/>
      <c r="F65" s="98"/>
      <c r="G65" s="98"/>
      <c r="H65" s="98"/>
      <c r="I65" s="98"/>
      <c r="J65" s="98"/>
    </row>
    <row r="66" spans="1:10" x14ac:dyDescent="0.2">
      <c r="A66" s="98"/>
      <c r="B66" s="98"/>
      <c r="C66" s="98"/>
      <c r="D66" s="98"/>
      <c r="E66" s="98"/>
      <c r="F66" s="98"/>
      <c r="G66" s="98"/>
      <c r="H66" s="98"/>
      <c r="I66" s="98"/>
      <c r="J66" s="98"/>
    </row>
    <row r="67" spans="1:10" x14ac:dyDescent="0.2">
      <c r="A67" s="98"/>
      <c r="B67" s="98"/>
      <c r="C67" s="98"/>
      <c r="D67" s="98"/>
      <c r="E67" s="98"/>
      <c r="F67" s="98"/>
      <c r="G67" s="98"/>
      <c r="H67" s="98"/>
      <c r="I67" s="98"/>
      <c r="J67" s="98"/>
    </row>
    <row r="68" spans="1:10" x14ac:dyDescent="0.2">
      <c r="A68" s="98"/>
      <c r="B68" s="98"/>
      <c r="C68" s="98"/>
      <c r="D68" s="98"/>
      <c r="E68" s="98"/>
      <c r="F68" s="98"/>
      <c r="G68" s="98"/>
      <c r="H68" s="98"/>
      <c r="I68" s="98"/>
      <c r="J68" s="98"/>
    </row>
    <row r="69" spans="1:10" x14ac:dyDescent="0.2">
      <c r="A69" s="98"/>
      <c r="B69" s="98"/>
      <c r="C69" s="98"/>
      <c r="D69" s="98"/>
      <c r="E69" s="98"/>
      <c r="F69" s="98"/>
      <c r="G69" s="98"/>
      <c r="H69" s="98"/>
      <c r="I69" s="98"/>
      <c r="J69" s="98"/>
    </row>
    <row r="70" spans="1:10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</row>
    <row r="71" spans="1:10" x14ac:dyDescent="0.2">
      <c r="A71" s="98"/>
      <c r="B71" s="98"/>
      <c r="C71" s="98"/>
      <c r="D71" s="98"/>
      <c r="E71" s="98"/>
      <c r="F71" s="98"/>
      <c r="G71" s="98"/>
      <c r="H71" s="98"/>
      <c r="I71" s="98"/>
      <c r="J71" s="98"/>
    </row>
    <row r="72" spans="1:10" x14ac:dyDescent="0.2">
      <c r="A72" s="98"/>
      <c r="B72" s="98"/>
      <c r="C72" s="98"/>
      <c r="D72" s="98"/>
      <c r="E72" s="98"/>
      <c r="F72" s="98"/>
      <c r="G72" s="98"/>
      <c r="H72" s="98"/>
      <c r="I72" s="98"/>
      <c r="J72" s="98"/>
    </row>
    <row r="73" spans="1:10" x14ac:dyDescent="0.2">
      <c r="A73" s="98"/>
      <c r="B73" s="98"/>
      <c r="C73" s="98"/>
      <c r="D73" s="98"/>
      <c r="E73" s="98"/>
      <c r="F73" s="98"/>
      <c r="G73" s="98"/>
      <c r="H73" s="98"/>
      <c r="I73" s="98"/>
      <c r="J73" s="98"/>
    </row>
    <row r="74" spans="1:10" x14ac:dyDescent="0.2">
      <c r="A74" s="98"/>
      <c r="B74" s="98"/>
      <c r="C74" s="98"/>
      <c r="D74" s="98"/>
      <c r="E74" s="98"/>
      <c r="F74" s="98"/>
      <c r="G74" s="98"/>
      <c r="H74" s="98"/>
      <c r="I74" s="98"/>
      <c r="J74" s="98"/>
    </row>
    <row r="75" spans="1:10" x14ac:dyDescent="0.2">
      <c r="A75" s="98"/>
      <c r="B75" s="98"/>
      <c r="C75" s="98"/>
      <c r="D75" s="98"/>
      <c r="E75" s="98"/>
      <c r="F75" s="98"/>
      <c r="G75" s="98"/>
      <c r="H75" s="98"/>
      <c r="I75" s="98"/>
      <c r="J75" s="98"/>
    </row>
    <row r="76" spans="1:10" x14ac:dyDescent="0.2">
      <c r="A76" s="98"/>
      <c r="B76" s="98"/>
      <c r="C76" s="98"/>
      <c r="D76" s="98"/>
      <c r="E76" s="98"/>
      <c r="F76" s="98"/>
      <c r="G76" s="98"/>
      <c r="H76" s="98"/>
      <c r="I76" s="98"/>
      <c r="J76" s="98"/>
    </row>
    <row r="77" spans="1:10" x14ac:dyDescent="0.2">
      <c r="A77" s="98"/>
      <c r="B77" s="98"/>
      <c r="C77" s="98"/>
      <c r="D77" s="98"/>
      <c r="E77" s="98"/>
      <c r="F77" s="98"/>
      <c r="G77" s="98"/>
      <c r="H77" s="98"/>
      <c r="I77" s="98"/>
      <c r="J77" s="136"/>
    </row>
    <row r="78" spans="1:10" x14ac:dyDescent="0.2">
      <c r="A78" s="98"/>
      <c r="B78" s="98"/>
      <c r="C78" s="98"/>
      <c r="D78" s="98"/>
      <c r="E78" s="98"/>
      <c r="F78" s="98"/>
      <c r="G78" s="98"/>
      <c r="H78" s="98"/>
      <c r="I78" s="98"/>
      <c r="J78" s="136"/>
    </row>
    <row r="79" spans="1:10" x14ac:dyDescent="0.2">
      <c r="A79" s="98"/>
      <c r="B79" s="98"/>
      <c r="C79" s="98"/>
      <c r="D79" s="98"/>
      <c r="E79" s="98"/>
      <c r="F79" s="98"/>
      <c r="G79" s="98"/>
      <c r="H79" s="98"/>
      <c r="I79" s="98"/>
      <c r="J79" s="136"/>
    </row>
    <row r="80" spans="1:10" x14ac:dyDescent="0.2">
      <c r="A80" s="98"/>
      <c r="B80" s="98"/>
      <c r="C80" s="98"/>
      <c r="D80" s="98"/>
      <c r="E80" s="98"/>
      <c r="F80" s="98"/>
      <c r="G80" s="98"/>
      <c r="H80" s="98"/>
      <c r="I80" s="98"/>
      <c r="J80" s="136"/>
    </row>
    <row r="81" spans="1:10" x14ac:dyDescent="0.2">
      <c r="A81" s="98"/>
      <c r="B81" s="98"/>
      <c r="C81" s="98"/>
      <c r="D81" s="98"/>
      <c r="E81" s="98"/>
      <c r="F81" s="98"/>
      <c r="G81" s="98"/>
      <c r="H81" s="98"/>
      <c r="I81" s="98"/>
      <c r="J81" s="136"/>
    </row>
    <row r="82" spans="1:10" x14ac:dyDescent="0.2">
      <c r="A82" s="98"/>
      <c r="B82" s="98"/>
      <c r="C82" s="98"/>
      <c r="D82" s="98"/>
      <c r="E82" s="98"/>
      <c r="F82" s="98"/>
      <c r="G82" s="98"/>
      <c r="H82" s="98"/>
      <c r="I82" s="98"/>
      <c r="J82" s="136"/>
    </row>
    <row r="83" spans="1:10" x14ac:dyDescent="0.2">
      <c r="A83" s="98"/>
      <c r="B83" s="98"/>
      <c r="C83" s="98"/>
      <c r="D83" s="98"/>
      <c r="E83" s="98"/>
      <c r="F83" s="98"/>
      <c r="G83" s="98"/>
      <c r="H83" s="98"/>
      <c r="I83" s="98"/>
      <c r="J83" s="136"/>
    </row>
    <row r="84" spans="1:10" x14ac:dyDescent="0.2">
      <c r="A84" s="98"/>
      <c r="B84" s="98"/>
      <c r="C84" s="98"/>
      <c r="D84" s="98"/>
      <c r="E84" s="98"/>
      <c r="F84" s="98"/>
      <c r="G84" s="98"/>
      <c r="H84" s="98"/>
      <c r="I84" s="98"/>
      <c r="J84" s="136"/>
    </row>
    <row r="85" spans="1:10" x14ac:dyDescent="0.2">
      <c r="A85" s="98"/>
      <c r="B85" s="98"/>
      <c r="C85" s="98"/>
      <c r="D85" s="98"/>
      <c r="E85" s="98"/>
      <c r="F85" s="98"/>
      <c r="G85" s="98"/>
      <c r="H85" s="98"/>
      <c r="I85" s="98"/>
      <c r="J85" s="136"/>
    </row>
    <row r="86" spans="1:10" x14ac:dyDescent="0.2">
      <c r="A86" s="98"/>
      <c r="B86" s="98"/>
      <c r="C86" s="98"/>
      <c r="D86" s="98"/>
      <c r="E86" s="98"/>
      <c r="F86" s="98"/>
      <c r="G86" s="98"/>
      <c r="H86" s="98"/>
      <c r="I86" s="98"/>
      <c r="J86" s="136"/>
    </row>
    <row r="87" spans="1:10" x14ac:dyDescent="0.2">
      <c r="A87" s="98"/>
      <c r="B87" s="98"/>
      <c r="C87" s="98"/>
      <c r="D87" s="98"/>
      <c r="E87" s="98"/>
      <c r="F87" s="98"/>
      <c r="G87" s="98"/>
      <c r="H87" s="98"/>
      <c r="I87" s="98"/>
      <c r="J87" s="136"/>
    </row>
    <row r="88" spans="1:10" x14ac:dyDescent="0.2">
      <c r="A88" s="98"/>
      <c r="B88" s="98"/>
      <c r="C88" s="98"/>
      <c r="D88" s="98"/>
      <c r="E88" s="98"/>
      <c r="F88" s="98"/>
      <c r="G88" s="98"/>
      <c r="H88" s="98"/>
      <c r="I88" s="98"/>
      <c r="J88" s="136"/>
    </row>
    <row r="89" spans="1:10" x14ac:dyDescent="0.2">
      <c r="A89" s="98"/>
      <c r="B89" s="98"/>
      <c r="C89" s="98"/>
      <c r="D89" s="98"/>
      <c r="E89" s="98"/>
      <c r="F89" s="98"/>
      <c r="G89" s="98"/>
      <c r="H89" s="98"/>
      <c r="I89" s="98"/>
      <c r="J89" s="136"/>
    </row>
    <row r="90" spans="1:10" x14ac:dyDescent="0.2">
      <c r="A90" s="98"/>
      <c r="B90" s="98"/>
      <c r="C90" s="98"/>
      <c r="D90" s="98"/>
      <c r="E90" s="98"/>
      <c r="F90" s="98"/>
      <c r="G90" s="98"/>
      <c r="H90" s="98"/>
      <c r="I90" s="98"/>
      <c r="J90" s="136"/>
    </row>
    <row r="91" spans="1:10" x14ac:dyDescent="0.2">
      <c r="A91" s="98"/>
      <c r="B91" s="98"/>
      <c r="C91" s="98"/>
      <c r="D91" s="98"/>
      <c r="E91" s="98"/>
      <c r="F91" s="98"/>
      <c r="G91" s="98"/>
      <c r="H91" s="98"/>
      <c r="I91" s="98"/>
      <c r="J91" s="136"/>
    </row>
    <row r="92" spans="1:10" x14ac:dyDescent="0.2">
      <c r="A92" s="98"/>
      <c r="B92" s="98"/>
      <c r="C92" s="98"/>
      <c r="D92" s="98"/>
      <c r="E92" s="98"/>
      <c r="F92" s="98"/>
      <c r="G92" s="98"/>
      <c r="H92" s="98"/>
      <c r="I92" s="98"/>
      <c r="J92" s="136"/>
    </row>
    <row r="93" spans="1:10" x14ac:dyDescent="0.2">
      <c r="A93" s="98"/>
      <c r="B93" s="98"/>
      <c r="C93" s="98"/>
      <c r="D93" s="98"/>
      <c r="E93" s="98"/>
      <c r="F93" s="98"/>
      <c r="G93" s="98"/>
      <c r="H93" s="98"/>
      <c r="I93" s="98"/>
      <c r="J93" s="136"/>
    </row>
    <row r="94" spans="1:10" x14ac:dyDescent="0.2">
      <c r="A94" s="98"/>
      <c r="B94" s="98"/>
      <c r="C94" s="98"/>
      <c r="D94" s="98"/>
      <c r="E94" s="98"/>
      <c r="F94" s="98"/>
      <c r="G94" s="98"/>
      <c r="H94" s="98"/>
      <c r="I94" s="98"/>
      <c r="J94" s="136"/>
    </row>
    <row r="95" spans="1:10" x14ac:dyDescent="0.2">
      <c r="A95" s="98"/>
      <c r="B95" s="98"/>
      <c r="C95" s="98"/>
      <c r="D95" s="98"/>
      <c r="E95" s="98"/>
      <c r="F95" s="98"/>
      <c r="G95" s="98"/>
      <c r="H95" s="98"/>
      <c r="I95" s="98"/>
      <c r="J95" s="136"/>
    </row>
    <row r="96" spans="1:10" x14ac:dyDescent="0.2">
      <c r="A96" s="98"/>
      <c r="B96" s="98"/>
      <c r="C96" s="98"/>
      <c r="D96" s="98"/>
      <c r="E96" s="98"/>
      <c r="F96" s="98"/>
      <c r="G96" s="98"/>
      <c r="H96" s="98"/>
      <c r="I96" s="98"/>
      <c r="J96" s="136"/>
    </row>
    <row r="97" spans="1:10" x14ac:dyDescent="0.2">
      <c r="A97" s="98"/>
      <c r="B97" s="98"/>
      <c r="C97" s="98"/>
      <c r="D97" s="98"/>
      <c r="E97" s="98"/>
      <c r="F97" s="98"/>
      <c r="G97" s="98"/>
      <c r="H97" s="98"/>
      <c r="I97" s="98"/>
      <c r="J97" s="136"/>
    </row>
    <row r="98" spans="1:10" x14ac:dyDescent="0.2">
      <c r="A98" s="98"/>
      <c r="B98" s="98"/>
      <c r="C98" s="98"/>
      <c r="D98" s="98"/>
      <c r="E98" s="98"/>
      <c r="F98" s="98"/>
      <c r="G98" s="98"/>
      <c r="H98" s="98"/>
      <c r="I98" s="98"/>
      <c r="J98" s="136"/>
    </row>
    <row r="99" spans="1:10" x14ac:dyDescent="0.2">
      <c r="A99" s="98"/>
      <c r="B99" s="98"/>
      <c r="C99" s="98"/>
      <c r="D99" s="98"/>
      <c r="E99" s="98"/>
      <c r="F99" s="98"/>
      <c r="G99" s="98"/>
      <c r="H99" s="98"/>
      <c r="I99" s="98"/>
      <c r="J99" s="136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FB16F-AD7F-4912-8920-1F7C0224735E}">
  <dimension ref="A1:G40"/>
  <sheetViews>
    <sheetView workbookViewId="0">
      <selection activeCell="H18" sqref="H18"/>
    </sheetView>
  </sheetViews>
  <sheetFormatPr defaultRowHeight="15" x14ac:dyDescent="0.2"/>
  <cols>
    <col min="1" max="1" width="21" style="138" customWidth="1"/>
    <col min="2" max="2" width="8.88671875" style="138"/>
    <col min="3" max="3" width="11.5546875" style="138" customWidth="1"/>
    <col min="4" max="4" width="3.6640625" style="138" customWidth="1"/>
    <col min="5" max="5" width="11.88671875" style="138" bestFit="1" customWidth="1"/>
    <col min="6" max="6" width="3.77734375" style="138" customWidth="1"/>
    <col min="7" max="7" width="12" style="138" customWidth="1"/>
    <col min="8" max="16384" width="8.88671875" style="138"/>
  </cols>
  <sheetData>
    <row r="1" spans="1:7" ht="15.75" x14ac:dyDescent="0.25">
      <c r="A1" s="137" t="s">
        <v>23</v>
      </c>
      <c r="B1" s="137"/>
      <c r="C1" s="137"/>
      <c r="D1" s="137"/>
      <c r="E1" s="137"/>
      <c r="F1" s="137"/>
      <c r="G1" s="137"/>
    </row>
    <row r="2" spans="1:7" ht="15.75" x14ac:dyDescent="0.25">
      <c r="A2" s="137" t="s">
        <v>59</v>
      </c>
      <c r="B2" s="137"/>
      <c r="C2" s="137"/>
      <c r="D2" s="137"/>
      <c r="E2" s="137"/>
      <c r="F2" s="137"/>
      <c r="G2" s="137"/>
    </row>
    <row r="3" spans="1:7" ht="15.75" x14ac:dyDescent="0.25">
      <c r="A3" s="139"/>
      <c r="B3" s="139"/>
      <c r="C3" s="139"/>
      <c r="D3" s="139"/>
      <c r="E3" s="139"/>
      <c r="F3" s="139"/>
      <c r="G3" s="139"/>
    </row>
    <row r="4" spans="1:7" ht="15.75" x14ac:dyDescent="0.25">
      <c r="A4" s="139"/>
      <c r="B4" s="139"/>
      <c r="C4" s="139"/>
      <c r="D4" s="139"/>
      <c r="E4" s="139"/>
      <c r="F4" s="139"/>
      <c r="G4" s="139"/>
    </row>
    <row r="5" spans="1:7" ht="15.75" x14ac:dyDescent="0.25">
      <c r="A5" s="139" t="s">
        <v>60</v>
      </c>
      <c r="B5" s="139"/>
      <c r="C5" s="139"/>
      <c r="D5" s="139"/>
      <c r="E5" s="139"/>
      <c r="F5" s="139"/>
      <c r="G5" s="139"/>
    </row>
    <row r="6" spans="1:7" ht="15.75" x14ac:dyDescent="0.25">
      <c r="A6" s="139" t="s">
        <v>61</v>
      </c>
      <c r="B6" s="139"/>
      <c r="C6" s="139"/>
      <c r="D6" s="139"/>
      <c r="E6" s="139"/>
      <c r="F6" s="139"/>
      <c r="G6" s="139"/>
    </row>
    <row r="7" spans="1:7" ht="15.75" x14ac:dyDescent="0.25">
      <c r="A7" s="139" t="s">
        <v>62</v>
      </c>
      <c r="B7" s="139"/>
      <c r="C7" s="139"/>
      <c r="D7" s="139"/>
      <c r="E7" s="139"/>
      <c r="F7" s="139"/>
      <c r="G7" s="139"/>
    </row>
    <row r="8" spans="1:7" ht="15.75" x14ac:dyDescent="0.25">
      <c r="A8" s="140"/>
      <c r="B8" s="140"/>
      <c r="C8" s="140"/>
      <c r="D8" s="140"/>
      <c r="E8" s="140"/>
      <c r="F8" s="140"/>
      <c r="G8" s="140"/>
    </row>
    <row r="9" spans="1:7" ht="15.75" x14ac:dyDescent="0.25">
      <c r="A9" s="141">
        <v>44834</v>
      </c>
      <c r="B9" s="139"/>
      <c r="C9" s="139"/>
      <c r="D9" s="139"/>
      <c r="E9" s="139"/>
      <c r="F9" s="139"/>
      <c r="G9" s="139"/>
    </row>
    <row r="10" spans="1:7" ht="15.75" x14ac:dyDescent="0.25">
      <c r="A10" s="139"/>
      <c r="B10" s="139"/>
      <c r="C10" s="139"/>
      <c r="D10" s="139"/>
      <c r="E10" s="139"/>
      <c r="F10" s="139"/>
      <c r="G10" s="139"/>
    </row>
    <row r="11" spans="1:7" ht="15.75" x14ac:dyDescent="0.25">
      <c r="A11" s="137"/>
      <c r="B11" s="137"/>
      <c r="C11" s="137"/>
      <c r="D11" s="137"/>
      <c r="E11" s="137"/>
      <c r="F11" s="137"/>
      <c r="G11" s="137"/>
    </row>
    <row r="12" spans="1:7" ht="15.75" x14ac:dyDescent="0.25">
      <c r="A12" s="142"/>
      <c r="B12" s="142"/>
      <c r="C12" s="142"/>
      <c r="D12" s="142"/>
      <c r="E12" s="142"/>
      <c r="F12" s="142"/>
      <c r="G12" s="142"/>
    </row>
    <row r="13" spans="1:7" ht="15.75" x14ac:dyDescent="0.25">
      <c r="A13" s="142"/>
      <c r="B13" s="142"/>
      <c r="C13" s="143" t="s">
        <v>63</v>
      </c>
      <c r="D13" s="142"/>
      <c r="E13" s="143" t="s">
        <v>66</v>
      </c>
      <c r="F13" s="143"/>
      <c r="G13" s="143" t="s">
        <v>69</v>
      </c>
    </row>
    <row r="14" spans="1:7" ht="15.75" x14ac:dyDescent="0.25">
      <c r="A14" s="142"/>
      <c r="B14" s="142"/>
      <c r="C14" s="143" t="s">
        <v>64</v>
      </c>
      <c r="D14" s="142"/>
      <c r="E14" s="143" t="s">
        <v>64</v>
      </c>
      <c r="F14" s="143"/>
      <c r="G14" s="143" t="s">
        <v>64</v>
      </c>
    </row>
    <row r="15" spans="1:7" ht="15.75" x14ac:dyDescent="0.25">
      <c r="A15" s="142"/>
      <c r="B15" s="142"/>
      <c r="C15" s="143" t="s">
        <v>65</v>
      </c>
      <c r="D15" s="142"/>
      <c r="E15" s="143" t="s">
        <v>67</v>
      </c>
      <c r="F15" s="143"/>
      <c r="G15" s="143" t="s">
        <v>68</v>
      </c>
    </row>
    <row r="16" spans="1:7" ht="15.75" x14ac:dyDescent="0.25">
      <c r="A16" s="142"/>
      <c r="B16" s="142"/>
      <c r="C16" s="143"/>
      <c r="D16" s="142"/>
      <c r="E16" s="143" t="s">
        <v>70</v>
      </c>
      <c r="F16" s="143"/>
      <c r="G16" s="143"/>
    </row>
    <row r="17" spans="1:7" ht="15.75" x14ac:dyDescent="0.25">
      <c r="A17" s="140"/>
      <c r="B17" s="140"/>
      <c r="C17" s="140"/>
      <c r="D17" s="140"/>
      <c r="E17" s="140"/>
      <c r="F17" s="140"/>
      <c r="G17" s="140"/>
    </row>
    <row r="18" spans="1:7" ht="15.75" x14ac:dyDescent="0.25">
      <c r="A18" s="140" t="s">
        <v>52</v>
      </c>
      <c r="B18" s="140"/>
      <c r="C18" s="140"/>
      <c r="D18" s="140"/>
      <c r="E18" s="140"/>
      <c r="F18" s="140"/>
      <c r="G18" s="140"/>
    </row>
    <row r="19" spans="1:7" ht="15.75" x14ac:dyDescent="0.25">
      <c r="A19" s="140" t="s">
        <v>53</v>
      </c>
      <c r="B19" s="140"/>
      <c r="C19" s="144">
        <v>492537803</v>
      </c>
      <c r="D19" s="145"/>
      <c r="E19" s="144">
        <v>478338297</v>
      </c>
      <c r="F19" s="145"/>
      <c r="G19" s="144">
        <f>C19-E19</f>
        <v>14199506</v>
      </c>
    </row>
    <row r="20" spans="1:7" ht="15.75" x14ac:dyDescent="0.25">
      <c r="A20" s="140"/>
      <c r="B20" s="140"/>
      <c r="C20" s="144"/>
      <c r="D20" s="145"/>
      <c r="E20" s="144"/>
      <c r="F20" s="145"/>
      <c r="G20" s="144"/>
    </row>
    <row r="21" spans="1:7" ht="15.75" x14ac:dyDescent="0.25">
      <c r="A21" s="140" t="s">
        <v>54</v>
      </c>
      <c r="B21" s="140"/>
      <c r="C21" s="144"/>
      <c r="D21" s="145"/>
      <c r="E21" s="144"/>
      <c r="F21" s="145"/>
      <c r="G21" s="144"/>
    </row>
    <row r="22" spans="1:7" ht="15.75" x14ac:dyDescent="0.25">
      <c r="A22" s="140" t="s">
        <v>55</v>
      </c>
      <c r="B22" s="140"/>
      <c r="C22" s="144">
        <v>36525027</v>
      </c>
      <c r="D22" s="145"/>
      <c r="E22" s="144">
        <v>36385692</v>
      </c>
      <c r="F22" s="145"/>
      <c r="G22" s="144">
        <f>C22-E22</f>
        <v>139335</v>
      </c>
    </row>
    <row r="23" spans="1:7" ht="15.75" x14ac:dyDescent="0.25">
      <c r="A23" s="140"/>
      <c r="B23" s="140"/>
      <c r="C23" s="144"/>
      <c r="D23" s="145"/>
      <c r="E23" s="144"/>
      <c r="F23" s="145"/>
      <c r="G23" s="144"/>
    </row>
    <row r="24" spans="1:7" ht="15.75" x14ac:dyDescent="0.25">
      <c r="A24" s="140" t="s">
        <v>56</v>
      </c>
      <c r="B24" s="140"/>
      <c r="C24" s="144"/>
      <c r="D24" s="145"/>
      <c r="E24" s="144"/>
      <c r="F24" s="145"/>
      <c r="G24" s="144"/>
    </row>
    <row r="25" spans="1:7" ht="15.75" x14ac:dyDescent="0.25">
      <c r="A25" s="140" t="s">
        <v>55</v>
      </c>
      <c r="B25" s="140"/>
      <c r="C25" s="144">
        <v>35842984</v>
      </c>
      <c r="D25" s="145"/>
      <c r="E25" s="144">
        <v>35655610</v>
      </c>
      <c r="F25" s="145"/>
      <c r="G25" s="144">
        <f>C25-E25</f>
        <v>187374</v>
      </c>
    </row>
    <row r="26" spans="1:7" ht="15.75" x14ac:dyDescent="0.25">
      <c r="A26" s="140"/>
      <c r="B26" s="140"/>
      <c r="C26" s="146"/>
      <c r="D26" s="140"/>
      <c r="E26" s="146"/>
      <c r="F26" s="140"/>
      <c r="G26" s="146"/>
    </row>
    <row r="27" spans="1:7" ht="15.75" x14ac:dyDescent="0.25">
      <c r="A27" s="140" t="s">
        <v>57</v>
      </c>
      <c r="B27" s="140"/>
      <c r="C27" s="146"/>
      <c r="D27" s="140"/>
      <c r="E27" s="146"/>
      <c r="F27" s="140"/>
      <c r="G27" s="146"/>
    </row>
    <row r="28" spans="1:7" ht="15.75" x14ac:dyDescent="0.25">
      <c r="A28" s="140" t="s">
        <v>53</v>
      </c>
      <c r="B28" s="140"/>
      <c r="C28" s="146">
        <f>C19-C22+C25</f>
        <v>491855760</v>
      </c>
      <c r="D28" s="140"/>
      <c r="E28" s="146">
        <f>E19-E22+E25</f>
        <v>477608215</v>
      </c>
      <c r="F28" s="140"/>
      <c r="G28" s="146">
        <f>C28-E28</f>
        <v>14247545</v>
      </c>
    </row>
    <row r="29" spans="1:7" ht="15.75" x14ac:dyDescent="0.25">
      <c r="A29" s="140"/>
      <c r="B29" s="140"/>
      <c r="C29" s="146"/>
      <c r="D29" s="140"/>
      <c r="E29" s="146"/>
      <c r="F29" s="140"/>
      <c r="G29" s="146"/>
    </row>
    <row r="30" spans="1:7" ht="15.75" x14ac:dyDescent="0.25">
      <c r="A30" s="140"/>
      <c r="B30" s="140"/>
      <c r="C30" s="140"/>
      <c r="D30" s="140"/>
      <c r="E30" s="140"/>
      <c r="F30" s="140"/>
      <c r="G30" s="140"/>
    </row>
    <row r="31" spans="1:7" ht="15.75" x14ac:dyDescent="0.25">
      <c r="A31" s="140" t="s">
        <v>58</v>
      </c>
      <c r="B31" s="140"/>
      <c r="C31" s="140"/>
      <c r="D31" s="140"/>
      <c r="E31" s="147">
        <f>G28/C28</f>
        <v>2.8966917049014534E-2</v>
      </c>
      <c r="F31" s="140"/>
      <c r="G31" s="140"/>
    </row>
    <row r="32" spans="1:7" ht="15.75" x14ac:dyDescent="0.25">
      <c r="A32" s="140"/>
      <c r="B32" s="140"/>
      <c r="C32" s="140"/>
      <c r="D32" s="140"/>
      <c r="E32" s="140"/>
      <c r="F32" s="140"/>
      <c r="G32" s="140"/>
    </row>
    <row r="33" spans="1:7" ht="15.75" x14ac:dyDescent="0.25">
      <c r="A33" s="140"/>
      <c r="B33" s="140"/>
      <c r="C33" s="140"/>
      <c r="D33" s="140"/>
      <c r="E33" s="140"/>
      <c r="F33" s="140"/>
      <c r="G33" s="140"/>
    </row>
    <row r="34" spans="1:7" ht="15.75" x14ac:dyDescent="0.25">
      <c r="A34" s="140"/>
      <c r="B34" s="140"/>
      <c r="C34" s="140"/>
      <c r="D34" s="140"/>
      <c r="E34" s="140"/>
      <c r="F34" s="140"/>
      <c r="G34" s="140"/>
    </row>
    <row r="35" spans="1:7" ht="15.75" x14ac:dyDescent="0.25">
      <c r="A35" s="140"/>
      <c r="B35" s="140"/>
      <c r="C35" s="140"/>
      <c r="D35" s="140"/>
      <c r="E35" s="140"/>
      <c r="F35" s="140"/>
      <c r="G35" s="140"/>
    </row>
    <row r="36" spans="1:7" ht="15.75" x14ac:dyDescent="0.25">
      <c r="A36" s="140"/>
      <c r="B36" s="140"/>
      <c r="C36" s="140"/>
      <c r="D36" s="140"/>
      <c r="E36" s="140"/>
      <c r="F36" s="140"/>
      <c r="G36" s="140"/>
    </row>
    <row r="37" spans="1:7" ht="15.75" x14ac:dyDescent="0.25">
      <c r="A37" s="140"/>
      <c r="B37" s="140"/>
      <c r="C37" s="140"/>
      <c r="D37" s="140"/>
      <c r="E37" s="147"/>
      <c r="F37" s="140"/>
      <c r="G37" s="140"/>
    </row>
    <row r="38" spans="1:7" ht="15.75" x14ac:dyDescent="0.25">
      <c r="A38" s="140"/>
      <c r="B38" s="140"/>
      <c r="C38" s="140"/>
      <c r="D38" s="140"/>
      <c r="E38" s="140"/>
      <c r="F38" s="140"/>
      <c r="G38" s="140"/>
    </row>
    <row r="39" spans="1:7" ht="15.75" x14ac:dyDescent="0.25">
      <c r="A39" s="140"/>
      <c r="B39" s="140"/>
      <c r="C39" s="140"/>
      <c r="D39" s="140"/>
      <c r="E39" s="140"/>
      <c r="F39" s="140"/>
      <c r="G39" s="140"/>
    </row>
    <row r="40" spans="1:7" ht="15.75" x14ac:dyDescent="0.25">
      <c r="A40" s="140"/>
      <c r="B40" s="140"/>
      <c r="C40" s="140"/>
      <c r="D40" s="140"/>
      <c r="E40" s="140"/>
      <c r="F40" s="140"/>
      <c r="G40" s="140"/>
    </row>
  </sheetData>
  <pageMargins left="0.75" right="0.75" top="1.2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A1B7A-5957-46EF-85A5-2C3AC23E6F37}">
  <sheetPr>
    <pageSetUpPr fitToPage="1"/>
  </sheetPr>
  <dimension ref="A1:W99"/>
  <sheetViews>
    <sheetView topLeftCell="A4" zoomScale="70" zoomScaleNormal="70" workbookViewId="0">
      <selection activeCell="M26" sqref="M26"/>
    </sheetView>
  </sheetViews>
  <sheetFormatPr defaultColWidth="9.6640625" defaultRowHeight="15" x14ac:dyDescent="0.2"/>
  <cols>
    <col min="1" max="1" width="11.33203125" style="99" customWidth="1"/>
    <col min="2" max="2" width="28.77734375" style="99" customWidth="1"/>
    <col min="3" max="3" width="19.33203125" style="99" customWidth="1"/>
    <col min="4" max="4" width="10" style="99" customWidth="1"/>
    <col min="5" max="5" width="17.6640625" style="99" customWidth="1"/>
    <col min="6" max="6" width="9.6640625" style="99" customWidth="1"/>
    <col min="7" max="7" width="8.5546875" style="99" customWidth="1"/>
    <col min="8" max="8" width="13.77734375" style="99" customWidth="1"/>
    <col min="9" max="9" width="21.88671875" style="99" customWidth="1"/>
    <col min="10" max="10" width="20.6640625" style="99" customWidth="1"/>
    <col min="11" max="20" width="9.6640625" style="99"/>
    <col min="21" max="21" width="17" style="73" bestFit="1" customWidth="1"/>
    <col min="22" max="22" width="9.6640625" style="99"/>
    <col min="23" max="23" width="14" style="73" bestFit="1" customWidth="1"/>
    <col min="24" max="16384" width="9.6640625" style="99"/>
  </cols>
  <sheetData>
    <row r="1" spans="1:11" x14ac:dyDescent="0.2">
      <c r="A1" s="98" t="s">
        <v>0</v>
      </c>
      <c r="B1" s="98" t="s">
        <v>23</v>
      </c>
      <c r="C1" s="98"/>
      <c r="D1" s="98"/>
      <c r="E1" s="98"/>
      <c r="F1" s="98"/>
      <c r="G1" s="98" t="s">
        <v>27</v>
      </c>
      <c r="H1" s="98"/>
      <c r="I1" s="98"/>
      <c r="J1" s="98"/>
    </row>
    <row r="2" spans="1:11" x14ac:dyDescent="0.2">
      <c r="A2" s="100" t="s">
        <v>1</v>
      </c>
      <c r="B2" s="100" t="s">
        <v>1</v>
      </c>
      <c r="C2" s="100" t="s">
        <v>1</v>
      </c>
      <c r="D2" s="100" t="s">
        <v>1</v>
      </c>
      <c r="E2" s="100" t="s">
        <v>1</v>
      </c>
      <c r="F2" s="100" t="s">
        <v>1</v>
      </c>
      <c r="G2" s="100" t="s">
        <v>1</v>
      </c>
      <c r="H2" s="100" t="s">
        <v>1</v>
      </c>
      <c r="I2" s="100" t="s">
        <v>1</v>
      </c>
      <c r="J2" s="100" t="s">
        <v>1</v>
      </c>
    </row>
    <row r="3" spans="1:11" x14ac:dyDescent="0.2">
      <c r="A3" s="100" t="s">
        <v>1</v>
      </c>
      <c r="B3" s="100" t="s">
        <v>1</v>
      </c>
      <c r="C3" s="100" t="s">
        <v>1</v>
      </c>
      <c r="D3" s="100" t="s">
        <v>1</v>
      </c>
      <c r="E3" s="100" t="s">
        <v>1</v>
      </c>
      <c r="F3" s="100" t="s">
        <v>1</v>
      </c>
      <c r="G3" s="100" t="s">
        <v>1</v>
      </c>
      <c r="H3" s="100" t="s">
        <v>1</v>
      </c>
      <c r="I3" s="100" t="s">
        <v>1</v>
      </c>
      <c r="J3" s="100" t="s">
        <v>1</v>
      </c>
    </row>
    <row r="4" spans="1:11" ht="18" x14ac:dyDescent="0.25">
      <c r="A4" s="101" t="s">
        <v>2</v>
      </c>
      <c r="B4" s="101"/>
      <c r="C4" s="101"/>
      <c r="D4" s="101"/>
      <c r="E4" s="102" t="s">
        <v>81</v>
      </c>
      <c r="F4" s="101"/>
      <c r="G4" s="101" t="s">
        <v>28</v>
      </c>
      <c r="H4" s="101"/>
      <c r="I4" s="101" t="s">
        <v>51</v>
      </c>
      <c r="J4" s="103" t="str">
        <f>E4</f>
        <v>October</v>
      </c>
    </row>
    <row r="5" spans="1:11" ht="18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1"/>
    </row>
    <row r="6" spans="1:11" ht="18" x14ac:dyDescent="0.25">
      <c r="A6" s="101" t="s">
        <v>71</v>
      </c>
      <c r="B6" s="101"/>
      <c r="C6" s="101"/>
      <c r="D6" s="101"/>
      <c r="E6" s="104">
        <v>33695407</v>
      </c>
      <c r="F6" s="101"/>
      <c r="G6" s="101" t="s">
        <v>29</v>
      </c>
      <c r="H6" s="101"/>
      <c r="I6" s="101"/>
      <c r="J6" s="105"/>
      <c r="K6" s="106"/>
    </row>
    <row r="7" spans="1:11" ht="18" x14ac:dyDescent="0.25">
      <c r="A7" s="101"/>
      <c r="B7" s="101"/>
      <c r="C7" s="101"/>
      <c r="D7" s="101"/>
      <c r="E7" s="107"/>
      <c r="F7" s="101"/>
      <c r="G7" s="101"/>
      <c r="H7" s="101"/>
      <c r="I7" s="101"/>
      <c r="J7" s="101"/>
    </row>
    <row r="8" spans="1:11" ht="18" x14ac:dyDescent="0.25">
      <c r="A8" s="101" t="s">
        <v>72</v>
      </c>
      <c r="B8" s="101"/>
      <c r="C8" s="101"/>
      <c r="D8" s="101"/>
      <c r="E8" s="104">
        <f>32536772+148656</f>
        <v>32685428</v>
      </c>
      <c r="F8" s="101"/>
      <c r="G8" s="101" t="s">
        <v>30</v>
      </c>
      <c r="H8" s="101"/>
      <c r="I8" s="101"/>
      <c r="J8" s="108">
        <v>717039</v>
      </c>
    </row>
    <row r="9" spans="1:11" ht="18" x14ac:dyDescent="0.25">
      <c r="A9" s="101"/>
      <c r="B9" s="101"/>
      <c r="C9" s="101"/>
      <c r="D9" s="101"/>
      <c r="E9" s="107"/>
      <c r="F9" s="101"/>
      <c r="G9" s="101"/>
      <c r="H9" s="101" t="s">
        <v>26</v>
      </c>
      <c r="I9" s="101"/>
      <c r="J9" s="109" t="s">
        <v>26</v>
      </c>
    </row>
    <row r="10" spans="1:11" ht="18" x14ac:dyDescent="0.25">
      <c r="A10" s="101"/>
      <c r="B10" s="101"/>
      <c r="C10" s="101"/>
      <c r="D10" s="101"/>
      <c r="E10" s="107"/>
      <c r="F10" s="101"/>
      <c r="G10" s="101"/>
      <c r="H10" s="101" t="s">
        <v>26</v>
      </c>
      <c r="I10" s="101"/>
      <c r="J10" s="109" t="s">
        <v>26</v>
      </c>
    </row>
    <row r="11" spans="1:11" ht="18" x14ac:dyDescent="0.25">
      <c r="A11" s="101" t="s">
        <v>3</v>
      </c>
      <c r="B11" s="101"/>
      <c r="C11" s="101"/>
      <c r="D11" s="101"/>
      <c r="E11" s="107">
        <v>0</v>
      </c>
      <c r="F11" s="101"/>
      <c r="G11" s="101" t="s">
        <v>31</v>
      </c>
      <c r="H11" s="101"/>
      <c r="I11" s="101"/>
      <c r="J11" s="110">
        <f>E37</f>
        <v>151026.38238000002</v>
      </c>
    </row>
    <row r="12" spans="1:11" ht="18" x14ac:dyDescent="0.25">
      <c r="A12" s="101"/>
      <c r="B12" s="101"/>
      <c r="C12" s="101"/>
      <c r="D12" s="101"/>
      <c r="E12" s="107"/>
      <c r="F12" s="101"/>
      <c r="G12" s="101"/>
      <c r="H12" s="101"/>
      <c r="I12" s="101"/>
      <c r="J12" s="105"/>
    </row>
    <row r="13" spans="1:11" ht="18" x14ac:dyDescent="0.25">
      <c r="A13" s="101" t="s">
        <v>4</v>
      </c>
      <c r="B13" s="101"/>
      <c r="C13" s="101"/>
      <c r="D13" s="101"/>
      <c r="E13" s="107">
        <f>SUM(E8:E11)</f>
        <v>32685428</v>
      </c>
      <c r="F13" s="101"/>
      <c r="G13" s="101" t="s">
        <v>32</v>
      </c>
      <c r="H13" s="101"/>
      <c r="I13" s="101"/>
      <c r="J13" s="105">
        <v>0</v>
      </c>
    </row>
    <row r="14" spans="1:11" ht="18" x14ac:dyDescent="0.25">
      <c r="A14" s="101"/>
      <c r="B14" s="101"/>
      <c r="C14" s="101"/>
      <c r="D14" s="101"/>
      <c r="E14" s="107"/>
      <c r="F14" s="101"/>
      <c r="G14" s="101"/>
      <c r="H14" s="101"/>
      <c r="I14" s="101"/>
      <c r="J14" s="105"/>
    </row>
    <row r="15" spans="1:11" ht="18" x14ac:dyDescent="0.25">
      <c r="A15" s="101" t="s">
        <v>5</v>
      </c>
      <c r="B15" s="101"/>
      <c r="C15" s="101"/>
      <c r="D15" s="101"/>
      <c r="E15" s="111">
        <f>E6-E13</f>
        <v>1009979</v>
      </c>
      <c r="F15" s="101"/>
      <c r="G15" s="101" t="s">
        <v>33</v>
      </c>
      <c r="H15" s="101"/>
      <c r="I15" s="101"/>
      <c r="J15" s="110">
        <f>ROUND((+J8+J11),4)</f>
        <v>868065.3824</v>
      </c>
    </row>
    <row r="16" spans="1:11" ht="18" x14ac:dyDescent="0.25">
      <c r="A16" s="101" t="s">
        <v>6</v>
      </c>
      <c r="B16" s="101"/>
      <c r="C16" s="101"/>
      <c r="D16" s="101"/>
      <c r="E16" s="107"/>
      <c r="F16" s="101"/>
      <c r="G16" s="101" t="s">
        <v>34</v>
      </c>
      <c r="H16" s="101"/>
      <c r="I16" s="101"/>
      <c r="J16" s="105"/>
    </row>
    <row r="17" spans="1:13" ht="18" x14ac:dyDescent="0.25">
      <c r="A17" s="101"/>
      <c r="B17" s="101"/>
      <c r="C17" s="101"/>
      <c r="D17" s="101"/>
      <c r="E17" s="107"/>
      <c r="F17" s="101"/>
      <c r="G17" s="101"/>
      <c r="H17" s="101"/>
      <c r="I17" s="101"/>
      <c r="J17" s="101"/>
    </row>
    <row r="18" spans="1:13" ht="18" x14ac:dyDescent="0.25">
      <c r="A18" s="112" t="s">
        <v>1</v>
      </c>
      <c r="B18" s="112" t="s">
        <v>1</v>
      </c>
      <c r="C18" s="112" t="s">
        <v>1</v>
      </c>
      <c r="D18" s="112" t="s">
        <v>1</v>
      </c>
      <c r="E18" s="113" t="s">
        <v>1</v>
      </c>
      <c r="F18" s="101"/>
      <c r="G18" s="101" t="s">
        <v>35</v>
      </c>
      <c r="H18" s="101"/>
      <c r="I18" s="101"/>
      <c r="J18" s="107">
        <f>E6</f>
        <v>33695407</v>
      </c>
    </row>
    <row r="19" spans="1:13" ht="18" x14ac:dyDescent="0.25">
      <c r="A19" s="112" t="s">
        <v>1</v>
      </c>
      <c r="B19" s="112" t="s">
        <v>1</v>
      </c>
      <c r="C19" s="112" t="s">
        <v>1</v>
      </c>
      <c r="D19" s="112" t="s">
        <v>1</v>
      </c>
      <c r="E19" s="113"/>
      <c r="F19" s="101"/>
      <c r="G19" s="101"/>
      <c r="H19" s="101"/>
      <c r="I19" s="101"/>
      <c r="J19" s="101"/>
    </row>
    <row r="20" spans="1:13" ht="18" x14ac:dyDescent="0.25">
      <c r="A20" s="101" t="s">
        <v>7</v>
      </c>
      <c r="B20" s="101"/>
      <c r="C20" s="101"/>
      <c r="D20" s="101" t="s">
        <v>25</v>
      </c>
      <c r="E20" s="102" t="s">
        <v>107</v>
      </c>
      <c r="F20" s="101"/>
      <c r="G20" s="101" t="s">
        <v>36</v>
      </c>
      <c r="H20" s="101"/>
      <c r="I20" s="101"/>
      <c r="J20" s="114">
        <f>ROUND((J8/J18),5)</f>
        <v>2.128E-2</v>
      </c>
    </row>
    <row r="21" spans="1:13" ht="18" x14ac:dyDescent="0.25">
      <c r="A21" s="101"/>
      <c r="B21" s="101"/>
      <c r="C21" s="101"/>
      <c r="D21" s="101"/>
      <c r="E21" s="107"/>
      <c r="F21" s="101"/>
      <c r="G21" s="101" t="s">
        <v>37</v>
      </c>
      <c r="H21" s="101"/>
      <c r="I21" s="101"/>
      <c r="J21" s="101"/>
    </row>
    <row r="22" spans="1:13" ht="18" x14ac:dyDescent="0.25">
      <c r="A22" s="101" t="s">
        <v>8</v>
      </c>
      <c r="B22" s="101"/>
      <c r="C22" s="101"/>
      <c r="D22" s="101"/>
      <c r="E22" s="115">
        <v>1.5219999999999999E-2</v>
      </c>
      <c r="F22" s="101"/>
      <c r="G22" s="101"/>
      <c r="H22" s="101"/>
      <c r="I22" s="101"/>
      <c r="J22" s="101"/>
    </row>
    <row r="23" spans="1:13" ht="18" x14ac:dyDescent="0.25">
      <c r="A23" s="101"/>
      <c r="B23" s="101"/>
      <c r="C23" s="101"/>
      <c r="D23" s="101"/>
      <c r="E23" s="107"/>
      <c r="F23" s="101"/>
      <c r="G23" s="101" t="s">
        <v>38</v>
      </c>
      <c r="H23" s="101"/>
      <c r="I23" s="101"/>
      <c r="J23" s="101"/>
    </row>
    <row r="24" spans="1:13" ht="18" x14ac:dyDescent="0.25">
      <c r="A24" s="101" t="s">
        <v>9</v>
      </c>
      <c r="B24" s="101"/>
      <c r="C24" s="101"/>
      <c r="D24" s="101"/>
      <c r="E24" s="116">
        <f>32536851+148656</f>
        <v>32685507</v>
      </c>
      <c r="F24" s="101"/>
      <c r="G24" s="112" t="s">
        <v>1</v>
      </c>
      <c r="H24" s="101"/>
      <c r="I24" s="101"/>
      <c r="J24" s="101"/>
    </row>
    <row r="25" spans="1:13" ht="18" x14ac:dyDescent="0.25">
      <c r="A25" s="101"/>
      <c r="B25" s="101"/>
      <c r="C25" s="101"/>
      <c r="D25" s="101"/>
      <c r="E25" s="116"/>
      <c r="F25" s="101"/>
      <c r="G25" s="101" t="s">
        <v>39</v>
      </c>
      <c r="H25" s="101"/>
      <c r="I25" s="101"/>
      <c r="J25" s="117">
        <f>'12 Mth Avg-Oct 22'!E31</f>
        <v>3.045398823142487E-2</v>
      </c>
    </row>
    <row r="26" spans="1:13" ht="18" x14ac:dyDescent="0.25">
      <c r="A26" s="101" t="s">
        <v>10</v>
      </c>
      <c r="B26" s="101"/>
      <c r="C26" s="101"/>
      <c r="D26" s="101"/>
      <c r="E26" s="116">
        <v>-79</v>
      </c>
      <c r="F26" s="101"/>
      <c r="G26" s="101"/>
      <c r="H26" s="101"/>
      <c r="I26" s="101"/>
      <c r="J26" s="101"/>
      <c r="M26" s="118"/>
    </row>
    <row r="27" spans="1:13" ht="18" x14ac:dyDescent="0.25">
      <c r="A27" s="101"/>
      <c r="B27" s="101"/>
      <c r="C27" s="101"/>
      <c r="D27" s="101"/>
      <c r="E27" s="111"/>
      <c r="F27" s="101"/>
      <c r="G27" s="101" t="s">
        <v>40</v>
      </c>
      <c r="H27" s="101"/>
      <c r="I27" s="101"/>
      <c r="J27" s="119" t="str">
        <f>E4</f>
        <v>October</v>
      </c>
    </row>
    <row r="28" spans="1:13" ht="18" x14ac:dyDescent="0.25">
      <c r="A28" s="101" t="s">
        <v>11</v>
      </c>
      <c r="B28" s="101"/>
      <c r="C28" s="101"/>
      <c r="D28" s="101"/>
      <c r="E28" s="111">
        <f>SUM(E24:E27)</f>
        <v>32685428</v>
      </c>
      <c r="F28" s="101"/>
      <c r="G28" s="101"/>
      <c r="H28" s="101"/>
      <c r="I28" s="101"/>
      <c r="J28" s="101"/>
    </row>
    <row r="29" spans="1:13" ht="18" x14ac:dyDescent="0.25">
      <c r="A29" s="101" t="s">
        <v>12</v>
      </c>
      <c r="B29" s="101"/>
      <c r="C29" s="101"/>
      <c r="D29" s="101"/>
      <c r="E29" s="107"/>
      <c r="F29" s="101"/>
      <c r="G29" s="101" t="s">
        <v>41</v>
      </c>
      <c r="H29" s="101"/>
      <c r="I29" s="101"/>
      <c r="J29" s="120">
        <f>ROUND((+E15/E6),6)</f>
        <v>2.9974000000000001E-2</v>
      </c>
    </row>
    <row r="30" spans="1:13" ht="18" x14ac:dyDescent="0.25">
      <c r="A30" s="101"/>
      <c r="B30" s="101" t="s">
        <v>26</v>
      </c>
      <c r="C30" s="101"/>
      <c r="D30" s="101"/>
      <c r="E30" s="107"/>
      <c r="F30" s="101"/>
      <c r="G30" s="101" t="s">
        <v>42</v>
      </c>
      <c r="H30" s="101"/>
      <c r="I30" s="101"/>
      <c r="J30" s="101"/>
    </row>
    <row r="31" spans="1:13" ht="18" x14ac:dyDescent="0.25">
      <c r="A31" s="101" t="s">
        <v>13</v>
      </c>
      <c r="B31" s="101"/>
      <c r="C31" s="101"/>
      <c r="D31" s="101"/>
      <c r="E31" s="108">
        <v>643604.29</v>
      </c>
      <c r="F31" s="101"/>
      <c r="G31" s="101"/>
      <c r="H31" s="101"/>
      <c r="I31" s="101"/>
      <c r="J31" s="101"/>
    </row>
    <row r="32" spans="1:13" ht="18" x14ac:dyDescent="0.25">
      <c r="A32" s="101" t="s">
        <v>14</v>
      </c>
      <c r="B32" s="101"/>
      <c r="C32" s="101"/>
      <c r="D32" s="101"/>
      <c r="E32" s="110"/>
      <c r="F32" s="101"/>
      <c r="G32" s="101" t="s">
        <v>43</v>
      </c>
      <c r="H32" s="101"/>
      <c r="I32" s="101"/>
      <c r="J32" s="101"/>
    </row>
    <row r="33" spans="1:10" ht="18" x14ac:dyDescent="0.25">
      <c r="A33" s="101"/>
      <c r="B33" s="101"/>
      <c r="C33" s="101"/>
      <c r="D33" s="101"/>
      <c r="E33" s="110"/>
      <c r="F33" s="101"/>
      <c r="G33" s="112" t="s">
        <v>1</v>
      </c>
      <c r="H33" s="112" t="s">
        <v>1</v>
      </c>
      <c r="I33" s="112" t="s">
        <v>1</v>
      </c>
      <c r="J33" s="101"/>
    </row>
    <row r="34" spans="1:10" ht="18" x14ac:dyDescent="0.25">
      <c r="A34" s="101" t="s">
        <v>15</v>
      </c>
      <c r="B34" s="101"/>
      <c r="C34" s="101"/>
      <c r="D34" s="101"/>
      <c r="E34" s="110">
        <f>(+E26*E22)+B41</f>
        <v>492577.90762000001</v>
      </c>
      <c r="F34" s="101"/>
      <c r="G34" s="101" t="s">
        <v>44</v>
      </c>
      <c r="H34" s="101"/>
      <c r="I34" s="101"/>
      <c r="J34" s="120">
        <f>ROUND((1-J25),7)</f>
        <v>0.96954600000000002</v>
      </c>
    </row>
    <row r="35" spans="1:10" ht="18" x14ac:dyDescent="0.25">
      <c r="A35" s="101" t="s">
        <v>16</v>
      </c>
      <c r="B35" s="101"/>
      <c r="C35" s="101"/>
      <c r="D35" s="101"/>
      <c r="E35" s="110"/>
      <c r="F35" s="101"/>
      <c r="G35" s="101" t="s">
        <v>45</v>
      </c>
      <c r="H35" s="101"/>
      <c r="I35" s="101"/>
      <c r="J35" s="101"/>
    </row>
    <row r="36" spans="1:10" ht="18" x14ac:dyDescent="0.25">
      <c r="A36" s="101"/>
      <c r="B36" s="101"/>
      <c r="C36" s="101"/>
      <c r="D36" s="101"/>
      <c r="E36" s="110"/>
      <c r="F36" s="101"/>
      <c r="G36" s="101"/>
      <c r="H36" s="101"/>
      <c r="I36" s="101"/>
      <c r="J36" s="101"/>
    </row>
    <row r="37" spans="1:10" ht="18" x14ac:dyDescent="0.25">
      <c r="A37" s="101" t="s">
        <v>17</v>
      </c>
      <c r="B37" s="101"/>
      <c r="C37" s="101"/>
      <c r="D37" s="101"/>
      <c r="E37" s="110">
        <f>(E31-E34)</f>
        <v>151026.38238000002</v>
      </c>
      <c r="F37" s="101"/>
      <c r="G37" s="101" t="s">
        <v>46</v>
      </c>
      <c r="H37" s="101"/>
      <c r="I37" s="101"/>
      <c r="J37" s="121">
        <f>ROUND((J15/J18),5)</f>
        <v>2.5760000000000002E-2</v>
      </c>
    </row>
    <row r="38" spans="1:10" ht="18" x14ac:dyDescent="0.25">
      <c r="A38" s="101" t="s">
        <v>18</v>
      </c>
      <c r="B38" s="101"/>
      <c r="C38" s="101"/>
      <c r="D38" s="101"/>
      <c r="E38" s="110"/>
      <c r="F38" s="101"/>
      <c r="G38" s="101" t="s">
        <v>47</v>
      </c>
      <c r="H38" s="101"/>
      <c r="I38" s="101"/>
      <c r="J38" s="121"/>
    </row>
    <row r="39" spans="1:10" ht="18" x14ac:dyDescent="0.25">
      <c r="A39" s="101"/>
      <c r="B39" s="101"/>
      <c r="C39" s="101"/>
      <c r="D39" s="101"/>
      <c r="E39" s="105"/>
      <c r="F39" s="101"/>
      <c r="G39" s="101"/>
      <c r="H39" s="101"/>
      <c r="I39" s="101"/>
      <c r="J39" s="121"/>
    </row>
    <row r="40" spans="1:10" ht="18" x14ac:dyDescent="0.25">
      <c r="A40" s="101"/>
      <c r="B40" s="122" t="s">
        <v>24</v>
      </c>
      <c r="C40" s="122"/>
      <c r="D40" s="122"/>
      <c r="E40" s="105"/>
      <c r="F40" s="101"/>
      <c r="G40" s="101" t="s">
        <v>48</v>
      </c>
      <c r="H40" s="101"/>
      <c r="I40" s="101"/>
      <c r="J40" s="123">
        <f>ROUND((J37/J34),7)</f>
        <v>2.6569099999999998E-2</v>
      </c>
    </row>
    <row r="41" spans="1:10" ht="18" x14ac:dyDescent="0.25">
      <c r="A41" s="101"/>
      <c r="B41" s="124">
        <f>490390.64+2188.47</f>
        <v>492579.11</v>
      </c>
      <c r="D41" s="125"/>
      <c r="E41" s="105"/>
      <c r="F41" s="101"/>
      <c r="G41" s="101"/>
      <c r="H41" s="101"/>
      <c r="I41" s="101"/>
      <c r="J41" s="101"/>
    </row>
    <row r="42" spans="1:10" ht="18" x14ac:dyDescent="0.25">
      <c r="A42" s="101"/>
      <c r="B42" s="101"/>
      <c r="C42" s="101"/>
      <c r="D42" s="101"/>
      <c r="E42" s="101"/>
      <c r="F42" s="101"/>
      <c r="G42" s="101" t="s">
        <v>49</v>
      </c>
      <c r="H42" s="101"/>
      <c r="I42" s="101"/>
      <c r="J42" s="126">
        <f>ROUND((+J40*100),3)</f>
        <v>2.657</v>
      </c>
    </row>
    <row r="43" spans="1:10" ht="18" x14ac:dyDescent="0.25">
      <c r="A43" s="112" t="s">
        <v>1</v>
      </c>
      <c r="B43" s="112" t="s">
        <v>1</v>
      </c>
      <c r="C43" s="112" t="s">
        <v>1</v>
      </c>
      <c r="D43" s="112" t="s">
        <v>1</v>
      </c>
      <c r="E43" s="112" t="s">
        <v>1</v>
      </c>
      <c r="F43" s="112" t="s">
        <v>1</v>
      </c>
      <c r="G43" s="112" t="s">
        <v>1</v>
      </c>
      <c r="H43" s="112" t="s">
        <v>1</v>
      </c>
      <c r="I43" s="112" t="s">
        <v>1</v>
      </c>
      <c r="J43" s="112" t="s">
        <v>1</v>
      </c>
    </row>
    <row r="44" spans="1:10" ht="18" x14ac:dyDescent="0.25">
      <c r="A44" s="101" t="s">
        <v>19</v>
      </c>
      <c r="B44" s="101"/>
      <c r="C44" s="101"/>
      <c r="D44" s="127">
        <f>J42</f>
        <v>2.657</v>
      </c>
      <c r="E44" s="101" t="s">
        <v>26</v>
      </c>
      <c r="F44" s="128"/>
      <c r="G44" s="101"/>
      <c r="H44" s="101"/>
      <c r="I44" s="101"/>
      <c r="J44" s="101"/>
    </row>
    <row r="45" spans="1:10" ht="18" x14ac:dyDescent="0.25">
      <c r="A45" s="101" t="s">
        <v>20</v>
      </c>
      <c r="B45" s="129">
        <f>I46+30</f>
        <v>44911</v>
      </c>
      <c r="C45" s="101"/>
      <c r="D45" s="101" t="s">
        <v>26</v>
      </c>
      <c r="E45" s="101"/>
      <c r="F45" s="101"/>
      <c r="G45" s="101"/>
      <c r="H45" s="101"/>
      <c r="I45" s="101"/>
      <c r="J45" s="101"/>
    </row>
    <row r="46" spans="1:10" ht="18" x14ac:dyDescent="0.25">
      <c r="A46" s="101"/>
      <c r="B46" s="101"/>
      <c r="C46" s="101"/>
      <c r="D46" s="101"/>
      <c r="E46" s="119"/>
      <c r="F46" s="101"/>
      <c r="G46" s="101"/>
      <c r="H46" s="130" t="s">
        <v>50</v>
      </c>
      <c r="I46" s="129">
        <v>44881</v>
      </c>
      <c r="J46" s="131"/>
    </row>
    <row r="47" spans="1:10" ht="18" x14ac:dyDescent="0.25">
      <c r="A47" s="101" t="s">
        <v>100</v>
      </c>
      <c r="B47" s="101" t="s">
        <v>105</v>
      </c>
      <c r="C47" s="101"/>
      <c r="D47" s="101"/>
      <c r="E47" s="101"/>
      <c r="F47" s="101"/>
      <c r="G47" s="101"/>
      <c r="H47" s="101" t="s">
        <v>106</v>
      </c>
      <c r="I47" s="101"/>
      <c r="J47" s="101"/>
    </row>
    <row r="48" spans="1:10" ht="18" x14ac:dyDescent="0.25">
      <c r="A48" s="101" t="s">
        <v>21</v>
      </c>
      <c r="B48" s="101"/>
      <c r="C48" s="101"/>
      <c r="D48" s="101"/>
      <c r="E48" s="101"/>
      <c r="F48" s="101"/>
      <c r="G48" s="101"/>
      <c r="H48" s="101" t="s">
        <v>103</v>
      </c>
      <c r="I48" s="101"/>
      <c r="J48" s="101"/>
    </row>
    <row r="49" spans="1:10" ht="15.75" x14ac:dyDescent="0.25">
      <c r="A49" s="132" t="s">
        <v>22</v>
      </c>
      <c r="B49" s="98"/>
      <c r="C49" s="98"/>
      <c r="D49" s="98"/>
      <c r="E49" s="98"/>
      <c r="F49" s="133"/>
      <c r="G49" s="98"/>
      <c r="H49" s="133"/>
      <c r="I49" s="98" t="s">
        <v>26</v>
      </c>
      <c r="J49" s="134"/>
    </row>
    <row r="50" spans="1:10" ht="15.75" x14ac:dyDescent="0.25">
      <c r="A50" s="98"/>
      <c r="B50" s="98"/>
      <c r="C50" s="98"/>
      <c r="D50" s="98"/>
      <c r="E50" s="98"/>
      <c r="F50" s="98"/>
      <c r="G50" s="98"/>
      <c r="H50" s="133"/>
      <c r="I50" s="133"/>
      <c r="J50" s="98"/>
    </row>
    <row r="51" spans="1:10" x14ac:dyDescent="0.2">
      <c r="A51" s="98"/>
      <c r="B51" s="98"/>
      <c r="C51" s="98"/>
      <c r="D51" s="98"/>
      <c r="E51" s="98"/>
      <c r="F51" s="98"/>
      <c r="G51" s="98"/>
      <c r="H51" s="98"/>
      <c r="I51" s="135"/>
      <c r="J51" s="98"/>
    </row>
    <row r="52" spans="1:10" x14ac:dyDescent="0.2">
      <c r="A52" s="98"/>
      <c r="B52" s="98"/>
      <c r="C52" s="98"/>
      <c r="D52" s="98"/>
      <c r="E52" s="98"/>
      <c r="F52" s="98"/>
      <c r="G52" s="98"/>
      <c r="H52" s="98"/>
      <c r="I52" s="98"/>
      <c r="J52" s="98"/>
    </row>
    <row r="53" spans="1:10" x14ac:dyDescent="0.2">
      <c r="A53" s="98"/>
      <c r="B53" s="98"/>
      <c r="C53" s="98"/>
      <c r="D53" s="98"/>
      <c r="E53" s="98"/>
      <c r="F53" s="98"/>
      <c r="G53" s="98"/>
      <c r="H53" s="98"/>
      <c r="I53" s="98"/>
      <c r="J53" s="98"/>
    </row>
    <row r="54" spans="1:10" x14ac:dyDescent="0.2">
      <c r="A54" s="98"/>
      <c r="C54" s="98"/>
      <c r="D54" s="98"/>
      <c r="E54" s="98"/>
      <c r="F54" s="98"/>
      <c r="G54" s="98"/>
      <c r="H54" s="98"/>
      <c r="I54" s="98"/>
      <c r="J54" s="98"/>
    </row>
    <row r="55" spans="1:10" x14ac:dyDescent="0.2">
      <c r="A55" s="98"/>
      <c r="B55" s="98"/>
      <c r="C55" s="98"/>
      <c r="D55" s="98"/>
      <c r="E55" s="98"/>
      <c r="F55" s="98"/>
      <c r="G55" s="98"/>
      <c r="H55" s="98"/>
      <c r="I55" s="98"/>
      <c r="J55" s="98"/>
    </row>
    <row r="56" spans="1:10" x14ac:dyDescent="0.2">
      <c r="A56" s="98"/>
      <c r="B56" s="98"/>
      <c r="C56" s="98"/>
      <c r="D56" s="98"/>
      <c r="E56" s="98"/>
      <c r="F56" s="98"/>
      <c r="G56" s="98"/>
      <c r="H56" s="98"/>
      <c r="I56" s="98"/>
      <c r="J56" s="98"/>
    </row>
    <row r="57" spans="1:10" x14ac:dyDescent="0.2">
      <c r="A57" s="98"/>
      <c r="B57" s="98"/>
      <c r="C57" s="98"/>
      <c r="D57" s="98"/>
      <c r="E57" s="98"/>
      <c r="F57" s="98"/>
      <c r="G57" s="98"/>
      <c r="H57" s="98"/>
      <c r="I57" s="98"/>
      <c r="J57" s="98"/>
    </row>
    <row r="58" spans="1:10" x14ac:dyDescent="0.2">
      <c r="A58" s="98"/>
      <c r="B58" s="98"/>
      <c r="C58" s="98"/>
      <c r="D58" s="98"/>
      <c r="E58" s="98"/>
      <c r="F58" s="98"/>
      <c r="G58" s="98"/>
      <c r="H58" s="98"/>
      <c r="I58" s="98"/>
      <c r="J58" s="98"/>
    </row>
    <row r="59" spans="1:10" x14ac:dyDescent="0.2">
      <c r="A59" s="98"/>
      <c r="B59" s="98"/>
      <c r="C59" s="98"/>
      <c r="D59" s="98"/>
      <c r="E59" s="98"/>
      <c r="F59" s="98"/>
      <c r="G59" s="98"/>
      <c r="H59" s="98"/>
      <c r="I59" s="98"/>
      <c r="J59" s="98"/>
    </row>
    <row r="60" spans="1:10" x14ac:dyDescent="0.2">
      <c r="A60" s="98"/>
      <c r="B60" s="98"/>
      <c r="C60" s="98"/>
      <c r="D60" s="98"/>
      <c r="E60" s="98"/>
      <c r="F60" s="98"/>
      <c r="G60" s="98"/>
      <c r="H60" s="98"/>
      <c r="I60" s="98"/>
      <c r="J60" s="98"/>
    </row>
    <row r="61" spans="1:10" x14ac:dyDescent="0.2">
      <c r="A61" s="98"/>
      <c r="B61" s="98"/>
      <c r="C61" s="98"/>
      <c r="D61" s="98"/>
      <c r="E61" s="98"/>
      <c r="F61" s="98"/>
      <c r="G61" s="98"/>
      <c r="H61" s="98"/>
      <c r="I61" s="98"/>
      <c r="J61" s="98"/>
    </row>
    <row r="62" spans="1:10" x14ac:dyDescent="0.2">
      <c r="A62" s="98"/>
      <c r="B62" s="98"/>
      <c r="C62" s="98"/>
      <c r="D62" s="98"/>
      <c r="E62" s="98"/>
      <c r="F62" s="98"/>
      <c r="G62" s="98"/>
      <c r="H62" s="98"/>
      <c r="I62" s="98"/>
      <c r="J62" s="98"/>
    </row>
    <row r="63" spans="1:10" x14ac:dyDescent="0.2">
      <c r="A63" s="98"/>
      <c r="B63" s="98"/>
      <c r="C63" s="98"/>
      <c r="D63" s="98"/>
      <c r="E63" s="98"/>
      <c r="F63" s="98"/>
      <c r="G63" s="98"/>
      <c r="H63" s="98"/>
      <c r="I63" s="98"/>
      <c r="J63" s="98"/>
    </row>
    <row r="64" spans="1:10" x14ac:dyDescent="0.2">
      <c r="A64" s="98"/>
      <c r="B64" s="98"/>
      <c r="C64" s="98"/>
      <c r="D64" s="98"/>
      <c r="E64" s="98"/>
      <c r="F64" s="98"/>
      <c r="G64" s="98"/>
      <c r="H64" s="98"/>
      <c r="I64" s="98"/>
      <c r="J64" s="98"/>
    </row>
    <row r="65" spans="1:10" x14ac:dyDescent="0.2">
      <c r="A65" s="98"/>
      <c r="B65" s="98"/>
      <c r="C65" s="98"/>
      <c r="D65" s="98"/>
      <c r="E65" s="98"/>
      <c r="F65" s="98"/>
      <c r="G65" s="98"/>
      <c r="H65" s="98"/>
      <c r="I65" s="98"/>
      <c r="J65" s="98"/>
    </row>
    <row r="66" spans="1:10" x14ac:dyDescent="0.2">
      <c r="A66" s="98"/>
      <c r="B66" s="98"/>
      <c r="C66" s="98"/>
      <c r="D66" s="98"/>
      <c r="E66" s="98"/>
      <c r="F66" s="98"/>
      <c r="G66" s="98"/>
      <c r="H66" s="98"/>
      <c r="I66" s="98"/>
      <c r="J66" s="98"/>
    </row>
    <row r="67" spans="1:10" x14ac:dyDescent="0.2">
      <c r="A67" s="98"/>
      <c r="B67" s="98"/>
      <c r="C67" s="98"/>
      <c r="D67" s="98"/>
      <c r="E67" s="98"/>
      <c r="F67" s="98"/>
      <c r="G67" s="98"/>
      <c r="H67" s="98"/>
      <c r="I67" s="98"/>
      <c r="J67" s="98"/>
    </row>
    <row r="68" spans="1:10" x14ac:dyDescent="0.2">
      <c r="A68" s="98"/>
      <c r="B68" s="98"/>
      <c r="C68" s="98"/>
      <c r="D68" s="98"/>
      <c r="E68" s="98"/>
      <c r="F68" s="98"/>
      <c r="G68" s="98"/>
      <c r="H68" s="98"/>
      <c r="I68" s="98"/>
      <c r="J68" s="98"/>
    </row>
    <row r="69" spans="1:10" x14ac:dyDescent="0.2">
      <c r="A69" s="98"/>
      <c r="B69" s="98"/>
      <c r="C69" s="98"/>
      <c r="D69" s="98"/>
      <c r="E69" s="98"/>
      <c r="F69" s="98"/>
      <c r="G69" s="98"/>
      <c r="H69" s="98"/>
      <c r="I69" s="98"/>
      <c r="J69" s="98"/>
    </row>
    <row r="70" spans="1:10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</row>
    <row r="71" spans="1:10" x14ac:dyDescent="0.2">
      <c r="A71" s="98"/>
      <c r="B71" s="98"/>
      <c r="C71" s="98"/>
      <c r="D71" s="98"/>
      <c r="E71" s="98"/>
      <c r="F71" s="98"/>
      <c r="G71" s="98"/>
      <c r="H71" s="98"/>
      <c r="I71" s="98"/>
      <c r="J71" s="98"/>
    </row>
    <row r="72" spans="1:10" x14ac:dyDescent="0.2">
      <c r="A72" s="98"/>
      <c r="B72" s="98"/>
      <c r="C72" s="98"/>
      <c r="D72" s="98"/>
      <c r="E72" s="98"/>
      <c r="F72" s="98"/>
      <c r="G72" s="98"/>
      <c r="H72" s="98"/>
      <c r="I72" s="98"/>
      <c r="J72" s="98"/>
    </row>
    <row r="73" spans="1:10" x14ac:dyDescent="0.2">
      <c r="A73" s="98"/>
      <c r="B73" s="98"/>
      <c r="C73" s="98"/>
      <c r="D73" s="98"/>
      <c r="E73" s="98"/>
      <c r="F73" s="98"/>
      <c r="G73" s="98"/>
      <c r="H73" s="98"/>
      <c r="I73" s="98"/>
      <c r="J73" s="98"/>
    </row>
    <row r="74" spans="1:10" x14ac:dyDescent="0.2">
      <c r="A74" s="98"/>
      <c r="B74" s="98"/>
      <c r="C74" s="98"/>
      <c r="D74" s="98"/>
      <c r="E74" s="98"/>
      <c r="F74" s="98"/>
      <c r="G74" s="98"/>
      <c r="H74" s="98"/>
      <c r="I74" s="98"/>
      <c r="J74" s="98"/>
    </row>
    <row r="75" spans="1:10" x14ac:dyDescent="0.2">
      <c r="A75" s="98"/>
      <c r="B75" s="98"/>
      <c r="C75" s="98"/>
      <c r="D75" s="98"/>
      <c r="E75" s="98"/>
      <c r="F75" s="98"/>
      <c r="G75" s="98"/>
      <c r="H75" s="98"/>
      <c r="I75" s="98"/>
      <c r="J75" s="98"/>
    </row>
    <row r="76" spans="1:10" x14ac:dyDescent="0.2">
      <c r="A76" s="98"/>
      <c r="B76" s="98"/>
      <c r="C76" s="98"/>
      <c r="D76" s="98"/>
      <c r="E76" s="98"/>
      <c r="F76" s="98"/>
      <c r="G76" s="98"/>
      <c r="H76" s="98"/>
      <c r="I76" s="98"/>
      <c r="J76" s="98"/>
    </row>
    <row r="77" spans="1:10" x14ac:dyDescent="0.2">
      <c r="A77" s="98"/>
      <c r="B77" s="98"/>
      <c r="C77" s="98"/>
      <c r="D77" s="98"/>
      <c r="E77" s="98"/>
      <c r="F77" s="98"/>
      <c r="G77" s="98"/>
      <c r="H77" s="98"/>
      <c r="I77" s="98"/>
      <c r="J77" s="136"/>
    </row>
    <row r="78" spans="1:10" x14ac:dyDescent="0.2">
      <c r="A78" s="98"/>
      <c r="B78" s="98"/>
      <c r="C78" s="98"/>
      <c r="D78" s="98"/>
      <c r="E78" s="98"/>
      <c r="F78" s="98"/>
      <c r="G78" s="98"/>
      <c r="H78" s="98"/>
      <c r="I78" s="98"/>
      <c r="J78" s="136"/>
    </row>
    <row r="79" spans="1:10" x14ac:dyDescent="0.2">
      <c r="A79" s="98"/>
      <c r="B79" s="98"/>
      <c r="C79" s="98"/>
      <c r="D79" s="98"/>
      <c r="E79" s="98"/>
      <c r="F79" s="98"/>
      <c r="G79" s="98"/>
      <c r="H79" s="98"/>
      <c r="I79" s="98"/>
      <c r="J79" s="136"/>
    </row>
    <row r="80" spans="1:10" x14ac:dyDescent="0.2">
      <c r="A80" s="98"/>
      <c r="B80" s="98"/>
      <c r="C80" s="98"/>
      <c r="D80" s="98"/>
      <c r="E80" s="98"/>
      <c r="F80" s="98"/>
      <c r="G80" s="98"/>
      <c r="H80" s="98"/>
      <c r="I80" s="98"/>
      <c r="J80" s="136"/>
    </row>
    <row r="81" spans="1:10" x14ac:dyDescent="0.2">
      <c r="A81" s="98"/>
      <c r="B81" s="98"/>
      <c r="C81" s="98"/>
      <c r="D81" s="98"/>
      <c r="E81" s="98"/>
      <c r="F81" s="98"/>
      <c r="G81" s="98"/>
      <c r="H81" s="98"/>
      <c r="I81" s="98"/>
      <c r="J81" s="136"/>
    </row>
    <row r="82" spans="1:10" x14ac:dyDescent="0.2">
      <c r="A82" s="98"/>
      <c r="B82" s="98"/>
      <c r="C82" s="98"/>
      <c r="D82" s="98"/>
      <c r="E82" s="98"/>
      <c r="F82" s="98"/>
      <c r="G82" s="98"/>
      <c r="H82" s="98"/>
      <c r="I82" s="98"/>
      <c r="J82" s="136"/>
    </row>
    <row r="83" spans="1:10" x14ac:dyDescent="0.2">
      <c r="A83" s="98"/>
      <c r="B83" s="98"/>
      <c r="C83" s="98"/>
      <c r="D83" s="98"/>
      <c r="E83" s="98"/>
      <c r="F83" s="98"/>
      <c r="G83" s="98"/>
      <c r="H83" s="98"/>
      <c r="I83" s="98"/>
      <c r="J83" s="136"/>
    </row>
    <row r="84" spans="1:10" x14ac:dyDescent="0.2">
      <c r="A84" s="98"/>
      <c r="B84" s="98"/>
      <c r="C84" s="98"/>
      <c r="D84" s="98"/>
      <c r="E84" s="98"/>
      <c r="F84" s="98"/>
      <c r="G84" s="98"/>
      <c r="H84" s="98"/>
      <c r="I84" s="98"/>
      <c r="J84" s="136"/>
    </row>
    <row r="85" spans="1:10" x14ac:dyDescent="0.2">
      <c r="A85" s="98"/>
      <c r="B85" s="98"/>
      <c r="C85" s="98"/>
      <c r="D85" s="98"/>
      <c r="E85" s="98"/>
      <c r="F85" s="98"/>
      <c r="G85" s="98"/>
      <c r="H85" s="98"/>
      <c r="I85" s="98"/>
      <c r="J85" s="136"/>
    </row>
    <row r="86" spans="1:10" x14ac:dyDescent="0.2">
      <c r="A86" s="98"/>
      <c r="B86" s="98"/>
      <c r="C86" s="98"/>
      <c r="D86" s="98"/>
      <c r="E86" s="98"/>
      <c r="F86" s="98"/>
      <c r="G86" s="98"/>
      <c r="H86" s="98"/>
      <c r="I86" s="98"/>
      <c r="J86" s="136"/>
    </row>
    <row r="87" spans="1:10" x14ac:dyDescent="0.2">
      <c r="A87" s="98"/>
      <c r="B87" s="98"/>
      <c r="C87" s="98"/>
      <c r="D87" s="98"/>
      <c r="E87" s="98"/>
      <c r="F87" s="98"/>
      <c r="G87" s="98"/>
      <c r="H87" s="98"/>
      <c r="I87" s="98"/>
      <c r="J87" s="136"/>
    </row>
    <row r="88" spans="1:10" x14ac:dyDescent="0.2">
      <c r="A88" s="98"/>
      <c r="B88" s="98"/>
      <c r="C88" s="98"/>
      <c r="D88" s="98"/>
      <c r="E88" s="98"/>
      <c r="F88" s="98"/>
      <c r="G88" s="98"/>
      <c r="H88" s="98"/>
      <c r="I88" s="98"/>
      <c r="J88" s="136"/>
    </row>
    <row r="89" spans="1:10" x14ac:dyDescent="0.2">
      <c r="A89" s="98"/>
      <c r="B89" s="98"/>
      <c r="C89" s="98"/>
      <c r="D89" s="98"/>
      <c r="E89" s="98"/>
      <c r="F89" s="98"/>
      <c r="G89" s="98"/>
      <c r="H89" s="98"/>
      <c r="I89" s="98"/>
      <c r="J89" s="136"/>
    </row>
    <row r="90" spans="1:10" x14ac:dyDescent="0.2">
      <c r="A90" s="98"/>
      <c r="B90" s="98"/>
      <c r="C90" s="98"/>
      <c r="D90" s="98"/>
      <c r="E90" s="98"/>
      <c r="F90" s="98"/>
      <c r="G90" s="98"/>
      <c r="H90" s="98"/>
      <c r="I90" s="98"/>
      <c r="J90" s="136"/>
    </row>
    <row r="91" spans="1:10" x14ac:dyDescent="0.2">
      <c r="A91" s="98"/>
      <c r="B91" s="98"/>
      <c r="C91" s="98"/>
      <c r="D91" s="98"/>
      <c r="E91" s="98"/>
      <c r="F91" s="98"/>
      <c r="G91" s="98"/>
      <c r="H91" s="98"/>
      <c r="I91" s="98"/>
      <c r="J91" s="136"/>
    </row>
    <row r="92" spans="1:10" x14ac:dyDescent="0.2">
      <c r="A92" s="98"/>
      <c r="B92" s="98"/>
      <c r="C92" s="98"/>
      <c r="D92" s="98"/>
      <c r="E92" s="98"/>
      <c r="F92" s="98"/>
      <c r="G92" s="98"/>
      <c r="H92" s="98"/>
      <c r="I92" s="98"/>
      <c r="J92" s="136"/>
    </row>
    <row r="93" spans="1:10" x14ac:dyDescent="0.2">
      <c r="A93" s="98"/>
      <c r="B93" s="98"/>
      <c r="C93" s="98"/>
      <c r="D93" s="98"/>
      <c r="E93" s="98"/>
      <c r="F93" s="98"/>
      <c r="G93" s="98"/>
      <c r="H93" s="98"/>
      <c r="I93" s="98"/>
      <c r="J93" s="136"/>
    </row>
    <row r="94" spans="1:10" x14ac:dyDescent="0.2">
      <c r="A94" s="98"/>
      <c r="B94" s="98"/>
      <c r="C94" s="98"/>
      <c r="D94" s="98"/>
      <c r="E94" s="98"/>
      <c r="F94" s="98"/>
      <c r="G94" s="98"/>
      <c r="H94" s="98"/>
      <c r="I94" s="98"/>
      <c r="J94" s="136"/>
    </row>
    <row r="95" spans="1:10" x14ac:dyDescent="0.2">
      <c r="A95" s="98"/>
      <c r="B95" s="98"/>
      <c r="C95" s="98"/>
      <c r="D95" s="98"/>
      <c r="E95" s="98"/>
      <c r="F95" s="98"/>
      <c r="G95" s="98"/>
      <c r="H95" s="98"/>
      <c r="I95" s="98"/>
      <c r="J95" s="136"/>
    </row>
    <row r="96" spans="1:10" x14ac:dyDescent="0.2">
      <c r="A96" s="98"/>
      <c r="B96" s="98"/>
      <c r="C96" s="98"/>
      <c r="D96" s="98"/>
      <c r="E96" s="98"/>
      <c r="F96" s="98"/>
      <c r="G96" s="98"/>
      <c r="H96" s="98"/>
      <c r="I96" s="98"/>
      <c r="J96" s="136"/>
    </row>
    <row r="97" spans="1:10" x14ac:dyDescent="0.2">
      <c r="A97" s="98"/>
      <c r="B97" s="98"/>
      <c r="C97" s="98"/>
      <c r="D97" s="98"/>
      <c r="E97" s="98"/>
      <c r="F97" s="98"/>
      <c r="G97" s="98"/>
      <c r="H97" s="98"/>
      <c r="I97" s="98"/>
      <c r="J97" s="136"/>
    </row>
    <row r="98" spans="1:10" x14ac:dyDescent="0.2">
      <c r="A98" s="98"/>
      <c r="B98" s="98"/>
      <c r="C98" s="98"/>
      <c r="D98" s="98"/>
      <c r="E98" s="98"/>
      <c r="F98" s="98"/>
      <c r="G98" s="98"/>
      <c r="H98" s="98"/>
      <c r="I98" s="98"/>
      <c r="J98" s="136"/>
    </row>
    <row r="99" spans="1:10" x14ac:dyDescent="0.2">
      <c r="A99" s="98"/>
      <c r="B99" s="98"/>
      <c r="C99" s="98"/>
      <c r="D99" s="98"/>
      <c r="E99" s="98"/>
      <c r="F99" s="98"/>
      <c r="G99" s="98"/>
      <c r="H99" s="98"/>
      <c r="I99" s="98"/>
      <c r="J99" s="136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100D0-2633-4A8B-A332-9F88502A5AFB}">
  <dimension ref="A1:G40"/>
  <sheetViews>
    <sheetView workbookViewId="0">
      <selection activeCell="J31" sqref="J31"/>
    </sheetView>
  </sheetViews>
  <sheetFormatPr defaultRowHeight="15" x14ac:dyDescent="0.2"/>
  <cols>
    <col min="1" max="1" width="21" style="138" customWidth="1"/>
    <col min="2" max="2" width="8.88671875" style="138"/>
    <col min="3" max="3" width="11.5546875" style="138" customWidth="1"/>
    <col min="4" max="4" width="3.6640625" style="138" customWidth="1"/>
    <col min="5" max="5" width="11.88671875" style="138" bestFit="1" customWidth="1"/>
    <col min="6" max="6" width="3.77734375" style="138" customWidth="1"/>
    <col min="7" max="7" width="12" style="138" customWidth="1"/>
    <col min="8" max="16384" width="8.88671875" style="138"/>
  </cols>
  <sheetData>
    <row r="1" spans="1:7" ht="15.75" x14ac:dyDescent="0.25">
      <c r="A1" s="137" t="s">
        <v>23</v>
      </c>
      <c r="B1" s="137"/>
      <c r="C1" s="137"/>
      <c r="D1" s="137"/>
      <c r="E1" s="137"/>
      <c r="F1" s="137"/>
      <c r="G1" s="137"/>
    </row>
    <row r="2" spans="1:7" ht="15.75" x14ac:dyDescent="0.25">
      <c r="A2" s="137" t="s">
        <v>59</v>
      </c>
      <c r="B2" s="137"/>
      <c r="C2" s="137"/>
      <c r="D2" s="137"/>
      <c r="E2" s="137"/>
      <c r="F2" s="137"/>
      <c r="G2" s="137"/>
    </row>
    <row r="3" spans="1:7" ht="15.75" x14ac:dyDescent="0.25">
      <c r="A3" s="139"/>
      <c r="B3" s="139"/>
      <c r="C3" s="139"/>
      <c r="D3" s="139"/>
      <c r="E3" s="139"/>
      <c r="F3" s="139"/>
      <c r="G3" s="139"/>
    </row>
    <row r="4" spans="1:7" ht="15.75" x14ac:dyDescent="0.25">
      <c r="A4" s="139"/>
      <c r="B4" s="139"/>
      <c r="C4" s="139"/>
      <c r="D4" s="139"/>
      <c r="E4" s="139"/>
      <c r="F4" s="139"/>
      <c r="G4" s="139"/>
    </row>
    <row r="5" spans="1:7" ht="15.75" x14ac:dyDescent="0.25">
      <c r="A5" s="139" t="s">
        <v>60</v>
      </c>
      <c r="B5" s="139"/>
      <c r="C5" s="139"/>
      <c r="D5" s="139"/>
      <c r="E5" s="139"/>
      <c r="F5" s="139"/>
      <c r="G5" s="139"/>
    </row>
    <row r="6" spans="1:7" ht="15.75" x14ac:dyDescent="0.25">
      <c r="A6" s="139" t="s">
        <v>61</v>
      </c>
      <c r="B6" s="139"/>
      <c r="C6" s="139"/>
      <c r="D6" s="139"/>
      <c r="E6" s="139"/>
      <c r="F6" s="139"/>
      <c r="G6" s="139"/>
    </row>
    <row r="7" spans="1:7" ht="15.75" x14ac:dyDescent="0.25">
      <c r="A7" s="139" t="s">
        <v>62</v>
      </c>
      <c r="B7" s="139"/>
      <c r="C7" s="139"/>
      <c r="D7" s="139"/>
      <c r="E7" s="139"/>
      <c r="F7" s="139"/>
      <c r="G7" s="139"/>
    </row>
    <row r="8" spans="1:7" ht="15.75" x14ac:dyDescent="0.25">
      <c r="A8" s="140"/>
      <c r="B8" s="140"/>
      <c r="C8" s="140"/>
      <c r="D8" s="140"/>
      <c r="E8" s="140"/>
      <c r="F8" s="140"/>
      <c r="G8" s="140"/>
    </row>
    <row r="9" spans="1:7" ht="15.75" x14ac:dyDescent="0.25">
      <c r="A9" s="141">
        <v>44865</v>
      </c>
      <c r="B9" s="139"/>
      <c r="C9" s="139"/>
      <c r="D9" s="139"/>
      <c r="E9" s="139"/>
      <c r="F9" s="139"/>
      <c r="G9" s="139"/>
    </row>
    <row r="10" spans="1:7" ht="15.75" x14ac:dyDescent="0.25">
      <c r="A10" s="139"/>
      <c r="B10" s="139"/>
      <c r="C10" s="139"/>
      <c r="D10" s="139"/>
      <c r="E10" s="139"/>
      <c r="F10" s="139"/>
      <c r="G10" s="139"/>
    </row>
    <row r="11" spans="1:7" ht="15.75" x14ac:dyDescent="0.25">
      <c r="A11" s="137"/>
      <c r="B11" s="137"/>
      <c r="C11" s="137"/>
      <c r="D11" s="137"/>
      <c r="E11" s="137"/>
      <c r="F11" s="137"/>
      <c r="G11" s="137"/>
    </row>
    <row r="12" spans="1:7" ht="15.75" x14ac:dyDescent="0.25">
      <c r="A12" s="142"/>
      <c r="B12" s="142"/>
      <c r="C12" s="142"/>
      <c r="D12" s="142"/>
      <c r="E12" s="142"/>
      <c r="F12" s="142"/>
      <c r="G12" s="142"/>
    </row>
    <row r="13" spans="1:7" ht="15.75" x14ac:dyDescent="0.25">
      <c r="A13" s="142"/>
      <c r="B13" s="142"/>
      <c r="C13" s="143" t="s">
        <v>63</v>
      </c>
      <c r="D13" s="142"/>
      <c r="E13" s="143" t="s">
        <v>66</v>
      </c>
      <c r="F13" s="143"/>
      <c r="G13" s="143" t="s">
        <v>69</v>
      </c>
    </row>
    <row r="14" spans="1:7" ht="15.75" x14ac:dyDescent="0.25">
      <c r="A14" s="142"/>
      <c r="B14" s="142"/>
      <c r="C14" s="143" t="s">
        <v>64</v>
      </c>
      <c r="D14" s="142"/>
      <c r="E14" s="143" t="s">
        <v>64</v>
      </c>
      <c r="F14" s="143"/>
      <c r="G14" s="143" t="s">
        <v>64</v>
      </c>
    </row>
    <row r="15" spans="1:7" ht="15.75" x14ac:dyDescent="0.25">
      <c r="A15" s="142"/>
      <c r="B15" s="142"/>
      <c r="C15" s="143" t="s">
        <v>65</v>
      </c>
      <c r="D15" s="142"/>
      <c r="E15" s="143" t="s">
        <v>67</v>
      </c>
      <c r="F15" s="143"/>
      <c r="G15" s="143" t="s">
        <v>68</v>
      </c>
    </row>
    <row r="16" spans="1:7" ht="15.75" x14ac:dyDescent="0.25">
      <c r="A16" s="142"/>
      <c r="B16" s="142"/>
      <c r="C16" s="143"/>
      <c r="D16" s="142"/>
      <c r="E16" s="143" t="s">
        <v>70</v>
      </c>
      <c r="F16" s="143"/>
      <c r="G16" s="143"/>
    </row>
    <row r="17" spans="1:7" ht="15.75" x14ac:dyDescent="0.25">
      <c r="A17" s="140"/>
      <c r="B17" s="140"/>
      <c r="C17" s="140"/>
      <c r="D17" s="140"/>
      <c r="E17" s="140"/>
      <c r="F17" s="140"/>
      <c r="G17" s="140"/>
    </row>
    <row r="18" spans="1:7" ht="15.75" x14ac:dyDescent="0.25">
      <c r="A18" s="140" t="s">
        <v>52</v>
      </c>
      <c r="B18" s="140"/>
      <c r="C18" s="140"/>
      <c r="D18" s="140"/>
      <c r="E18" s="140"/>
      <c r="F18" s="140"/>
      <c r="G18" s="140"/>
    </row>
    <row r="19" spans="1:7" ht="15.75" x14ac:dyDescent="0.25">
      <c r="A19" s="140" t="s">
        <v>53</v>
      </c>
      <c r="B19" s="140"/>
      <c r="C19" s="144">
        <v>491855760</v>
      </c>
      <c r="D19" s="145"/>
      <c r="E19" s="144">
        <v>477608215</v>
      </c>
      <c r="F19" s="145"/>
      <c r="G19" s="144">
        <f>C19-E19</f>
        <v>14247545</v>
      </c>
    </row>
    <row r="20" spans="1:7" ht="15.75" x14ac:dyDescent="0.25">
      <c r="A20" s="140"/>
      <c r="B20" s="140"/>
      <c r="C20" s="144"/>
      <c r="D20" s="145"/>
      <c r="E20" s="144"/>
      <c r="F20" s="145"/>
      <c r="G20" s="144"/>
    </row>
    <row r="21" spans="1:7" ht="15.75" x14ac:dyDescent="0.25">
      <c r="A21" s="140" t="s">
        <v>54</v>
      </c>
      <c r="B21" s="140"/>
      <c r="C21" s="144"/>
      <c r="D21" s="145"/>
      <c r="E21" s="144"/>
      <c r="F21" s="145"/>
      <c r="G21" s="144"/>
    </row>
    <row r="22" spans="1:7" ht="15.75" x14ac:dyDescent="0.25">
      <c r="A22" s="140" t="s">
        <v>55</v>
      </c>
      <c r="B22" s="140"/>
      <c r="C22" s="144">
        <v>34815803</v>
      </c>
      <c r="D22" s="145"/>
      <c r="E22" s="144">
        <v>34503128</v>
      </c>
      <c r="F22" s="145"/>
      <c r="G22" s="144">
        <f>C22-E22</f>
        <v>312675</v>
      </c>
    </row>
    <row r="23" spans="1:7" ht="15.75" x14ac:dyDescent="0.25">
      <c r="A23" s="140"/>
      <c r="B23" s="140"/>
      <c r="C23" s="144"/>
      <c r="D23" s="145"/>
      <c r="E23" s="144"/>
      <c r="F23" s="145"/>
      <c r="G23" s="144"/>
    </row>
    <row r="24" spans="1:7" ht="15.75" x14ac:dyDescent="0.25">
      <c r="A24" s="140" t="s">
        <v>56</v>
      </c>
      <c r="B24" s="140"/>
      <c r="C24" s="144"/>
      <c r="D24" s="145"/>
      <c r="E24" s="144"/>
      <c r="F24" s="145"/>
      <c r="G24" s="144"/>
    </row>
    <row r="25" spans="1:7" ht="15.75" x14ac:dyDescent="0.25">
      <c r="A25" s="140" t="s">
        <v>55</v>
      </c>
      <c r="B25" s="140"/>
      <c r="C25" s="144">
        <v>33695407</v>
      </c>
      <c r="D25" s="145"/>
      <c r="E25" s="144">
        <v>32685428</v>
      </c>
      <c r="F25" s="145"/>
      <c r="G25" s="144">
        <f>C25-E25</f>
        <v>1009979</v>
      </c>
    </row>
    <row r="26" spans="1:7" ht="15.75" x14ac:dyDescent="0.25">
      <c r="A26" s="140"/>
      <c r="B26" s="140"/>
      <c r="C26" s="146"/>
      <c r="D26" s="140"/>
      <c r="E26" s="146"/>
      <c r="F26" s="140"/>
      <c r="G26" s="146"/>
    </row>
    <row r="27" spans="1:7" ht="15.75" x14ac:dyDescent="0.25">
      <c r="A27" s="140" t="s">
        <v>57</v>
      </c>
      <c r="B27" s="140"/>
      <c r="C27" s="146"/>
      <c r="D27" s="140"/>
      <c r="E27" s="146"/>
      <c r="F27" s="140"/>
      <c r="G27" s="146"/>
    </row>
    <row r="28" spans="1:7" ht="15.75" x14ac:dyDescent="0.25">
      <c r="A28" s="140" t="s">
        <v>53</v>
      </c>
      <c r="B28" s="140"/>
      <c r="C28" s="146">
        <f>C19-C22+C25</f>
        <v>490735364</v>
      </c>
      <c r="D28" s="140"/>
      <c r="E28" s="146">
        <f>E19-E22+E25</f>
        <v>475790515</v>
      </c>
      <c r="F28" s="140"/>
      <c r="G28" s="146">
        <f>C28-E28</f>
        <v>14944849</v>
      </c>
    </row>
    <row r="29" spans="1:7" ht="15.75" x14ac:dyDescent="0.25">
      <c r="A29" s="140"/>
      <c r="B29" s="140"/>
      <c r="C29" s="146"/>
      <c r="D29" s="140"/>
      <c r="E29" s="146"/>
      <c r="F29" s="140"/>
      <c r="G29" s="146"/>
    </row>
    <row r="30" spans="1:7" ht="15.75" x14ac:dyDescent="0.25">
      <c r="A30" s="140"/>
      <c r="B30" s="140"/>
      <c r="C30" s="140"/>
      <c r="D30" s="140"/>
      <c r="E30" s="140"/>
      <c r="F30" s="140"/>
      <c r="G30" s="140"/>
    </row>
    <row r="31" spans="1:7" ht="15.75" x14ac:dyDescent="0.25">
      <c r="A31" s="140" t="s">
        <v>58</v>
      </c>
      <c r="B31" s="140"/>
      <c r="C31" s="140"/>
      <c r="D31" s="140"/>
      <c r="E31" s="147">
        <f>G28/C28</f>
        <v>3.045398823142487E-2</v>
      </c>
      <c r="F31" s="140"/>
      <c r="G31" s="140"/>
    </row>
    <row r="32" spans="1:7" ht="15.75" x14ac:dyDescent="0.25">
      <c r="A32" s="140"/>
      <c r="B32" s="140"/>
      <c r="C32" s="140"/>
      <c r="D32" s="140"/>
      <c r="E32" s="140"/>
      <c r="F32" s="140"/>
      <c r="G32" s="140"/>
    </row>
    <row r="33" spans="1:7" ht="15.75" x14ac:dyDescent="0.25">
      <c r="A33" s="140"/>
      <c r="B33" s="140"/>
      <c r="C33" s="140"/>
      <c r="D33" s="140"/>
      <c r="E33" s="140"/>
      <c r="F33" s="140"/>
      <c r="G33" s="140"/>
    </row>
    <row r="34" spans="1:7" ht="15.75" x14ac:dyDescent="0.25">
      <c r="A34" s="140"/>
      <c r="B34" s="140"/>
      <c r="C34" s="140"/>
      <c r="D34" s="140"/>
      <c r="E34" s="140"/>
      <c r="F34" s="140"/>
      <c r="G34" s="140"/>
    </row>
    <row r="35" spans="1:7" ht="15.75" x14ac:dyDescent="0.25">
      <c r="A35" s="140"/>
      <c r="B35" s="140"/>
      <c r="C35" s="140"/>
      <c r="D35" s="140"/>
      <c r="E35" s="140"/>
      <c r="F35" s="140"/>
      <c r="G35" s="140"/>
    </row>
    <row r="36" spans="1:7" ht="15.75" x14ac:dyDescent="0.25">
      <c r="A36" s="140"/>
      <c r="B36" s="140"/>
      <c r="C36" s="140"/>
      <c r="D36" s="140"/>
      <c r="E36" s="140"/>
      <c r="F36" s="140"/>
      <c r="G36" s="140"/>
    </row>
    <row r="37" spans="1:7" ht="15.75" x14ac:dyDescent="0.25">
      <c r="A37" s="140"/>
      <c r="B37" s="140"/>
      <c r="C37" s="140"/>
      <c r="D37" s="140"/>
      <c r="E37" s="147"/>
      <c r="F37" s="140"/>
      <c r="G37" s="140"/>
    </row>
    <row r="38" spans="1:7" ht="15.75" x14ac:dyDescent="0.25">
      <c r="A38" s="140"/>
      <c r="B38" s="140"/>
      <c r="C38" s="140"/>
      <c r="D38" s="140"/>
      <c r="E38" s="140"/>
      <c r="F38" s="140"/>
      <c r="G38" s="140"/>
    </row>
    <row r="39" spans="1:7" ht="15.75" x14ac:dyDescent="0.25">
      <c r="A39" s="140"/>
      <c r="B39" s="140"/>
      <c r="C39" s="140"/>
      <c r="D39" s="140"/>
      <c r="E39" s="140"/>
      <c r="F39" s="140"/>
      <c r="G39" s="140"/>
    </row>
    <row r="40" spans="1:7" ht="15.75" x14ac:dyDescent="0.25">
      <c r="A40" s="140"/>
      <c r="B40" s="140"/>
      <c r="C40" s="140"/>
      <c r="D40" s="140"/>
      <c r="E40" s="140"/>
      <c r="F40" s="140"/>
      <c r="G40" s="140"/>
    </row>
  </sheetData>
  <pageMargins left="0.75" right="0.75" top="1.2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EC7E-E1EF-4144-A4D5-B87B059189BE}">
  <dimension ref="A1:G40"/>
  <sheetViews>
    <sheetView workbookViewId="0">
      <selection activeCell="H28" sqref="H28"/>
    </sheetView>
  </sheetViews>
  <sheetFormatPr defaultRowHeight="15" x14ac:dyDescent="0.2"/>
  <cols>
    <col min="1" max="1" width="21" customWidth="1"/>
    <col min="3" max="3" width="11.5546875" customWidth="1"/>
    <col min="4" max="4" width="6.77734375" customWidth="1"/>
    <col min="5" max="5" width="9.6640625" bestFit="1" customWidth="1"/>
    <col min="6" max="6" width="3.77734375" customWidth="1"/>
    <col min="7" max="7" width="12" customWidth="1"/>
  </cols>
  <sheetData>
    <row r="1" spans="1:7" ht="15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59</v>
      </c>
      <c r="B2" s="15"/>
      <c r="C2" s="15"/>
      <c r="D2" s="15"/>
      <c r="E2" s="15"/>
      <c r="F2" s="15"/>
      <c r="G2" s="15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 t="s">
        <v>60</v>
      </c>
      <c r="B5" s="11"/>
      <c r="C5" s="11"/>
      <c r="D5" s="11"/>
      <c r="E5" s="11"/>
      <c r="F5" s="11"/>
      <c r="G5" s="11"/>
    </row>
    <row r="6" spans="1:7" ht="15.75" x14ac:dyDescent="0.25">
      <c r="A6" s="11" t="s">
        <v>61</v>
      </c>
      <c r="B6" s="11"/>
      <c r="C6" s="11"/>
      <c r="D6" s="11"/>
      <c r="E6" s="11"/>
      <c r="F6" s="11"/>
      <c r="G6" s="11"/>
    </row>
    <row r="7" spans="1:7" ht="15.75" x14ac:dyDescent="0.25">
      <c r="A7" s="11" t="s">
        <v>62</v>
      </c>
      <c r="B7" s="11"/>
      <c r="C7" s="11"/>
      <c r="D7" s="11"/>
      <c r="E7" s="11"/>
      <c r="F7" s="11"/>
      <c r="G7" s="11"/>
    </row>
    <row r="8" spans="1:7" ht="15.75" x14ac:dyDescent="0.25">
      <c r="A8" s="9"/>
      <c r="B8" s="9"/>
      <c r="C8" s="9"/>
      <c r="D8" s="9"/>
      <c r="E8" s="9"/>
      <c r="F8" s="9"/>
      <c r="G8" s="9"/>
    </row>
    <row r="9" spans="1:7" ht="15.75" x14ac:dyDescent="0.25">
      <c r="A9" s="19">
        <v>44166</v>
      </c>
      <c r="B9" s="11"/>
      <c r="C9" s="11"/>
      <c r="D9" s="11"/>
      <c r="E9" s="11"/>
      <c r="F9" s="11"/>
      <c r="G9" s="11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15"/>
      <c r="B11" s="15"/>
      <c r="C11" s="15"/>
      <c r="D11" s="15"/>
      <c r="E11" s="15"/>
      <c r="F11" s="15"/>
      <c r="G11" s="15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2"/>
      <c r="B13" s="12"/>
      <c r="C13" s="16" t="s">
        <v>63</v>
      </c>
      <c r="D13" s="12"/>
      <c r="E13" s="16" t="s">
        <v>66</v>
      </c>
      <c r="F13" s="16"/>
      <c r="G13" s="16" t="s">
        <v>69</v>
      </c>
    </row>
    <row r="14" spans="1:7" ht="15.75" x14ac:dyDescent="0.25">
      <c r="A14" s="12"/>
      <c r="B14" s="12"/>
      <c r="C14" s="16" t="s">
        <v>64</v>
      </c>
      <c r="D14" s="12"/>
      <c r="E14" s="16" t="s">
        <v>64</v>
      </c>
      <c r="F14" s="16"/>
      <c r="G14" s="16" t="s">
        <v>64</v>
      </c>
    </row>
    <row r="15" spans="1:7" ht="15.75" x14ac:dyDescent="0.25">
      <c r="A15" s="12"/>
      <c r="B15" s="12"/>
      <c r="C15" s="16" t="s">
        <v>65</v>
      </c>
      <c r="D15" s="12"/>
      <c r="E15" s="16" t="s">
        <v>67</v>
      </c>
      <c r="F15" s="16"/>
      <c r="G15" s="16" t="s">
        <v>68</v>
      </c>
    </row>
    <row r="16" spans="1:7" ht="15.75" x14ac:dyDescent="0.25">
      <c r="A16" s="12"/>
      <c r="B16" s="12"/>
      <c r="C16" s="16"/>
      <c r="D16" s="12"/>
      <c r="E16" s="16" t="s">
        <v>70</v>
      </c>
      <c r="F16" s="16"/>
      <c r="G16" s="16"/>
    </row>
    <row r="17" spans="1:7" ht="15.75" x14ac:dyDescent="0.25">
      <c r="A17" s="9"/>
      <c r="B17" s="9"/>
      <c r="C17" s="9"/>
      <c r="D17" s="9"/>
      <c r="E17" s="9"/>
      <c r="F17" s="9"/>
      <c r="G17" s="9"/>
    </row>
    <row r="18" spans="1:7" ht="15.75" x14ac:dyDescent="0.25">
      <c r="A18" s="9" t="s">
        <v>52</v>
      </c>
      <c r="B18" s="9"/>
      <c r="C18" s="9"/>
      <c r="D18" s="9"/>
      <c r="E18" s="9"/>
      <c r="F18" s="9"/>
      <c r="G18" s="9"/>
    </row>
    <row r="19" spans="1:7" ht="15.75" x14ac:dyDescent="0.25">
      <c r="A19" s="9" t="s">
        <v>53</v>
      </c>
      <c r="B19" s="9"/>
      <c r="C19" s="17">
        <v>486429112</v>
      </c>
      <c r="D19" s="18"/>
      <c r="E19" s="17">
        <v>471790444</v>
      </c>
      <c r="F19" s="14"/>
      <c r="G19" s="13">
        <f>C19-E19</f>
        <v>14638668</v>
      </c>
    </row>
    <row r="20" spans="1:7" ht="15.75" x14ac:dyDescent="0.25">
      <c r="A20" s="9"/>
      <c r="B20" s="9"/>
      <c r="C20" s="17"/>
      <c r="D20" s="18"/>
      <c r="E20" s="17"/>
      <c r="F20" s="14"/>
      <c r="G20" s="13"/>
    </row>
    <row r="21" spans="1:7" ht="15.75" x14ac:dyDescent="0.25">
      <c r="A21" s="9" t="s">
        <v>54</v>
      </c>
      <c r="B21" s="9"/>
      <c r="C21" s="17"/>
      <c r="D21" s="18"/>
      <c r="E21" s="17"/>
      <c r="F21" s="14"/>
      <c r="G21" s="13"/>
    </row>
    <row r="22" spans="1:7" ht="15.75" x14ac:dyDescent="0.25">
      <c r="A22" s="9" t="s">
        <v>55</v>
      </c>
      <c r="B22" s="9"/>
      <c r="C22" s="13">
        <v>45946537</v>
      </c>
      <c r="D22" s="14"/>
      <c r="E22" s="13">
        <v>43708041</v>
      </c>
      <c r="F22" s="14"/>
      <c r="G22" s="13">
        <f>C22-E22</f>
        <v>2238496</v>
      </c>
    </row>
    <row r="23" spans="1:7" ht="15.75" x14ac:dyDescent="0.25">
      <c r="A23" s="9"/>
      <c r="B23" s="9"/>
      <c r="C23" s="13"/>
      <c r="D23" s="14"/>
      <c r="E23" s="13"/>
      <c r="F23" s="14"/>
      <c r="G23" s="13"/>
    </row>
    <row r="24" spans="1:7" ht="15.75" x14ac:dyDescent="0.25">
      <c r="A24" s="9" t="s">
        <v>56</v>
      </c>
      <c r="B24" s="9"/>
      <c r="C24" s="13"/>
      <c r="D24" s="14"/>
      <c r="E24" s="13"/>
      <c r="F24" s="14"/>
      <c r="G24" s="13"/>
    </row>
    <row r="25" spans="1:7" ht="15.75" x14ac:dyDescent="0.25">
      <c r="A25" s="9" t="s">
        <v>55</v>
      </c>
      <c r="B25" s="9"/>
      <c r="C25" s="13">
        <v>48221650</v>
      </c>
      <c r="D25" s="14"/>
      <c r="E25" s="13">
        <v>44648252</v>
      </c>
      <c r="F25" s="14"/>
      <c r="G25" s="13">
        <f>C25-E25</f>
        <v>3573398</v>
      </c>
    </row>
    <row r="26" spans="1:7" ht="15.75" x14ac:dyDescent="0.25">
      <c r="A26" s="9"/>
      <c r="B26" s="9"/>
      <c r="C26" s="10"/>
      <c r="D26" s="9"/>
      <c r="E26" s="10"/>
      <c r="F26" s="9"/>
      <c r="G26" s="10"/>
    </row>
    <row r="27" spans="1:7" ht="15.75" x14ac:dyDescent="0.25">
      <c r="A27" s="9" t="s">
        <v>57</v>
      </c>
      <c r="B27" s="9"/>
      <c r="C27" s="10"/>
      <c r="D27" s="9"/>
      <c r="E27" s="10"/>
      <c r="F27" s="9"/>
      <c r="G27" s="10"/>
    </row>
    <row r="28" spans="1:7" ht="15.75" x14ac:dyDescent="0.25">
      <c r="A28" s="9" t="s">
        <v>53</v>
      </c>
      <c r="B28" s="9"/>
      <c r="C28" s="10">
        <f>C19-C22+C25</f>
        <v>488704225</v>
      </c>
      <c r="D28" s="9"/>
      <c r="E28" s="10">
        <f>E19-E22+E25</f>
        <v>472730655</v>
      </c>
      <c r="F28" s="9"/>
      <c r="G28" s="10">
        <f>C28-E28</f>
        <v>15973570</v>
      </c>
    </row>
    <row r="29" spans="1:7" ht="15.75" x14ac:dyDescent="0.25">
      <c r="A29" s="9"/>
      <c r="B29" s="9"/>
      <c r="C29" s="10"/>
      <c r="D29" s="9"/>
      <c r="E29" s="10"/>
      <c r="F29" s="9"/>
      <c r="G29" s="10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 t="s">
        <v>58</v>
      </c>
      <c r="B31" s="9"/>
      <c r="C31" s="9"/>
      <c r="D31" s="9"/>
      <c r="E31" s="56">
        <f>G28/C28</f>
        <v>3.2685557404378895E-2</v>
      </c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9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</sheetData>
  <pageMargins left="0.75" right="0.75" top="1.2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555CF-1D17-474B-99F8-C0D1C90D7589}">
  <sheetPr>
    <pageSetUpPr fitToPage="1"/>
  </sheetPr>
  <dimension ref="A1:K99"/>
  <sheetViews>
    <sheetView zoomScale="60" zoomScaleNormal="60" workbookViewId="0">
      <selection activeCell="J25" sqref="J25"/>
    </sheetView>
  </sheetViews>
  <sheetFormatPr defaultColWidth="9.6640625" defaultRowHeight="15" x14ac:dyDescent="0.2"/>
  <cols>
    <col min="1" max="1" width="11.33203125" style="1" customWidth="1"/>
    <col min="2" max="2" width="19.5546875" style="1" customWidth="1"/>
    <col min="3" max="3" width="19.33203125" style="1" customWidth="1"/>
    <col min="4" max="4" width="10" style="1" customWidth="1"/>
    <col min="5" max="5" width="17.6640625" style="1" customWidth="1"/>
    <col min="6" max="6" width="9.6640625" style="1" customWidth="1"/>
    <col min="7" max="7" width="8.5546875" style="1" customWidth="1"/>
    <col min="8" max="8" width="13.77734375" style="1" customWidth="1"/>
    <col min="9" max="9" width="19.88671875" style="1" customWidth="1"/>
    <col min="10" max="10" width="20.6640625" style="1" customWidth="1"/>
    <col min="11" max="16384" width="9.6640625" style="1"/>
  </cols>
  <sheetData>
    <row r="1" spans="1:11" x14ac:dyDescent="0.2">
      <c r="A1" s="2" t="s">
        <v>0</v>
      </c>
      <c r="B1" s="2" t="s">
        <v>23</v>
      </c>
      <c r="C1" s="2"/>
      <c r="D1" s="2"/>
      <c r="E1" s="2"/>
      <c r="F1" s="2"/>
      <c r="G1" s="2" t="s">
        <v>27</v>
      </c>
      <c r="H1" s="2"/>
      <c r="I1" s="2"/>
      <c r="J1" s="2"/>
    </row>
    <row r="2" spans="1:11" x14ac:dyDescent="0.2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</row>
    <row r="3" spans="1:11" x14ac:dyDescent="0.2">
      <c r="A3" s="3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</row>
    <row r="4" spans="1:11" ht="18" x14ac:dyDescent="0.25">
      <c r="A4" s="52" t="s">
        <v>2</v>
      </c>
      <c r="B4" s="52"/>
      <c r="C4" s="52"/>
      <c r="D4" s="52"/>
      <c r="E4" s="24" t="s">
        <v>84</v>
      </c>
      <c r="F4" s="52"/>
      <c r="G4" s="52" t="s">
        <v>28</v>
      </c>
      <c r="H4" s="52"/>
      <c r="I4" s="52" t="s">
        <v>51</v>
      </c>
      <c r="J4" s="25" t="str">
        <f>E4</f>
        <v>January</v>
      </c>
    </row>
    <row r="5" spans="1:11" ht="1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1" ht="18" x14ac:dyDescent="0.25">
      <c r="A6" s="52" t="s">
        <v>71</v>
      </c>
      <c r="B6" s="52"/>
      <c r="C6" s="52"/>
      <c r="D6" s="52"/>
      <c r="E6" s="26">
        <v>49525058</v>
      </c>
      <c r="F6" s="52"/>
      <c r="G6" s="52" t="s">
        <v>29</v>
      </c>
      <c r="H6" s="52"/>
      <c r="I6" s="52"/>
      <c r="J6" s="59"/>
      <c r="K6" s="55"/>
    </row>
    <row r="7" spans="1:11" ht="18" x14ac:dyDescent="0.25">
      <c r="A7" s="52"/>
      <c r="B7" s="52"/>
      <c r="C7" s="52"/>
      <c r="D7" s="52"/>
      <c r="E7" s="60"/>
      <c r="F7" s="52"/>
      <c r="G7" s="52"/>
      <c r="H7" s="52"/>
      <c r="I7" s="52"/>
      <c r="J7" s="52"/>
    </row>
    <row r="8" spans="1:11" ht="18" x14ac:dyDescent="0.25">
      <c r="A8" s="52" t="s">
        <v>72</v>
      </c>
      <c r="B8" s="52"/>
      <c r="C8" s="52"/>
      <c r="D8" s="52"/>
      <c r="E8" s="26">
        <v>46914900</v>
      </c>
      <c r="F8" s="52"/>
      <c r="G8" s="52" t="s">
        <v>30</v>
      </c>
      <c r="H8" s="52"/>
      <c r="I8" s="52"/>
      <c r="J8" s="54">
        <v>-196617</v>
      </c>
    </row>
    <row r="9" spans="1:11" ht="18" x14ac:dyDescent="0.25">
      <c r="A9" s="52"/>
      <c r="B9" s="52"/>
      <c r="C9" s="52"/>
      <c r="D9" s="52"/>
      <c r="E9" s="60"/>
      <c r="F9" s="52"/>
      <c r="G9" s="52"/>
      <c r="H9" s="52" t="s">
        <v>26</v>
      </c>
      <c r="I9" s="52"/>
      <c r="J9" s="29" t="s">
        <v>26</v>
      </c>
    </row>
    <row r="10" spans="1:11" ht="18" x14ac:dyDescent="0.25">
      <c r="A10" s="52"/>
      <c r="B10" s="52"/>
      <c r="C10" s="52"/>
      <c r="D10" s="52"/>
      <c r="E10" s="60"/>
      <c r="F10" s="52"/>
      <c r="G10" s="52"/>
      <c r="H10" s="52" t="s">
        <v>26</v>
      </c>
      <c r="I10" s="52"/>
      <c r="J10" s="29" t="s">
        <v>26</v>
      </c>
    </row>
    <row r="11" spans="1:11" ht="18" x14ac:dyDescent="0.25">
      <c r="A11" s="52" t="s">
        <v>3</v>
      </c>
      <c r="B11" s="52"/>
      <c r="C11" s="52"/>
      <c r="D11" s="52"/>
      <c r="E11" s="60">
        <v>0</v>
      </c>
      <c r="F11" s="52"/>
      <c r="G11" s="52" t="s">
        <v>31</v>
      </c>
      <c r="H11" s="52"/>
      <c r="I11" s="52"/>
      <c r="J11" s="61">
        <f>E37</f>
        <v>51679.912019999989</v>
      </c>
    </row>
    <row r="12" spans="1:11" ht="18" x14ac:dyDescent="0.25">
      <c r="A12" s="52"/>
      <c r="B12" s="52"/>
      <c r="C12" s="52"/>
      <c r="D12" s="52"/>
      <c r="E12" s="60"/>
      <c r="F12" s="52"/>
      <c r="G12" s="52"/>
      <c r="H12" s="52"/>
      <c r="I12" s="52"/>
      <c r="J12" s="59"/>
    </row>
    <row r="13" spans="1:11" ht="18" x14ac:dyDescent="0.25">
      <c r="A13" s="52" t="s">
        <v>4</v>
      </c>
      <c r="B13" s="52"/>
      <c r="C13" s="52"/>
      <c r="D13" s="52"/>
      <c r="E13" s="60">
        <f>SUM(E8:E11)</f>
        <v>46914900</v>
      </c>
      <c r="F13" s="52"/>
      <c r="G13" s="52" t="s">
        <v>32</v>
      </c>
      <c r="H13" s="52"/>
      <c r="I13" s="52"/>
      <c r="J13" s="59">
        <v>0</v>
      </c>
    </row>
    <row r="14" spans="1:11" ht="18" x14ac:dyDescent="0.25">
      <c r="A14" s="52"/>
      <c r="B14" s="52"/>
      <c r="C14" s="52"/>
      <c r="D14" s="52"/>
      <c r="E14" s="60"/>
      <c r="F14" s="52"/>
      <c r="G14" s="52"/>
      <c r="H14" s="52"/>
      <c r="I14" s="52"/>
      <c r="J14" s="59"/>
    </row>
    <row r="15" spans="1:11" ht="18" x14ac:dyDescent="0.25">
      <c r="A15" s="52" t="s">
        <v>5</v>
      </c>
      <c r="B15" s="52"/>
      <c r="C15" s="52"/>
      <c r="D15" s="52"/>
      <c r="E15" s="62">
        <f>E6-E13</f>
        <v>2610158</v>
      </c>
      <c r="F15" s="52"/>
      <c r="G15" s="52" t="s">
        <v>33</v>
      </c>
      <c r="H15" s="52"/>
      <c r="I15" s="52"/>
      <c r="J15" s="61">
        <f>ROUND((+J8+J11),4)</f>
        <v>-144937.08799999999</v>
      </c>
    </row>
    <row r="16" spans="1:11" ht="18" x14ac:dyDescent="0.25">
      <c r="A16" s="52" t="s">
        <v>6</v>
      </c>
      <c r="B16" s="52"/>
      <c r="C16" s="52"/>
      <c r="D16" s="52"/>
      <c r="E16" s="60"/>
      <c r="F16" s="52"/>
      <c r="G16" s="52" t="s">
        <v>34</v>
      </c>
      <c r="H16" s="52"/>
      <c r="I16" s="52"/>
      <c r="J16" s="59"/>
    </row>
    <row r="17" spans="1:10" ht="18" x14ac:dyDescent="0.25">
      <c r="A17" s="52"/>
      <c r="B17" s="52"/>
      <c r="C17" s="52"/>
      <c r="D17" s="52"/>
      <c r="E17" s="60"/>
      <c r="F17" s="52"/>
      <c r="G17" s="52"/>
      <c r="H17" s="52"/>
      <c r="I17" s="52"/>
      <c r="J17" s="52"/>
    </row>
    <row r="18" spans="1:10" ht="18" x14ac:dyDescent="0.25">
      <c r="A18" s="63" t="s">
        <v>1</v>
      </c>
      <c r="B18" s="63" t="s">
        <v>1</v>
      </c>
      <c r="C18" s="63" t="s">
        <v>1</v>
      </c>
      <c r="D18" s="63" t="s">
        <v>1</v>
      </c>
      <c r="E18" s="64" t="s">
        <v>1</v>
      </c>
      <c r="F18" s="52"/>
      <c r="G18" s="52" t="s">
        <v>35</v>
      </c>
      <c r="H18" s="52"/>
      <c r="I18" s="52"/>
      <c r="J18" s="60">
        <f>E6</f>
        <v>49525058</v>
      </c>
    </row>
    <row r="19" spans="1:10" ht="18" x14ac:dyDescent="0.25">
      <c r="A19" s="63" t="s">
        <v>1</v>
      </c>
      <c r="B19" s="63" t="s">
        <v>1</v>
      </c>
      <c r="C19" s="63" t="s">
        <v>1</v>
      </c>
      <c r="D19" s="63" t="s">
        <v>1</v>
      </c>
      <c r="E19" s="64"/>
      <c r="F19" s="52"/>
      <c r="G19" s="52"/>
      <c r="H19" s="52"/>
      <c r="I19" s="52"/>
      <c r="J19" s="52"/>
    </row>
    <row r="20" spans="1:10" ht="18" x14ac:dyDescent="0.25">
      <c r="A20" s="52" t="s">
        <v>7</v>
      </c>
      <c r="B20" s="52"/>
      <c r="C20" s="52"/>
      <c r="D20" s="52" t="s">
        <v>25</v>
      </c>
      <c r="E20" s="24" t="s">
        <v>76</v>
      </c>
      <c r="F20" s="52"/>
      <c r="G20" s="52" t="s">
        <v>36</v>
      </c>
      <c r="H20" s="52"/>
      <c r="I20" s="52"/>
      <c r="J20" s="34">
        <f>ROUND((J8/J18),5)</f>
        <v>-3.9699999999999996E-3</v>
      </c>
    </row>
    <row r="21" spans="1:10" ht="18" x14ac:dyDescent="0.25">
      <c r="A21" s="52"/>
      <c r="B21" s="52"/>
      <c r="C21" s="52"/>
      <c r="D21" s="52"/>
      <c r="E21" s="60"/>
      <c r="F21" s="52"/>
      <c r="G21" s="52" t="s">
        <v>37</v>
      </c>
      <c r="H21" s="52"/>
      <c r="I21" s="52"/>
      <c r="J21" s="52"/>
    </row>
    <row r="22" spans="1:10" ht="18" x14ac:dyDescent="0.25">
      <c r="A22" s="52" t="s">
        <v>8</v>
      </c>
      <c r="B22" s="52"/>
      <c r="C22" s="52"/>
      <c r="D22" s="52"/>
      <c r="E22" s="53">
        <v>-4.9399999999999999E-3</v>
      </c>
      <c r="F22" s="52"/>
      <c r="G22" s="52"/>
      <c r="H22" s="52"/>
      <c r="I22" s="52"/>
      <c r="J22" s="52"/>
    </row>
    <row r="23" spans="1:10" ht="18" x14ac:dyDescent="0.25">
      <c r="A23" s="52"/>
      <c r="B23" s="52"/>
      <c r="C23" s="52"/>
      <c r="D23" s="52"/>
      <c r="E23" s="60"/>
      <c r="F23" s="52"/>
      <c r="G23" s="52" t="s">
        <v>38</v>
      </c>
      <c r="H23" s="52"/>
      <c r="I23" s="52"/>
      <c r="J23" s="52"/>
    </row>
    <row r="24" spans="1:10" ht="18" x14ac:dyDescent="0.25">
      <c r="A24" s="52" t="s">
        <v>9</v>
      </c>
      <c r="B24" s="52"/>
      <c r="C24" s="52"/>
      <c r="D24" s="52"/>
      <c r="E24" s="35">
        <v>46915017</v>
      </c>
      <c r="F24" s="52"/>
      <c r="G24" s="63" t="s">
        <v>1</v>
      </c>
      <c r="H24" s="52"/>
      <c r="I24" s="52"/>
      <c r="J24" s="52"/>
    </row>
    <row r="25" spans="1:10" ht="18" x14ac:dyDescent="0.25">
      <c r="A25" s="52"/>
      <c r="B25" s="52"/>
      <c r="C25" s="52"/>
      <c r="D25" s="52"/>
      <c r="E25" s="35"/>
      <c r="F25" s="52"/>
      <c r="G25" s="52" t="s">
        <v>39</v>
      </c>
      <c r="H25" s="52"/>
      <c r="I25" s="52"/>
      <c r="J25" s="58">
        <f>'12 Mth Avg-Jan 21'!E31</f>
        <v>3.2601465428567483E-2</v>
      </c>
    </row>
    <row r="26" spans="1:10" ht="18" x14ac:dyDescent="0.25">
      <c r="A26" s="52" t="s">
        <v>10</v>
      </c>
      <c r="B26" s="52"/>
      <c r="C26" s="52"/>
      <c r="D26" s="52"/>
      <c r="E26" s="35">
        <v>-117</v>
      </c>
      <c r="F26" s="52"/>
      <c r="G26" s="52"/>
      <c r="H26" s="52"/>
      <c r="I26" s="52"/>
      <c r="J26" s="52"/>
    </row>
    <row r="27" spans="1:10" ht="18" x14ac:dyDescent="0.25">
      <c r="A27" s="52"/>
      <c r="B27" s="52"/>
      <c r="C27" s="52"/>
      <c r="D27" s="52"/>
      <c r="E27" s="62"/>
      <c r="F27" s="52"/>
      <c r="G27" s="52" t="s">
        <v>40</v>
      </c>
      <c r="H27" s="52"/>
      <c r="I27" s="52"/>
      <c r="J27" s="36" t="str">
        <f>E4</f>
        <v>January</v>
      </c>
    </row>
    <row r="28" spans="1:10" ht="18" x14ac:dyDescent="0.25">
      <c r="A28" s="52" t="s">
        <v>11</v>
      </c>
      <c r="B28" s="52"/>
      <c r="C28" s="52"/>
      <c r="D28" s="52"/>
      <c r="E28" s="62">
        <f>SUM(E24:E26)</f>
        <v>46914900</v>
      </c>
      <c r="F28" s="52"/>
      <c r="G28" s="52"/>
      <c r="H28" s="52"/>
      <c r="I28" s="52"/>
      <c r="J28" s="52"/>
    </row>
    <row r="29" spans="1:10" ht="18" x14ac:dyDescent="0.25">
      <c r="A29" s="52" t="s">
        <v>12</v>
      </c>
      <c r="B29" s="52"/>
      <c r="C29" s="52"/>
      <c r="D29" s="52"/>
      <c r="E29" s="60"/>
      <c r="F29" s="52"/>
      <c r="G29" s="52" t="s">
        <v>41</v>
      </c>
      <c r="H29" s="52"/>
      <c r="I29" s="52"/>
      <c r="J29" s="65">
        <f>ROUND((+E15/E6),6)</f>
        <v>5.2704000000000001E-2</v>
      </c>
    </row>
    <row r="30" spans="1:10" ht="18" x14ac:dyDescent="0.25">
      <c r="A30" s="52"/>
      <c r="B30" s="52" t="s">
        <v>26</v>
      </c>
      <c r="C30" s="52"/>
      <c r="D30" s="52"/>
      <c r="E30" s="60"/>
      <c r="F30" s="52"/>
      <c r="G30" s="52" t="s">
        <v>42</v>
      </c>
      <c r="H30" s="52"/>
      <c r="I30" s="52"/>
      <c r="J30" s="52"/>
    </row>
    <row r="31" spans="1:10" ht="18" x14ac:dyDescent="0.25">
      <c r="A31" s="52" t="s">
        <v>13</v>
      </c>
      <c r="B31" s="52"/>
      <c r="C31" s="52"/>
      <c r="D31" s="52"/>
      <c r="E31" s="54">
        <v>-179982.5</v>
      </c>
      <c r="F31" s="52"/>
      <c r="G31" s="52"/>
      <c r="H31" s="52"/>
      <c r="I31" s="52"/>
      <c r="J31" s="52"/>
    </row>
    <row r="32" spans="1:10" ht="18" x14ac:dyDescent="0.25">
      <c r="A32" s="52" t="s">
        <v>14</v>
      </c>
      <c r="B32" s="52"/>
      <c r="C32" s="52"/>
      <c r="D32" s="52"/>
      <c r="E32" s="61"/>
      <c r="F32" s="52"/>
      <c r="G32" s="52" t="s">
        <v>43</v>
      </c>
      <c r="H32" s="52"/>
      <c r="I32" s="52"/>
      <c r="J32" s="52"/>
    </row>
    <row r="33" spans="1:10" ht="18" x14ac:dyDescent="0.25">
      <c r="A33" s="52"/>
      <c r="B33" s="52"/>
      <c r="C33" s="52"/>
      <c r="D33" s="52"/>
      <c r="E33" s="61"/>
      <c r="F33" s="52"/>
      <c r="G33" s="63" t="s">
        <v>1</v>
      </c>
      <c r="H33" s="63" t="s">
        <v>1</v>
      </c>
      <c r="I33" s="63" t="s">
        <v>1</v>
      </c>
      <c r="J33" s="52"/>
    </row>
    <row r="34" spans="1:10" ht="18" x14ac:dyDescent="0.25">
      <c r="A34" s="52" t="s">
        <v>15</v>
      </c>
      <c r="B34" s="52"/>
      <c r="C34" s="52"/>
      <c r="D34" s="52"/>
      <c r="E34" s="61">
        <f>(+E26*E22)+B41</f>
        <v>-231662.41201999999</v>
      </c>
      <c r="F34" s="52"/>
      <c r="G34" s="52" t="s">
        <v>44</v>
      </c>
      <c r="H34" s="52"/>
      <c r="I34" s="52"/>
      <c r="J34" s="65">
        <f>ROUND((1-J25),7)</f>
        <v>0.96739850000000005</v>
      </c>
    </row>
    <row r="35" spans="1:10" ht="18" x14ac:dyDescent="0.25">
      <c r="A35" s="52" t="s">
        <v>16</v>
      </c>
      <c r="B35" s="52"/>
      <c r="C35" s="52"/>
      <c r="D35" s="52"/>
      <c r="E35" s="61"/>
      <c r="F35" s="52"/>
      <c r="G35" s="52" t="s">
        <v>45</v>
      </c>
      <c r="H35" s="52"/>
      <c r="I35" s="52"/>
      <c r="J35" s="52"/>
    </row>
    <row r="36" spans="1:10" ht="18" x14ac:dyDescent="0.25">
      <c r="A36" s="52"/>
      <c r="B36" s="52"/>
      <c r="C36" s="52"/>
      <c r="D36" s="52"/>
      <c r="E36" s="61"/>
      <c r="F36" s="52"/>
      <c r="G36" s="52"/>
      <c r="H36" s="52"/>
      <c r="I36" s="52"/>
      <c r="J36" s="52"/>
    </row>
    <row r="37" spans="1:10" ht="18" x14ac:dyDescent="0.25">
      <c r="A37" s="52" t="s">
        <v>17</v>
      </c>
      <c r="B37" s="52"/>
      <c r="C37" s="52"/>
      <c r="D37" s="52"/>
      <c r="E37" s="61">
        <f>(E31-E34)</f>
        <v>51679.912019999989</v>
      </c>
      <c r="F37" s="52"/>
      <c r="G37" s="52" t="s">
        <v>46</v>
      </c>
      <c r="H37" s="52"/>
      <c r="I37" s="52"/>
      <c r="J37" s="66">
        <f>ROUND((J15/J18),5)</f>
        <v>-2.9299999999999999E-3</v>
      </c>
    </row>
    <row r="38" spans="1:10" ht="18" x14ac:dyDescent="0.25">
      <c r="A38" s="52" t="s">
        <v>18</v>
      </c>
      <c r="B38" s="52"/>
      <c r="C38" s="52"/>
      <c r="D38" s="52"/>
      <c r="E38" s="61"/>
      <c r="F38" s="52"/>
      <c r="G38" s="52" t="s">
        <v>47</v>
      </c>
      <c r="H38" s="52"/>
      <c r="I38" s="52"/>
      <c r="J38" s="66"/>
    </row>
    <row r="39" spans="1:10" ht="18" x14ac:dyDescent="0.25">
      <c r="A39" s="52"/>
      <c r="B39" s="52"/>
      <c r="C39" s="52"/>
      <c r="D39" s="52"/>
      <c r="E39" s="59"/>
      <c r="F39" s="52"/>
      <c r="G39" s="52"/>
      <c r="H39" s="52"/>
      <c r="I39" s="52"/>
      <c r="J39" s="66"/>
    </row>
    <row r="40" spans="1:10" ht="18" x14ac:dyDescent="0.25">
      <c r="A40" s="52"/>
      <c r="B40" s="39" t="s">
        <v>24</v>
      </c>
      <c r="C40" s="39"/>
      <c r="D40" s="39"/>
      <c r="E40" s="59"/>
      <c r="F40" s="52"/>
      <c r="G40" s="52" t="s">
        <v>48</v>
      </c>
      <c r="H40" s="52"/>
      <c r="I40" s="52"/>
      <c r="J40" s="40">
        <f>ROUND((J37/J34),7)</f>
        <v>-3.0287000000000001E-3</v>
      </c>
    </row>
    <row r="41" spans="1:10" ht="18" x14ac:dyDescent="0.25">
      <c r="A41" s="52"/>
      <c r="B41" s="57">
        <v>-231662.99</v>
      </c>
      <c r="D41" s="41"/>
      <c r="E41" s="59"/>
      <c r="F41" s="52"/>
      <c r="G41" s="52"/>
      <c r="H41" s="52"/>
      <c r="I41" s="52"/>
      <c r="J41" s="52"/>
    </row>
    <row r="42" spans="1:10" ht="18" x14ac:dyDescent="0.25">
      <c r="A42" s="52"/>
      <c r="B42" s="52"/>
      <c r="C42" s="52"/>
      <c r="D42" s="52"/>
      <c r="E42" s="52"/>
      <c r="F42" s="52"/>
      <c r="G42" s="52" t="s">
        <v>49</v>
      </c>
      <c r="H42" s="52"/>
      <c r="I42" s="52"/>
      <c r="J42" s="67">
        <f>ROUND((+J40*100),3)</f>
        <v>-0.30299999999999999</v>
      </c>
    </row>
    <row r="43" spans="1:10" ht="18" x14ac:dyDescent="0.25">
      <c r="A43" s="63" t="s">
        <v>1</v>
      </c>
      <c r="B43" s="63" t="s">
        <v>1</v>
      </c>
      <c r="C43" s="63" t="s">
        <v>1</v>
      </c>
      <c r="D43" s="63" t="s">
        <v>1</v>
      </c>
      <c r="E43" s="63" t="s">
        <v>1</v>
      </c>
      <c r="F43" s="63" t="s">
        <v>1</v>
      </c>
      <c r="G43" s="63" t="s">
        <v>1</v>
      </c>
      <c r="H43" s="63" t="s">
        <v>1</v>
      </c>
      <c r="I43" s="63" t="s">
        <v>1</v>
      </c>
      <c r="J43" s="63" t="s">
        <v>1</v>
      </c>
    </row>
    <row r="44" spans="1:10" ht="18" x14ac:dyDescent="0.25">
      <c r="A44" s="52" t="s">
        <v>19</v>
      </c>
      <c r="B44" s="52"/>
      <c r="C44" s="52"/>
      <c r="D44" s="68">
        <f>J42</f>
        <v>-0.30299999999999999</v>
      </c>
      <c r="E44" s="52" t="s">
        <v>26</v>
      </c>
      <c r="F44" s="69"/>
      <c r="G44" s="52"/>
      <c r="H44" s="52"/>
      <c r="I44" s="52"/>
      <c r="J44" s="52"/>
    </row>
    <row r="45" spans="1:10" ht="18" x14ac:dyDescent="0.25">
      <c r="A45" s="52" t="s">
        <v>20</v>
      </c>
      <c r="B45" s="24" t="s">
        <v>85</v>
      </c>
      <c r="C45" s="52"/>
      <c r="D45" s="52" t="s">
        <v>26</v>
      </c>
      <c r="E45" s="52"/>
      <c r="F45" s="52"/>
      <c r="G45" s="52"/>
      <c r="H45" s="52"/>
      <c r="I45" s="52"/>
      <c r="J45" s="52"/>
    </row>
    <row r="46" spans="1:10" ht="18" x14ac:dyDescent="0.25">
      <c r="A46" s="52"/>
      <c r="B46" s="52"/>
      <c r="C46" s="52"/>
      <c r="D46" s="52"/>
      <c r="E46" s="36"/>
      <c r="F46" s="52"/>
      <c r="G46" s="52"/>
      <c r="H46" s="45" t="s">
        <v>50</v>
      </c>
      <c r="I46" s="24" t="s">
        <v>83</v>
      </c>
      <c r="J46" s="46"/>
    </row>
    <row r="47" spans="1:10" ht="18" x14ac:dyDescent="0.25">
      <c r="A47" s="52" t="s">
        <v>73</v>
      </c>
      <c r="B47" s="52"/>
      <c r="C47" s="52"/>
      <c r="D47" s="52"/>
      <c r="E47" s="52"/>
      <c r="F47" s="52"/>
      <c r="G47" s="52"/>
      <c r="H47" s="52" t="s">
        <v>74</v>
      </c>
      <c r="I47" s="52"/>
      <c r="J47" s="52"/>
    </row>
    <row r="48" spans="1:10" ht="18" x14ac:dyDescent="0.25">
      <c r="A48" s="52" t="s">
        <v>21</v>
      </c>
      <c r="B48" s="52"/>
      <c r="C48" s="52"/>
      <c r="D48" s="52"/>
      <c r="E48" s="52"/>
      <c r="F48" s="52"/>
      <c r="G48" s="52"/>
      <c r="H48" s="52" t="s">
        <v>75</v>
      </c>
      <c r="I48" s="52"/>
      <c r="J48" s="52"/>
    </row>
    <row r="49" spans="1:10" ht="15.75" x14ac:dyDescent="0.25">
      <c r="A49" s="6" t="s">
        <v>22</v>
      </c>
      <c r="B49" s="2"/>
      <c r="C49" s="2"/>
      <c r="D49" s="2"/>
      <c r="E49" s="2"/>
      <c r="F49" s="7"/>
      <c r="G49" s="2"/>
      <c r="H49" s="7"/>
      <c r="I49" s="2" t="s">
        <v>26</v>
      </c>
      <c r="J49" s="4"/>
    </row>
    <row r="50" spans="1:10" ht="15.75" x14ac:dyDescent="0.25">
      <c r="A50" s="2"/>
      <c r="B50" s="2"/>
      <c r="C50" s="2"/>
      <c r="D50" s="2"/>
      <c r="E50" s="2"/>
      <c r="F50" s="2"/>
      <c r="G50" s="2"/>
      <c r="H50" s="7"/>
      <c r="I50" s="7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8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5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5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5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5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5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5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5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5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5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5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5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5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5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5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5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5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5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5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5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5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5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5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5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B43ED-789F-40A3-97DE-53DDA963ADC9}">
  <dimension ref="A1:G40"/>
  <sheetViews>
    <sheetView workbookViewId="0">
      <selection activeCell="L19" sqref="L19"/>
    </sheetView>
  </sheetViews>
  <sheetFormatPr defaultRowHeight="15" x14ac:dyDescent="0.2"/>
  <cols>
    <col min="1" max="1" width="21" customWidth="1"/>
    <col min="3" max="3" width="11.5546875" customWidth="1"/>
    <col min="4" max="4" width="6.77734375" customWidth="1"/>
    <col min="5" max="5" width="9.6640625" bestFit="1" customWidth="1"/>
    <col min="6" max="6" width="3.77734375" customWidth="1"/>
    <col min="7" max="7" width="12" customWidth="1"/>
  </cols>
  <sheetData>
    <row r="1" spans="1:7" ht="15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59</v>
      </c>
      <c r="B2" s="15"/>
      <c r="C2" s="15"/>
      <c r="D2" s="15"/>
      <c r="E2" s="15"/>
      <c r="F2" s="15"/>
      <c r="G2" s="15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 t="s">
        <v>60</v>
      </c>
      <c r="B5" s="11"/>
      <c r="C5" s="11"/>
      <c r="D5" s="11"/>
      <c r="E5" s="11"/>
      <c r="F5" s="11"/>
      <c r="G5" s="11"/>
    </row>
    <row r="6" spans="1:7" ht="15.75" x14ac:dyDescent="0.25">
      <c r="A6" s="11" t="s">
        <v>61</v>
      </c>
      <c r="B6" s="11"/>
      <c r="C6" s="11"/>
      <c r="D6" s="11"/>
      <c r="E6" s="11"/>
      <c r="F6" s="11"/>
      <c r="G6" s="11"/>
    </row>
    <row r="7" spans="1:7" ht="15.75" x14ac:dyDescent="0.25">
      <c r="A7" s="11" t="s">
        <v>62</v>
      </c>
      <c r="B7" s="11"/>
      <c r="C7" s="11"/>
      <c r="D7" s="11"/>
      <c r="E7" s="11"/>
      <c r="F7" s="11"/>
      <c r="G7" s="11"/>
    </row>
    <row r="8" spans="1:7" ht="15.75" x14ac:dyDescent="0.25">
      <c r="A8" s="9"/>
      <c r="B8" s="9"/>
      <c r="C8" s="9"/>
      <c r="D8" s="9"/>
      <c r="E8" s="9"/>
      <c r="F8" s="9"/>
      <c r="G8" s="9"/>
    </row>
    <row r="9" spans="1:7" ht="15.75" x14ac:dyDescent="0.25">
      <c r="A9" s="19">
        <v>44197</v>
      </c>
      <c r="B9" s="11"/>
      <c r="C9" s="11"/>
      <c r="D9" s="11"/>
      <c r="E9" s="11"/>
      <c r="F9" s="11"/>
      <c r="G9" s="11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15"/>
      <c r="B11" s="15"/>
      <c r="C11" s="15"/>
      <c r="D11" s="15"/>
      <c r="E11" s="15"/>
      <c r="F11" s="15"/>
      <c r="G11" s="15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2"/>
      <c r="B13" s="12"/>
      <c r="C13" s="16" t="s">
        <v>63</v>
      </c>
      <c r="D13" s="12"/>
      <c r="E13" s="16" t="s">
        <v>66</v>
      </c>
      <c r="F13" s="16"/>
      <c r="G13" s="16" t="s">
        <v>69</v>
      </c>
    </row>
    <row r="14" spans="1:7" ht="15.75" x14ac:dyDescent="0.25">
      <c r="A14" s="12"/>
      <c r="B14" s="12"/>
      <c r="C14" s="16" t="s">
        <v>64</v>
      </c>
      <c r="D14" s="12"/>
      <c r="E14" s="16" t="s">
        <v>64</v>
      </c>
      <c r="F14" s="16"/>
      <c r="G14" s="16" t="s">
        <v>64</v>
      </c>
    </row>
    <row r="15" spans="1:7" ht="15.75" x14ac:dyDescent="0.25">
      <c r="A15" s="12"/>
      <c r="B15" s="12"/>
      <c r="C15" s="16" t="s">
        <v>65</v>
      </c>
      <c r="D15" s="12"/>
      <c r="E15" s="16" t="s">
        <v>67</v>
      </c>
      <c r="F15" s="16"/>
      <c r="G15" s="16" t="s">
        <v>68</v>
      </c>
    </row>
    <row r="16" spans="1:7" ht="15.75" x14ac:dyDescent="0.25">
      <c r="A16" s="12"/>
      <c r="B16" s="12"/>
      <c r="C16" s="16"/>
      <c r="D16" s="12"/>
      <c r="E16" s="16" t="s">
        <v>70</v>
      </c>
      <c r="F16" s="16"/>
      <c r="G16" s="16"/>
    </row>
    <row r="17" spans="1:7" ht="15.75" x14ac:dyDescent="0.25">
      <c r="A17" s="9"/>
      <c r="B17" s="9"/>
      <c r="C17" s="9"/>
      <c r="D17" s="9"/>
      <c r="E17" s="9"/>
      <c r="F17" s="9"/>
      <c r="G17" s="9"/>
    </row>
    <row r="18" spans="1:7" ht="15.75" x14ac:dyDescent="0.25">
      <c r="A18" s="9" t="s">
        <v>52</v>
      </c>
      <c r="B18" s="9"/>
      <c r="C18" s="9"/>
      <c r="D18" s="9"/>
      <c r="E18" s="9"/>
      <c r="F18" s="9"/>
      <c r="G18" s="9"/>
    </row>
    <row r="19" spans="1:7" ht="15.75" x14ac:dyDescent="0.25">
      <c r="A19" s="9" t="s">
        <v>53</v>
      </c>
      <c r="B19" s="9"/>
      <c r="C19" s="17">
        <v>488704225</v>
      </c>
      <c r="D19" s="18"/>
      <c r="E19" s="17">
        <v>472730655</v>
      </c>
      <c r="F19" s="14"/>
      <c r="G19" s="13">
        <f>C19-E19</f>
        <v>15973570</v>
      </c>
    </row>
    <row r="20" spans="1:7" ht="15.75" x14ac:dyDescent="0.25">
      <c r="A20" s="9"/>
      <c r="B20" s="9"/>
      <c r="C20" s="17"/>
      <c r="D20" s="18"/>
      <c r="E20" s="17"/>
      <c r="F20" s="14"/>
      <c r="G20" s="13"/>
    </row>
    <row r="21" spans="1:7" ht="15.75" x14ac:dyDescent="0.25">
      <c r="A21" s="9" t="s">
        <v>54</v>
      </c>
      <c r="B21" s="9"/>
      <c r="C21" s="17"/>
      <c r="D21" s="18"/>
      <c r="E21" s="17"/>
      <c r="F21" s="14"/>
      <c r="G21" s="13"/>
    </row>
    <row r="22" spans="1:7" ht="15.75" x14ac:dyDescent="0.25">
      <c r="A22" s="9" t="s">
        <v>55</v>
      </c>
      <c r="B22" s="9"/>
      <c r="C22" s="13">
        <v>47117525</v>
      </c>
      <c r="D22" s="14"/>
      <c r="E22" s="13">
        <v>44544760</v>
      </c>
      <c r="F22" s="14"/>
      <c r="G22" s="13">
        <f>C22-E22</f>
        <v>2572765</v>
      </c>
    </row>
    <row r="23" spans="1:7" ht="15.75" x14ac:dyDescent="0.25">
      <c r="A23" s="9"/>
      <c r="B23" s="9"/>
      <c r="C23" s="13"/>
      <c r="D23" s="14"/>
      <c r="E23" s="13"/>
      <c r="F23" s="14"/>
      <c r="G23" s="13"/>
    </row>
    <row r="24" spans="1:7" ht="15.75" x14ac:dyDescent="0.25">
      <c r="A24" s="9" t="s">
        <v>56</v>
      </c>
      <c r="B24" s="9"/>
      <c r="C24" s="13"/>
      <c r="D24" s="14"/>
      <c r="E24" s="13"/>
      <c r="F24" s="14"/>
      <c r="G24" s="13"/>
    </row>
    <row r="25" spans="1:7" ht="15.75" x14ac:dyDescent="0.25">
      <c r="A25" s="9" t="s">
        <v>55</v>
      </c>
      <c r="B25" s="9"/>
      <c r="C25" s="13">
        <v>49525058</v>
      </c>
      <c r="D25" s="14"/>
      <c r="E25" s="13">
        <v>46914900</v>
      </c>
      <c r="F25" s="14"/>
      <c r="G25" s="13">
        <f>C25-E25</f>
        <v>2610158</v>
      </c>
    </row>
    <row r="26" spans="1:7" ht="15.75" x14ac:dyDescent="0.25">
      <c r="A26" s="9"/>
      <c r="B26" s="9"/>
      <c r="C26" s="10"/>
      <c r="D26" s="9"/>
      <c r="E26" s="10"/>
      <c r="F26" s="9"/>
      <c r="G26" s="10"/>
    </row>
    <row r="27" spans="1:7" ht="15.75" x14ac:dyDescent="0.25">
      <c r="A27" s="9" t="s">
        <v>57</v>
      </c>
      <c r="B27" s="9"/>
      <c r="C27" s="10"/>
      <c r="D27" s="9"/>
      <c r="E27" s="10"/>
      <c r="F27" s="9"/>
      <c r="G27" s="10"/>
    </row>
    <row r="28" spans="1:7" ht="15.75" x14ac:dyDescent="0.25">
      <c r="A28" s="9" t="s">
        <v>53</v>
      </c>
      <c r="B28" s="9"/>
      <c r="C28" s="10">
        <f>C19-C22+C25</f>
        <v>491111758</v>
      </c>
      <c r="D28" s="9"/>
      <c r="E28" s="10">
        <f>E19-E22+E25</f>
        <v>475100795</v>
      </c>
      <c r="F28" s="9"/>
      <c r="G28" s="10">
        <f>C28-E28</f>
        <v>16010963</v>
      </c>
    </row>
    <row r="29" spans="1:7" ht="15.75" x14ac:dyDescent="0.25">
      <c r="A29" s="9"/>
      <c r="B29" s="9"/>
      <c r="C29" s="10"/>
      <c r="D29" s="9"/>
      <c r="E29" s="10"/>
      <c r="F29" s="9"/>
      <c r="G29" s="10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 t="s">
        <v>58</v>
      </c>
      <c r="B31" s="9"/>
      <c r="C31" s="9"/>
      <c r="D31" s="9"/>
      <c r="E31" s="56">
        <f>G28/C28</f>
        <v>3.2601465428567483E-2</v>
      </c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9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</sheetData>
  <pageMargins left="0.75" right="0.75" top="1.2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E27E7-905A-4E68-AD8A-4330C7560226}">
  <sheetPr>
    <pageSetUpPr fitToPage="1"/>
  </sheetPr>
  <dimension ref="A1:K99"/>
  <sheetViews>
    <sheetView zoomScale="60" zoomScaleNormal="60" workbookViewId="0">
      <selection activeCell="J42" sqref="J42"/>
    </sheetView>
  </sheetViews>
  <sheetFormatPr defaultColWidth="9.6640625" defaultRowHeight="15" x14ac:dyDescent="0.2"/>
  <cols>
    <col min="1" max="1" width="11.33203125" style="1" customWidth="1"/>
    <col min="2" max="2" width="19.5546875" style="1" customWidth="1"/>
    <col min="3" max="3" width="19.33203125" style="1" customWidth="1"/>
    <col min="4" max="4" width="10" style="1" customWidth="1"/>
    <col min="5" max="5" width="17.6640625" style="1" customWidth="1"/>
    <col min="6" max="6" width="9.6640625" style="1" customWidth="1"/>
    <col min="7" max="7" width="8.5546875" style="1" customWidth="1"/>
    <col min="8" max="8" width="13.77734375" style="1" customWidth="1"/>
    <col min="9" max="9" width="19.88671875" style="1" customWidth="1"/>
    <col min="10" max="10" width="20.6640625" style="1" customWidth="1"/>
    <col min="11" max="16384" width="9.6640625" style="1"/>
  </cols>
  <sheetData>
    <row r="1" spans="1:11" x14ac:dyDescent="0.2">
      <c r="A1" s="2" t="s">
        <v>0</v>
      </c>
      <c r="B1" s="2" t="s">
        <v>23</v>
      </c>
      <c r="C1" s="2"/>
      <c r="D1" s="2"/>
      <c r="E1" s="2"/>
      <c r="F1" s="2"/>
      <c r="G1" s="2" t="s">
        <v>27</v>
      </c>
      <c r="H1" s="2"/>
      <c r="I1" s="2"/>
      <c r="J1" s="2"/>
    </row>
    <row r="2" spans="1:11" x14ac:dyDescent="0.2">
      <c r="A2" s="3" t="s">
        <v>1</v>
      </c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</row>
    <row r="3" spans="1:11" x14ac:dyDescent="0.2">
      <c r="A3" s="3" t="s">
        <v>1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</row>
    <row r="4" spans="1:11" ht="18" x14ac:dyDescent="0.25">
      <c r="A4" s="52" t="s">
        <v>2</v>
      </c>
      <c r="B4" s="52"/>
      <c r="C4" s="52"/>
      <c r="D4" s="52"/>
      <c r="E4" s="24" t="s">
        <v>86</v>
      </c>
      <c r="F4" s="52"/>
      <c r="G4" s="52" t="s">
        <v>28</v>
      </c>
      <c r="H4" s="52"/>
      <c r="I4" s="52" t="s">
        <v>51</v>
      </c>
      <c r="J4" s="25" t="str">
        <f>E4</f>
        <v>February</v>
      </c>
    </row>
    <row r="5" spans="1:11" ht="1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1" ht="18" x14ac:dyDescent="0.25">
      <c r="A6" s="52" t="s">
        <v>71</v>
      </c>
      <c r="B6" s="52"/>
      <c r="C6" s="52"/>
      <c r="D6" s="52"/>
      <c r="E6" s="26">
        <v>47831414</v>
      </c>
      <c r="F6" s="52"/>
      <c r="G6" s="52" t="s">
        <v>29</v>
      </c>
      <c r="H6" s="52"/>
      <c r="I6" s="52"/>
      <c r="J6" s="59"/>
      <c r="K6" s="55"/>
    </row>
    <row r="7" spans="1:11" ht="18" x14ac:dyDescent="0.25">
      <c r="A7" s="52"/>
      <c r="B7" s="52"/>
      <c r="C7" s="52"/>
      <c r="D7" s="52"/>
      <c r="E7" s="60"/>
      <c r="F7" s="52"/>
      <c r="G7" s="52"/>
      <c r="H7" s="52"/>
      <c r="I7" s="52"/>
      <c r="J7" s="52"/>
    </row>
    <row r="8" spans="1:11" ht="18" x14ac:dyDescent="0.25">
      <c r="A8" s="52" t="s">
        <v>72</v>
      </c>
      <c r="B8" s="52"/>
      <c r="C8" s="52"/>
      <c r="D8" s="52"/>
      <c r="E8" s="26">
        <v>47556551</v>
      </c>
      <c r="F8" s="52"/>
      <c r="G8" s="52" t="s">
        <v>30</v>
      </c>
      <c r="H8" s="52"/>
      <c r="I8" s="52"/>
      <c r="J8" s="54">
        <v>-233322</v>
      </c>
    </row>
    <row r="9" spans="1:11" ht="18" x14ac:dyDescent="0.25">
      <c r="A9" s="52"/>
      <c r="B9" s="52"/>
      <c r="C9" s="52"/>
      <c r="D9" s="52"/>
      <c r="E9" s="60"/>
      <c r="F9" s="52"/>
      <c r="G9" s="52"/>
      <c r="H9" s="52" t="s">
        <v>26</v>
      </c>
      <c r="I9" s="52"/>
      <c r="J9" s="29" t="s">
        <v>26</v>
      </c>
    </row>
    <row r="10" spans="1:11" ht="18" x14ac:dyDescent="0.25">
      <c r="A10" s="52"/>
      <c r="B10" s="52"/>
      <c r="C10" s="52"/>
      <c r="D10" s="52"/>
      <c r="E10" s="60"/>
      <c r="F10" s="52"/>
      <c r="G10" s="52"/>
      <c r="H10" s="52" t="s">
        <v>26</v>
      </c>
      <c r="I10" s="52"/>
      <c r="J10" s="29" t="s">
        <v>26</v>
      </c>
    </row>
    <row r="11" spans="1:11" ht="18" x14ac:dyDescent="0.25">
      <c r="A11" s="52" t="s">
        <v>3</v>
      </c>
      <c r="B11" s="52"/>
      <c r="C11" s="52"/>
      <c r="D11" s="52"/>
      <c r="E11" s="60">
        <v>0</v>
      </c>
      <c r="F11" s="52"/>
      <c r="G11" s="52" t="s">
        <v>31</v>
      </c>
      <c r="H11" s="52"/>
      <c r="I11" s="52"/>
      <c r="J11" s="61">
        <f>E37</f>
        <v>3071.9500000000116</v>
      </c>
    </row>
    <row r="12" spans="1:11" ht="18" x14ac:dyDescent="0.25">
      <c r="A12" s="52"/>
      <c r="B12" s="52"/>
      <c r="C12" s="52"/>
      <c r="D12" s="52"/>
      <c r="E12" s="60"/>
      <c r="F12" s="52"/>
      <c r="G12" s="52"/>
      <c r="H12" s="52"/>
      <c r="I12" s="52"/>
      <c r="J12" s="59"/>
    </row>
    <row r="13" spans="1:11" ht="18" x14ac:dyDescent="0.25">
      <c r="A13" s="52" t="s">
        <v>4</v>
      </c>
      <c r="B13" s="52"/>
      <c r="C13" s="52"/>
      <c r="D13" s="52"/>
      <c r="E13" s="60">
        <f>SUM(E8:E11)</f>
        <v>47556551</v>
      </c>
      <c r="F13" s="52"/>
      <c r="G13" s="52" t="s">
        <v>32</v>
      </c>
      <c r="H13" s="52"/>
      <c r="I13" s="52"/>
      <c r="J13" s="59">
        <v>0</v>
      </c>
    </row>
    <row r="14" spans="1:11" ht="18" x14ac:dyDescent="0.25">
      <c r="A14" s="52"/>
      <c r="B14" s="52"/>
      <c r="C14" s="52"/>
      <c r="D14" s="52"/>
      <c r="E14" s="60"/>
      <c r="F14" s="52"/>
      <c r="G14" s="52"/>
      <c r="H14" s="52"/>
      <c r="I14" s="52"/>
      <c r="J14" s="59"/>
    </row>
    <row r="15" spans="1:11" ht="18" x14ac:dyDescent="0.25">
      <c r="A15" s="52" t="s">
        <v>5</v>
      </c>
      <c r="B15" s="52"/>
      <c r="C15" s="52"/>
      <c r="D15" s="52"/>
      <c r="E15" s="62">
        <f>E6-E13</f>
        <v>274863</v>
      </c>
      <c r="F15" s="52"/>
      <c r="G15" s="52" t="s">
        <v>33</v>
      </c>
      <c r="H15" s="52"/>
      <c r="I15" s="52"/>
      <c r="J15" s="61">
        <f>ROUND((+J8+J11),4)</f>
        <v>-230250.05</v>
      </c>
    </row>
    <row r="16" spans="1:11" ht="18" x14ac:dyDescent="0.25">
      <c r="A16" s="52" t="s">
        <v>6</v>
      </c>
      <c r="B16" s="52"/>
      <c r="C16" s="52"/>
      <c r="D16" s="52"/>
      <c r="E16" s="60"/>
      <c r="F16" s="52"/>
      <c r="G16" s="52" t="s">
        <v>34</v>
      </c>
      <c r="H16" s="52"/>
      <c r="I16" s="52"/>
      <c r="J16" s="59"/>
    </row>
    <row r="17" spans="1:10" ht="18" x14ac:dyDescent="0.25">
      <c r="A17" s="52"/>
      <c r="B17" s="52"/>
      <c r="C17" s="52"/>
      <c r="D17" s="52"/>
      <c r="E17" s="60"/>
      <c r="F17" s="52"/>
      <c r="G17" s="52"/>
      <c r="H17" s="52"/>
      <c r="I17" s="52"/>
      <c r="J17" s="52"/>
    </row>
    <row r="18" spans="1:10" ht="18" x14ac:dyDescent="0.25">
      <c r="A18" s="63" t="s">
        <v>1</v>
      </c>
      <c r="B18" s="63" t="s">
        <v>1</v>
      </c>
      <c r="C18" s="63" t="s">
        <v>1</v>
      </c>
      <c r="D18" s="63" t="s">
        <v>1</v>
      </c>
      <c r="E18" s="64" t="s">
        <v>1</v>
      </c>
      <c r="F18" s="52"/>
      <c r="G18" s="52" t="s">
        <v>35</v>
      </c>
      <c r="H18" s="52"/>
      <c r="I18" s="52"/>
      <c r="J18" s="60">
        <f>E6</f>
        <v>47831414</v>
      </c>
    </row>
    <row r="19" spans="1:10" ht="18" x14ac:dyDescent="0.25">
      <c r="A19" s="63" t="s">
        <v>1</v>
      </c>
      <c r="B19" s="63" t="s">
        <v>1</v>
      </c>
      <c r="C19" s="63" t="s">
        <v>1</v>
      </c>
      <c r="D19" s="63" t="s">
        <v>1</v>
      </c>
      <c r="E19" s="64"/>
      <c r="F19" s="52"/>
      <c r="G19" s="52"/>
      <c r="H19" s="52"/>
      <c r="I19" s="52"/>
      <c r="J19" s="52"/>
    </row>
    <row r="20" spans="1:10" ht="18" x14ac:dyDescent="0.25">
      <c r="A20" s="52" t="s">
        <v>7</v>
      </c>
      <c r="B20" s="52"/>
      <c r="C20" s="52"/>
      <c r="D20" s="52" t="s">
        <v>25</v>
      </c>
      <c r="E20" s="24" t="s">
        <v>80</v>
      </c>
      <c r="F20" s="52"/>
      <c r="G20" s="52" t="s">
        <v>36</v>
      </c>
      <c r="H20" s="52"/>
      <c r="I20" s="52"/>
      <c r="J20" s="34">
        <f>ROUND((J8/J18),5)</f>
        <v>-4.8799999999999998E-3</v>
      </c>
    </row>
    <row r="21" spans="1:10" ht="18" x14ac:dyDescent="0.25">
      <c r="A21" s="52"/>
      <c r="B21" s="52"/>
      <c r="C21" s="52"/>
      <c r="D21" s="52"/>
      <c r="E21" s="60"/>
      <c r="F21" s="52"/>
      <c r="G21" s="52" t="s">
        <v>37</v>
      </c>
      <c r="H21" s="52"/>
      <c r="I21" s="52"/>
      <c r="J21" s="52"/>
    </row>
    <row r="22" spans="1:10" ht="18" x14ac:dyDescent="0.25">
      <c r="A22" s="52" t="s">
        <v>8</v>
      </c>
      <c r="B22" s="52"/>
      <c r="C22" s="52"/>
      <c r="D22" s="52"/>
      <c r="E22" s="53">
        <v>-3.0200000000000001E-3</v>
      </c>
      <c r="F22" s="52"/>
      <c r="G22" s="52"/>
      <c r="H22" s="52"/>
      <c r="I22" s="52"/>
      <c r="J22" s="52"/>
    </row>
    <row r="23" spans="1:10" ht="18" x14ac:dyDescent="0.25">
      <c r="A23" s="52"/>
      <c r="B23" s="52"/>
      <c r="C23" s="52"/>
      <c r="D23" s="52"/>
      <c r="E23" s="60"/>
      <c r="F23" s="52"/>
      <c r="G23" s="52" t="s">
        <v>38</v>
      </c>
      <c r="H23" s="52"/>
      <c r="I23" s="52"/>
      <c r="J23" s="52"/>
    </row>
    <row r="24" spans="1:10" ht="18" x14ac:dyDescent="0.25">
      <c r="A24" s="52" t="s">
        <v>9</v>
      </c>
      <c r="B24" s="52"/>
      <c r="C24" s="52"/>
      <c r="D24" s="52"/>
      <c r="E24" s="35">
        <v>47556551</v>
      </c>
      <c r="F24" s="52"/>
      <c r="G24" s="63" t="s">
        <v>1</v>
      </c>
      <c r="H24" s="52"/>
      <c r="I24" s="52"/>
      <c r="J24" s="52"/>
    </row>
    <row r="25" spans="1:10" ht="18" x14ac:dyDescent="0.25">
      <c r="A25" s="52"/>
      <c r="B25" s="52"/>
      <c r="C25" s="52"/>
      <c r="D25" s="52"/>
      <c r="E25" s="35"/>
      <c r="F25" s="52"/>
      <c r="G25" s="52" t="s">
        <v>39</v>
      </c>
      <c r="H25" s="52"/>
      <c r="I25" s="52"/>
      <c r="J25" s="58">
        <f>'12 Mth Avg-Feb 21'!E31</f>
        <v>3.1850494829143518E-2</v>
      </c>
    </row>
    <row r="26" spans="1:10" ht="18" x14ac:dyDescent="0.25">
      <c r="A26" s="52" t="s">
        <v>10</v>
      </c>
      <c r="B26" s="52"/>
      <c r="C26" s="52"/>
      <c r="D26" s="52"/>
      <c r="E26" s="35">
        <v>0</v>
      </c>
      <c r="F26" s="52"/>
      <c r="G26" s="52"/>
      <c r="H26" s="52"/>
      <c r="I26" s="52"/>
      <c r="J26" s="52"/>
    </row>
    <row r="27" spans="1:10" ht="18" x14ac:dyDescent="0.25">
      <c r="A27" s="52"/>
      <c r="B27" s="52"/>
      <c r="C27" s="52"/>
      <c r="D27" s="52"/>
      <c r="E27" s="62"/>
      <c r="F27" s="52"/>
      <c r="G27" s="52" t="s">
        <v>40</v>
      </c>
      <c r="H27" s="52"/>
      <c r="I27" s="52"/>
      <c r="J27" s="36" t="str">
        <f>E4</f>
        <v>February</v>
      </c>
    </row>
    <row r="28" spans="1:10" ht="18" x14ac:dyDescent="0.25">
      <c r="A28" s="52" t="s">
        <v>11</v>
      </c>
      <c r="B28" s="52"/>
      <c r="C28" s="52"/>
      <c r="D28" s="52"/>
      <c r="E28" s="62">
        <f>SUM(E24:E26)</f>
        <v>47556551</v>
      </c>
      <c r="F28" s="52"/>
      <c r="G28" s="52"/>
      <c r="H28" s="52"/>
      <c r="I28" s="52"/>
      <c r="J28" s="52"/>
    </row>
    <row r="29" spans="1:10" ht="18" x14ac:dyDescent="0.25">
      <c r="A29" s="52" t="s">
        <v>12</v>
      </c>
      <c r="B29" s="52"/>
      <c r="C29" s="52"/>
      <c r="D29" s="52"/>
      <c r="E29" s="60"/>
      <c r="F29" s="52"/>
      <c r="G29" s="52" t="s">
        <v>41</v>
      </c>
      <c r="H29" s="52"/>
      <c r="I29" s="52"/>
      <c r="J29" s="65">
        <f>ROUND((+E15/E6),6)</f>
        <v>5.7460000000000002E-3</v>
      </c>
    </row>
    <row r="30" spans="1:10" ht="18" x14ac:dyDescent="0.25">
      <c r="A30" s="52"/>
      <c r="B30" s="52" t="s">
        <v>26</v>
      </c>
      <c r="C30" s="52"/>
      <c r="D30" s="52"/>
      <c r="E30" s="60"/>
      <c r="F30" s="52"/>
      <c r="G30" s="52" t="s">
        <v>42</v>
      </c>
      <c r="H30" s="52"/>
      <c r="I30" s="52"/>
      <c r="J30" s="52"/>
    </row>
    <row r="31" spans="1:10" ht="18" x14ac:dyDescent="0.25">
      <c r="A31" s="52" t="s">
        <v>13</v>
      </c>
      <c r="B31" s="52"/>
      <c r="C31" s="52"/>
      <c r="D31" s="52"/>
      <c r="E31" s="54">
        <v>-140573.09</v>
      </c>
      <c r="F31" s="52"/>
      <c r="G31" s="52"/>
      <c r="H31" s="52"/>
      <c r="I31" s="52"/>
      <c r="J31" s="52"/>
    </row>
    <row r="32" spans="1:10" ht="18" x14ac:dyDescent="0.25">
      <c r="A32" s="52" t="s">
        <v>14</v>
      </c>
      <c r="B32" s="52"/>
      <c r="C32" s="52"/>
      <c r="D32" s="52"/>
      <c r="E32" s="61"/>
      <c r="F32" s="52"/>
      <c r="G32" s="52" t="s">
        <v>43</v>
      </c>
      <c r="H32" s="52"/>
      <c r="I32" s="52"/>
      <c r="J32" s="52"/>
    </row>
    <row r="33" spans="1:10" ht="18" x14ac:dyDescent="0.25">
      <c r="A33" s="52"/>
      <c r="B33" s="52"/>
      <c r="C33" s="52"/>
      <c r="D33" s="52"/>
      <c r="E33" s="61"/>
      <c r="F33" s="52"/>
      <c r="G33" s="63" t="s">
        <v>1</v>
      </c>
      <c r="H33" s="63" t="s">
        <v>1</v>
      </c>
      <c r="I33" s="63" t="s">
        <v>1</v>
      </c>
      <c r="J33" s="52"/>
    </row>
    <row r="34" spans="1:10" ht="18" x14ac:dyDescent="0.25">
      <c r="A34" s="52" t="s">
        <v>15</v>
      </c>
      <c r="B34" s="52"/>
      <c r="C34" s="52"/>
      <c r="D34" s="52"/>
      <c r="E34" s="61">
        <f>(+E26*E22)+B41</f>
        <v>-143645.04</v>
      </c>
      <c r="F34" s="52"/>
      <c r="G34" s="52" t="s">
        <v>44</v>
      </c>
      <c r="H34" s="52"/>
      <c r="I34" s="52"/>
      <c r="J34" s="65">
        <f>ROUND((1-J25),7)</f>
        <v>0.9681495</v>
      </c>
    </row>
    <row r="35" spans="1:10" ht="18" x14ac:dyDescent="0.25">
      <c r="A35" s="52" t="s">
        <v>16</v>
      </c>
      <c r="B35" s="52"/>
      <c r="C35" s="52"/>
      <c r="D35" s="52"/>
      <c r="E35" s="61"/>
      <c r="F35" s="52"/>
      <c r="G35" s="52" t="s">
        <v>45</v>
      </c>
      <c r="H35" s="52"/>
      <c r="I35" s="52"/>
      <c r="J35" s="52"/>
    </row>
    <row r="36" spans="1:10" ht="18" x14ac:dyDescent="0.25">
      <c r="A36" s="52"/>
      <c r="B36" s="52"/>
      <c r="C36" s="52"/>
      <c r="D36" s="52"/>
      <c r="E36" s="61"/>
      <c r="F36" s="52"/>
      <c r="G36" s="52"/>
      <c r="H36" s="52"/>
      <c r="I36" s="52"/>
      <c r="J36" s="52"/>
    </row>
    <row r="37" spans="1:10" ht="18" x14ac:dyDescent="0.25">
      <c r="A37" s="52" t="s">
        <v>17</v>
      </c>
      <c r="B37" s="52"/>
      <c r="C37" s="52"/>
      <c r="D37" s="52"/>
      <c r="E37" s="61">
        <f>(E31-E34)</f>
        <v>3071.9500000000116</v>
      </c>
      <c r="F37" s="52"/>
      <c r="G37" s="52" t="s">
        <v>46</v>
      </c>
      <c r="H37" s="52"/>
      <c r="I37" s="52"/>
      <c r="J37" s="66">
        <f>ROUND((J15/J18),5)</f>
        <v>-4.81E-3</v>
      </c>
    </row>
    <row r="38" spans="1:10" ht="18" x14ac:dyDescent="0.25">
      <c r="A38" s="52" t="s">
        <v>18</v>
      </c>
      <c r="B38" s="52"/>
      <c r="C38" s="52"/>
      <c r="D38" s="52"/>
      <c r="E38" s="61"/>
      <c r="F38" s="52"/>
      <c r="G38" s="52" t="s">
        <v>47</v>
      </c>
      <c r="H38" s="52"/>
      <c r="I38" s="52"/>
      <c r="J38" s="66"/>
    </row>
    <row r="39" spans="1:10" ht="18" x14ac:dyDescent="0.25">
      <c r="A39" s="52"/>
      <c r="B39" s="52"/>
      <c r="C39" s="52"/>
      <c r="D39" s="52"/>
      <c r="E39" s="59"/>
      <c r="F39" s="52"/>
      <c r="G39" s="52"/>
      <c r="H39" s="52"/>
      <c r="I39" s="52"/>
      <c r="J39" s="66"/>
    </row>
    <row r="40" spans="1:10" ht="18" x14ac:dyDescent="0.25">
      <c r="A40" s="52"/>
      <c r="B40" s="39" t="s">
        <v>24</v>
      </c>
      <c r="C40" s="39"/>
      <c r="D40" s="39"/>
      <c r="E40" s="59"/>
      <c r="F40" s="52"/>
      <c r="G40" s="52" t="s">
        <v>48</v>
      </c>
      <c r="H40" s="52"/>
      <c r="I40" s="52"/>
      <c r="J40" s="40">
        <f>ROUND((J37/J34),7)</f>
        <v>-4.9681999999999999E-3</v>
      </c>
    </row>
    <row r="41" spans="1:10" ht="18" x14ac:dyDescent="0.25">
      <c r="A41" s="52"/>
      <c r="B41" s="57">
        <v>-143645.04</v>
      </c>
      <c r="D41" s="41"/>
      <c r="E41" s="59"/>
      <c r="F41" s="52"/>
      <c r="G41" s="52"/>
      <c r="H41" s="52"/>
      <c r="I41" s="52"/>
      <c r="J41" s="52"/>
    </row>
    <row r="42" spans="1:10" ht="18" x14ac:dyDescent="0.25">
      <c r="A42" s="52"/>
      <c r="B42" s="52"/>
      <c r="C42" s="52"/>
      <c r="D42" s="52"/>
      <c r="E42" s="52"/>
      <c r="F42" s="52"/>
      <c r="G42" s="52" t="s">
        <v>49</v>
      </c>
      <c r="H42" s="52"/>
      <c r="I42" s="52"/>
      <c r="J42" s="67">
        <f>ROUND((+J40*100),3)</f>
        <v>-0.497</v>
      </c>
    </row>
    <row r="43" spans="1:10" ht="18" x14ac:dyDescent="0.25">
      <c r="A43" s="63" t="s">
        <v>1</v>
      </c>
      <c r="B43" s="63" t="s">
        <v>1</v>
      </c>
      <c r="C43" s="63" t="s">
        <v>1</v>
      </c>
      <c r="D43" s="63" t="s">
        <v>1</v>
      </c>
      <c r="E43" s="63" t="s">
        <v>1</v>
      </c>
      <c r="F43" s="63" t="s">
        <v>1</v>
      </c>
      <c r="G43" s="63" t="s">
        <v>1</v>
      </c>
      <c r="H43" s="63" t="s">
        <v>1</v>
      </c>
      <c r="I43" s="63" t="s">
        <v>1</v>
      </c>
      <c r="J43" s="63" t="s">
        <v>1</v>
      </c>
    </row>
    <row r="44" spans="1:10" ht="18" x14ac:dyDescent="0.25">
      <c r="A44" s="52" t="s">
        <v>19</v>
      </c>
      <c r="B44" s="52"/>
      <c r="C44" s="52"/>
      <c r="D44" s="68">
        <f>J42</f>
        <v>-0.497</v>
      </c>
      <c r="E44" s="52" t="s">
        <v>26</v>
      </c>
      <c r="F44" s="69"/>
      <c r="G44" s="52"/>
      <c r="H44" s="52"/>
      <c r="I44" s="52"/>
      <c r="J44" s="52"/>
    </row>
    <row r="45" spans="1:10" ht="18" x14ac:dyDescent="0.25">
      <c r="A45" s="52" t="s">
        <v>20</v>
      </c>
      <c r="B45" s="24" t="s">
        <v>87</v>
      </c>
      <c r="C45" s="52"/>
      <c r="D45" s="52" t="s">
        <v>26</v>
      </c>
      <c r="E45" s="52"/>
      <c r="F45" s="52"/>
      <c r="G45" s="52"/>
      <c r="H45" s="52"/>
      <c r="I45" s="52"/>
      <c r="J45" s="52"/>
    </row>
    <row r="46" spans="1:10" ht="18" x14ac:dyDescent="0.25">
      <c r="A46" s="52"/>
      <c r="B46" s="52"/>
      <c r="C46" s="52"/>
      <c r="D46" s="52"/>
      <c r="E46" s="36"/>
      <c r="F46" s="52"/>
      <c r="G46" s="52"/>
      <c r="H46" s="45" t="s">
        <v>50</v>
      </c>
      <c r="I46" s="24" t="s">
        <v>88</v>
      </c>
      <c r="J46" s="46"/>
    </row>
    <row r="47" spans="1:10" ht="18" x14ac:dyDescent="0.25">
      <c r="A47" s="52" t="s">
        <v>73</v>
      </c>
      <c r="B47" s="52"/>
      <c r="C47" s="52"/>
      <c r="D47" s="52"/>
      <c r="E47" s="52"/>
      <c r="F47" s="52"/>
      <c r="G47" s="52"/>
      <c r="H47" s="52" t="s">
        <v>74</v>
      </c>
      <c r="I47" s="52"/>
      <c r="J47" s="52"/>
    </row>
    <row r="48" spans="1:10" ht="18" x14ac:dyDescent="0.25">
      <c r="A48" s="52" t="s">
        <v>21</v>
      </c>
      <c r="B48" s="52"/>
      <c r="C48" s="52"/>
      <c r="D48" s="52"/>
      <c r="E48" s="52"/>
      <c r="F48" s="52"/>
      <c r="G48" s="52"/>
      <c r="H48" s="52" t="s">
        <v>75</v>
      </c>
      <c r="I48" s="52"/>
      <c r="J48" s="52"/>
    </row>
    <row r="49" spans="1:10" ht="15.75" x14ac:dyDescent="0.25">
      <c r="A49" s="6" t="s">
        <v>22</v>
      </c>
      <c r="B49" s="2"/>
      <c r="C49" s="2"/>
      <c r="D49" s="2"/>
      <c r="E49" s="2"/>
      <c r="F49" s="7"/>
      <c r="G49" s="2"/>
      <c r="H49" s="7"/>
      <c r="I49" s="2" t="s">
        <v>26</v>
      </c>
      <c r="J49" s="4"/>
    </row>
    <row r="50" spans="1:10" ht="15.75" x14ac:dyDescent="0.25">
      <c r="A50" s="2"/>
      <c r="B50" s="2"/>
      <c r="C50" s="2"/>
      <c r="D50" s="2"/>
      <c r="E50" s="2"/>
      <c r="F50" s="2"/>
      <c r="G50" s="2"/>
      <c r="H50" s="7"/>
      <c r="I50" s="7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8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5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5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5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5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5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5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5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5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5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5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5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5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5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5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5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5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5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5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5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5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5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5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5"/>
    </row>
  </sheetData>
  <printOptions horizontalCentered="1"/>
  <pageMargins left="0.25" right="0.25" top="0.5" bottom="0.5" header="0" footer="0"/>
  <pageSetup scale="6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64FED-A71C-4A9C-8690-A9250E02BC15}">
  <dimension ref="A1:G40"/>
  <sheetViews>
    <sheetView topLeftCell="A9" workbookViewId="0">
      <selection activeCell="I32" sqref="I32"/>
    </sheetView>
  </sheetViews>
  <sheetFormatPr defaultRowHeight="15" x14ac:dyDescent="0.2"/>
  <cols>
    <col min="1" max="1" width="21" customWidth="1"/>
    <col min="3" max="3" width="11.5546875" customWidth="1"/>
    <col min="4" max="4" width="6.77734375" customWidth="1"/>
    <col min="5" max="5" width="9.6640625" bestFit="1" customWidth="1"/>
    <col min="6" max="6" width="3.77734375" customWidth="1"/>
    <col min="7" max="7" width="12" customWidth="1"/>
  </cols>
  <sheetData>
    <row r="1" spans="1:7" ht="15.75" x14ac:dyDescent="0.25">
      <c r="A1" s="15" t="s">
        <v>23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59</v>
      </c>
      <c r="B2" s="15"/>
      <c r="C2" s="15"/>
      <c r="D2" s="15"/>
      <c r="E2" s="15"/>
      <c r="F2" s="15"/>
      <c r="G2" s="15"/>
    </row>
    <row r="3" spans="1:7" ht="15.75" x14ac:dyDescent="0.25">
      <c r="A3" s="11"/>
      <c r="B3" s="11"/>
      <c r="C3" s="11"/>
      <c r="D3" s="11"/>
      <c r="E3" s="11"/>
      <c r="F3" s="11"/>
      <c r="G3" s="11"/>
    </row>
    <row r="4" spans="1:7" ht="15.75" x14ac:dyDescent="0.25">
      <c r="A4" s="11"/>
      <c r="B4" s="11"/>
      <c r="C4" s="11"/>
      <c r="D4" s="11"/>
      <c r="E4" s="11"/>
      <c r="F4" s="11"/>
      <c r="G4" s="11"/>
    </row>
    <row r="5" spans="1:7" ht="15.75" x14ac:dyDescent="0.25">
      <c r="A5" s="11" t="s">
        <v>60</v>
      </c>
      <c r="B5" s="11"/>
      <c r="C5" s="11"/>
      <c r="D5" s="11"/>
      <c r="E5" s="11"/>
      <c r="F5" s="11"/>
      <c r="G5" s="11"/>
    </row>
    <row r="6" spans="1:7" ht="15.75" x14ac:dyDescent="0.25">
      <c r="A6" s="11" t="s">
        <v>61</v>
      </c>
      <c r="B6" s="11"/>
      <c r="C6" s="11"/>
      <c r="D6" s="11"/>
      <c r="E6" s="11"/>
      <c r="F6" s="11"/>
      <c r="G6" s="11"/>
    </row>
    <row r="7" spans="1:7" ht="15.75" x14ac:dyDescent="0.25">
      <c r="A7" s="11" t="s">
        <v>62</v>
      </c>
      <c r="B7" s="11"/>
      <c r="C7" s="11"/>
      <c r="D7" s="11"/>
      <c r="E7" s="11"/>
      <c r="F7" s="11"/>
      <c r="G7" s="11"/>
    </row>
    <row r="8" spans="1:7" ht="15.75" x14ac:dyDescent="0.25">
      <c r="A8" s="9"/>
      <c r="B8" s="9"/>
      <c r="C8" s="9"/>
      <c r="D8" s="9"/>
      <c r="E8" s="9"/>
      <c r="F8" s="9"/>
      <c r="G8" s="9"/>
    </row>
    <row r="9" spans="1:7" ht="15.75" x14ac:dyDescent="0.25">
      <c r="A9" s="19">
        <v>44228</v>
      </c>
      <c r="B9" s="11"/>
      <c r="C9" s="11"/>
      <c r="D9" s="11"/>
      <c r="E9" s="11"/>
      <c r="F9" s="11"/>
      <c r="G9" s="11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15"/>
      <c r="B11" s="15"/>
      <c r="C11" s="15"/>
      <c r="D11" s="15"/>
      <c r="E11" s="15"/>
      <c r="F11" s="15"/>
      <c r="G11" s="15"/>
    </row>
    <row r="12" spans="1:7" ht="15.75" x14ac:dyDescent="0.25">
      <c r="A12" s="12"/>
      <c r="B12" s="12"/>
      <c r="C12" s="12"/>
      <c r="D12" s="12"/>
      <c r="E12" s="12"/>
      <c r="F12" s="12"/>
      <c r="G12" s="12"/>
    </row>
    <row r="13" spans="1:7" ht="15.75" x14ac:dyDescent="0.25">
      <c r="A13" s="12"/>
      <c r="B13" s="12"/>
      <c r="C13" s="16" t="s">
        <v>63</v>
      </c>
      <c r="D13" s="12"/>
      <c r="E13" s="16" t="s">
        <v>66</v>
      </c>
      <c r="F13" s="16"/>
      <c r="G13" s="16" t="s">
        <v>69</v>
      </c>
    </row>
    <row r="14" spans="1:7" ht="15.75" x14ac:dyDescent="0.25">
      <c r="A14" s="12"/>
      <c r="B14" s="12"/>
      <c r="C14" s="16" t="s">
        <v>64</v>
      </c>
      <c r="D14" s="12"/>
      <c r="E14" s="16" t="s">
        <v>64</v>
      </c>
      <c r="F14" s="16"/>
      <c r="G14" s="16" t="s">
        <v>64</v>
      </c>
    </row>
    <row r="15" spans="1:7" ht="15.75" x14ac:dyDescent="0.25">
      <c r="A15" s="12"/>
      <c r="B15" s="12"/>
      <c r="C15" s="16" t="s">
        <v>65</v>
      </c>
      <c r="D15" s="12"/>
      <c r="E15" s="16" t="s">
        <v>67</v>
      </c>
      <c r="F15" s="16"/>
      <c r="G15" s="16" t="s">
        <v>68</v>
      </c>
    </row>
    <row r="16" spans="1:7" ht="15.75" x14ac:dyDescent="0.25">
      <c r="A16" s="12"/>
      <c r="B16" s="12"/>
      <c r="C16" s="16"/>
      <c r="D16" s="12"/>
      <c r="E16" s="16" t="s">
        <v>70</v>
      </c>
      <c r="F16" s="16"/>
      <c r="G16" s="16"/>
    </row>
    <row r="17" spans="1:7" ht="15.75" x14ac:dyDescent="0.25">
      <c r="A17" s="9"/>
      <c r="B17" s="9"/>
      <c r="C17" s="9"/>
      <c r="D17" s="9"/>
      <c r="E17" s="9"/>
      <c r="F17" s="9"/>
      <c r="G17" s="9"/>
    </row>
    <row r="18" spans="1:7" ht="15.75" x14ac:dyDescent="0.25">
      <c r="A18" s="9" t="s">
        <v>52</v>
      </c>
      <c r="B18" s="9"/>
      <c r="C18" s="9"/>
      <c r="D18" s="9"/>
      <c r="E18" s="9"/>
      <c r="F18" s="9"/>
      <c r="G18" s="9"/>
    </row>
    <row r="19" spans="1:7" ht="15.75" x14ac:dyDescent="0.25">
      <c r="A19" s="9" t="s">
        <v>53</v>
      </c>
      <c r="B19" s="9"/>
      <c r="C19" s="17">
        <v>491111758</v>
      </c>
      <c r="D19" s="18"/>
      <c r="E19" s="17">
        <v>475100795</v>
      </c>
      <c r="F19" s="14"/>
      <c r="G19" s="13">
        <f>C19-E19</f>
        <v>16010963</v>
      </c>
    </row>
    <row r="20" spans="1:7" ht="15.75" x14ac:dyDescent="0.25">
      <c r="A20" s="9"/>
      <c r="B20" s="9"/>
      <c r="C20" s="17"/>
      <c r="D20" s="18"/>
      <c r="E20" s="17"/>
      <c r="F20" s="14"/>
      <c r="G20" s="13"/>
    </row>
    <row r="21" spans="1:7" ht="15.75" x14ac:dyDescent="0.25">
      <c r="A21" s="9" t="s">
        <v>54</v>
      </c>
      <c r="B21" s="9"/>
      <c r="C21" s="17"/>
      <c r="D21" s="18"/>
      <c r="E21" s="17"/>
      <c r="F21" s="14"/>
      <c r="G21" s="13"/>
    </row>
    <row r="22" spans="1:7" ht="15.75" x14ac:dyDescent="0.25">
      <c r="A22" s="9" t="s">
        <v>55</v>
      </c>
      <c r="B22" s="9"/>
      <c r="C22" s="13">
        <v>45339161</v>
      </c>
      <c r="D22" s="14"/>
      <c r="E22" s="13">
        <v>44774867</v>
      </c>
      <c r="F22" s="14"/>
      <c r="G22" s="13">
        <f>C22-E22</f>
        <v>564294</v>
      </c>
    </row>
    <row r="23" spans="1:7" ht="15.75" x14ac:dyDescent="0.25">
      <c r="A23" s="9"/>
      <c r="B23" s="9"/>
      <c r="C23" s="13"/>
      <c r="D23" s="14"/>
      <c r="E23" s="13"/>
      <c r="F23" s="14"/>
      <c r="G23" s="13"/>
    </row>
    <row r="24" spans="1:7" ht="15.75" x14ac:dyDescent="0.25">
      <c r="A24" s="9" t="s">
        <v>56</v>
      </c>
      <c r="B24" s="9"/>
      <c r="C24" s="13"/>
      <c r="D24" s="14"/>
      <c r="E24" s="13"/>
      <c r="F24" s="14"/>
      <c r="G24" s="13"/>
    </row>
    <row r="25" spans="1:7" ht="15.75" x14ac:dyDescent="0.25">
      <c r="A25" s="9" t="s">
        <v>55</v>
      </c>
      <c r="B25" s="9"/>
      <c r="C25" s="13">
        <v>47831414</v>
      </c>
      <c r="D25" s="14"/>
      <c r="E25" s="13">
        <v>47556551</v>
      </c>
      <c r="F25" s="14"/>
      <c r="G25" s="13">
        <f>C25-E25</f>
        <v>274863</v>
      </c>
    </row>
    <row r="26" spans="1:7" ht="15.75" x14ac:dyDescent="0.25">
      <c r="A26" s="9"/>
      <c r="B26" s="9"/>
      <c r="C26" s="10"/>
      <c r="D26" s="9"/>
      <c r="E26" s="10"/>
      <c r="F26" s="9"/>
      <c r="G26" s="10"/>
    </row>
    <row r="27" spans="1:7" ht="15.75" x14ac:dyDescent="0.25">
      <c r="A27" s="9" t="s">
        <v>57</v>
      </c>
      <c r="B27" s="9"/>
      <c r="C27" s="10"/>
      <c r="D27" s="9"/>
      <c r="E27" s="10"/>
      <c r="F27" s="9"/>
      <c r="G27" s="10"/>
    </row>
    <row r="28" spans="1:7" ht="15.75" x14ac:dyDescent="0.25">
      <c r="A28" s="9" t="s">
        <v>53</v>
      </c>
      <c r="B28" s="9"/>
      <c r="C28" s="10">
        <f>C19-C22+C25</f>
        <v>493604011</v>
      </c>
      <c r="D28" s="9"/>
      <c r="E28" s="10">
        <f>E19-E22+E25</f>
        <v>477882479</v>
      </c>
      <c r="F28" s="9"/>
      <c r="G28" s="10">
        <f>C28-E28</f>
        <v>15721532</v>
      </c>
    </row>
    <row r="29" spans="1:7" ht="15.75" x14ac:dyDescent="0.25">
      <c r="A29" s="9"/>
      <c r="B29" s="9"/>
      <c r="C29" s="10"/>
      <c r="D29" s="9"/>
      <c r="E29" s="10"/>
      <c r="F29" s="9"/>
      <c r="G29" s="10"/>
    </row>
    <row r="30" spans="1:7" ht="15.75" x14ac:dyDescent="0.25">
      <c r="A30" s="9"/>
      <c r="B30" s="9"/>
      <c r="C30" s="9"/>
      <c r="D30" s="9"/>
      <c r="E30" s="9"/>
      <c r="F30" s="9"/>
      <c r="G30" s="9"/>
    </row>
    <row r="31" spans="1:7" ht="15.75" x14ac:dyDescent="0.25">
      <c r="A31" s="9" t="s">
        <v>58</v>
      </c>
      <c r="B31" s="9"/>
      <c r="C31" s="9"/>
      <c r="D31" s="9"/>
      <c r="E31" s="56">
        <f>G28/C28</f>
        <v>3.1850494829143518E-2</v>
      </c>
      <c r="F31" s="9"/>
      <c r="G31" s="9"/>
    </row>
    <row r="32" spans="1:7" ht="15.75" x14ac:dyDescent="0.25">
      <c r="A32" s="9"/>
      <c r="B32" s="9"/>
      <c r="C32" s="9"/>
      <c r="D32" s="9"/>
      <c r="E32" s="9"/>
      <c r="F32" s="9"/>
      <c r="G32" s="9"/>
    </row>
    <row r="33" spans="1:7" ht="15.75" x14ac:dyDescent="0.25">
      <c r="A33" s="9"/>
      <c r="B33" s="9"/>
      <c r="C33" s="9"/>
      <c r="D33" s="9"/>
      <c r="E33" s="9"/>
      <c r="F33" s="9"/>
      <c r="G33" s="9"/>
    </row>
    <row r="34" spans="1:7" ht="15.75" x14ac:dyDescent="0.25">
      <c r="A34" s="9"/>
      <c r="B34" s="9"/>
      <c r="C34" s="9"/>
      <c r="D34" s="9"/>
      <c r="E34" s="9"/>
      <c r="F34" s="9"/>
      <c r="G34" s="9"/>
    </row>
    <row r="35" spans="1:7" ht="15.75" x14ac:dyDescent="0.25">
      <c r="A35" s="9"/>
      <c r="B35" s="9"/>
      <c r="C35" s="9"/>
      <c r="D35" s="9"/>
      <c r="E35" s="9"/>
      <c r="F35" s="9"/>
      <c r="G35" s="9"/>
    </row>
    <row r="36" spans="1:7" ht="15.75" x14ac:dyDescent="0.25">
      <c r="A36" s="9"/>
      <c r="B36" s="9"/>
      <c r="C36" s="9"/>
      <c r="D36" s="9"/>
      <c r="E36" s="9"/>
      <c r="F36" s="9"/>
      <c r="G36" s="9"/>
    </row>
    <row r="37" spans="1:7" ht="15.75" x14ac:dyDescent="0.25">
      <c r="A37" s="9"/>
      <c r="B37" s="9"/>
      <c r="C37" s="9"/>
      <c r="D37" s="9"/>
      <c r="E37" s="9"/>
      <c r="F37" s="9"/>
      <c r="G37" s="9"/>
    </row>
    <row r="38" spans="1:7" ht="15.75" x14ac:dyDescent="0.25">
      <c r="A38" s="9"/>
      <c r="B38" s="9"/>
      <c r="C38" s="9"/>
      <c r="D38" s="9"/>
      <c r="E38" s="9"/>
      <c r="F38" s="9"/>
      <c r="G38" s="9"/>
    </row>
    <row r="39" spans="1:7" ht="15.75" x14ac:dyDescent="0.25">
      <c r="A39" s="9"/>
      <c r="B39" s="9"/>
      <c r="C39" s="9"/>
      <c r="D39" s="9"/>
      <c r="E39" s="9"/>
      <c r="F39" s="9"/>
      <c r="G39" s="9"/>
    </row>
    <row r="40" spans="1:7" ht="15.75" x14ac:dyDescent="0.25">
      <c r="A40" s="9"/>
      <c r="B40" s="9"/>
      <c r="C40" s="9"/>
      <c r="D40" s="9"/>
      <c r="E40" s="9"/>
      <c r="F40" s="9"/>
      <c r="G40" s="9"/>
    </row>
  </sheetData>
  <pageMargins left="0.75" right="0.75" top="1.2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48</vt:i4>
      </vt:variant>
    </vt:vector>
  </HeadingPairs>
  <TitlesOfParts>
    <vt:vector size="97" baseType="lpstr">
      <vt:lpstr>Summary</vt:lpstr>
      <vt:lpstr>Mthly Calc-Nov 20</vt:lpstr>
      <vt:lpstr>12 Mth Avg-Nov 20</vt:lpstr>
      <vt:lpstr>Mthly Calc-Dec 20</vt:lpstr>
      <vt:lpstr>12 Mth Avg-Dec 20</vt:lpstr>
      <vt:lpstr>Mthly Calc-Jan 21</vt:lpstr>
      <vt:lpstr>12 Mth Avg-Jan 21</vt:lpstr>
      <vt:lpstr>Mthly Calc-Feb 21</vt:lpstr>
      <vt:lpstr>12 Mth Avg-Feb 21</vt:lpstr>
      <vt:lpstr>Mthly Calc-Mar 21</vt:lpstr>
      <vt:lpstr>12 Mth Avg-Mar 21</vt:lpstr>
      <vt:lpstr>Mthly Calc-Apr 21</vt:lpstr>
      <vt:lpstr>12 Mth Avg-Apr 21</vt:lpstr>
      <vt:lpstr>Mthly Calc-May 21</vt:lpstr>
      <vt:lpstr>12 Mth Avg-May 21</vt:lpstr>
      <vt:lpstr>Mthly Calc-Jun 21</vt:lpstr>
      <vt:lpstr>12 Mth Avg-Jun 21</vt:lpstr>
      <vt:lpstr>Mthly Calc-Jul 21</vt:lpstr>
      <vt:lpstr>12 Mth Avg-Jul 21</vt:lpstr>
      <vt:lpstr>Mthly Calc-Aug 21</vt:lpstr>
      <vt:lpstr>12 Mth Avg-Aug 21</vt:lpstr>
      <vt:lpstr>Mthly Calc-Sep 21</vt:lpstr>
      <vt:lpstr>12 Mth Avg-Sep 21</vt:lpstr>
      <vt:lpstr>Mthly Calc-Oct 21</vt:lpstr>
      <vt:lpstr>12 Mth Avg-Oct 21</vt:lpstr>
      <vt:lpstr>Mthly Calc-Nov 21</vt:lpstr>
      <vt:lpstr>12 Mth Avg-Nov 21</vt:lpstr>
      <vt:lpstr>Mthly Calc-Dec 21</vt:lpstr>
      <vt:lpstr>12 Mth Avg-Dec 21</vt:lpstr>
      <vt:lpstr>Mthly Calc-Jan 22</vt:lpstr>
      <vt:lpstr>12 Mth Avg-Jan 22</vt:lpstr>
      <vt:lpstr>Mthly Calc-Feb 22</vt:lpstr>
      <vt:lpstr>12 Mth Avg-Feb 22</vt:lpstr>
      <vt:lpstr>Mthly Calc-Mar 22</vt:lpstr>
      <vt:lpstr>12 Mth Avg-Mar 22</vt:lpstr>
      <vt:lpstr>Mthly Calc-Apr 22</vt:lpstr>
      <vt:lpstr>12 Mth Avg-Apr 22</vt:lpstr>
      <vt:lpstr>Mthly Calc-May 22</vt:lpstr>
      <vt:lpstr>12 Mth Avg-May 22</vt:lpstr>
      <vt:lpstr>Mthly Calc-Jun 22</vt:lpstr>
      <vt:lpstr>12 Mth Avg-Jun 22</vt:lpstr>
      <vt:lpstr>Mthly Calc-Jul 22</vt:lpstr>
      <vt:lpstr>12 Mth Avg-Jul 22</vt:lpstr>
      <vt:lpstr>Mthly Calc-Aug 22</vt:lpstr>
      <vt:lpstr>12 Mth Avg-Aug 22</vt:lpstr>
      <vt:lpstr>Mthly Calc-Sep 22</vt:lpstr>
      <vt:lpstr>12 Mth Avg-Sep 22</vt:lpstr>
      <vt:lpstr>Mthly Calc-Oct 22</vt:lpstr>
      <vt:lpstr>12 Mth Avg-Oct 22</vt:lpstr>
      <vt:lpstr>'Mthly Calc-Apr 21'!DebbieFC</vt:lpstr>
      <vt:lpstr>'Mthly Calc-Apr 22'!DebbieFC</vt:lpstr>
      <vt:lpstr>'Mthly Calc-Aug 21'!DebbieFC</vt:lpstr>
      <vt:lpstr>'Mthly Calc-Aug 22'!DebbieFC</vt:lpstr>
      <vt:lpstr>'Mthly Calc-Dec 20'!DebbieFC</vt:lpstr>
      <vt:lpstr>'Mthly Calc-Dec 21'!DebbieFC</vt:lpstr>
      <vt:lpstr>'Mthly Calc-Feb 21'!DebbieFC</vt:lpstr>
      <vt:lpstr>'Mthly Calc-Feb 22'!DebbieFC</vt:lpstr>
      <vt:lpstr>'Mthly Calc-Jan 21'!DebbieFC</vt:lpstr>
      <vt:lpstr>'Mthly Calc-Jan 22'!DebbieFC</vt:lpstr>
      <vt:lpstr>'Mthly Calc-Jul 21'!DebbieFC</vt:lpstr>
      <vt:lpstr>'Mthly Calc-Jul 22'!DebbieFC</vt:lpstr>
      <vt:lpstr>'Mthly Calc-Jun 21'!DebbieFC</vt:lpstr>
      <vt:lpstr>'Mthly Calc-Jun 22'!DebbieFC</vt:lpstr>
      <vt:lpstr>'Mthly Calc-Mar 21'!DebbieFC</vt:lpstr>
      <vt:lpstr>'Mthly Calc-Mar 22'!DebbieFC</vt:lpstr>
      <vt:lpstr>'Mthly Calc-May 21'!DebbieFC</vt:lpstr>
      <vt:lpstr>'Mthly Calc-May 22'!DebbieFC</vt:lpstr>
      <vt:lpstr>'Mthly Calc-Oct 21'!DebbieFC</vt:lpstr>
      <vt:lpstr>'Mthly Calc-Oct 22'!DebbieFC</vt:lpstr>
      <vt:lpstr>'Mthly Calc-Sep 21'!DebbieFC</vt:lpstr>
      <vt:lpstr>'Mthly Calc-Sep 22'!DebbieFC</vt:lpstr>
      <vt:lpstr>DebbieFC</vt:lpstr>
      <vt:lpstr>'Mthly Calc-Apr 21'!Print_Area</vt:lpstr>
      <vt:lpstr>'Mthly Calc-Apr 22'!Print_Area</vt:lpstr>
      <vt:lpstr>'Mthly Calc-Aug 21'!Print_Area</vt:lpstr>
      <vt:lpstr>'Mthly Calc-Aug 22'!Print_Area</vt:lpstr>
      <vt:lpstr>'Mthly Calc-Dec 20'!Print_Area</vt:lpstr>
      <vt:lpstr>'Mthly Calc-Dec 21'!Print_Area</vt:lpstr>
      <vt:lpstr>'Mthly Calc-Feb 21'!Print_Area</vt:lpstr>
      <vt:lpstr>'Mthly Calc-Feb 22'!Print_Area</vt:lpstr>
      <vt:lpstr>'Mthly Calc-Jan 21'!Print_Area</vt:lpstr>
      <vt:lpstr>'Mthly Calc-Jan 22'!Print_Area</vt:lpstr>
      <vt:lpstr>'Mthly Calc-Jul 21'!Print_Area</vt:lpstr>
      <vt:lpstr>'Mthly Calc-Jul 22'!Print_Area</vt:lpstr>
      <vt:lpstr>'Mthly Calc-Jun 21'!Print_Area</vt:lpstr>
      <vt:lpstr>'Mthly Calc-Jun 22'!Print_Area</vt:lpstr>
      <vt:lpstr>'Mthly Calc-Mar 21'!Print_Area</vt:lpstr>
      <vt:lpstr>'Mthly Calc-Mar 22'!Print_Area</vt:lpstr>
      <vt:lpstr>'Mthly Calc-May 21'!Print_Area</vt:lpstr>
      <vt:lpstr>'Mthly Calc-May 22'!Print_Area</vt:lpstr>
      <vt:lpstr>'Mthly Calc-Nov 20'!Print_Area</vt:lpstr>
      <vt:lpstr>'Mthly Calc-Nov 21'!Print_Area</vt:lpstr>
      <vt:lpstr>'Mthly Calc-Oct 21'!Print_Area</vt:lpstr>
      <vt:lpstr>'Mthly Calc-Oct 22'!Print_Area</vt:lpstr>
      <vt:lpstr>'Mthly Calc-Sep 21'!Print_Area</vt:lpstr>
      <vt:lpstr>'Mthly Calc-Sep 22'!Print_Area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llancaster</dc:creator>
  <cp:lastModifiedBy>Michael Moriarty</cp:lastModifiedBy>
  <cp:lastPrinted>2020-11-13T21:28:23Z</cp:lastPrinted>
  <dcterms:created xsi:type="dcterms:W3CDTF">2012-09-21T13:32:15Z</dcterms:created>
  <dcterms:modified xsi:type="dcterms:W3CDTF">2024-06-17T19:01:34Z</dcterms:modified>
</cp:coreProperties>
</file>