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UEL ADJ\PSC Reports\"/>
    </mc:Choice>
  </mc:AlternateContent>
  <xr:revisionPtr revIDLastSave="0" documentId="8_{0E35601A-9A5E-4862-BA66-B25FD6666BF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definedNames>
    <definedName name="_xlnm.Print_Titles" localSheetId="0">Sheet1!$1:$8</definedName>
    <definedName name="_xlnm.Print_Titles" localSheetId="1">Sheet2!$1:$8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6" i="1" l="1"/>
  <c r="G8" i="3" l="1"/>
  <c r="C22" i="3"/>
  <c r="F282" i="2"/>
  <c r="D282" i="2"/>
  <c r="C566" i="1"/>
  <c r="D567" i="1" l="1"/>
  <c r="E566" i="1" l="1"/>
  <c r="F566" i="1" s="1"/>
  <c r="G29" i="3"/>
  <c r="G18" i="3"/>
  <c r="C564" i="1" l="1"/>
  <c r="D281" i="2" l="1"/>
  <c r="F281" i="2" s="1"/>
  <c r="B564" i="1" l="1"/>
  <c r="D565" i="1" l="1"/>
  <c r="E564" i="1" l="1"/>
  <c r="F564" i="1" s="1"/>
  <c r="D280" i="2" l="1"/>
  <c r="F280" i="2" s="1"/>
  <c r="C562" i="1" l="1"/>
  <c r="B562" i="1" l="1"/>
  <c r="D563" i="1"/>
  <c r="E562" i="1" l="1"/>
  <c r="F562" i="1" s="1"/>
  <c r="D279" i="2"/>
  <c r="F279" i="2" s="1"/>
  <c r="C560" i="1"/>
  <c r="B560" i="1"/>
  <c r="D561" i="1"/>
  <c r="E560" i="1" l="1"/>
  <c r="F560" i="1" s="1"/>
  <c r="D278" i="2" l="1"/>
  <c r="F278" i="2" s="1"/>
  <c r="C558" i="1" l="1"/>
  <c r="B558" i="1" l="1"/>
  <c r="D559" i="1"/>
  <c r="E558" i="1" l="1"/>
  <c r="F558" i="1" s="1"/>
  <c r="D277" i="2"/>
  <c r="F277" i="2" s="1"/>
  <c r="C556" i="1"/>
  <c r="B556" i="1"/>
  <c r="D557" i="1"/>
  <c r="E556" i="1" l="1"/>
  <c r="F556" i="1" s="1"/>
  <c r="D276" i="2"/>
  <c r="F276" i="2" s="1"/>
  <c r="C554" i="1"/>
  <c r="B554" i="1"/>
  <c r="D555" i="1" l="1"/>
  <c r="E554" i="1" l="1"/>
  <c r="F554" i="1" s="1"/>
  <c r="C552" i="1" l="1"/>
  <c r="D275" i="2"/>
  <c r="F275" i="2" s="1"/>
  <c r="B552" i="1" l="1"/>
  <c r="D553" i="1" l="1"/>
  <c r="E552" i="1" l="1"/>
  <c r="F552" i="1" s="1"/>
  <c r="D274" i="2" l="1"/>
  <c r="F274" i="2" s="1"/>
  <c r="C550" i="1"/>
  <c r="B550" i="1"/>
  <c r="D551" i="1"/>
  <c r="E550" i="1" l="1"/>
  <c r="F550" i="1" s="1"/>
  <c r="D273" i="2" l="1"/>
  <c r="F273" i="2" s="1"/>
  <c r="C548" i="1" l="1"/>
  <c r="B548" i="1" l="1"/>
  <c r="D549" i="1"/>
  <c r="E548" i="1" l="1"/>
  <c r="F548" i="1" s="1"/>
  <c r="D272" i="2" l="1"/>
  <c r="F272" i="2" s="1"/>
  <c r="C546" i="1" l="1"/>
  <c r="B546" i="1" l="1"/>
  <c r="D547" i="1" l="1"/>
  <c r="E546" i="1"/>
  <c r="F546" i="1" s="1"/>
  <c r="D271" i="2" l="1"/>
  <c r="F271" i="2" s="1"/>
  <c r="C544" i="1" l="1"/>
  <c r="C567" i="1" l="1"/>
  <c r="B544" i="1"/>
  <c r="D545" i="1"/>
  <c r="B567" i="1" l="1"/>
  <c r="E567" i="1" s="1"/>
  <c r="G567" i="1" s="1"/>
  <c r="E544" i="1"/>
  <c r="F544" i="1" s="1"/>
  <c r="D270" i="2" l="1"/>
  <c r="F270" i="2" s="1"/>
  <c r="C542" i="1"/>
  <c r="B542" i="1"/>
  <c r="B565" i="1" l="1"/>
  <c r="C565" i="1"/>
  <c r="D543" i="1"/>
  <c r="E542" i="1"/>
  <c r="F542" i="1" s="1"/>
  <c r="E565" i="1" l="1"/>
  <c r="G565" i="1" s="1"/>
  <c r="D269" i="2" l="1"/>
  <c r="F269" i="2" s="1"/>
  <c r="G16" i="3" l="1"/>
  <c r="C540" i="1" l="1"/>
  <c r="C563" i="1" l="1"/>
  <c r="B540" i="1"/>
  <c r="D541" i="1"/>
  <c r="E540" i="1" l="1"/>
  <c r="F540" i="1" s="1"/>
  <c r="B563" i="1"/>
  <c r="E563" i="1" s="1"/>
  <c r="G563" i="1" s="1"/>
  <c r="B561" i="1"/>
  <c r="D268" i="2"/>
  <c r="F268" i="2" s="1"/>
  <c r="C538" i="1"/>
  <c r="B538" i="1"/>
  <c r="D539" i="1"/>
  <c r="E538" i="1" l="1"/>
  <c r="F538" i="1" s="1"/>
  <c r="C561" i="1"/>
  <c r="E561" i="1" s="1"/>
  <c r="G561" i="1" s="1"/>
  <c r="D267" i="2"/>
  <c r="F267" i="2" s="1"/>
  <c r="C536" i="1" l="1"/>
  <c r="C559" i="1" l="1"/>
  <c r="B536" i="1"/>
  <c r="D537" i="1"/>
  <c r="E536" i="1" l="1"/>
  <c r="F536" i="1" s="1"/>
  <c r="B559" i="1"/>
  <c r="E559" i="1" s="1"/>
  <c r="G559" i="1" s="1"/>
  <c r="B557" i="1"/>
  <c r="D266" i="2"/>
  <c r="F266" i="2" s="1"/>
  <c r="B534" i="1"/>
  <c r="C534" i="1" l="1"/>
  <c r="C557" i="1" l="1"/>
  <c r="E557" i="1" s="1"/>
  <c r="G557" i="1" s="1"/>
  <c r="E534" i="1"/>
  <c r="F534" i="1" s="1"/>
  <c r="D535" i="1"/>
  <c r="D265" i="2" l="1"/>
  <c r="F265" i="2" s="1"/>
  <c r="C532" i="1" l="1"/>
  <c r="C555" i="1" l="1"/>
  <c r="B532" i="1"/>
  <c r="D533" i="1"/>
  <c r="B555" i="1" l="1"/>
  <c r="E555" i="1" s="1"/>
  <c r="G555" i="1" s="1"/>
  <c r="E532" i="1"/>
  <c r="F532" i="1" s="1"/>
  <c r="D264" i="2"/>
  <c r="F264" i="2" s="1"/>
  <c r="C530" i="1" l="1"/>
  <c r="C553" i="1" l="1"/>
  <c r="B530" i="1"/>
  <c r="D531" i="1"/>
  <c r="B553" i="1" l="1"/>
  <c r="E553" i="1" s="1"/>
  <c r="G553" i="1" s="1"/>
  <c r="E530" i="1"/>
  <c r="F530" i="1" s="1"/>
  <c r="D263" i="2"/>
  <c r="F263" i="2" s="1"/>
  <c r="C528" i="1" l="1"/>
  <c r="C551" i="1" l="1"/>
  <c r="B528" i="1"/>
  <c r="D529" i="1"/>
  <c r="B551" i="1" l="1"/>
  <c r="E551" i="1" s="1"/>
  <c r="G551" i="1" s="1"/>
  <c r="E528" i="1"/>
  <c r="F528" i="1" s="1"/>
  <c r="D262" i="2"/>
  <c r="F262" i="2" s="1"/>
  <c r="C526" i="1" l="1"/>
  <c r="C549" i="1" l="1"/>
  <c r="B526" i="1"/>
  <c r="D527" i="1"/>
  <c r="B549" i="1" l="1"/>
  <c r="E549" i="1" s="1"/>
  <c r="G549" i="1" s="1"/>
  <c r="E526" i="1"/>
  <c r="F526" i="1" s="1"/>
  <c r="B524" i="1"/>
  <c r="D261" i="2"/>
  <c r="F261" i="2" s="1"/>
  <c r="B547" i="1" l="1"/>
  <c r="C524" i="1"/>
  <c r="C547" i="1" l="1"/>
  <c r="E547" i="1" s="1"/>
  <c r="G547" i="1" s="1"/>
  <c r="E524" i="1"/>
  <c r="F524" i="1" s="1"/>
  <c r="D525" i="1"/>
  <c r="D260" i="2" l="1"/>
  <c r="F260" i="2" s="1"/>
  <c r="C522" i="1" l="1"/>
  <c r="C545" i="1" l="1"/>
  <c r="B522" i="1"/>
  <c r="D523" i="1"/>
  <c r="B545" i="1" l="1"/>
  <c r="E545" i="1" s="1"/>
  <c r="G545" i="1" s="1"/>
  <c r="E522" i="1"/>
  <c r="F522" i="1" s="1"/>
  <c r="D259" i="2"/>
  <c r="F259" i="2" s="1"/>
  <c r="C520" i="1" l="1"/>
  <c r="B520" i="1"/>
  <c r="D521" i="1"/>
  <c r="B543" i="1" l="1"/>
  <c r="C543" i="1"/>
  <c r="E520" i="1"/>
  <c r="F520" i="1" s="1"/>
  <c r="D258" i="2"/>
  <c r="F258" i="2" s="1"/>
  <c r="E543" i="1" l="1"/>
  <c r="G543" i="1" s="1"/>
  <c r="C518" i="1"/>
  <c r="B518" i="1"/>
  <c r="C541" i="1" l="1"/>
  <c r="B541" i="1"/>
  <c r="E541" i="1" s="1"/>
  <c r="G541" i="1" s="1"/>
  <c r="D519" i="1"/>
  <c r="E518" i="1"/>
  <c r="F518" i="1" s="1"/>
  <c r="D257" i="2" l="1"/>
  <c r="F257" i="2" s="1"/>
  <c r="C516" i="1" l="1"/>
  <c r="C539" i="1" l="1"/>
  <c r="B516" i="1"/>
  <c r="D517" i="1"/>
  <c r="B539" i="1" l="1"/>
  <c r="E539" i="1"/>
  <c r="G539" i="1" s="1"/>
  <c r="E516" i="1"/>
  <c r="F516" i="1"/>
  <c r="D256" i="2"/>
  <c r="F256" i="2" s="1"/>
  <c r="C514" i="1" l="1"/>
  <c r="C537" i="1" l="1"/>
  <c r="B514" i="1"/>
  <c r="D515" i="1"/>
  <c r="B537" i="1" l="1"/>
  <c r="E537" i="1" s="1"/>
  <c r="G537" i="1" s="1"/>
  <c r="E514" i="1"/>
  <c r="F514" i="1" s="1"/>
  <c r="D255" i="2"/>
  <c r="F255" i="2" s="1"/>
  <c r="C512" i="1" l="1"/>
  <c r="C535" i="1" s="1"/>
  <c r="B512" i="1" l="1"/>
  <c r="B535" i="1" s="1"/>
  <c r="E535" i="1" s="1"/>
  <c r="G535" i="1" s="1"/>
  <c r="D513" i="1"/>
  <c r="E512" i="1" l="1"/>
  <c r="F512" i="1" s="1"/>
  <c r="D254" i="2"/>
  <c r="F254" i="2" s="1"/>
  <c r="C510" i="1" l="1"/>
  <c r="B510" i="1"/>
  <c r="C533" i="1" l="1"/>
  <c r="B533" i="1"/>
  <c r="D511" i="1"/>
  <c r="E510" i="1"/>
  <c r="F510" i="1" s="1"/>
  <c r="E533" i="1" l="1"/>
  <c r="G533" i="1" s="1"/>
  <c r="D253" i="2"/>
  <c r="F253" i="2" s="1"/>
  <c r="C508" i="1" l="1"/>
  <c r="C531" i="1" l="1"/>
  <c r="B508" i="1"/>
  <c r="B531" i="1" l="1"/>
  <c r="E531" i="1" s="1"/>
  <c r="G531" i="1" s="1"/>
  <c r="D509" i="1"/>
  <c r="E508" i="1"/>
  <c r="F508" i="1" s="1"/>
  <c r="D252" i="2" l="1"/>
  <c r="F252" i="2"/>
  <c r="C506" i="1" l="1"/>
  <c r="C529" i="1" l="1"/>
  <c r="B506" i="1"/>
  <c r="D507" i="1"/>
  <c r="B529" i="1" l="1"/>
  <c r="E529" i="1" s="1"/>
  <c r="G529" i="1" s="1"/>
  <c r="E506" i="1"/>
  <c r="F506" i="1" s="1"/>
  <c r="D251" i="2"/>
  <c r="F251" i="2" s="1"/>
  <c r="C504" i="1" l="1"/>
  <c r="C527" i="1" l="1"/>
  <c r="B504" i="1"/>
  <c r="D505" i="1"/>
  <c r="E504" i="1" l="1"/>
  <c r="F504" i="1" s="1"/>
  <c r="B527" i="1"/>
  <c r="E527" i="1" s="1"/>
  <c r="G527" i="1" s="1"/>
  <c r="D250" i="2"/>
  <c r="F250" i="2" s="1"/>
  <c r="C502" i="1"/>
  <c r="C525" i="1" l="1"/>
  <c r="B502" i="1"/>
  <c r="B525" i="1" l="1"/>
  <c r="E525" i="1" s="1"/>
  <c r="G525" i="1" s="1"/>
  <c r="D503" i="1"/>
  <c r="E502" i="1" l="1"/>
  <c r="F502" i="1" s="1"/>
  <c r="D249" i="2"/>
  <c r="F249" i="2" l="1"/>
  <c r="C500" i="1"/>
  <c r="C523" i="1" l="1"/>
  <c r="B500" i="1"/>
  <c r="D501" i="1"/>
  <c r="B523" i="1" l="1"/>
  <c r="E523" i="1" s="1"/>
  <c r="G523" i="1" s="1"/>
  <c r="E500" i="1"/>
  <c r="F500" i="1" s="1"/>
  <c r="G16" i="6"/>
  <c r="D248" i="2"/>
  <c r="F248" i="2" s="1"/>
  <c r="C498" i="1" l="1"/>
  <c r="C521" i="1" l="1"/>
  <c r="B498" i="1"/>
  <c r="D499" i="1"/>
  <c r="B521" i="1" l="1"/>
  <c r="E521" i="1" s="1"/>
  <c r="G521" i="1" s="1"/>
  <c r="E498" i="1"/>
  <c r="F498" i="1" s="1"/>
  <c r="E13" i="4"/>
  <c r="D247" i="2"/>
  <c r="F247" i="2" s="1"/>
  <c r="C496" i="1" l="1"/>
  <c r="C519" i="1" l="1"/>
  <c r="B496" i="1"/>
  <c r="D497" i="1"/>
  <c r="E496" i="1" l="1"/>
  <c r="F496" i="1" s="1"/>
  <c r="B519" i="1"/>
  <c r="E519" i="1" s="1"/>
  <c r="G519" i="1" s="1"/>
  <c r="D246" i="2"/>
  <c r="F246" i="2" s="1"/>
  <c r="C494" i="1" l="1"/>
  <c r="C517" i="1" l="1"/>
  <c r="B494" i="1"/>
  <c r="E494" i="1" s="1"/>
  <c r="F494" i="1" s="1"/>
  <c r="D495" i="1"/>
  <c r="B517" i="1" l="1"/>
  <c r="E517" i="1" s="1"/>
  <c r="G517" i="1" s="1"/>
  <c r="D245" i="2"/>
  <c r="F245" i="2" s="1"/>
  <c r="C492" i="1" l="1"/>
  <c r="C515" i="1" l="1"/>
  <c r="B492" i="1"/>
  <c r="D493" i="1"/>
  <c r="B515" i="1" l="1"/>
  <c r="E515" i="1" s="1"/>
  <c r="G515" i="1" s="1"/>
  <c r="E492" i="1"/>
  <c r="F492" i="1" s="1"/>
  <c r="B4" i="4" l="1"/>
  <c r="D244" i="2" l="1"/>
  <c r="F244" i="2" s="1"/>
  <c r="C490" i="1" l="1"/>
  <c r="C513" i="1" l="1"/>
  <c r="B490" i="1"/>
  <c r="D491" i="1"/>
  <c r="B513" i="1" l="1"/>
  <c r="E513" i="1" s="1"/>
  <c r="G513" i="1" s="1"/>
  <c r="E490" i="1"/>
  <c r="F490" i="1" s="1"/>
  <c r="B488" i="1"/>
  <c r="B511" i="1" s="1"/>
  <c r="D243" i="2" l="1"/>
  <c r="F243" i="2" s="1"/>
  <c r="C488" i="1" l="1"/>
  <c r="C511" i="1" l="1"/>
  <c r="E511" i="1" s="1"/>
  <c r="G511" i="1" s="1"/>
  <c r="E488" i="1"/>
  <c r="F488" i="1" s="1"/>
  <c r="D489" i="1"/>
  <c r="D242" i="2" l="1"/>
  <c r="F242" i="2" s="1"/>
  <c r="C486" i="1" l="1"/>
  <c r="C509" i="1" l="1"/>
  <c r="B486" i="1"/>
  <c r="B509" i="1" l="1"/>
  <c r="E509" i="1" s="1"/>
  <c r="G509" i="1" s="1"/>
  <c r="D487" i="1"/>
  <c r="E486" i="1"/>
  <c r="F486" i="1" s="1"/>
  <c r="D241" i="2" l="1"/>
  <c r="F241" i="2" s="1"/>
  <c r="C484" i="1" l="1"/>
  <c r="C507" i="1" l="1"/>
  <c r="B484" i="1"/>
  <c r="D485" i="1"/>
  <c r="B507" i="1" l="1"/>
  <c r="E507" i="1" s="1"/>
  <c r="G507" i="1" s="1"/>
  <c r="E484" i="1"/>
  <c r="F484" i="1" s="1"/>
  <c r="B482" i="1"/>
  <c r="B505" i="1" s="1"/>
  <c r="G23" i="3" l="1"/>
  <c r="D240" i="2"/>
  <c r="F240" i="2" s="1"/>
  <c r="C482" i="1" l="1"/>
  <c r="C505" i="1" s="1"/>
  <c r="E505" i="1" s="1"/>
  <c r="G505" i="1" s="1"/>
  <c r="D483" i="1" l="1"/>
  <c r="E482" i="1"/>
  <c r="F482" i="1" s="1"/>
  <c r="G16" i="5" l="1"/>
  <c r="D239" i="2" l="1"/>
  <c r="C480" i="1"/>
  <c r="B480" i="1"/>
  <c r="E480" i="1" s="1"/>
  <c r="F480" i="1" s="1"/>
  <c r="D481" i="1"/>
  <c r="C503" i="1" l="1"/>
  <c r="B503" i="1"/>
  <c r="E503" i="1" s="1"/>
  <c r="G503" i="1" s="1"/>
  <c r="F239" i="2"/>
  <c r="D238" i="2" l="1"/>
  <c r="F238" i="2"/>
  <c r="C478" i="1" l="1"/>
  <c r="B478" i="1"/>
  <c r="B501" i="1" l="1"/>
  <c r="C501" i="1"/>
  <c r="D479" i="1"/>
  <c r="E478" i="1"/>
  <c r="F478" i="1" s="1"/>
  <c r="E501" i="1" l="1"/>
  <c r="G501" i="1" s="1"/>
  <c r="C20" i="5"/>
  <c r="C25" i="3"/>
  <c r="C11" i="3"/>
  <c r="C14" i="3" s="1"/>
  <c r="D237" i="2"/>
  <c r="F237" i="2" s="1"/>
  <c r="G25" i="3" l="1"/>
  <c r="C476" i="1"/>
  <c r="B476" i="1"/>
  <c r="B499" i="1" l="1"/>
  <c r="E476" i="1"/>
  <c r="F476" i="1" s="1"/>
  <c r="C499" i="1"/>
  <c r="D477" i="1"/>
  <c r="E499" i="1" l="1"/>
  <c r="G499" i="1" s="1"/>
  <c r="D236" i="2"/>
  <c r="F236" i="2" s="1"/>
  <c r="C474" i="1"/>
  <c r="B474" i="1"/>
  <c r="D475" i="1"/>
  <c r="B497" i="1" l="1"/>
  <c r="C497" i="1"/>
  <c r="E474" i="1"/>
  <c r="F474" i="1" s="1"/>
  <c r="D235" i="2"/>
  <c r="F235" i="2" s="1"/>
  <c r="D473" i="1"/>
  <c r="E497" i="1" l="1"/>
  <c r="G497" i="1" s="1"/>
  <c r="C472" i="1"/>
  <c r="C495" i="1" l="1"/>
  <c r="B472" i="1"/>
  <c r="E472" i="1" l="1"/>
  <c r="F472" i="1" s="1"/>
  <c r="B495" i="1"/>
  <c r="E495" i="1" s="1"/>
  <c r="G495" i="1" s="1"/>
  <c r="D234" i="2"/>
  <c r="F234" i="2" s="1"/>
  <c r="C470" i="1"/>
  <c r="B470" i="1"/>
  <c r="D471" i="1"/>
  <c r="C493" i="1" l="1"/>
  <c r="B493" i="1"/>
  <c r="E493" i="1" s="1"/>
  <c r="G493" i="1" s="1"/>
  <c r="E470" i="1"/>
  <c r="F470" i="1" s="1"/>
  <c r="D233" i="2" l="1"/>
  <c r="F233" i="2" s="1"/>
  <c r="C468" i="1"/>
  <c r="B468" i="1"/>
  <c r="D469" i="1"/>
  <c r="C491" i="1" l="1"/>
  <c r="B491" i="1"/>
  <c r="E468" i="1"/>
  <c r="F468" i="1" s="1"/>
  <c r="D232" i="2"/>
  <c r="F232" i="2" s="1"/>
  <c r="C466" i="1"/>
  <c r="B466" i="1"/>
  <c r="B489" i="1" s="1"/>
  <c r="E491" i="1" l="1"/>
  <c r="C489" i="1"/>
  <c r="E489" i="1" s="1"/>
  <c r="G489" i="1" s="1"/>
  <c r="G491" i="1"/>
  <c r="D467" i="1"/>
  <c r="E466" i="1"/>
  <c r="F466" i="1" s="1"/>
  <c r="D231" i="2" l="1"/>
  <c r="F231" i="2" s="1"/>
  <c r="C464" i="1"/>
  <c r="B464" i="1"/>
  <c r="C487" i="1" l="1"/>
  <c r="B487" i="1"/>
  <c r="D465" i="1"/>
  <c r="E487" i="1" l="1"/>
  <c r="G487" i="1" s="1"/>
  <c r="E464" i="1"/>
  <c r="F464" i="1" s="1"/>
  <c r="C462" i="1"/>
  <c r="B462" i="1"/>
  <c r="D463" i="1"/>
  <c r="C485" i="1" l="1"/>
  <c r="B485" i="1"/>
  <c r="E462" i="1"/>
  <c r="F462" i="1" s="1"/>
  <c r="E485" i="1" l="1"/>
  <c r="G485" i="1" s="1"/>
  <c r="C460" i="1"/>
  <c r="B460" i="1"/>
  <c r="D461" i="1"/>
  <c r="B483" i="1" l="1"/>
  <c r="C483" i="1"/>
  <c r="E460" i="1"/>
  <c r="F460" i="1" s="1"/>
  <c r="D230" i="2"/>
  <c r="F230" i="2" s="1"/>
  <c r="C458" i="1"/>
  <c r="B458" i="1"/>
  <c r="D459" i="1"/>
  <c r="E483" i="1" l="1"/>
  <c r="G483" i="1" s="1"/>
  <c r="C481" i="1"/>
  <c r="B481" i="1"/>
  <c r="E481" i="1" s="1"/>
  <c r="G481" i="1" s="1"/>
  <c r="E458" i="1"/>
  <c r="F458" i="1" s="1"/>
  <c r="D229" i="2"/>
  <c r="F229" i="2" s="1"/>
  <c r="C456" i="1"/>
  <c r="B456" i="1"/>
  <c r="D457" i="1"/>
  <c r="B479" i="1" l="1"/>
  <c r="C479" i="1"/>
  <c r="E456" i="1"/>
  <c r="F456" i="1" s="1"/>
  <c r="D228" i="2"/>
  <c r="F228" i="2" s="1"/>
  <c r="D227" i="2"/>
  <c r="F227" i="2" s="1"/>
  <c r="E479" i="1" l="1"/>
  <c r="G479" i="1" s="1"/>
  <c r="D226" i="2"/>
  <c r="F226" i="2" s="1"/>
  <c r="C454" i="1"/>
  <c r="B454" i="1"/>
  <c r="C477" i="1" l="1"/>
  <c r="B477" i="1"/>
  <c r="E477" i="1" s="1"/>
  <c r="G477" i="1" s="1"/>
  <c r="D455" i="1"/>
  <c r="E454" i="1" l="1"/>
  <c r="F454" i="1" s="1"/>
  <c r="D225" i="2"/>
  <c r="F225" i="2" s="1"/>
  <c r="C452" i="1"/>
  <c r="B452" i="1"/>
  <c r="D453" i="1"/>
  <c r="C475" i="1" l="1"/>
  <c r="B475" i="1"/>
  <c r="E475" i="1" s="1"/>
  <c r="G475" i="1" s="1"/>
  <c r="E452" i="1"/>
  <c r="F452" i="1" s="1"/>
  <c r="C450" i="1" l="1"/>
  <c r="C473" i="1" l="1"/>
  <c r="B450" i="1"/>
  <c r="D224" i="2"/>
  <c r="F224" i="2" s="1"/>
  <c r="D451" i="1"/>
  <c r="B473" i="1" l="1"/>
  <c r="E473" i="1" s="1"/>
  <c r="G473" i="1" s="1"/>
  <c r="E450" i="1"/>
  <c r="F450" i="1" s="1"/>
  <c r="D223" i="2" l="1"/>
  <c r="F223" i="2" s="1"/>
  <c r="C448" i="1" l="1"/>
  <c r="B448" i="1"/>
  <c r="B471" i="1" l="1"/>
  <c r="C471" i="1"/>
  <c r="D449" i="1"/>
  <c r="E471" i="1" l="1"/>
  <c r="G471" i="1" s="1"/>
  <c r="E448" i="1"/>
  <c r="F448" i="1" s="1"/>
  <c r="C446" i="1" l="1"/>
  <c r="C469" i="1" l="1"/>
  <c r="B446" i="1"/>
  <c r="B469" i="1" l="1"/>
  <c r="E469" i="1" s="1"/>
  <c r="G469" i="1" s="1"/>
  <c r="D222" i="2"/>
  <c r="F222" i="2"/>
  <c r="D447" i="1" l="1"/>
  <c r="E446" i="1" l="1"/>
  <c r="F446" i="1" s="1"/>
  <c r="D221" i="2" l="1"/>
  <c r="F221" i="2" s="1"/>
  <c r="C444" i="1"/>
  <c r="B444" i="1"/>
  <c r="C467" i="1" l="1"/>
  <c r="B467" i="1"/>
  <c r="D445" i="1"/>
  <c r="E467" i="1" l="1"/>
  <c r="G467" i="1" s="1"/>
  <c r="E444" i="1"/>
  <c r="F444" i="1" s="1"/>
  <c r="D220" i="2" l="1"/>
  <c r="F220" i="2" s="1"/>
  <c r="C442" i="1" l="1"/>
  <c r="B442" i="1"/>
  <c r="D443" i="1"/>
  <c r="C465" i="1" l="1"/>
  <c r="B465" i="1"/>
  <c r="E442" i="1"/>
  <c r="F442" i="1" s="1"/>
  <c r="D219" i="2"/>
  <c r="F219" i="2" s="1"/>
  <c r="C440" i="1"/>
  <c r="C463" i="1" s="1"/>
  <c r="B440" i="1"/>
  <c r="B463" i="1" s="1"/>
  <c r="E463" i="1" s="1"/>
  <c r="G463" i="1" s="1"/>
  <c r="D441" i="1"/>
  <c r="E465" i="1" l="1"/>
  <c r="G465" i="1" s="1"/>
  <c r="E440" i="1"/>
  <c r="F440" i="1" s="1"/>
  <c r="D218" i="2" l="1"/>
  <c r="F218" i="2" s="1"/>
  <c r="C438" i="1"/>
  <c r="B438" i="1"/>
  <c r="D439" i="1"/>
  <c r="C461" i="1" l="1"/>
  <c r="B461" i="1"/>
  <c r="E461" i="1" s="1"/>
  <c r="G461" i="1" s="1"/>
  <c r="E438" i="1"/>
  <c r="F438" i="1" s="1"/>
  <c r="D217" i="2"/>
  <c r="F217" i="2" s="1"/>
  <c r="C436" i="1"/>
  <c r="B436" i="1"/>
  <c r="E436" i="1" s="1"/>
  <c r="F436" i="1" s="1"/>
  <c r="D437" i="1"/>
  <c r="C459" i="1" l="1"/>
  <c r="B459" i="1"/>
  <c r="E459" i="1" s="1"/>
  <c r="G459" i="1" s="1"/>
  <c r="D216" i="2"/>
  <c r="F216" i="2" s="1"/>
  <c r="D215" i="2"/>
  <c r="D214" i="2"/>
  <c r="C434" i="1"/>
  <c r="C453" i="1" l="1"/>
  <c r="C457" i="1"/>
  <c r="C455" i="1"/>
  <c r="B434" i="1"/>
  <c r="F215" i="2"/>
  <c r="D435" i="1"/>
  <c r="E432" i="1"/>
  <c r="F432" i="1" s="1"/>
  <c r="D433" i="1"/>
  <c r="B455" i="1" l="1"/>
  <c r="E455" i="1" s="1"/>
  <c r="G455" i="1" s="1"/>
  <c r="B457" i="1"/>
  <c r="E457" i="1" s="1"/>
  <c r="G457" i="1" s="1"/>
  <c r="B453" i="1"/>
  <c r="E453" i="1" s="1"/>
  <c r="G453" i="1" s="1"/>
  <c r="E434" i="1"/>
  <c r="F434" i="1" s="1"/>
  <c r="F214" i="2"/>
  <c r="D431" i="1"/>
  <c r="E430" i="1"/>
  <c r="F430" i="1" s="1"/>
  <c r="D213" i="2" l="1"/>
  <c r="F213" i="2" s="1"/>
  <c r="C428" i="1"/>
  <c r="B428" i="1"/>
  <c r="D429" i="1"/>
  <c r="C451" i="1" l="1"/>
  <c r="B451" i="1"/>
  <c r="E451" i="1" s="1"/>
  <c r="G451" i="1" s="1"/>
  <c r="E428" i="1"/>
  <c r="F428" i="1" s="1"/>
  <c r="B426" i="1"/>
  <c r="B449" i="1" l="1"/>
  <c r="D212" i="2"/>
  <c r="F212" i="2" s="1"/>
  <c r="C426" i="1"/>
  <c r="D427" i="1"/>
  <c r="C449" i="1" l="1"/>
  <c r="E449" i="1" s="1"/>
  <c r="G449" i="1" s="1"/>
  <c r="E426" i="1"/>
  <c r="F426" i="1" s="1"/>
  <c r="D211" i="2"/>
  <c r="F211" i="2" s="1"/>
  <c r="C424" i="1"/>
  <c r="B424" i="1"/>
  <c r="D425" i="1"/>
  <c r="B447" i="1" l="1"/>
  <c r="E424" i="1"/>
  <c r="F424" i="1" s="1"/>
  <c r="C447" i="1"/>
  <c r="D210" i="2"/>
  <c r="F210" i="2" s="1"/>
  <c r="C422" i="1"/>
  <c r="B422" i="1"/>
  <c r="D423" i="1"/>
  <c r="C445" i="1" l="1"/>
  <c r="E447" i="1"/>
  <c r="G447" i="1" s="1"/>
  <c r="E422" i="1"/>
  <c r="F422" i="1" s="1"/>
  <c r="B445" i="1"/>
  <c r="D209" i="2"/>
  <c r="F209" i="2" s="1"/>
  <c r="C420" i="1"/>
  <c r="B420" i="1"/>
  <c r="D421" i="1"/>
  <c r="E445" i="1" l="1"/>
  <c r="G445" i="1" s="1"/>
  <c r="E420" i="1"/>
  <c r="F420" i="1" s="1"/>
  <c r="B443" i="1"/>
  <c r="C443" i="1"/>
  <c r="E443" i="1" s="1"/>
  <c r="G443" i="1" s="1"/>
  <c r="D208" i="2"/>
  <c r="F208" i="2" s="1"/>
  <c r="C418" i="1"/>
  <c r="B418" i="1"/>
  <c r="D419" i="1"/>
  <c r="B441" i="1" l="1"/>
  <c r="C441" i="1"/>
  <c r="E418" i="1"/>
  <c r="F418" i="1" s="1"/>
  <c r="D207" i="2"/>
  <c r="F207" i="2" s="1"/>
  <c r="C416" i="1"/>
  <c r="C439" i="1" s="1"/>
  <c r="B416" i="1"/>
  <c r="D417" i="1"/>
  <c r="E441" i="1" l="1"/>
  <c r="G441" i="1" s="1"/>
  <c r="B439" i="1"/>
  <c r="E439" i="1" s="1"/>
  <c r="G439" i="1" s="1"/>
  <c r="E416" i="1"/>
  <c r="F416" i="1" s="1"/>
  <c r="C20" i="6"/>
  <c r="D206" i="2" l="1"/>
  <c r="F206" i="2" s="1"/>
  <c r="B414" i="1" l="1"/>
  <c r="C414" i="1"/>
  <c r="D415" i="1"/>
  <c r="C437" i="1" l="1"/>
  <c r="B437" i="1"/>
  <c r="E437" i="1" s="1"/>
  <c r="G437" i="1" s="1"/>
  <c r="E414" i="1"/>
  <c r="F414" i="1" s="1"/>
  <c r="D205" i="2"/>
  <c r="F205" i="2" s="1"/>
  <c r="C412" i="1"/>
  <c r="C435" i="1" s="1"/>
  <c r="B412" i="1"/>
  <c r="B435" i="1" s="1"/>
  <c r="E435" i="1" s="1"/>
  <c r="G435" i="1" s="1"/>
  <c r="D413" i="1"/>
  <c r="E412" i="1" l="1"/>
  <c r="F412" i="1" s="1"/>
  <c r="D204" i="2"/>
  <c r="F204" i="2" s="1"/>
  <c r="C410" i="1"/>
  <c r="B410" i="1"/>
  <c r="D411" i="1"/>
  <c r="C433" i="1" l="1"/>
  <c r="B433" i="1"/>
  <c r="E410" i="1"/>
  <c r="F410" i="1" s="1"/>
  <c r="E433" i="1" l="1"/>
  <c r="G433" i="1" s="1"/>
  <c r="C27" i="6"/>
  <c r="C29" i="6" s="1"/>
  <c r="C23" i="6"/>
  <c r="G28" i="6"/>
  <c r="G29" i="6" s="1"/>
  <c r="G30" i="6" s="1"/>
  <c r="G14" i="6"/>
  <c r="C9" i="6"/>
  <c r="C11" i="6" s="1"/>
  <c r="C14" i="6" s="1"/>
  <c r="G8" i="6"/>
  <c r="G12" i="6" s="1"/>
  <c r="C5" i="6"/>
  <c r="C17" i="6" s="1"/>
  <c r="A34" i="5"/>
  <c r="A33" i="6" s="1"/>
  <c r="G21" i="5"/>
  <c r="C23" i="5"/>
  <c r="C25" i="5" s="1"/>
  <c r="C17" i="5"/>
  <c r="G14" i="5"/>
  <c r="C11" i="5"/>
  <c r="C9" i="5"/>
  <c r="G5" i="5"/>
  <c r="D13" i="4"/>
  <c r="C13" i="4"/>
  <c r="B13" i="4"/>
  <c r="B16" i="4" s="1"/>
  <c r="C31" i="3"/>
  <c r="G9" i="3" s="1"/>
  <c r="G12" i="3" s="1"/>
  <c r="G30" i="3" s="1"/>
  <c r="G31" i="3" s="1"/>
  <c r="C19" i="3"/>
  <c r="C14" i="5" l="1"/>
  <c r="G21" i="6"/>
  <c r="C27" i="5"/>
  <c r="C29" i="5" s="1"/>
  <c r="G8" i="5"/>
  <c r="G12" i="5" s="1"/>
  <c r="G28" i="5" s="1"/>
  <c r="G29" i="5" s="1"/>
  <c r="G30" i="5" s="1"/>
  <c r="G5" i="6"/>
  <c r="G32" i="3" l="1"/>
  <c r="D203" i="2"/>
  <c r="F203" i="2" s="1"/>
  <c r="C408" i="1"/>
  <c r="B408" i="1"/>
  <c r="D409" i="1"/>
  <c r="B431" i="1" l="1"/>
  <c r="C431" i="1"/>
  <c r="E408" i="1"/>
  <c r="F408" i="1" s="1"/>
  <c r="E431" i="1" l="1"/>
  <c r="G431" i="1" s="1"/>
  <c r="D202" i="2"/>
  <c r="F202" i="2" s="1"/>
  <c r="C406" i="1"/>
  <c r="B406" i="1"/>
  <c r="D407" i="1"/>
  <c r="B429" i="1" l="1"/>
  <c r="C429" i="1"/>
  <c r="E406" i="1"/>
  <c r="F406" i="1" s="1"/>
  <c r="E429" i="1" l="1"/>
  <c r="G429" i="1" s="1"/>
  <c r="D201" i="2"/>
  <c r="F201" i="2" s="1"/>
  <c r="C404" i="1"/>
  <c r="B404" i="1"/>
  <c r="D405" i="1"/>
  <c r="B427" i="1" l="1"/>
  <c r="C427" i="1"/>
  <c r="E404" i="1"/>
  <c r="F404" i="1" s="1"/>
  <c r="D200" i="2"/>
  <c r="F200" i="2" s="1"/>
  <c r="C402" i="1"/>
  <c r="B402" i="1"/>
  <c r="D403" i="1"/>
  <c r="E427" i="1" l="1"/>
  <c r="G427" i="1" s="1"/>
  <c r="B425" i="1"/>
  <c r="C425" i="1"/>
  <c r="E402" i="1"/>
  <c r="F402" i="1" s="1"/>
  <c r="D199" i="2"/>
  <c r="F199" i="2" s="1"/>
  <c r="C400" i="1"/>
  <c r="C423" i="1" s="1"/>
  <c r="B400" i="1"/>
  <c r="B423" i="1" s="1"/>
  <c r="D401" i="1"/>
  <c r="E423" i="1" l="1"/>
  <c r="G423" i="1" s="1"/>
  <c r="E425" i="1"/>
  <c r="G425" i="1" s="1"/>
  <c r="E400" i="1"/>
  <c r="F400" i="1" s="1"/>
  <c r="D198" i="2"/>
  <c r="F198" i="2" s="1"/>
  <c r="C398" i="1"/>
  <c r="C421" i="1" s="1"/>
  <c r="B398" i="1"/>
  <c r="B421" i="1" s="1"/>
  <c r="D399" i="1"/>
  <c r="E421" i="1" l="1"/>
  <c r="G421" i="1" s="1"/>
  <c r="E398" i="1"/>
  <c r="F398" i="1" s="1"/>
  <c r="D197" i="2"/>
  <c r="F197" i="2" s="1"/>
  <c r="C396" i="1"/>
  <c r="B396" i="1"/>
  <c r="B419" i="1" s="1"/>
  <c r="D397" i="1"/>
  <c r="C419" i="1" l="1"/>
  <c r="E419" i="1" s="1"/>
  <c r="G419" i="1" s="1"/>
  <c r="E396" i="1"/>
  <c r="F396" i="1" s="1"/>
  <c r="D196" i="2" l="1"/>
  <c r="F196" i="2" s="1"/>
  <c r="C394" i="1"/>
  <c r="B394" i="1"/>
  <c r="D395" i="1"/>
  <c r="C417" i="1" l="1"/>
  <c r="B417" i="1"/>
  <c r="E394" i="1"/>
  <c r="F394" i="1" s="1"/>
  <c r="E417" i="1" l="1"/>
  <c r="G417" i="1" s="1"/>
  <c r="D195" i="2"/>
  <c r="F195" i="2" s="1"/>
  <c r="C392" i="1"/>
  <c r="C415" i="1" s="1"/>
  <c r="B392" i="1"/>
  <c r="B415" i="1" s="1"/>
  <c r="D393" i="1"/>
  <c r="E415" i="1" l="1"/>
  <c r="G415" i="1" s="1"/>
  <c r="E392" i="1"/>
  <c r="F392" i="1" s="1"/>
  <c r="D194" i="2" l="1"/>
  <c r="F194" i="2" s="1"/>
  <c r="C390" i="1"/>
  <c r="B390" i="1"/>
  <c r="D391" i="1"/>
  <c r="B413" i="1" l="1"/>
  <c r="C413" i="1"/>
  <c r="E390" i="1"/>
  <c r="F390" i="1" s="1"/>
  <c r="E413" i="1" l="1"/>
  <c r="G413" i="1" s="1"/>
  <c r="D193" i="2"/>
  <c r="F193" i="2" s="1"/>
  <c r="C388" i="1"/>
  <c r="B388" i="1"/>
  <c r="D389" i="1"/>
  <c r="D192" i="2"/>
  <c r="F192" i="2" s="1"/>
  <c r="C386" i="1"/>
  <c r="B386" i="1"/>
  <c r="D387" i="1"/>
  <c r="D191" i="2"/>
  <c r="F191" i="2" s="1"/>
  <c r="C384" i="1"/>
  <c r="B384" i="1"/>
  <c r="D385" i="1"/>
  <c r="B409" i="1" l="1"/>
  <c r="B411" i="1"/>
  <c r="B407" i="1"/>
  <c r="E386" i="1"/>
  <c r="F386" i="1" s="1"/>
  <c r="C409" i="1"/>
  <c r="E409" i="1" s="1"/>
  <c r="G409" i="1" s="1"/>
  <c r="C407" i="1"/>
  <c r="C411" i="1"/>
  <c r="E388" i="1"/>
  <c r="F388" i="1" s="1"/>
  <c r="E384" i="1"/>
  <c r="F384" i="1" s="1"/>
  <c r="D190" i="2"/>
  <c r="F190" i="2" s="1"/>
  <c r="C382" i="1"/>
  <c r="B382" i="1"/>
  <c r="D383" i="1"/>
  <c r="D189" i="2"/>
  <c r="F189" i="2" s="1"/>
  <c r="C380" i="1"/>
  <c r="B380" i="1"/>
  <c r="D381" i="1"/>
  <c r="D188" i="2"/>
  <c r="F188" i="2" s="1"/>
  <c r="C378" i="1"/>
  <c r="B378" i="1"/>
  <c r="D379" i="1"/>
  <c r="B401" i="1" l="1"/>
  <c r="C403" i="1"/>
  <c r="C405" i="1"/>
  <c r="E407" i="1"/>
  <c r="G407" i="1" s="1"/>
  <c r="B403" i="1"/>
  <c r="C401" i="1"/>
  <c r="E401" i="1" s="1"/>
  <c r="G401" i="1" s="1"/>
  <c r="B405" i="1"/>
  <c r="E411" i="1"/>
  <c r="G411" i="1" s="1"/>
  <c r="E382" i="1"/>
  <c r="F382" i="1" s="1"/>
  <c r="E380" i="1"/>
  <c r="F380" i="1" s="1"/>
  <c r="E378" i="1"/>
  <c r="F378" i="1" s="1"/>
  <c r="D187" i="2"/>
  <c r="F187" i="2" s="1"/>
  <c r="E403" i="1" l="1"/>
  <c r="G403" i="1" s="1"/>
  <c r="E405" i="1"/>
  <c r="G405" i="1" s="1"/>
  <c r="C376" i="1"/>
  <c r="B376" i="1"/>
  <c r="D377" i="1"/>
  <c r="B399" i="1" l="1"/>
  <c r="C399" i="1"/>
  <c r="E376" i="1"/>
  <c r="F376" i="1" s="1"/>
  <c r="E399" i="1" l="1"/>
  <c r="G399" i="1" s="1"/>
  <c r="D186" i="2"/>
  <c r="F186" i="2" s="1"/>
  <c r="B374" i="1"/>
  <c r="C374" i="1"/>
  <c r="D375" i="1"/>
  <c r="B397" i="1" l="1"/>
  <c r="C397" i="1"/>
  <c r="E397" i="1" s="1"/>
  <c r="G397" i="1" s="1"/>
  <c r="E374" i="1"/>
  <c r="F374" i="1" s="1"/>
  <c r="D185" i="2"/>
  <c r="F185" i="2" s="1"/>
  <c r="C372" i="1"/>
  <c r="B372" i="1"/>
  <c r="B395" i="1" s="1"/>
  <c r="D373" i="1"/>
  <c r="C395" i="1" l="1"/>
  <c r="E395" i="1" s="1"/>
  <c r="G395" i="1" s="1"/>
  <c r="E372" i="1"/>
  <c r="F372" i="1" s="1"/>
  <c r="D184" i="2"/>
  <c r="F184" i="2" s="1"/>
  <c r="C370" i="1"/>
  <c r="B370" i="1"/>
  <c r="B393" i="1" s="1"/>
  <c r="D371" i="1"/>
  <c r="C393" i="1" l="1"/>
  <c r="E393" i="1" s="1"/>
  <c r="G393" i="1" s="1"/>
  <c r="E370" i="1"/>
  <c r="F370" i="1" s="1"/>
  <c r="D183" i="2"/>
  <c r="F183" i="2" s="1"/>
  <c r="C368" i="1"/>
  <c r="C391" i="1" s="1"/>
  <c r="B368" i="1"/>
  <c r="B391" i="1" s="1"/>
  <c r="D369" i="1"/>
  <c r="E391" i="1" l="1"/>
  <c r="G391" i="1" s="1"/>
  <c r="E368" i="1"/>
  <c r="F368" i="1" s="1"/>
  <c r="D182" i="2"/>
  <c r="F182" i="2" s="1"/>
  <c r="B366" i="1"/>
  <c r="B389" i="1" s="1"/>
  <c r="C366" i="1"/>
  <c r="C389" i="1" s="1"/>
  <c r="D367" i="1"/>
  <c r="E389" i="1" l="1"/>
  <c r="G389" i="1" s="1"/>
  <c r="E366" i="1"/>
  <c r="F366" i="1" s="1"/>
  <c r="D181" i="2" l="1"/>
  <c r="F181" i="2" s="1"/>
  <c r="C364" i="1"/>
  <c r="C387" i="1" s="1"/>
  <c r="B364" i="1"/>
  <c r="B387" i="1" s="1"/>
  <c r="D365" i="1"/>
  <c r="D180" i="2"/>
  <c r="F180" i="2" s="1"/>
  <c r="C362" i="1"/>
  <c r="B362" i="1"/>
  <c r="D363" i="1"/>
  <c r="D179" i="2"/>
  <c r="F179" i="2" s="1"/>
  <c r="C360" i="1"/>
  <c r="B360" i="1"/>
  <c r="D361" i="1"/>
  <c r="D178" i="2"/>
  <c r="F178" i="2" s="1"/>
  <c r="C358" i="1"/>
  <c r="B358" i="1"/>
  <c r="D359" i="1"/>
  <c r="E387" i="1" l="1"/>
  <c r="G387" i="1" s="1"/>
  <c r="B385" i="1"/>
  <c r="B383" i="1"/>
  <c r="C383" i="1"/>
  <c r="C385" i="1"/>
  <c r="B381" i="1"/>
  <c r="C381" i="1"/>
  <c r="E364" i="1"/>
  <c r="F364" i="1" s="1"/>
  <c r="E362" i="1"/>
  <c r="F362" i="1" s="1"/>
  <c r="E360" i="1"/>
  <c r="F360" i="1" s="1"/>
  <c r="E358" i="1"/>
  <c r="F358" i="1" s="1"/>
  <c r="C356" i="1"/>
  <c r="C379" i="1" s="1"/>
  <c r="D177" i="2"/>
  <c r="F177" i="2" s="1"/>
  <c r="B356" i="1"/>
  <c r="D357" i="1"/>
  <c r="D176" i="2"/>
  <c r="F176" i="2" s="1"/>
  <c r="C354" i="1"/>
  <c r="B354" i="1"/>
  <c r="D355" i="1"/>
  <c r="D175" i="2"/>
  <c r="F175" i="2" s="1"/>
  <c r="C352" i="1"/>
  <c r="B352" i="1"/>
  <c r="D353" i="1"/>
  <c r="D174" i="2"/>
  <c r="F174" i="2" s="1"/>
  <c r="D173" i="2"/>
  <c r="F173" i="2" s="1"/>
  <c r="G173" i="2" s="1"/>
  <c r="C350" i="1"/>
  <c r="C351" i="1" s="1"/>
  <c r="B350" i="1"/>
  <c r="D351" i="1"/>
  <c r="D349" i="1"/>
  <c r="C349" i="1"/>
  <c r="B349" i="1"/>
  <c r="B361" i="1" l="1"/>
  <c r="E385" i="1"/>
  <c r="G385" i="1" s="1"/>
  <c r="E383" i="1"/>
  <c r="G383" i="1" s="1"/>
  <c r="B377" i="1"/>
  <c r="E381" i="1"/>
  <c r="G381" i="1" s="1"/>
  <c r="C377" i="1"/>
  <c r="B367" i="1"/>
  <c r="B379" i="1"/>
  <c r="E379" i="1" s="1"/>
  <c r="G379" i="1" s="1"/>
  <c r="B371" i="1"/>
  <c r="C373" i="1"/>
  <c r="B375" i="1"/>
  <c r="C365" i="1"/>
  <c r="C371" i="1"/>
  <c r="B373" i="1"/>
  <c r="C367" i="1"/>
  <c r="C375" i="1"/>
  <c r="C369" i="1"/>
  <c r="B363" i="1"/>
  <c r="B369" i="1"/>
  <c r="E349" i="1"/>
  <c r="B365" i="1"/>
  <c r="B351" i="1"/>
  <c r="E351" i="1" s="1"/>
  <c r="G351" i="1" s="1"/>
  <c r="E350" i="1"/>
  <c r="F350" i="1" s="1"/>
  <c r="G174" i="2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C359" i="1"/>
  <c r="C361" i="1"/>
  <c r="E361" i="1" s="1"/>
  <c r="G361" i="1" s="1"/>
  <c r="B353" i="1"/>
  <c r="B355" i="1"/>
  <c r="B357" i="1"/>
  <c r="B359" i="1"/>
  <c r="C353" i="1"/>
  <c r="C355" i="1"/>
  <c r="C357" i="1"/>
  <c r="C363" i="1"/>
  <c r="E356" i="1"/>
  <c r="F356" i="1" s="1"/>
  <c r="E354" i="1"/>
  <c r="F354" i="1" s="1"/>
  <c r="E352" i="1"/>
  <c r="F352" i="1" s="1"/>
  <c r="E367" i="1" l="1"/>
  <c r="G367" i="1" s="1"/>
  <c r="E373" i="1"/>
  <c r="G373" i="1" s="1"/>
  <c r="E377" i="1"/>
  <c r="G377" i="1" s="1"/>
  <c r="E369" i="1"/>
  <c r="G369" i="1" s="1"/>
  <c r="E375" i="1"/>
  <c r="G375" i="1" s="1"/>
  <c r="E365" i="1"/>
  <c r="G365" i="1" s="1"/>
  <c r="E357" i="1"/>
  <c r="G357" i="1" s="1"/>
  <c r="E355" i="1"/>
  <c r="G355" i="1" s="1"/>
  <c r="E371" i="1"/>
  <c r="G371" i="1" s="1"/>
  <c r="E363" i="1"/>
  <c r="G363" i="1" s="1"/>
  <c r="E359" i="1"/>
  <c r="G359" i="1" s="1"/>
  <c r="E353" i="1"/>
  <c r="G3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McRoberts</author>
  </authors>
  <commentList>
    <comment ref="B44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Jennifer McRoberts:</t>
        </r>
        <r>
          <rPr>
            <sz val="9"/>
            <color indexed="81"/>
            <rFont val="Tahoma"/>
            <family val="2"/>
          </rPr>
          <t xml:space="preserve">
Dravo did not use minimum but fuel adj charged on ACTUAL kwh.  Subtracted billed kwh and added back actual. Will be the same in April. </t>
        </r>
      </text>
    </comment>
    <comment ref="C44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Jennifer McRoberts:</t>
        </r>
        <r>
          <rPr>
            <sz val="9"/>
            <color indexed="81"/>
            <rFont val="Tahoma"/>
            <family val="2"/>
          </rPr>
          <t xml:space="preserve">
Dravo did not use minimum in March but Fuel Adj was charged on ACTUAL KWH. Subtracted the KWH charged on FJ#1701 and added back in the actual for FAC purposes.  Will be the same in April also. </t>
        </r>
      </text>
    </comment>
    <comment ref="D44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Jennifer McRoberts:</t>
        </r>
        <r>
          <rPr>
            <sz val="9"/>
            <color indexed="81"/>
            <rFont val="Tahoma"/>
            <family val="2"/>
          </rPr>
          <t xml:space="preserve">
This was co-op usage for APRIL - will use March's usage in April to correct.  </t>
        </r>
      </text>
    </comment>
    <comment ref="B44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Jennifer McRoberts:</t>
        </r>
        <r>
          <rPr>
            <sz val="9"/>
            <color indexed="81"/>
            <rFont val="Tahoma"/>
            <family val="2"/>
          </rPr>
          <t xml:space="preserve">
Dravo did not use minimum but fuel adj charged on ACTUAL kwh.  Subtracted billed kwh and added back actual. Will be the same in April. </t>
        </r>
      </text>
    </comment>
    <comment ref="C44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Jennifer McRoberts:</t>
        </r>
        <r>
          <rPr>
            <sz val="9"/>
            <color indexed="81"/>
            <rFont val="Tahoma"/>
            <family val="2"/>
          </rPr>
          <t xml:space="preserve">
Dravo did not use minimum in March but Fuel Adj was charged on ACTUAL KWH. Subtracted the KWH charged on FJ#1701 and added back in the actual for FAC purposes.  Will be the same in April also. </t>
        </r>
      </text>
    </comment>
    <comment ref="D44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Jennifer McRoberts:</t>
        </r>
        <r>
          <rPr>
            <sz val="9"/>
            <color indexed="81"/>
            <rFont val="Tahoma"/>
            <family val="2"/>
          </rPr>
          <t xml:space="preserve">
Used April's usage last month in March. This is March usage to correct.</t>
        </r>
      </text>
    </comment>
    <comment ref="B45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Jennifer McRoberts:</t>
        </r>
        <r>
          <rPr>
            <sz val="9"/>
            <color indexed="81"/>
            <rFont val="Tahoma"/>
            <family val="2"/>
          </rPr>
          <t xml:space="preserve">
dravo did not use minimum, subtracted billed and added actual</t>
        </r>
      </text>
    </comment>
    <comment ref="C45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Jennifer McRoberts:</t>
        </r>
        <r>
          <rPr>
            <sz val="9"/>
            <color indexed="81"/>
            <rFont val="Tahoma"/>
            <family val="2"/>
          </rPr>
          <t xml:space="preserve">
dravo did not meet minimum but fuel adj was charged on actual kwh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McRoberts</author>
  </authors>
  <commentList>
    <comment ref="C2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Jennifer McRoberts:</t>
        </r>
        <r>
          <rPr>
            <sz val="9"/>
            <color indexed="81"/>
            <rFont val="Tahoma"/>
            <family val="2"/>
          </rPr>
          <t xml:space="preserve">
april coop FA</t>
        </r>
      </text>
    </comment>
    <comment ref="C2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Jennifer McRoberts:</t>
        </r>
        <r>
          <rPr>
            <sz val="9"/>
            <color indexed="81"/>
            <rFont val="Tahoma"/>
            <family val="2"/>
          </rPr>
          <t xml:space="preserve">
March coop FA</t>
        </r>
      </text>
    </comment>
  </commentList>
</comments>
</file>

<file path=xl/sharedStrings.xml><?xml version="1.0" encoding="utf-8"?>
<sst xmlns="http://schemas.openxmlformats.org/spreadsheetml/2006/main" count="503" uniqueCount="395">
  <si>
    <t xml:space="preserve">FLEMING-MASON ENERGY </t>
  </si>
  <si>
    <t>LINE LOSS</t>
  </si>
  <si>
    <t>(LINE LOSS NOT TO EXCEED 10%)</t>
  </si>
  <si>
    <t>TOTAL</t>
  </si>
  <si>
    <t>LESS TOTAL</t>
  </si>
  <si>
    <t>LESS</t>
  </si>
  <si>
    <t>L.4 / L. 1</t>
  </si>
  <si>
    <t>AVERAGE</t>
  </si>
  <si>
    <t>KWH</t>
  </si>
  <si>
    <t>OFFICE</t>
  </si>
  <si>
    <t>UNACCOUNTED</t>
  </si>
  <si>
    <t>LINE</t>
  </si>
  <si>
    <t>MONTH</t>
  </si>
  <si>
    <t>PURCHASED</t>
  </si>
  <si>
    <t>SOLD</t>
  </si>
  <si>
    <t>USE</t>
  </si>
  <si>
    <t>FOR</t>
  </si>
  <si>
    <t>%LINE LOSS</t>
  </si>
  <si>
    <t>LOSS</t>
  </si>
  <si>
    <t>FLEMING-MASON ENERGY</t>
  </si>
  <si>
    <t>FUEL COST RECOVERY</t>
  </si>
  <si>
    <t>BALANCE FOR</t>
  </si>
  <si>
    <t>USAGE</t>
  </si>
  <si>
    <t>FUEL ADJ</t>
  </si>
  <si>
    <t xml:space="preserve">OFFICE </t>
  </si>
  <si>
    <t>FUEL ADJ COST</t>
  </si>
  <si>
    <t>CUMULATIVE</t>
  </si>
  <si>
    <t>F.A. RATE</t>
  </si>
  <si>
    <t>BILLED</t>
  </si>
  <si>
    <t>REVENUE</t>
  </si>
  <si>
    <t>(L.13D F.A. RPT)</t>
  </si>
  <si>
    <t>(OVER) UNDER</t>
  </si>
  <si>
    <t>BALANCE</t>
  </si>
  <si>
    <t xml:space="preserve">BILLED </t>
  </si>
  <si>
    <t>RECOVERY</t>
  </si>
  <si>
    <t>CONSUMERS</t>
  </si>
  <si>
    <t>DEC '98</t>
  </si>
  <si>
    <t>JAN '99</t>
  </si>
  <si>
    <t>FEB '99</t>
  </si>
  <si>
    <t>MAR '99</t>
  </si>
  <si>
    <t>APR '99</t>
  </si>
  <si>
    <t>MAY '99</t>
  </si>
  <si>
    <t>JUNE '99</t>
  </si>
  <si>
    <t>JULY '99</t>
  </si>
  <si>
    <t>AUG '99</t>
  </si>
  <si>
    <t>SEPT '99</t>
  </si>
  <si>
    <t>OCT '99</t>
  </si>
  <si>
    <t>NOV '99</t>
  </si>
  <si>
    <t>DEC '99</t>
  </si>
  <si>
    <t>JAN '00</t>
  </si>
  <si>
    <t>FEB '00</t>
  </si>
  <si>
    <t>MAR '00</t>
  </si>
  <si>
    <t>APR '00</t>
  </si>
  <si>
    <t>MAY '00</t>
  </si>
  <si>
    <t>JUNE '00</t>
  </si>
  <si>
    <t>JULY '00</t>
  </si>
  <si>
    <t>AUG '00</t>
  </si>
  <si>
    <t>SEPT' 00</t>
  </si>
  <si>
    <t>OCT '00</t>
  </si>
  <si>
    <t>NOV '00</t>
  </si>
  <si>
    <t>DEC '00</t>
  </si>
  <si>
    <t>JAN '01</t>
  </si>
  <si>
    <t>FEB '01</t>
  </si>
  <si>
    <t>MAR '01</t>
  </si>
  <si>
    <t>APR '01</t>
  </si>
  <si>
    <t>MAY '01</t>
  </si>
  <si>
    <t>JUNE '01</t>
  </si>
  <si>
    <t>JULY '01</t>
  </si>
  <si>
    <t>AUGUST '01</t>
  </si>
  <si>
    <t>SEPTEMBER '01</t>
  </si>
  <si>
    <t>OCT '01</t>
  </si>
  <si>
    <t>NOV '01</t>
  </si>
  <si>
    <t>DEC '01</t>
  </si>
  <si>
    <t>JAN '02</t>
  </si>
  <si>
    <t>FEB '02</t>
  </si>
  <si>
    <t>MAR '02</t>
  </si>
  <si>
    <t>APR '02</t>
  </si>
  <si>
    <t>MAY '02</t>
  </si>
  <si>
    <t>JUNE '02</t>
  </si>
  <si>
    <t>JULY '02</t>
  </si>
  <si>
    <t>AUG '02</t>
  </si>
  <si>
    <t>SEPT '02</t>
  </si>
  <si>
    <t>OCT '02</t>
  </si>
  <si>
    <t>NOV '02</t>
  </si>
  <si>
    <t>DEC '02</t>
  </si>
  <si>
    <t>JAN '03</t>
  </si>
  <si>
    <t>FEB '03</t>
  </si>
  <si>
    <t>MAR '03</t>
  </si>
  <si>
    <t>APR '03</t>
  </si>
  <si>
    <t>MAY '03</t>
  </si>
  <si>
    <t>JUNE '03</t>
  </si>
  <si>
    <t>JULY '03</t>
  </si>
  <si>
    <t>AUG '03</t>
  </si>
  <si>
    <t>SEPT. '03</t>
  </si>
  <si>
    <t>OCT '03</t>
  </si>
  <si>
    <t>NOV '03</t>
  </si>
  <si>
    <t>DEC '03</t>
  </si>
  <si>
    <t>JAN '04</t>
  </si>
  <si>
    <t>FEB '04</t>
  </si>
  <si>
    <t>MAR '04</t>
  </si>
  <si>
    <t>APR  '04</t>
  </si>
  <si>
    <t>MAY '04</t>
  </si>
  <si>
    <t>JUNE '04</t>
  </si>
  <si>
    <t>JULY '04</t>
  </si>
  <si>
    <t>AUG '04</t>
  </si>
  <si>
    <t>SEPT '04</t>
  </si>
  <si>
    <t>OCT '04</t>
  </si>
  <si>
    <t>NOV '04</t>
  </si>
  <si>
    <t>DEC '04</t>
  </si>
  <si>
    <t>JAN '05</t>
  </si>
  <si>
    <t>FEB '05</t>
  </si>
  <si>
    <t>MAR '05</t>
  </si>
  <si>
    <t>APRIL '05</t>
  </si>
  <si>
    <t>MAY '05</t>
  </si>
  <si>
    <t>JUNE '05</t>
  </si>
  <si>
    <t>JULY '05</t>
  </si>
  <si>
    <t>AUG '05</t>
  </si>
  <si>
    <t>SEPT '05</t>
  </si>
  <si>
    <t>OCT '05</t>
  </si>
  <si>
    <t>NOV. '05</t>
  </si>
  <si>
    <t>DEC '05</t>
  </si>
  <si>
    <t>JAN '06</t>
  </si>
  <si>
    <t>FEB '06</t>
  </si>
  <si>
    <t>MAR '06</t>
  </si>
  <si>
    <t>APR '06</t>
  </si>
  <si>
    <t>MAY '06</t>
  </si>
  <si>
    <t>JUNE '06</t>
  </si>
  <si>
    <t>JULY '06</t>
  </si>
  <si>
    <t>AUGUST '06</t>
  </si>
  <si>
    <t>SEPT '06</t>
  </si>
  <si>
    <t>OCT '06</t>
  </si>
  <si>
    <t>NOV '06</t>
  </si>
  <si>
    <t>DEC '06   ****</t>
  </si>
  <si>
    <t>****</t>
  </si>
  <si>
    <t>Added in Col B - Fuel Adj Billed:  $8772.95 from 08/06 and $24903.15 from 10/06 - missed picking up add'l on Inland Container.</t>
  </si>
  <si>
    <t>*****</t>
  </si>
  <si>
    <t xml:space="preserve">FEB '07 - Addedi in Col B -  Fuel Adj Billed $32780.60 from 01/07                                     "              "  </t>
  </si>
  <si>
    <t>JAN '07</t>
  </si>
  <si>
    <t>FEB '07*****</t>
  </si>
  <si>
    <t>MAR '07</t>
  </si>
  <si>
    <t>APR '07</t>
  </si>
  <si>
    <t>MAY '07</t>
  </si>
  <si>
    <t>JUNE '07</t>
  </si>
  <si>
    <t>JULY '07</t>
  </si>
  <si>
    <t>AUGUST '07</t>
  </si>
  <si>
    <t>SEPT  '07</t>
  </si>
  <si>
    <t>OCT  '07</t>
  </si>
  <si>
    <t>NOV  '07</t>
  </si>
  <si>
    <t>DEC  '07</t>
  </si>
  <si>
    <t>JAN '08</t>
  </si>
  <si>
    <t>FEB '08</t>
  </si>
  <si>
    <t>MAR '08</t>
  </si>
  <si>
    <t>APR '08</t>
  </si>
  <si>
    <t>MAY '08</t>
  </si>
  <si>
    <t>JUNE '08</t>
  </si>
  <si>
    <t>JULY '08</t>
  </si>
  <si>
    <t>AUG '08</t>
  </si>
  <si>
    <t>SEPT '08</t>
  </si>
  <si>
    <t>OCT '08</t>
  </si>
  <si>
    <t>NOV '08</t>
  </si>
  <si>
    <t>DEC '08</t>
  </si>
  <si>
    <t>JAN '09</t>
  </si>
  <si>
    <t>FEB '09</t>
  </si>
  <si>
    <t>MAR '09</t>
  </si>
  <si>
    <t>APR '09</t>
  </si>
  <si>
    <t>MAY '09</t>
  </si>
  <si>
    <t>JUNE '09</t>
  </si>
  <si>
    <t>JULY '09</t>
  </si>
  <si>
    <t>AUG  '09</t>
  </si>
  <si>
    <t>SEPT  '09</t>
  </si>
  <si>
    <t>OCT  '09</t>
  </si>
  <si>
    <t>NOV  '09</t>
  </si>
  <si>
    <t>DEC  '09</t>
  </si>
  <si>
    <t>JAN '10</t>
  </si>
  <si>
    <t>FEB '10</t>
  </si>
  <si>
    <t>MAR '10</t>
  </si>
  <si>
    <t>APR '10</t>
  </si>
  <si>
    <t>MAY '10</t>
  </si>
  <si>
    <t>JUNE '10</t>
  </si>
  <si>
    <t>JULY '10</t>
  </si>
  <si>
    <t>AUGUST '10</t>
  </si>
  <si>
    <t>SEPT '10</t>
  </si>
  <si>
    <t>OCT '10</t>
  </si>
  <si>
    <t>NOV '10</t>
  </si>
  <si>
    <t>DEC '10</t>
  </si>
  <si>
    <t>JAN '11</t>
  </si>
  <si>
    <t>FEB '11</t>
  </si>
  <si>
    <t>MAR '11</t>
  </si>
  <si>
    <t>APR '11</t>
  </si>
  <si>
    <t>MAY '11</t>
  </si>
  <si>
    <t>JUNE '11</t>
  </si>
  <si>
    <t>JULY '11</t>
  </si>
  <si>
    <t>AUGUST '11</t>
  </si>
  <si>
    <t>SEPT '11</t>
  </si>
  <si>
    <t>OCT '11</t>
  </si>
  <si>
    <t>NOV '11</t>
  </si>
  <si>
    <t>DEC '11</t>
  </si>
  <si>
    <t>JAN '12</t>
  </si>
  <si>
    <t>FEB '12</t>
  </si>
  <si>
    <t>MAR '12</t>
  </si>
  <si>
    <t>APRIL '12</t>
  </si>
  <si>
    <t>MAY '12</t>
  </si>
  <si>
    <t>JUNE '12</t>
  </si>
  <si>
    <t>JULY '12</t>
  </si>
  <si>
    <t>AUG '12</t>
  </si>
  <si>
    <t>SEPT '12</t>
  </si>
  <si>
    <t>OCT '12</t>
  </si>
  <si>
    <t>NOV '12</t>
  </si>
  <si>
    <t>DEC '12</t>
  </si>
  <si>
    <t>JAN '13</t>
  </si>
  <si>
    <t>FEB '13</t>
  </si>
  <si>
    <t>MAR '13</t>
  </si>
  <si>
    <t>APR '13</t>
  </si>
  <si>
    <t>MAY '13</t>
  </si>
  <si>
    <t>JUNE '13</t>
  </si>
  <si>
    <t>JULY '13</t>
  </si>
  <si>
    <t>AUG '13</t>
  </si>
  <si>
    <t>SEP '13</t>
  </si>
  <si>
    <t>OCT '13</t>
  </si>
  <si>
    <t>NOV '13</t>
  </si>
  <si>
    <t>DEC '13</t>
  </si>
  <si>
    <t>JAN '14</t>
  </si>
  <si>
    <t>FEB '14</t>
  </si>
  <si>
    <t>MAR '14</t>
  </si>
  <si>
    <t>APR '14</t>
  </si>
  <si>
    <t>MAY '14</t>
  </si>
  <si>
    <t>JUN '14</t>
  </si>
  <si>
    <t>JUL '14</t>
  </si>
  <si>
    <t>AUG '14</t>
  </si>
  <si>
    <t xml:space="preserve">MONTHLY FUEL ADJUSTMENT CLAUSE (FAC) REPORT  </t>
  </si>
  <si>
    <t>COMPANY:        FLEMING-MASON ENERGY</t>
  </si>
  <si>
    <t>POWER SUPPLIER:      EAST KY POWER COOP.</t>
  </si>
  <si>
    <t>Disposition of Energy (KWH) - Month of</t>
  </si>
  <si>
    <t>Purchased Power  -      Month of:</t>
  </si>
  <si>
    <t>Total Purchases</t>
  </si>
  <si>
    <t>A.  Billed by Supplier</t>
  </si>
  <si>
    <t>Sales (Ultimate Consumer)</t>
  </si>
  <si>
    <t>B.  (Over) Under Recovery (L12)</t>
  </si>
  <si>
    <t>Company Use</t>
  </si>
  <si>
    <t>C.  Unrecoverable  - Schedule 2* (See Below)</t>
  </si>
  <si>
    <t>Total Sales (L2+L3)</t>
  </si>
  <si>
    <t>D.  Recoverable Fuel Cost (L13A+B-C)</t>
  </si>
  <si>
    <t xml:space="preserve">Line Loss &amp; Unaccounted for </t>
  </si>
  <si>
    <t>(L1 Less L4)</t>
  </si>
  <si>
    <t>Number of KWH Purchased</t>
  </si>
  <si>
    <t>Supplier's FAC:</t>
  </si>
  <si>
    <t xml:space="preserve">  $ per KWH (L13A / L14)</t>
  </si>
  <si>
    <t>(Over) or Under Recovery -Month of</t>
  </si>
  <si>
    <t>Line Loss</t>
  </si>
  <si>
    <t>Last FAC Rate Billed Consumers</t>
  </si>
  <si>
    <t>Gross KWH Billed at the Rate on L6</t>
  </si>
  <si>
    <t>Last 12 Months Actual  (%)</t>
  </si>
  <si>
    <t>Adjustments to Billing (KWH)</t>
  </si>
  <si>
    <t>Last Month Used to Compute L16</t>
  </si>
  <si>
    <t>Net KWH Billed at the Rate on L6</t>
  </si>
  <si>
    <t>Line Loss for Month on L17 (%)</t>
  </si>
  <si>
    <t>(L7 +L8)</t>
  </si>
  <si>
    <t xml:space="preserve">  (L5 / L1)</t>
  </si>
  <si>
    <t>Fuel Charge (Cr) Used to Compute L6</t>
  </si>
  <si>
    <t>Calculation of FAC Billed Consumers</t>
  </si>
  <si>
    <t>FAC Revenue (Refund) Resulting from</t>
  </si>
  <si>
    <t>Sales as a Percent of Purchases</t>
  </si>
  <si>
    <t>L6 (net of billing adj.)</t>
  </si>
  <si>
    <t>(100% less percentage on L16)</t>
  </si>
  <si>
    <t>Total (Over) or Under Recovery</t>
  </si>
  <si>
    <t>Recovery Rate $ per KWH (L13D/L14)</t>
  </si>
  <si>
    <t>(L10 Less L11)</t>
  </si>
  <si>
    <t>FAC $ per KWH (L20/L19)</t>
  </si>
  <si>
    <t>FAC ¢  per KWH (L21 X 100)</t>
  </si>
  <si>
    <t>¢</t>
  </si>
  <si>
    <t>Issued by:    Joni K. Hazelrigg</t>
  </si>
  <si>
    <t>Title:   President &amp; CEO</t>
  </si>
  <si>
    <t>Address:  P.O. Box 328, Flemingsburg, KY 41041</t>
  </si>
  <si>
    <t>Telephone:  (606) 845-2661</t>
  </si>
  <si>
    <t>SCHEDULE 1</t>
  </si>
  <si>
    <t>TWELVE MONTH ACTUAL LINE LOSS</t>
  </si>
  <si>
    <t>FOR FUEL ADJUSTMENT CHARGE COMPUTATION</t>
  </si>
  <si>
    <t>FOR:</t>
  </si>
  <si>
    <t>(a)</t>
  </si>
  <si>
    <t>(b)</t>
  </si>
  <si>
    <t>(c)</t>
  </si>
  <si>
    <t>(d)</t>
  </si>
  <si>
    <t xml:space="preserve">KWH </t>
  </si>
  <si>
    <t>LOSSES</t>
  </si>
  <si>
    <t>Previous twelve months total -</t>
  </si>
  <si>
    <t>Less: Prior year-current month total -</t>
  </si>
  <si>
    <t>Plus: Current year-current month total -</t>
  </si>
  <si>
    <t>Most Recent Twelve Month Total -</t>
  </si>
  <si>
    <t>(d) / (a) =</t>
  </si>
  <si>
    <t xml:space="preserve">   Enter on line 16 of the current</t>
  </si>
  <si>
    <t xml:space="preserve">   month's (FAC) Report.</t>
  </si>
  <si>
    <t>================</t>
  </si>
  <si>
    <t>C.  Unrecoverable  - Schedule 2</t>
  </si>
  <si>
    <t>=====================================</t>
  </si>
  <si>
    <t>Disposition of Energy (MMBTU)-Month of</t>
  </si>
  <si>
    <t>Number of MMBTU Purchased</t>
  </si>
  <si>
    <t xml:space="preserve">  MMBTU</t>
  </si>
  <si>
    <t>Adjustments to Billing (MMBTU)</t>
  </si>
  <si>
    <t>Net MMBTU Billed at the Rate on L6</t>
  </si>
  <si>
    <t>Recovery Rate $ per MMBTU</t>
  </si>
  <si>
    <t>FAC $ per MMBTU (L20/L19)</t>
  </si>
  <si>
    <t>FAC ¢  per MMBTU (L21 X 100)</t>
  </si>
  <si>
    <t>SEPT '14</t>
  </si>
  <si>
    <t>OCT '14</t>
  </si>
  <si>
    <t>NOV '14</t>
  </si>
  <si>
    <t>DEC '14</t>
  </si>
  <si>
    <t>JAN '15</t>
  </si>
  <si>
    <t>FEB '15</t>
  </si>
  <si>
    <t>MAR '15</t>
  </si>
  <si>
    <t>APR '15</t>
  </si>
  <si>
    <t>MAY '15</t>
  </si>
  <si>
    <t>JUN '15</t>
  </si>
  <si>
    <t>JUL '15</t>
  </si>
  <si>
    <t>AUG '15</t>
  </si>
  <si>
    <t>SEPT '15</t>
  </si>
  <si>
    <t>OCT '15</t>
  </si>
  <si>
    <t>NOV '15</t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</si>
  <si>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Electric</t>
    </r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</si>
  <si>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Steam</t>
    </r>
  </si>
  <si>
    <t>DEC '15</t>
  </si>
  <si>
    <t>JAN '16</t>
  </si>
  <si>
    <t>FEB '16</t>
  </si>
  <si>
    <t>MAR '16</t>
  </si>
  <si>
    <t>APR '16</t>
  </si>
  <si>
    <t>MAY '16</t>
  </si>
  <si>
    <t>JUN '16</t>
  </si>
  <si>
    <t>JUL '16</t>
  </si>
  <si>
    <t>AUG '16</t>
  </si>
  <si>
    <t>SEP '16</t>
  </si>
  <si>
    <t>OCT '16</t>
  </si>
  <si>
    <t>NOV '16</t>
  </si>
  <si>
    <t>DEC '16</t>
  </si>
  <si>
    <t>JAN '17</t>
  </si>
  <si>
    <t>FEB '17</t>
  </si>
  <si>
    <t>MAR '17</t>
  </si>
  <si>
    <t>APR '17</t>
  </si>
  <si>
    <t>MAY '17</t>
  </si>
  <si>
    <t>JUN '17</t>
  </si>
  <si>
    <t>JUL '17</t>
  </si>
  <si>
    <t>AUG '17</t>
  </si>
  <si>
    <t>SEP '17</t>
  </si>
  <si>
    <t>OCT '17</t>
  </si>
  <si>
    <t>NOV '17</t>
  </si>
  <si>
    <t>DEC '17</t>
  </si>
  <si>
    <t>JAN '18</t>
  </si>
  <si>
    <t>FEB '18</t>
  </si>
  <si>
    <t>Fuel Adjustment Charge (Credit):</t>
  </si>
  <si>
    <t>MAR '18</t>
  </si>
  <si>
    <t>APR '18</t>
  </si>
  <si>
    <t>MAY '18</t>
  </si>
  <si>
    <t>JUN '18</t>
  </si>
  <si>
    <t>JUL '18</t>
  </si>
  <si>
    <t>AUG '18</t>
  </si>
  <si>
    <t>SEP '18</t>
  </si>
  <si>
    <t>OCT '18</t>
  </si>
  <si>
    <t>NOV '18</t>
  </si>
  <si>
    <t>Fuel Adjustment Charge (Debit):</t>
  </si>
  <si>
    <t>DEC '18</t>
  </si>
  <si>
    <t>JAN '19</t>
  </si>
  <si>
    <t>FEB '19</t>
  </si>
  <si>
    <t>MAR '19</t>
  </si>
  <si>
    <t>APR '19</t>
  </si>
  <si>
    <t>MAY '19</t>
  </si>
  <si>
    <t>JUN '19</t>
  </si>
  <si>
    <t>JUL '19</t>
  </si>
  <si>
    <t>AUG '19</t>
  </si>
  <si>
    <t>SEP '19</t>
  </si>
  <si>
    <t>OCT '19</t>
  </si>
  <si>
    <t>NOV '19</t>
  </si>
  <si>
    <t>DEC '19</t>
  </si>
  <si>
    <t>JAN '20</t>
  </si>
  <si>
    <t>Number of KWH Purchased -    EKPC</t>
  </si>
  <si>
    <t xml:space="preserve">                                                              NA Biofuels</t>
  </si>
  <si>
    <t xml:space="preserve">                                                              Total</t>
  </si>
  <si>
    <t>Supplier's FAC:                            EKPC</t>
  </si>
  <si>
    <t>FEB '20</t>
  </si>
  <si>
    <t>MAR '20</t>
  </si>
  <si>
    <t>APR '20</t>
  </si>
  <si>
    <t>MAY '20</t>
  </si>
  <si>
    <t>JUN '20</t>
  </si>
  <si>
    <t>JUL '20</t>
  </si>
  <si>
    <t>AUG '20</t>
  </si>
  <si>
    <t>SEP '20</t>
  </si>
  <si>
    <t>OCT '20</t>
  </si>
  <si>
    <t>NOV '20</t>
  </si>
  <si>
    <t>DEC '20</t>
  </si>
  <si>
    <t>JAN '21</t>
  </si>
  <si>
    <t>FEB '21</t>
  </si>
  <si>
    <t>March 2021</t>
  </si>
  <si>
    <t>MAR '21</t>
  </si>
  <si>
    <t>April 2021</t>
  </si>
  <si>
    <t>Issued on:  May 7, 2021</t>
  </si>
  <si>
    <t>Line 22 reflects a Fuel Adjustment Charge (Credit) of ($0.00419) per KWH to be applied to bills rendered on and after May 1, 2021.</t>
  </si>
  <si>
    <t>Line 22 reflects a Fuel Adjustment Charge (Credit) of ($0.405650) per MMBTU to be applied to bills rendered on and after May 1, 2021.</t>
  </si>
  <si>
    <t>Line 22 reflects a Fuel Adjustment Charge (Credit) of ($0.00607) per KWH to be applied to bills rendered on and after May 15,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</si>
</sst>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8" formatCode="&quot;$&quot;#,##0.00_);[Red]\(&quot;$&quot;#,##0.00\)"/>
    <numFmt numFmtId="164" formatCode="[$-409]mmm\-yy;@"/>
    <numFmt numFmtId="165" formatCode="0.0%"/>
    <numFmt numFmtId="166" formatCode="0.00000"/>
    <numFmt numFmtId="167" formatCode="0.00000_);\(0.00000\)"/>
    <numFmt numFmtId="168" formatCode="&quot;$&quot;#,##0.00000_);\(&quot;$&quot;#,##0.00000\)"/>
    <numFmt numFmtId="169" formatCode="#,##0.000_);\(#,##0.000\)"/>
    <numFmt numFmtId="170" formatCode="#,##0.000"/>
    <numFmt numFmtId="171" formatCode="&quot;$&quot;#,##0.000000_);\(&quot;$&quot;#,##0.000000\)"/>
    <numFmt numFmtId="172" formatCode="0.000_);\(0.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" fontId="0" fillId="0" borderId="0" xfId="0" applyNumberFormat="1"/>
    <xf numFmtId="3" fontId="0" fillId="0" borderId="0" xfId="0" applyNumberFormat="1"/>
    <xf numFmtId="16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0" fillId="0" borderId="0" xfId="0" applyNumberFormat="1"/>
    <xf numFmtId="167" fontId="0" fillId="0" borderId="0" xfId="0" applyNumberFormat="1"/>
    <xf numFmtId="39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1" xfId="0" applyBorder="1"/>
    <xf numFmtId="7" fontId="0" fillId="0" borderId="0" xfId="0" applyNumberFormat="1"/>
    <xf numFmtId="3" fontId="0" fillId="0" borderId="1" xfId="0" applyNumberFormat="1" applyBorder="1"/>
    <xf numFmtId="0" fontId="2" fillId="0" borderId="0" xfId="0" applyFont="1"/>
    <xf numFmtId="0" fontId="0" fillId="0" borderId="2" xfId="0" applyBorder="1" applyAlignment="1">
      <alignment horizontal="center"/>
    </xf>
    <xf numFmtId="168" fontId="0" fillId="0" borderId="0" xfId="0" applyNumberFormat="1"/>
    <xf numFmtId="37" fontId="0" fillId="0" borderId="0" xfId="0" applyNumberFormat="1"/>
    <xf numFmtId="16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8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1" xfId="0" applyBorder="1" applyAlignment="1">
      <alignment horizontal="center"/>
    </xf>
    <xf numFmtId="170" fontId="0" fillId="0" borderId="0" xfId="0" applyNumberFormat="1"/>
    <xf numFmtId="0" fontId="2" fillId="0" borderId="1" xfId="0" applyFont="1" applyBorder="1"/>
    <xf numFmtId="4" fontId="0" fillId="0" borderId="0" xfId="0" applyNumberFormat="1"/>
    <xf numFmtId="171" fontId="0" fillId="0" borderId="0" xfId="0" applyNumberFormat="1"/>
    <xf numFmtId="172" fontId="0" fillId="0" borderId="0" xfId="0" applyNumberFormat="1"/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7"/>
  <sheetViews>
    <sheetView workbookViewId="0">
      <pane ySplit="8" topLeftCell="A553" activePane="bottomLeft" state="frozen"/>
      <selection pane="bottomLeft" activeCell="A554" sqref="A554:G567"/>
    </sheetView>
  </sheetViews>
  <sheetFormatPr defaultRowHeight="15" x14ac:dyDescent="0.25"/>
  <cols>
    <col min="1" max="1" width="8" customWidth="1"/>
    <col min="2" max="2" width="13.7109375" customWidth="1"/>
    <col min="3" max="3" width="15.42578125" customWidth="1"/>
    <col min="4" max="4" width="14.28515625" customWidth="1"/>
    <col min="5" max="5" width="14.85546875" customWidth="1"/>
    <col min="6" max="6" width="10.7109375" style="7" customWidth="1"/>
    <col min="7" max="7" width="11.85546875" style="7" customWidth="1"/>
  </cols>
  <sheetData>
    <row r="1" spans="1:7" x14ac:dyDescent="0.25">
      <c r="A1" t="s">
        <v>0</v>
      </c>
    </row>
    <row r="2" spans="1:7" ht="8.25" customHeight="1" x14ac:dyDescent="0.25"/>
    <row r="3" spans="1:7" x14ac:dyDescent="0.25">
      <c r="A3" t="s">
        <v>1</v>
      </c>
    </row>
    <row r="4" spans="1:7" x14ac:dyDescent="0.25">
      <c r="A4" s="38" t="s">
        <v>2</v>
      </c>
      <c r="B4" s="38"/>
      <c r="C4" s="38"/>
      <c r="D4" s="38"/>
      <c r="E4" s="38"/>
      <c r="F4" s="38"/>
      <c r="G4" s="38"/>
    </row>
    <row r="5" spans="1:7" ht="9.75" customHeight="1" x14ac:dyDescent="0.25"/>
    <row r="6" spans="1:7" x14ac:dyDescent="0.25">
      <c r="A6" s="4"/>
      <c r="B6" s="4" t="s">
        <v>3</v>
      </c>
      <c r="C6" s="4" t="s">
        <v>4</v>
      </c>
      <c r="D6" s="4" t="s">
        <v>5</v>
      </c>
      <c r="E6" s="4" t="s">
        <v>3</v>
      </c>
      <c r="F6" s="8" t="s">
        <v>6</v>
      </c>
      <c r="G6" s="8" t="s">
        <v>7</v>
      </c>
    </row>
    <row r="7" spans="1:7" x14ac:dyDescent="0.25">
      <c r="A7" s="4"/>
      <c r="B7" s="4" t="s">
        <v>8</v>
      </c>
      <c r="C7" s="4" t="s">
        <v>8</v>
      </c>
      <c r="D7" s="4" t="s">
        <v>9</v>
      </c>
      <c r="E7" s="4" t="s">
        <v>10</v>
      </c>
      <c r="F7" s="8"/>
      <c r="G7" s="8" t="s">
        <v>11</v>
      </c>
    </row>
    <row r="8" spans="1:7" x14ac:dyDescent="0.25">
      <c r="A8" s="5" t="s">
        <v>12</v>
      </c>
      <c r="B8" s="5" t="s">
        <v>13</v>
      </c>
      <c r="C8" s="5" t="s">
        <v>14</v>
      </c>
      <c r="D8" s="5" t="s">
        <v>15</v>
      </c>
      <c r="E8" s="5" t="s">
        <v>16</v>
      </c>
      <c r="F8" s="9" t="s">
        <v>17</v>
      </c>
      <c r="G8" s="9" t="s">
        <v>18</v>
      </c>
    </row>
    <row r="10" spans="1:7" x14ac:dyDescent="0.25">
      <c r="A10" s="1">
        <v>35796</v>
      </c>
      <c r="B10" s="2">
        <v>42678492</v>
      </c>
      <c r="C10" s="2">
        <v>39987450</v>
      </c>
      <c r="D10" s="2">
        <v>67360</v>
      </c>
      <c r="E10" s="2">
        <v>2623682</v>
      </c>
      <c r="F10" s="7">
        <v>6.0999999999999999E-2</v>
      </c>
    </row>
    <row r="11" spans="1:7" x14ac:dyDescent="0.25">
      <c r="B11" s="2">
        <v>430810673</v>
      </c>
      <c r="C11" s="2">
        <v>408658051</v>
      </c>
      <c r="D11" s="2">
        <v>488191</v>
      </c>
      <c r="E11" s="2">
        <v>21664431</v>
      </c>
      <c r="G11" s="7">
        <v>0.05</v>
      </c>
    </row>
    <row r="12" spans="1:7" x14ac:dyDescent="0.25">
      <c r="A12" s="1">
        <v>35827</v>
      </c>
      <c r="B12" s="2">
        <v>38702402</v>
      </c>
      <c r="C12" s="2">
        <v>39306671</v>
      </c>
      <c r="D12" s="2">
        <v>45840</v>
      </c>
      <c r="E12" s="2">
        <v>-650109</v>
      </c>
      <c r="F12" s="7">
        <v>-1.7000000000000001E-2</v>
      </c>
    </row>
    <row r="13" spans="1:7" x14ac:dyDescent="0.25">
      <c r="B13" s="2">
        <v>433837978</v>
      </c>
      <c r="C13" s="2">
        <v>412822298</v>
      </c>
      <c r="D13" s="2">
        <v>473931</v>
      </c>
      <c r="E13" s="2">
        <v>20541749</v>
      </c>
      <c r="G13" s="7">
        <v>4.7E-2</v>
      </c>
    </row>
    <row r="14" spans="1:7" x14ac:dyDescent="0.25">
      <c r="A14" s="1">
        <v>35855</v>
      </c>
      <c r="B14" s="2">
        <v>41624315</v>
      </c>
      <c r="C14" s="2">
        <v>37280762</v>
      </c>
      <c r="D14" s="2">
        <v>56960</v>
      </c>
      <c r="E14" s="2">
        <v>4286593</v>
      </c>
      <c r="F14" s="7">
        <v>0.10299999999999999</v>
      </c>
    </row>
    <row r="15" spans="1:7" x14ac:dyDescent="0.25">
      <c r="B15" s="2">
        <v>439859658</v>
      </c>
      <c r="C15">
        <v>416097640</v>
      </c>
      <c r="D15" s="2">
        <v>480449</v>
      </c>
      <c r="E15" s="2">
        <v>23281569</v>
      </c>
      <c r="G15" s="7">
        <v>5.2999999999999999E-2</v>
      </c>
    </row>
    <row r="16" spans="1:7" x14ac:dyDescent="0.25">
      <c r="A16" s="1">
        <v>35886</v>
      </c>
      <c r="B16" s="2">
        <v>35518205</v>
      </c>
      <c r="C16" s="2">
        <v>33816364</v>
      </c>
      <c r="D16" s="2">
        <v>25736</v>
      </c>
      <c r="E16" s="2">
        <v>1676105</v>
      </c>
      <c r="F16" s="7">
        <v>4.7E-2</v>
      </c>
    </row>
    <row r="17" spans="1:7" x14ac:dyDescent="0.25">
      <c r="B17" s="2">
        <v>442294405</v>
      </c>
      <c r="C17" s="2">
        <v>418434686</v>
      </c>
      <c r="D17" s="2">
        <v>472845</v>
      </c>
      <c r="E17" s="2">
        <v>23386874</v>
      </c>
      <c r="G17" s="7">
        <v>5.2999999999999999E-2</v>
      </c>
    </row>
    <row r="18" spans="1:7" x14ac:dyDescent="0.25">
      <c r="A18" s="1">
        <v>35916</v>
      </c>
      <c r="B18" s="2">
        <v>35744578</v>
      </c>
      <c r="C18" s="2">
        <v>34149951</v>
      </c>
      <c r="D18" s="2">
        <v>23942</v>
      </c>
      <c r="E18" s="2">
        <v>1570685</v>
      </c>
      <c r="F18" s="7">
        <v>4.3999999999999997E-2</v>
      </c>
    </row>
    <row r="19" spans="1:7" x14ac:dyDescent="0.25">
      <c r="B19" s="2">
        <v>447333881</v>
      </c>
      <c r="C19" s="2">
        <v>424109248</v>
      </c>
      <c r="D19" s="2">
        <v>473549</v>
      </c>
      <c r="E19" s="2">
        <v>22751084</v>
      </c>
      <c r="G19" s="7">
        <v>5.0999999999999997E-2</v>
      </c>
    </row>
    <row r="20" spans="1:7" x14ac:dyDescent="0.25">
      <c r="A20" s="1">
        <v>35947</v>
      </c>
      <c r="B20" s="2">
        <v>38546820</v>
      </c>
      <c r="C20" s="2">
        <v>36296022</v>
      </c>
      <c r="D20" s="2">
        <v>24349</v>
      </c>
      <c r="E20" s="2">
        <v>2226449</v>
      </c>
      <c r="F20" s="7">
        <v>5.8000000000000003E-2</v>
      </c>
    </row>
    <row r="21" spans="1:7" x14ac:dyDescent="0.25">
      <c r="B21" s="2">
        <v>453592562</v>
      </c>
      <c r="C21" s="2">
        <v>428563461</v>
      </c>
      <c r="D21" s="2">
        <v>475903</v>
      </c>
      <c r="E21" s="2">
        <v>24553198</v>
      </c>
      <c r="G21" s="7">
        <v>5.3999999999999999E-2</v>
      </c>
    </row>
    <row r="22" spans="1:7" x14ac:dyDescent="0.25">
      <c r="A22" s="1">
        <v>35977</v>
      </c>
      <c r="B22" s="2">
        <v>42281296</v>
      </c>
      <c r="C22" s="2">
        <v>39941453</v>
      </c>
      <c r="D22" s="2">
        <v>26244</v>
      </c>
      <c r="E22" s="2">
        <v>2313599</v>
      </c>
      <c r="F22" s="7">
        <v>5.5E-2</v>
      </c>
    </row>
    <row r="23" spans="1:7" x14ac:dyDescent="0.25">
      <c r="B23" s="2">
        <v>458372912</v>
      </c>
      <c r="C23" s="2">
        <v>434258399</v>
      </c>
      <c r="D23" s="2">
        <v>472540</v>
      </c>
      <c r="E23" s="2">
        <v>23641973</v>
      </c>
      <c r="G23" s="7">
        <v>5.1999999999999998E-2</v>
      </c>
    </row>
    <row r="24" spans="1:7" x14ac:dyDescent="0.25">
      <c r="A24" s="1">
        <v>36008</v>
      </c>
      <c r="B24" s="2">
        <v>43166873</v>
      </c>
      <c r="C24" s="2">
        <v>40491628</v>
      </c>
      <c r="D24" s="2">
        <v>27372</v>
      </c>
      <c r="E24" s="2">
        <v>2647873</v>
      </c>
      <c r="F24" s="7">
        <v>6.0999999999999999E-2</v>
      </c>
    </row>
    <row r="25" spans="1:7" x14ac:dyDescent="0.25">
      <c r="B25" s="2">
        <v>465802536</v>
      </c>
      <c r="C25" s="2">
        <v>441219277</v>
      </c>
      <c r="D25" s="2">
        <v>476930</v>
      </c>
      <c r="E25" s="2">
        <v>24106329</v>
      </c>
      <c r="G25" s="7">
        <v>5.1999999999999998E-2</v>
      </c>
    </row>
    <row r="26" spans="1:7" x14ac:dyDescent="0.25">
      <c r="A26" s="1">
        <v>36039</v>
      </c>
      <c r="B26" s="2">
        <v>39644807</v>
      </c>
      <c r="C26" s="2">
        <v>39588962</v>
      </c>
      <c r="D26" s="2">
        <v>23455</v>
      </c>
      <c r="E26" s="2">
        <v>32390</v>
      </c>
      <c r="F26" s="7">
        <v>8.0000000000000004E-4</v>
      </c>
    </row>
    <row r="27" spans="1:7" x14ac:dyDescent="0.25">
      <c r="B27" s="2">
        <v>474952013</v>
      </c>
      <c r="C27" s="2">
        <v>451089363</v>
      </c>
      <c r="D27" s="2">
        <v>482063</v>
      </c>
      <c r="E27" s="2">
        <v>23380587</v>
      </c>
      <c r="G27" s="7">
        <v>4.9000000000000002E-2</v>
      </c>
    </row>
    <row r="28" spans="1:7" x14ac:dyDescent="0.25">
      <c r="A28" s="1">
        <v>36069</v>
      </c>
      <c r="B28" s="2">
        <v>36521506</v>
      </c>
      <c r="C28" s="2">
        <v>34419644</v>
      </c>
      <c r="D28" s="2">
        <v>18049</v>
      </c>
      <c r="E28" s="2">
        <v>2083813</v>
      </c>
      <c r="F28" s="7">
        <v>5.7000000000000002E-2</v>
      </c>
    </row>
    <row r="29" spans="1:7" x14ac:dyDescent="0.25">
      <c r="B29" s="2">
        <v>477228783</v>
      </c>
      <c r="C29" s="2">
        <v>454148357</v>
      </c>
      <c r="D29" s="2">
        <v>471787</v>
      </c>
      <c r="E29" s="2">
        <v>22608639</v>
      </c>
      <c r="G29" s="7">
        <v>4.7E-2</v>
      </c>
    </row>
    <row r="30" spans="1:7" x14ac:dyDescent="0.25">
      <c r="A30" s="1">
        <v>36100</v>
      </c>
      <c r="B30" s="2">
        <v>40462391</v>
      </c>
      <c r="C30" s="2">
        <v>37704935</v>
      </c>
      <c r="D30" s="2">
        <v>41040</v>
      </c>
      <c r="E30" s="2">
        <v>2716416</v>
      </c>
      <c r="F30" s="7">
        <v>6.7000000000000004E-2</v>
      </c>
    </row>
    <row r="31" spans="1:7" x14ac:dyDescent="0.25">
      <c r="B31" s="2">
        <v>479383640</v>
      </c>
      <c r="C31" s="2">
        <v>454681523</v>
      </c>
      <c r="D31" s="2">
        <v>454027</v>
      </c>
      <c r="E31" s="2">
        <v>24248090</v>
      </c>
      <c r="G31" s="7">
        <v>5.0999999999999997E-2</v>
      </c>
    </row>
    <row r="32" spans="1:7" x14ac:dyDescent="0.25">
      <c r="A32" s="1">
        <v>36130</v>
      </c>
      <c r="B32" s="2">
        <v>46479242</v>
      </c>
      <c r="C32" s="2">
        <v>44783048</v>
      </c>
      <c r="D32" s="2">
        <v>61480</v>
      </c>
      <c r="E32" s="2">
        <v>1634714</v>
      </c>
      <c r="F32" s="7">
        <v>3.5000000000000003E-2</v>
      </c>
    </row>
    <row r="33" spans="1:7" x14ac:dyDescent="0.25">
      <c r="B33" s="2">
        <v>481370927</v>
      </c>
      <c r="C33" s="2">
        <v>457766890</v>
      </c>
      <c r="D33" s="2">
        <v>441827</v>
      </c>
      <c r="E33" s="2">
        <v>23162210</v>
      </c>
      <c r="G33" s="7">
        <v>4.8000000000000001E-2</v>
      </c>
    </row>
    <row r="34" spans="1:7" x14ac:dyDescent="0.25">
      <c r="A34" s="1">
        <v>36161</v>
      </c>
      <c r="B34" s="2">
        <v>49115782</v>
      </c>
      <c r="C34" s="2">
        <v>46686190</v>
      </c>
      <c r="D34" s="2">
        <v>79240</v>
      </c>
      <c r="E34" s="2">
        <v>2350352</v>
      </c>
      <c r="F34" s="7">
        <v>4.8000000000000001E-2</v>
      </c>
    </row>
    <row r="35" spans="1:7" x14ac:dyDescent="0.25">
      <c r="B35" s="2">
        <v>487808217</v>
      </c>
      <c r="C35" s="2">
        <v>464465630</v>
      </c>
      <c r="D35" s="2">
        <v>453707</v>
      </c>
      <c r="E35" s="2">
        <v>22888880</v>
      </c>
      <c r="G35" s="7">
        <v>4.7E-2</v>
      </c>
    </row>
    <row r="36" spans="1:7" x14ac:dyDescent="0.25">
      <c r="A36" s="1">
        <v>36192</v>
      </c>
      <c r="B36" s="2">
        <v>40826958</v>
      </c>
      <c r="C36" s="2">
        <v>38799906</v>
      </c>
      <c r="D36" s="2">
        <v>59200</v>
      </c>
      <c r="E36" s="2">
        <v>1967852</v>
      </c>
      <c r="F36" s="7">
        <v>4.8000000000000001E-2</v>
      </c>
    </row>
    <row r="37" spans="1:7" x14ac:dyDescent="0.25">
      <c r="B37" s="2">
        <v>489932773</v>
      </c>
      <c r="C37" s="2">
        <v>463958865</v>
      </c>
      <c r="D37" s="2">
        <v>467067</v>
      </c>
      <c r="E37" s="2">
        <v>25506841</v>
      </c>
      <c r="G37" s="7">
        <v>5.1999999999999998E-2</v>
      </c>
    </row>
    <row r="38" spans="1:7" x14ac:dyDescent="0.25">
      <c r="A38" s="1">
        <v>36220</v>
      </c>
      <c r="B38" s="2">
        <v>45200058</v>
      </c>
      <c r="C38" s="2">
        <v>41056519</v>
      </c>
      <c r="D38" s="2">
        <v>58320</v>
      </c>
      <c r="E38" s="2">
        <v>4085219</v>
      </c>
      <c r="F38" s="7">
        <v>0.09</v>
      </c>
    </row>
    <row r="39" spans="1:7" x14ac:dyDescent="0.25">
      <c r="B39" s="2">
        <v>493508516</v>
      </c>
      <c r="C39" s="2">
        <v>467734622</v>
      </c>
      <c r="D39" s="2">
        <v>468427</v>
      </c>
      <c r="E39" s="2">
        <v>25305467</v>
      </c>
      <c r="G39" s="7">
        <v>5.0999999999999997E-2</v>
      </c>
    </row>
    <row r="40" spans="1:7" x14ac:dyDescent="0.25">
      <c r="A40" s="1">
        <v>36251</v>
      </c>
      <c r="B40" s="2">
        <v>34747146</v>
      </c>
      <c r="C40" s="2">
        <v>35076310</v>
      </c>
      <c r="D40" s="2">
        <v>25107</v>
      </c>
      <c r="E40" s="2">
        <v>-354271</v>
      </c>
      <c r="F40" s="7">
        <v>-0.01</v>
      </c>
    </row>
    <row r="41" spans="1:7" x14ac:dyDescent="0.25">
      <c r="B41" s="2">
        <v>492737457</v>
      </c>
      <c r="C41" s="2">
        <v>468994568</v>
      </c>
      <c r="D41" s="2">
        <v>467798</v>
      </c>
      <c r="E41" s="2">
        <v>23275091</v>
      </c>
      <c r="G41" s="7">
        <v>4.7E-2</v>
      </c>
    </row>
    <row r="42" spans="1:7" x14ac:dyDescent="0.25">
      <c r="A42" s="1">
        <v>36281</v>
      </c>
      <c r="B42" s="2">
        <v>36781805</v>
      </c>
      <c r="C42" s="2">
        <v>35243120</v>
      </c>
      <c r="D42" s="2">
        <v>21113</v>
      </c>
      <c r="E42" s="2">
        <v>1517572</v>
      </c>
      <c r="F42" s="7">
        <v>4.1000000000000002E-2</v>
      </c>
    </row>
    <row r="43" spans="1:7" x14ac:dyDescent="0.25">
      <c r="B43" s="2">
        <v>493774684</v>
      </c>
      <c r="C43" s="2">
        <v>470087737</v>
      </c>
      <c r="D43" s="2">
        <v>464969</v>
      </c>
      <c r="E43" s="2">
        <v>23221978</v>
      </c>
      <c r="G43" s="7">
        <v>4.7E-2</v>
      </c>
    </row>
    <row r="44" spans="1:7" x14ac:dyDescent="0.25">
      <c r="A44" s="1">
        <v>36312</v>
      </c>
      <c r="B44" s="2">
        <v>39552270</v>
      </c>
      <c r="C44" s="2">
        <v>38950117</v>
      </c>
      <c r="D44" s="2">
        <v>25662</v>
      </c>
      <c r="E44" s="2">
        <v>576491</v>
      </c>
      <c r="F44" s="7">
        <v>1.4999999999999999E-2</v>
      </c>
    </row>
    <row r="45" spans="1:7" x14ac:dyDescent="0.25">
      <c r="B45" s="2">
        <v>494780134</v>
      </c>
      <c r="C45" s="2">
        <v>472741832</v>
      </c>
      <c r="D45" s="2">
        <v>466282</v>
      </c>
      <c r="E45" s="2">
        <v>21572020</v>
      </c>
      <c r="G45" s="7">
        <v>4.3999999999999997E-2</v>
      </c>
    </row>
    <row r="46" spans="1:7" x14ac:dyDescent="0.25">
      <c r="A46" s="1">
        <v>36342</v>
      </c>
      <c r="B46" s="2">
        <v>47937152</v>
      </c>
      <c r="C46" s="2">
        <v>42661900</v>
      </c>
      <c r="D46" s="2">
        <v>28346</v>
      </c>
      <c r="E46" s="2">
        <v>5246906</v>
      </c>
      <c r="F46" s="7">
        <v>0.109</v>
      </c>
    </row>
    <row r="47" spans="1:7" x14ac:dyDescent="0.25">
      <c r="B47" s="2">
        <v>500435990</v>
      </c>
      <c r="C47" s="2">
        <v>475462279</v>
      </c>
      <c r="D47" s="2">
        <v>468384</v>
      </c>
      <c r="E47" s="2">
        <v>24505327</v>
      </c>
      <c r="G47" s="7">
        <v>4.9000000000000002E-2</v>
      </c>
    </row>
    <row r="48" spans="1:7" x14ac:dyDescent="0.25">
      <c r="A48" s="1">
        <v>36373</v>
      </c>
      <c r="B48" s="2">
        <v>42717342</v>
      </c>
      <c r="C48" s="2">
        <v>41546689</v>
      </c>
      <c r="D48" s="2">
        <v>26353</v>
      </c>
      <c r="E48" s="2">
        <v>1144300</v>
      </c>
      <c r="F48" s="7">
        <v>2.7E-2</v>
      </c>
    </row>
    <row r="49" spans="1:7" x14ac:dyDescent="0.25">
      <c r="B49" s="2">
        <v>499986459</v>
      </c>
      <c r="C49" s="2">
        <v>476517340</v>
      </c>
      <c r="D49" s="2">
        <v>467365</v>
      </c>
      <c r="E49" s="2">
        <v>23001754</v>
      </c>
      <c r="G49" s="7">
        <v>4.5999999999999999E-2</v>
      </c>
    </row>
    <row r="50" spans="1:7" x14ac:dyDescent="0.25">
      <c r="A50" s="1">
        <v>36404</v>
      </c>
      <c r="B50" s="2">
        <v>37174618</v>
      </c>
      <c r="C50" s="2">
        <v>36730739</v>
      </c>
      <c r="D50" s="2">
        <v>19101</v>
      </c>
      <c r="E50" s="2">
        <v>424778</v>
      </c>
      <c r="F50" s="7">
        <v>1.0999999999999999E-2</v>
      </c>
    </row>
    <row r="51" spans="1:7" x14ac:dyDescent="0.25">
      <c r="B51" s="2">
        <v>497516270</v>
      </c>
      <c r="C51" s="2">
        <v>473659117</v>
      </c>
      <c r="D51" s="2">
        <v>463011</v>
      </c>
      <c r="E51" s="2">
        <v>23394142</v>
      </c>
      <c r="G51" s="7">
        <v>4.7E-2</v>
      </c>
    </row>
    <row r="52" spans="1:7" x14ac:dyDescent="0.25">
      <c r="A52" s="1">
        <v>36434</v>
      </c>
      <c r="B52" s="2">
        <v>37675034</v>
      </c>
      <c r="C52" s="2">
        <v>34281859</v>
      </c>
      <c r="D52" s="2">
        <v>24011</v>
      </c>
      <c r="E52" s="2">
        <v>3369164</v>
      </c>
      <c r="F52" s="7">
        <v>8.8999999999999996E-2</v>
      </c>
    </row>
    <row r="53" spans="1:7" x14ac:dyDescent="0.25">
      <c r="B53" s="2">
        <v>498669798</v>
      </c>
      <c r="C53" s="2">
        <v>473521332</v>
      </c>
      <c r="D53" s="2">
        <v>468973</v>
      </c>
      <c r="E53" s="2">
        <v>24679493</v>
      </c>
      <c r="G53" s="7">
        <v>4.9000000000000002E-2</v>
      </c>
    </row>
    <row r="54" spans="1:7" x14ac:dyDescent="0.25">
      <c r="A54" s="1">
        <v>36465</v>
      </c>
      <c r="B54" s="2">
        <v>40653645</v>
      </c>
      <c r="C54" s="2">
        <v>37429667</v>
      </c>
      <c r="D54" s="2">
        <v>36320</v>
      </c>
      <c r="E54" s="2">
        <v>3187658</v>
      </c>
      <c r="F54" s="7">
        <v>7.8E-2</v>
      </c>
    </row>
    <row r="55" spans="1:7" x14ac:dyDescent="0.25">
      <c r="B55" s="2">
        <v>498861052</v>
      </c>
      <c r="C55" s="2">
        <v>473246064</v>
      </c>
      <c r="D55" s="2">
        <v>464253</v>
      </c>
      <c r="E55" s="2">
        <v>25150735</v>
      </c>
      <c r="G55" s="7">
        <v>0.05</v>
      </c>
    </row>
    <row r="56" spans="1:7" x14ac:dyDescent="0.25">
      <c r="A56" s="1">
        <v>36495</v>
      </c>
      <c r="B56" s="2">
        <v>49883153</v>
      </c>
      <c r="C56" s="2">
        <v>46152229</v>
      </c>
      <c r="D56" s="2">
        <v>65760</v>
      </c>
      <c r="E56" s="2">
        <v>3665164</v>
      </c>
      <c r="F56" s="7">
        <v>7.2999999999999995E-2</v>
      </c>
    </row>
    <row r="57" spans="1:7" x14ac:dyDescent="0.25">
      <c r="B57" s="2">
        <v>502264963</v>
      </c>
      <c r="C57" s="2">
        <v>474615245</v>
      </c>
      <c r="D57" s="2">
        <v>468533</v>
      </c>
      <c r="E57" s="2">
        <v>27181185</v>
      </c>
      <c r="G57" s="7">
        <v>5.3999999999999999E-2</v>
      </c>
    </row>
    <row r="58" spans="1:7" x14ac:dyDescent="0.25">
      <c r="A58" s="1">
        <v>36526</v>
      </c>
      <c r="B58" s="2">
        <v>54558131</v>
      </c>
      <c r="C58" s="2">
        <v>52711383</v>
      </c>
      <c r="D58" s="2">
        <v>82000</v>
      </c>
      <c r="E58" s="2">
        <v>1764748</v>
      </c>
      <c r="F58" s="7">
        <v>3.2000000000000001E-2</v>
      </c>
    </row>
    <row r="59" spans="1:7" x14ac:dyDescent="0.25">
      <c r="B59" s="2">
        <v>507707312</v>
      </c>
      <c r="C59" s="2">
        <v>480640438</v>
      </c>
      <c r="D59" s="2">
        <v>471293</v>
      </c>
      <c r="E59" s="2">
        <v>26595581</v>
      </c>
      <c r="G59" s="7">
        <v>5.1999999999999998E-2</v>
      </c>
    </row>
    <row r="60" spans="1:7" x14ac:dyDescent="0.25">
      <c r="A60" s="1">
        <v>36557</v>
      </c>
      <c r="B60" s="2">
        <v>47069955</v>
      </c>
      <c r="C60" s="2">
        <v>46661023</v>
      </c>
      <c r="D60" s="2">
        <v>61480</v>
      </c>
      <c r="E60" s="2">
        <v>347452</v>
      </c>
      <c r="F60" s="7">
        <v>7.0000000000000001E-3</v>
      </c>
    </row>
    <row r="61" spans="1:7" x14ac:dyDescent="0.25">
      <c r="B61" s="2">
        <v>513950309</v>
      </c>
      <c r="C61" s="2">
        <v>488501555</v>
      </c>
      <c r="D61" s="2">
        <v>473573</v>
      </c>
      <c r="E61" s="2">
        <v>24975181</v>
      </c>
      <c r="G61" s="7">
        <v>4.9000000000000002E-2</v>
      </c>
    </row>
    <row r="62" spans="1:7" x14ac:dyDescent="0.25">
      <c r="A62" s="1">
        <v>36586</v>
      </c>
      <c r="B62" s="2">
        <v>45076763</v>
      </c>
      <c r="C62" s="2">
        <v>42067141</v>
      </c>
      <c r="D62" s="2">
        <v>38880</v>
      </c>
      <c r="E62" s="2">
        <v>2970742</v>
      </c>
      <c r="F62" s="7">
        <v>6.6000000000000003E-2</v>
      </c>
    </row>
    <row r="63" spans="1:7" x14ac:dyDescent="0.25">
      <c r="B63" s="2">
        <v>513827014</v>
      </c>
      <c r="C63" s="2">
        <v>489512177</v>
      </c>
      <c r="D63" s="2">
        <v>454133</v>
      </c>
      <c r="E63" s="2">
        <v>23860704</v>
      </c>
      <c r="G63" s="7">
        <v>4.5999999999999999E-2</v>
      </c>
    </row>
    <row r="64" spans="1:7" x14ac:dyDescent="0.25">
      <c r="A64" s="1">
        <v>36617</v>
      </c>
      <c r="B64" s="2">
        <v>40031015</v>
      </c>
      <c r="C64" s="2">
        <v>39965842</v>
      </c>
      <c r="D64" s="2">
        <v>30800</v>
      </c>
      <c r="E64" s="2">
        <v>34373</v>
      </c>
      <c r="F64" s="7">
        <v>1E-3</v>
      </c>
    </row>
    <row r="65" spans="1:7" x14ac:dyDescent="0.25">
      <c r="B65" s="2">
        <v>519110883</v>
      </c>
      <c r="C65" s="2">
        <v>494401709</v>
      </c>
      <c r="D65" s="2">
        <v>459826</v>
      </c>
      <c r="E65" s="2">
        <v>24249348</v>
      </c>
      <c r="G65" s="7">
        <v>4.7E-2</v>
      </c>
    </row>
    <row r="66" spans="1:7" x14ac:dyDescent="0.25">
      <c r="A66" s="1">
        <v>36647</v>
      </c>
      <c r="B66" s="2">
        <v>40866874</v>
      </c>
      <c r="C66" s="2">
        <v>40014488</v>
      </c>
      <c r="D66" s="2">
        <v>20320</v>
      </c>
      <c r="E66" s="2">
        <v>832066</v>
      </c>
      <c r="F66" s="7">
        <v>0.02</v>
      </c>
    </row>
    <row r="67" spans="1:7" x14ac:dyDescent="0.25">
      <c r="B67" s="2">
        <v>523195952</v>
      </c>
      <c r="C67" s="2">
        <v>499173077</v>
      </c>
      <c r="D67" s="2">
        <v>459033</v>
      </c>
      <c r="E67" s="2">
        <v>23563842</v>
      </c>
      <c r="G67" s="7">
        <v>4.4999999999999998E-2</v>
      </c>
    </row>
    <row r="68" spans="1:7" x14ac:dyDescent="0.25">
      <c r="A68" s="1">
        <v>36678</v>
      </c>
      <c r="B68" s="2">
        <v>45853946</v>
      </c>
      <c r="C68" s="2">
        <v>44395237</v>
      </c>
      <c r="D68" s="2">
        <v>23680</v>
      </c>
      <c r="E68" s="2">
        <v>1435029</v>
      </c>
      <c r="F68" s="7">
        <v>3.1E-2</v>
      </c>
    </row>
    <row r="69" spans="1:7" x14ac:dyDescent="0.25">
      <c r="B69" s="2">
        <v>529497628</v>
      </c>
      <c r="C69" s="2">
        <v>504618197</v>
      </c>
      <c r="D69" s="2">
        <v>457051</v>
      </c>
      <c r="E69" s="2">
        <v>24422380</v>
      </c>
      <c r="G69" s="7">
        <v>4.5999999999999999E-2</v>
      </c>
    </row>
    <row r="70" spans="1:7" x14ac:dyDescent="0.25">
      <c r="A70" s="1">
        <v>36708</v>
      </c>
      <c r="B70" s="2">
        <v>46370901</v>
      </c>
      <c r="C70" s="2">
        <v>43479979</v>
      </c>
      <c r="D70" s="2">
        <v>23360</v>
      </c>
      <c r="E70" s="2">
        <v>2867562</v>
      </c>
      <c r="F70" s="7">
        <v>6.2E-2</v>
      </c>
    </row>
    <row r="71" spans="1:7" x14ac:dyDescent="0.25">
      <c r="B71" s="2">
        <v>527931377</v>
      </c>
      <c r="C71" s="2">
        <v>505436276</v>
      </c>
      <c r="D71" s="2">
        <v>452065</v>
      </c>
      <c r="E71" s="2">
        <v>22043036</v>
      </c>
      <c r="G71" s="7">
        <v>4.2000000000000003E-2</v>
      </c>
    </row>
    <row r="72" spans="1:7" x14ac:dyDescent="0.25">
      <c r="A72" s="1">
        <v>36739</v>
      </c>
      <c r="B72" s="2">
        <v>47784610</v>
      </c>
      <c r="C72" s="2">
        <v>44091977</v>
      </c>
      <c r="D72" s="2">
        <v>22560</v>
      </c>
      <c r="E72" s="2">
        <v>3670073</v>
      </c>
      <c r="F72" s="7">
        <v>7.6999999999999999E-2</v>
      </c>
    </row>
    <row r="73" spans="1:7" x14ac:dyDescent="0.25">
      <c r="B73" s="2">
        <v>532998645</v>
      </c>
      <c r="C73" s="2">
        <v>507981564</v>
      </c>
      <c r="D73" s="2">
        <v>448272</v>
      </c>
      <c r="E73" s="2">
        <v>24568809</v>
      </c>
      <c r="G73" s="7">
        <v>4.5999999999999999E-2</v>
      </c>
    </row>
    <row r="74" spans="1:7" x14ac:dyDescent="0.25">
      <c r="A74" s="1">
        <v>36770</v>
      </c>
      <c r="B74" s="2">
        <v>42667265</v>
      </c>
      <c r="C74" s="2">
        <v>42046727</v>
      </c>
      <c r="D74" s="2">
        <v>17629</v>
      </c>
      <c r="E74" s="2">
        <v>602909</v>
      </c>
      <c r="F74" s="7">
        <v>1.4E-2</v>
      </c>
    </row>
    <row r="75" spans="1:7" x14ac:dyDescent="0.25">
      <c r="B75" s="2">
        <v>538491292</v>
      </c>
      <c r="C75" s="2">
        <v>513297552</v>
      </c>
      <c r="D75" s="2">
        <v>446800</v>
      </c>
      <c r="E75" s="2">
        <v>24746940</v>
      </c>
      <c r="G75" s="7">
        <v>4.5999999999999999E-2</v>
      </c>
    </row>
    <row r="76" spans="1:7" x14ac:dyDescent="0.25">
      <c r="A76" s="1">
        <v>36800</v>
      </c>
      <c r="B76" s="2">
        <v>44070179</v>
      </c>
      <c r="C76" s="2">
        <v>41811573</v>
      </c>
      <c r="D76" s="2">
        <v>20955</v>
      </c>
      <c r="E76" s="2">
        <v>2237651</v>
      </c>
      <c r="F76" s="7">
        <v>5.0999999999999997E-2</v>
      </c>
    </row>
    <row r="77" spans="1:7" x14ac:dyDescent="0.25">
      <c r="B77" s="2">
        <v>544886437</v>
      </c>
      <c r="C77" s="2">
        <v>520827266</v>
      </c>
      <c r="D77" s="2">
        <v>443744</v>
      </c>
      <c r="E77" s="2">
        <v>23615427</v>
      </c>
      <c r="G77" s="7">
        <v>4.2999999999999997E-2</v>
      </c>
    </row>
    <row r="78" spans="1:7" x14ac:dyDescent="0.25">
      <c r="A78" s="1">
        <v>36831</v>
      </c>
      <c r="B78" s="2">
        <v>48830970</v>
      </c>
      <c r="C78" s="2">
        <v>44479799</v>
      </c>
      <c r="D78" s="2">
        <v>51145</v>
      </c>
      <c r="E78" s="2">
        <v>4300026</v>
      </c>
      <c r="F78" s="7">
        <v>8.7999999999999995E-2</v>
      </c>
    </row>
    <row r="79" spans="1:7" x14ac:dyDescent="0.25">
      <c r="B79" s="2">
        <v>553063762</v>
      </c>
      <c r="C79" s="2">
        <v>527877398</v>
      </c>
      <c r="D79" s="2">
        <v>458569</v>
      </c>
      <c r="E79" s="2">
        <v>24727795</v>
      </c>
      <c r="G79" s="7">
        <v>4.4999999999999998E-2</v>
      </c>
    </row>
    <row r="80" spans="1:7" x14ac:dyDescent="0.25">
      <c r="A80" s="1">
        <v>36861</v>
      </c>
      <c r="B80" s="2">
        <v>64030960</v>
      </c>
      <c r="C80" s="2">
        <v>57923825</v>
      </c>
      <c r="D80" s="2">
        <v>89960</v>
      </c>
      <c r="E80" s="2">
        <v>6017175</v>
      </c>
      <c r="F80" s="7">
        <v>9.4E-2</v>
      </c>
    </row>
    <row r="81" spans="1:7" x14ac:dyDescent="0.25">
      <c r="B81" s="2">
        <v>567211569</v>
      </c>
      <c r="C81" s="2">
        <v>539648994</v>
      </c>
      <c r="D81" s="2">
        <v>482769</v>
      </c>
      <c r="E81" s="2">
        <v>27079806</v>
      </c>
      <c r="G81" s="7">
        <v>4.8000000000000001E-2</v>
      </c>
    </row>
    <row r="82" spans="1:7" x14ac:dyDescent="0.25">
      <c r="A82" s="3">
        <v>40909</v>
      </c>
      <c r="B82" s="2">
        <v>59672747</v>
      </c>
      <c r="C82" s="2">
        <v>59762402</v>
      </c>
      <c r="D82" s="2">
        <v>97600</v>
      </c>
      <c r="E82" s="2">
        <v>-187255</v>
      </c>
      <c r="F82" s="7">
        <v>-3.0000000000000001E-3</v>
      </c>
    </row>
    <row r="83" spans="1:7" x14ac:dyDescent="0.25">
      <c r="B83" s="2">
        <v>572326185</v>
      </c>
      <c r="C83" s="2">
        <v>546700013</v>
      </c>
      <c r="D83" s="2">
        <v>498369</v>
      </c>
      <c r="E83" s="2">
        <v>25127803</v>
      </c>
      <c r="G83" s="7">
        <v>4.3999999999999997E-2</v>
      </c>
    </row>
    <row r="84" spans="1:7" x14ac:dyDescent="0.25">
      <c r="A84" s="3">
        <v>40940</v>
      </c>
      <c r="B84" s="2">
        <v>48271974</v>
      </c>
      <c r="C84" s="2">
        <v>48227078</v>
      </c>
      <c r="D84" s="2">
        <v>61960</v>
      </c>
      <c r="E84" s="2">
        <v>-17064</v>
      </c>
      <c r="F84" s="7">
        <v>0</v>
      </c>
    </row>
    <row r="85" spans="1:7" x14ac:dyDescent="0.25">
      <c r="B85" s="2">
        <v>573528204</v>
      </c>
      <c r="C85" s="2">
        <v>548266068</v>
      </c>
      <c r="D85" s="2">
        <v>498849</v>
      </c>
      <c r="E85" s="2">
        <v>24763287</v>
      </c>
      <c r="G85" s="7">
        <v>4.2999999999999997E-2</v>
      </c>
    </row>
    <row r="86" spans="1:7" x14ac:dyDescent="0.25">
      <c r="A86" s="3">
        <v>40969</v>
      </c>
      <c r="B86" s="2">
        <v>52147110</v>
      </c>
      <c r="C86" s="2">
        <v>47997342</v>
      </c>
      <c r="D86" s="2">
        <v>58040</v>
      </c>
      <c r="E86" s="2">
        <v>4091728</v>
      </c>
      <c r="F86" s="7">
        <v>7.8E-2</v>
      </c>
    </row>
    <row r="87" spans="1:7" x14ac:dyDescent="0.25">
      <c r="B87" s="2">
        <v>580598551</v>
      </c>
      <c r="C87" s="2">
        <v>554196269</v>
      </c>
      <c r="D87" s="2">
        <v>518009</v>
      </c>
      <c r="E87" s="2">
        <v>25884273</v>
      </c>
      <c r="G87" s="7">
        <v>4.4999999999999998E-2</v>
      </c>
    </row>
    <row r="88" spans="1:7" x14ac:dyDescent="0.25">
      <c r="A88" s="3">
        <v>41000</v>
      </c>
      <c r="B88" s="2">
        <v>42266596</v>
      </c>
      <c r="C88" s="2">
        <v>41683337</v>
      </c>
      <c r="D88" s="2">
        <v>24658</v>
      </c>
      <c r="E88" s="2">
        <v>558601</v>
      </c>
      <c r="F88" s="7">
        <v>1.2999999999999999E-2</v>
      </c>
    </row>
    <row r="89" spans="1:7" x14ac:dyDescent="0.25">
      <c r="B89" s="2">
        <v>582834132</v>
      </c>
      <c r="C89" s="2">
        <v>555913764</v>
      </c>
      <c r="D89" s="2">
        <v>511867</v>
      </c>
      <c r="E89" s="2">
        <v>26408501</v>
      </c>
      <c r="G89" s="7">
        <v>4.4999999999999998E-2</v>
      </c>
    </row>
    <row r="90" spans="1:7" x14ac:dyDescent="0.25">
      <c r="A90" s="3">
        <v>41030</v>
      </c>
      <c r="B90" s="2">
        <v>42476640</v>
      </c>
      <c r="C90" s="2">
        <v>40931211</v>
      </c>
      <c r="D90" s="2">
        <v>17457</v>
      </c>
      <c r="E90" s="2">
        <v>1527972</v>
      </c>
      <c r="F90" s="7">
        <v>3.5999999999999997E-2</v>
      </c>
    </row>
    <row r="91" spans="1:7" x14ac:dyDescent="0.25">
      <c r="B91" s="2">
        <v>584443898</v>
      </c>
      <c r="C91" s="2">
        <v>556830487</v>
      </c>
      <c r="D91" s="2">
        <v>509004</v>
      </c>
      <c r="E91" s="2">
        <v>27104407</v>
      </c>
      <c r="G91" s="7">
        <v>4.5999999999999999E-2</v>
      </c>
    </row>
    <row r="92" spans="1:7" x14ac:dyDescent="0.25">
      <c r="A92" s="3">
        <v>41061</v>
      </c>
      <c r="B92" s="2">
        <v>43987466</v>
      </c>
      <c r="C92" s="2">
        <v>41705236</v>
      </c>
      <c r="D92" s="2">
        <v>21961</v>
      </c>
      <c r="E92" s="2">
        <v>2260269</v>
      </c>
      <c r="F92" s="7">
        <v>5.0999999999999997E-2</v>
      </c>
    </row>
    <row r="93" spans="1:7" x14ac:dyDescent="0.25">
      <c r="B93" s="2">
        <v>582577418</v>
      </c>
      <c r="C93" s="2">
        <v>554140486</v>
      </c>
      <c r="D93" s="2">
        <v>507285</v>
      </c>
      <c r="E93" s="2">
        <v>27929647</v>
      </c>
      <c r="G93" s="7">
        <v>4.8000000000000001E-2</v>
      </c>
    </row>
    <row r="94" spans="1:7" x14ac:dyDescent="0.25">
      <c r="A94" s="3">
        <v>41091</v>
      </c>
      <c r="B94" s="2">
        <v>48555514</v>
      </c>
      <c r="C94" s="2">
        <v>46309700</v>
      </c>
      <c r="D94" s="2">
        <v>26349</v>
      </c>
      <c r="E94" s="2">
        <v>2219465</v>
      </c>
      <c r="F94" s="7">
        <v>4.5999999999999999E-2</v>
      </c>
    </row>
    <row r="95" spans="1:7" x14ac:dyDescent="0.25">
      <c r="B95" s="2">
        <v>584762031</v>
      </c>
      <c r="C95" s="2">
        <v>556970207</v>
      </c>
      <c r="D95" s="2">
        <v>510274</v>
      </c>
      <c r="E95" s="2">
        <v>27281550</v>
      </c>
      <c r="G95" s="7">
        <v>4.7E-2</v>
      </c>
    </row>
    <row r="96" spans="1:7" x14ac:dyDescent="0.25">
      <c r="A96" s="3">
        <v>41122</v>
      </c>
      <c r="B96" s="2">
        <v>50468544</v>
      </c>
      <c r="C96" s="2">
        <v>48822987</v>
      </c>
      <c r="D96" s="2">
        <v>27106</v>
      </c>
      <c r="E96" s="2">
        <v>1618451</v>
      </c>
      <c r="F96" s="7">
        <v>3.2000000000000001E-2</v>
      </c>
    </row>
    <row r="97" spans="1:7" x14ac:dyDescent="0.25">
      <c r="B97" s="2">
        <v>587445965</v>
      </c>
      <c r="C97" s="2">
        <v>561701217</v>
      </c>
      <c r="D97" s="2">
        <v>514820</v>
      </c>
      <c r="E97" s="2">
        <v>25229928</v>
      </c>
      <c r="G97" s="7">
        <v>4.2999999999999997E-2</v>
      </c>
    </row>
    <row r="98" spans="1:7" x14ac:dyDescent="0.25">
      <c r="A98" s="3">
        <v>41153</v>
      </c>
      <c r="B98" s="2">
        <v>41609370</v>
      </c>
      <c r="C98" s="2">
        <v>41484882</v>
      </c>
      <c r="D98" s="2">
        <v>20045</v>
      </c>
      <c r="E98" s="2">
        <v>104443</v>
      </c>
      <c r="F98" s="7">
        <v>3.0000000000000001E-3</v>
      </c>
    </row>
    <row r="99" spans="1:7" x14ac:dyDescent="0.25">
      <c r="B99" s="2">
        <v>586388070</v>
      </c>
      <c r="C99" s="2">
        <v>561139372</v>
      </c>
      <c r="D99" s="2">
        <v>517236</v>
      </c>
      <c r="E99" s="2">
        <v>24731462</v>
      </c>
      <c r="G99" s="7">
        <v>4.2000000000000003E-2</v>
      </c>
    </row>
    <row r="100" spans="1:7" x14ac:dyDescent="0.25">
      <c r="A100" s="3">
        <v>41183</v>
      </c>
      <c r="B100" s="2">
        <v>43412054</v>
      </c>
      <c r="C100" s="2">
        <v>39580927</v>
      </c>
      <c r="D100" s="2">
        <v>24813</v>
      </c>
      <c r="E100" s="2">
        <v>3806314</v>
      </c>
      <c r="F100" s="7">
        <v>8.7999999999999995E-2</v>
      </c>
    </row>
    <row r="101" spans="1:7" x14ac:dyDescent="0.25">
      <c r="B101" s="2">
        <v>585729945</v>
      </c>
      <c r="C101" s="2">
        <v>558908726</v>
      </c>
      <c r="D101" s="2">
        <v>521094</v>
      </c>
      <c r="E101" s="2">
        <v>26300125</v>
      </c>
      <c r="G101" s="7">
        <v>4.4999999999999998E-2</v>
      </c>
    </row>
    <row r="102" spans="1:7" x14ac:dyDescent="0.25">
      <c r="A102" s="3">
        <v>41214</v>
      </c>
      <c r="B102" s="2">
        <v>43174823</v>
      </c>
      <c r="C102" s="2">
        <v>41462022</v>
      </c>
      <c r="D102" s="2">
        <v>30263</v>
      </c>
      <c r="E102" s="2">
        <v>1682538</v>
      </c>
      <c r="F102" s="7">
        <v>3.9E-2</v>
      </c>
    </row>
    <row r="103" spans="1:7" x14ac:dyDescent="0.25">
      <c r="B103" s="2">
        <v>580073798</v>
      </c>
      <c r="C103" s="2">
        <v>555890949</v>
      </c>
      <c r="D103" s="2">
        <v>500212</v>
      </c>
      <c r="E103" s="2">
        <v>23682637</v>
      </c>
      <c r="G103" s="7">
        <v>4.1000000000000002E-2</v>
      </c>
    </row>
    <row r="104" spans="1:7" x14ac:dyDescent="0.25">
      <c r="A104" s="3">
        <v>41244</v>
      </c>
      <c r="B104" s="2">
        <v>51659416</v>
      </c>
      <c r="C104" s="2">
        <v>47883029</v>
      </c>
      <c r="D104" s="2">
        <v>59402</v>
      </c>
      <c r="E104" s="2">
        <v>3716985</v>
      </c>
      <c r="F104" s="7">
        <v>7.1999999999999995E-2</v>
      </c>
    </row>
    <row r="105" spans="1:7" x14ac:dyDescent="0.25">
      <c r="B105" s="2">
        <v>567702254</v>
      </c>
      <c r="C105" s="2">
        <v>545850153</v>
      </c>
      <c r="D105" s="2">
        <v>469654</v>
      </c>
      <c r="E105" s="2">
        <v>21382447</v>
      </c>
      <c r="G105" s="7">
        <v>3.7999999999999999E-2</v>
      </c>
    </row>
    <row r="106" spans="1:7" x14ac:dyDescent="0.25">
      <c r="A106" s="3">
        <v>40910</v>
      </c>
      <c r="B106" s="2">
        <v>54174542</v>
      </c>
      <c r="C106" s="2">
        <v>52749772</v>
      </c>
      <c r="D106" s="2">
        <v>71433</v>
      </c>
      <c r="E106" s="2">
        <v>1353337</v>
      </c>
      <c r="F106" s="7">
        <v>2.5000000000000001E-2</v>
      </c>
    </row>
    <row r="107" spans="1:7" x14ac:dyDescent="0.25">
      <c r="B107" s="2">
        <v>562204049</v>
      </c>
      <c r="C107" s="2">
        <v>538837523</v>
      </c>
      <c r="D107" s="2">
        <v>443487</v>
      </c>
      <c r="E107" s="2">
        <v>22923039</v>
      </c>
      <c r="G107" s="7">
        <v>4.1000000000000002E-2</v>
      </c>
    </row>
    <row r="108" spans="1:7" x14ac:dyDescent="0.25">
      <c r="A108" s="3">
        <v>40941</v>
      </c>
      <c r="B108" s="2">
        <v>48574501</v>
      </c>
      <c r="C108" s="2">
        <v>46272031</v>
      </c>
      <c r="D108" s="2">
        <v>62176</v>
      </c>
      <c r="E108" s="2">
        <v>2240294</v>
      </c>
      <c r="F108" s="7">
        <v>4.5999999999999999E-2</v>
      </c>
    </row>
    <row r="109" spans="1:7" x14ac:dyDescent="0.25">
      <c r="B109" s="2">
        <v>562506576</v>
      </c>
      <c r="C109" s="2">
        <v>536882476</v>
      </c>
      <c r="D109" s="2">
        <v>443703</v>
      </c>
      <c r="E109" s="2">
        <v>25180397</v>
      </c>
      <c r="G109" s="7">
        <v>4.4999999999999998E-2</v>
      </c>
    </row>
    <row r="110" spans="1:7" x14ac:dyDescent="0.25">
      <c r="A110" s="3">
        <v>40970</v>
      </c>
      <c r="B110" s="2">
        <v>49326764</v>
      </c>
      <c r="C110" s="2">
        <v>46968628</v>
      </c>
      <c r="D110" s="2">
        <v>55132</v>
      </c>
      <c r="E110" s="2">
        <v>2303004</v>
      </c>
      <c r="F110" s="7">
        <v>4.7E-2</v>
      </c>
    </row>
    <row r="111" spans="1:7" x14ac:dyDescent="0.25">
      <c r="B111" s="2">
        <v>559686230</v>
      </c>
      <c r="C111" s="2">
        <v>535853762</v>
      </c>
      <c r="D111" s="2">
        <v>440795</v>
      </c>
      <c r="E111" s="2">
        <v>23391673</v>
      </c>
      <c r="G111" s="7">
        <v>4.2000000000000003E-2</v>
      </c>
    </row>
    <row r="112" spans="1:7" x14ac:dyDescent="0.25">
      <c r="A112" s="3">
        <v>41001</v>
      </c>
      <c r="B112" s="2">
        <v>40161101</v>
      </c>
      <c r="C112" s="2">
        <v>40058001</v>
      </c>
      <c r="D112" s="2">
        <v>25560</v>
      </c>
      <c r="E112" s="2">
        <v>77540</v>
      </c>
      <c r="F112" s="7">
        <v>2E-3</v>
      </c>
    </row>
    <row r="113" spans="1:7" x14ac:dyDescent="0.25">
      <c r="B113" s="2">
        <v>557580735</v>
      </c>
      <c r="C113" s="2">
        <v>534228426</v>
      </c>
      <c r="D113" s="2">
        <v>441697</v>
      </c>
      <c r="E113" s="2">
        <v>22910612</v>
      </c>
      <c r="G113" s="7">
        <v>4.1000000000000002E-2</v>
      </c>
    </row>
    <row r="114" spans="1:7" x14ac:dyDescent="0.25">
      <c r="A114" s="3">
        <v>41031</v>
      </c>
      <c r="B114" s="2">
        <v>40531365</v>
      </c>
      <c r="C114" s="2">
        <v>39603921</v>
      </c>
      <c r="D114" s="2">
        <v>19630</v>
      </c>
      <c r="E114" s="2">
        <v>907814</v>
      </c>
      <c r="F114" s="7">
        <v>2.1999999999999999E-2</v>
      </c>
    </row>
    <row r="115" spans="1:7" x14ac:dyDescent="0.25">
      <c r="B115" s="2">
        <v>555635460</v>
      </c>
      <c r="C115" s="2">
        <v>532901136</v>
      </c>
      <c r="D115" s="2">
        <v>443870</v>
      </c>
      <c r="E115" s="2">
        <v>22290454</v>
      </c>
      <c r="G115" s="7">
        <v>0.04</v>
      </c>
    </row>
    <row r="116" spans="1:7" x14ac:dyDescent="0.25">
      <c r="A116" s="3">
        <v>41062</v>
      </c>
      <c r="B116" s="2">
        <v>45791364</v>
      </c>
      <c r="C116" s="2">
        <v>43278345</v>
      </c>
      <c r="D116" s="2">
        <v>24929</v>
      </c>
      <c r="E116" s="2">
        <v>2488090</v>
      </c>
      <c r="F116" s="7">
        <v>5.3999999999999999E-2</v>
      </c>
    </row>
    <row r="117" spans="1:7" x14ac:dyDescent="0.25">
      <c r="B117" s="2">
        <v>557439358</v>
      </c>
      <c r="C117" s="2">
        <v>534474245</v>
      </c>
      <c r="D117" s="2">
        <v>446838</v>
      </c>
      <c r="E117" s="2">
        <v>22518275</v>
      </c>
      <c r="G117" s="7">
        <v>0.04</v>
      </c>
    </row>
    <row r="118" spans="1:7" x14ac:dyDescent="0.25">
      <c r="A118" s="3">
        <v>41092</v>
      </c>
      <c r="B118" s="2">
        <v>50588602</v>
      </c>
      <c r="C118" s="2">
        <v>47684464</v>
      </c>
      <c r="D118" s="2">
        <v>25093</v>
      </c>
      <c r="E118" s="2">
        <v>2879045</v>
      </c>
      <c r="F118" s="7">
        <v>5.7000000000000002E-2</v>
      </c>
    </row>
    <row r="119" spans="1:7" x14ac:dyDescent="0.25">
      <c r="B119" s="2">
        <v>559472446</v>
      </c>
      <c r="C119" s="2">
        <v>535849009</v>
      </c>
      <c r="D119" s="2">
        <v>445582</v>
      </c>
      <c r="E119" s="2">
        <v>23177855</v>
      </c>
      <c r="G119" s="7">
        <v>4.1000000000000002E-2</v>
      </c>
    </row>
    <row r="120" spans="1:7" x14ac:dyDescent="0.25">
      <c r="A120" s="3">
        <v>41123</v>
      </c>
      <c r="B120" s="2">
        <v>49880778</v>
      </c>
      <c r="C120" s="2">
        <v>47213411</v>
      </c>
      <c r="D120" s="2">
        <v>24922</v>
      </c>
      <c r="E120" s="2">
        <v>2642445</v>
      </c>
      <c r="F120" s="7">
        <v>5.2999999999999999E-2</v>
      </c>
    </row>
    <row r="121" spans="1:7" x14ac:dyDescent="0.25">
      <c r="B121" s="2">
        <v>558884680</v>
      </c>
      <c r="C121" s="2">
        <v>534239433</v>
      </c>
      <c r="D121" s="2">
        <v>443398</v>
      </c>
      <c r="E121" s="2">
        <v>24201849</v>
      </c>
      <c r="G121" s="7">
        <v>4.2999999999999997E-2</v>
      </c>
    </row>
    <row r="122" spans="1:7" x14ac:dyDescent="0.25">
      <c r="A122" s="3">
        <v>41154</v>
      </c>
      <c r="B122" s="2">
        <v>44528544</v>
      </c>
      <c r="C122" s="2">
        <v>44403896</v>
      </c>
      <c r="D122" s="2">
        <v>21253</v>
      </c>
      <c r="E122" s="2">
        <v>103395</v>
      </c>
      <c r="F122" s="7">
        <v>2E-3</v>
      </c>
    </row>
    <row r="123" spans="1:7" x14ac:dyDescent="0.25">
      <c r="B123" s="2">
        <v>561803854</v>
      </c>
      <c r="C123" s="2">
        <v>537158447</v>
      </c>
      <c r="D123" s="2">
        <v>444606</v>
      </c>
      <c r="E123" s="2">
        <v>24200801</v>
      </c>
      <c r="G123" s="7">
        <v>4.2999999999999997E-2</v>
      </c>
    </row>
    <row r="124" spans="1:7" x14ac:dyDescent="0.25">
      <c r="A124" s="3">
        <v>41184</v>
      </c>
      <c r="B124" s="2">
        <v>43970701</v>
      </c>
      <c r="C124" s="2">
        <v>41752417</v>
      </c>
      <c r="D124" s="2">
        <v>24262</v>
      </c>
      <c r="E124" s="2">
        <v>2194022</v>
      </c>
      <c r="F124" s="7">
        <v>0.05</v>
      </c>
    </row>
    <row r="125" spans="1:7" x14ac:dyDescent="0.25">
      <c r="B125" s="2">
        <v>562362501</v>
      </c>
      <c r="C125" s="2">
        <v>539329937</v>
      </c>
      <c r="D125" s="2">
        <v>444055</v>
      </c>
      <c r="E125" s="2">
        <v>22588509</v>
      </c>
      <c r="G125" s="7">
        <v>0.04</v>
      </c>
    </row>
    <row r="126" spans="1:7" x14ac:dyDescent="0.25">
      <c r="A126" s="3">
        <v>41215</v>
      </c>
      <c r="B126" s="2">
        <v>47782175</v>
      </c>
      <c r="C126" s="2">
        <v>45202375</v>
      </c>
      <c r="D126" s="2">
        <v>52412</v>
      </c>
      <c r="E126" s="2">
        <v>2527388</v>
      </c>
      <c r="F126" s="7">
        <v>5.2999999999999999E-2</v>
      </c>
    </row>
    <row r="127" spans="1:7" x14ac:dyDescent="0.25">
      <c r="B127" s="2">
        <v>566969853</v>
      </c>
      <c r="C127" s="2">
        <v>543070290</v>
      </c>
      <c r="D127" s="2">
        <v>466204</v>
      </c>
      <c r="E127" s="2">
        <v>23433359</v>
      </c>
      <c r="G127" s="7">
        <v>4.1000000000000002E-2</v>
      </c>
    </row>
    <row r="128" spans="1:7" x14ac:dyDescent="0.25">
      <c r="A128" s="3">
        <v>41245</v>
      </c>
      <c r="B128" s="2">
        <v>56957875</v>
      </c>
      <c r="C128" s="2">
        <v>54538282</v>
      </c>
      <c r="D128" s="2">
        <v>81360</v>
      </c>
      <c r="E128" s="2">
        <v>2338233</v>
      </c>
      <c r="F128" s="7">
        <v>4.1000000000000002E-2</v>
      </c>
    </row>
    <row r="129" spans="1:7" x14ac:dyDescent="0.25">
      <c r="B129" s="2">
        <v>572268312</v>
      </c>
      <c r="C129" s="2">
        <v>549725543</v>
      </c>
      <c r="D129" s="2">
        <v>488162</v>
      </c>
      <c r="E129" s="2">
        <v>22054607</v>
      </c>
      <c r="G129" s="7">
        <v>3.9E-2</v>
      </c>
    </row>
    <row r="130" spans="1:7" x14ac:dyDescent="0.25">
      <c r="A130" s="3">
        <v>40911</v>
      </c>
      <c r="B130" s="2">
        <v>64983901</v>
      </c>
      <c r="C130" s="2">
        <v>57736800</v>
      </c>
      <c r="D130" s="2">
        <v>94320</v>
      </c>
      <c r="E130" s="2">
        <v>7152781</v>
      </c>
      <c r="F130" s="7">
        <v>0.11</v>
      </c>
    </row>
    <row r="131" spans="1:7" x14ac:dyDescent="0.25">
      <c r="B131" s="2">
        <v>583077671</v>
      </c>
      <c r="C131" s="2">
        <v>554712571</v>
      </c>
      <c r="D131" s="2">
        <v>511049</v>
      </c>
      <c r="E131" s="2">
        <v>27854051</v>
      </c>
      <c r="G131" s="7">
        <v>4.8000000000000001E-2</v>
      </c>
    </row>
    <row r="132" spans="1:7" x14ac:dyDescent="0.25">
      <c r="A132" s="3">
        <v>40942</v>
      </c>
      <c r="B132" s="2">
        <v>52447238</v>
      </c>
      <c r="C132" s="2">
        <v>54037720</v>
      </c>
      <c r="D132" s="2">
        <v>92640</v>
      </c>
      <c r="E132" s="2">
        <v>-1683122</v>
      </c>
      <c r="F132" s="7">
        <v>-3.2000000000000001E-2</v>
      </c>
    </row>
    <row r="133" spans="1:7" x14ac:dyDescent="0.25">
      <c r="B133" s="2">
        <v>586950408</v>
      </c>
      <c r="C133" s="2">
        <v>562478260</v>
      </c>
      <c r="D133" s="2">
        <v>541513</v>
      </c>
      <c r="E133" s="2">
        <v>23930635</v>
      </c>
      <c r="G133" s="7">
        <v>4.1000000000000002E-2</v>
      </c>
    </row>
    <row r="134" spans="1:7" x14ac:dyDescent="0.25">
      <c r="A134" s="3">
        <v>40971</v>
      </c>
      <c r="B134" s="2">
        <v>49370113</v>
      </c>
      <c r="C134" s="2">
        <v>46400560</v>
      </c>
      <c r="D134" s="2">
        <v>38200</v>
      </c>
      <c r="E134" s="2">
        <v>2931353</v>
      </c>
      <c r="F134" s="7">
        <v>5.8999999999999997E-2</v>
      </c>
    </row>
    <row r="135" spans="1:7" x14ac:dyDescent="0.25">
      <c r="B135" s="2">
        <v>586993757</v>
      </c>
      <c r="C135" s="2">
        <v>561910192</v>
      </c>
      <c r="D135" s="2">
        <v>524581</v>
      </c>
      <c r="E135" s="2">
        <v>24558984</v>
      </c>
      <c r="G135" s="7">
        <v>4.2000000000000003E-2</v>
      </c>
    </row>
    <row r="136" spans="1:7" x14ac:dyDescent="0.25">
      <c r="A136" s="3">
        <v>41002</v>
      </c>
      <c r="B136" s="2">
        <v>41773692</v>
      </c>
      <c r="C136" s="2">
        <v>41140205</v>
      </c>
      <c r="D136" s="2">
        <v>26800</v>
      </c>
      <c r="E136" s="2">
        <v>606687</v>
      </c>
      <c r="F136" s="7">
        <v>1.4999999999999999E-2</v>
      </c>
    </row>
    <row r="137" spans="1:7" x14ac:dyDescent="0.25">
      <c r="B137" s="2">
        <v>588606348</v>
      </c>
      <c r="C137" s="2">
        <v>562992396</v>
      </c>
      <c r="D137" s="2">
        <v>525821</v>
      </c>
      <c r="E137" s="2">
        <v>25088131</v>
      </c>
      <c r="G137" s="7">
        <v>4.2999999999999997E-2</v>
      </c>
    </row>
    <row r="138" spans="1:7" x14ac:dyDescent="0.25">
      <c r="A138" s="3">
        <v>41032</v>
      </c>
      <c r="B138" s="2">
        <v>41699575</v>
      </c>
      <c r="C138" s="2">
        <v>40162938</v>
      </c>
      <c r="D138" s="2">
        <v>17220</v>
      </c>
      <c r="E138" s="2">
        <v>1519417</v>
      </c>
      <c r="F138" s="7">
        <v>3.5999999999999997E-2</v>
      </c>
    </row>
    <row r="139" spans="1:7" x14ac:dyDescent="0.25">
      <c r="B139" s="2">
        <v>589774558</v>
      </c>
      <c r="C139" s="2">
        <v>563551413</v>
      </c>
      <c r="D139" s="2">
        <v>523411</v>
      </c>
      <c r="E139" s="2">
        <v>25699734</v>
      </c>
      <c r="G139" s="7">
        <v>4.3999999999999997E-2</v>
      </c>
    </row>
    <row r="140" spans="1:7" x14ac:dyDescent="0.25">
      <c r="A140" s="3">
        <v>41063</v>
      </c>
      <c r="B140" s="2">
        <v>43195011</v>
      </c>
      <c r="C140" s="2">
        <v>40998600</v>
      </c>
      <c r="D140" s="2">
        <v>21806</v>
      </c>
      <c r="E140" s="2">
        <v>2174605</v>
      </c>
      <c r="F140" s="7">
        <v>0.05</v>
      </c>
    </row>
    <row r="141" spans="1:7" x14ac:dyDescent="0.25">
      <c r="B141" s="2">
        <v>587178205</v>
      </c>
      <c r="C141" s="2">
        <v>561271668</v>
      </c>
      <c r="D141" s="2">
        <v>520288</v>
      </c>
      <c r="E141" s="2">
        <v>25386249</v>
      </c>
      <c r="G141" s="7">
        <v>4.2999999999999997E-2</v>
      </c>
    </row>
    <row r="142" spans="1:7" x14ac:dyDescent="0.25">
      <c r="A142" s="3">
        <v>41093</v>
      </c>
      <c r="B142" s="2">
        <v>49586524</v>
      </c>
      <c r="C142" s="2">
        <v>47636084</v>
      </c>
      <c r="D142" s="2">
        <v>25990</v>
      </c>
      <c r="E142" s="2">
        <v>1924450</v>
      </c>
      <c r="F142" s="7">
        <v>3.9E-2</v>
      </c>
    </row>
    <row r="143" spans="1:7" x14ac:dyDescent="0.25">
      <c r="B143" s="2">
        <v>586176127</v>
      </c>
      <c r="C143" s="2">
        <v>561223288</v>
      </c>
      <c r="D143" s="2">
        <v>521185</v>
      </c>
      <c r="E143" s="2">
        <v>24431654</v>
      </c>
      <c r="G143" s="7">
        <v>4.2000000000000003E-2</v>
      </c>
    </row>
    <row r="144" spans="1:7" x14ac:dyDescent="0.25">
      <c r="A144" s="3">
        <v>41124</v>
      </c>
      <c r="B144" s="2">
        <v>51735151</v>
      </c>
      <c r="C144" s="2">
        <v>48139190</v>
      </c>
      <c r="D144" s="2">
        <v>24895</v>
      </c>
      <c r="E144" s="2">
        <v>3571066</v>
      </c>
      <c r="F144" s="7">
        <v>6.9000000000000006E-2</v>
      </c>
    </row>
    <row r="145" spans="1:7" x14ac:dyDescent="0.25">
      <c r="B145" s="2">
        <v>588030500</v>
      </c>
      <c r="C145" s="2">
        <v>562149067</v>
      </c>
      <c r="D145" s="2">
        <v>521158</v>
      </c>
      <c r="E145" s="2">
        <v>25360275</v>
      </c>
      <c r="G145" s="7">
        <v>4.2999999999999997E-2</v>
      </c>
    </row>
    <row r="146" spans="1:7" x14ac:dyDescent="0.25">
      <c r="A146" s="3">
        <v>41155</v>
      </c>
      <c r="B146" s="2">
        <v>43565940</v>
      </c>
      <c r="C146" s="2">
        <v>44744771</v>
      </c>
      <c r="D146" s="2">
        <v>21332</v>
      </c>
      <c r="E146" s="2">
        <v>-1200163</v>
      </c>
      <c r="F146" s="7">
        <v>-2.8000000000000001E-2</v>
      </c>
    </row>
    <row r="147" spans="1:7" x14ac:dyDescent="0.25">
      <c r="B147" s="2">
        <v>587067896</v>
      </c>
      <c r="C147" s="2">
        <v>562489942</v>
      </c>
      <c r="D147" s="2">
        <v>521237</v>
      </c>
      <c r="E147" s="2">
        <v>24056717</v>
      </c>
      <c r="G147" s="7">
        <v>4.1000000000000002E-2</v>
      </c>
    </row>
    <row r="148" spans="1:7" x14ac:dyDescent="0.25">
      <c r="A148" s="3">
        <v>41185</v>
      </c>
      <c r="B148" s="2">
        <v>45624831</v>
      </c>
      <c r="C148" s="2">
        <v>42627608</v>
      </c>
      <c r="D148" s="2">
        <v>25560</v>
      </c>
      <c r="E148" s="2">
        <v>2971663</v>
      </c>
      <c r="F148" s="7">
        <v>6.5000000000000002E-2</v>
      </c>
    </row>
    <row r="149" spans="1:7" x14ac:dyDescent="0.25">
      <c r="B149" s="2">
        <v>588722026</v>
      </c>
      <c r="C149" s="2">
        <v>563365133</v>
      </c>
      <c r="D149" s="2">
        <v>522535</v>
      </c>
      <c r="E149" s="2">
        <v>24834358</v>
      </c>
      <c r="G149" s="7">
        <v>4.2000000000000003E-2</v>
      </c>
    </row>
    <row r="150" spans="1:7" x14ac:dyDescent="0.25">
      <c r="A150" s="3">
        <v>41216</v>
      </c>
      <c r="B150" s="2">
        <v>45773991</v>
      </c>
      <c r="C150" s="2">
        <v>42606319</v>
      </c>
      <c r="D150" s="2">
        <v>42447</v>
      </c>
      <c r="E150" s="2">
        <v>3125225</v>
      </c>
      <c r="F150" s="7">
        <v>6.8000000000000005E-2</v>
      </c>
    </row>
    <row r="151" spans="1:7" x14ac:dyDescent="0.25">
      <c r="B151" s="2">
        <v>586713842</v>
      </c>
      <c r="C151" s="2">
        <v>560769077</v>
      </c>
      <c r="D151" s="2">
        <v>512570</v>
      </c>
      <c r="E151" s="2">
        <v>25432195</v>
      </c>
      <c r="G151" s="7">
        <v>4.2999999999999997E-2</v>
      </c>
    </row>
    <row r="152" spans="1:7" x14ac:dyDescent="0.25">
      <c r="A152" s="3">
        <v>41246</v>
      </c>
      <c r="B152" s="2">
        <v>61134968</v>
      </c>
      <c r="C152" s="2">
        <v>56774386</v>
      </c>
      <c r="D152" s="2">
        <v>74720</v>
      </c>
      <c r="E152" s="2">
        <v>4285862</v>
      </c>
      <c r="F152" s="7">
        <v>7.0000000000000007E-2</v>
      </c>
    </row>
    <row r="153" spans="1:7" x14ac:dyDescent="0.25">
      <c r="B153" s="2">
        <v>590890935</v>
      </c>
      <c r="C153" s="2">
        <v>563005181</v>
      </c>
      <c r="D153" s="2">
        <v>505930</v>
      </c>
      <c r="E153" s="2">
        <v>27379824</v>
      </c>
      <c r="G153" s="7">
        <v>4.5999999999999999E-2</v>
      </c>
    </row>
    <row r="154" spans="1:7" x14ac:dyDescent="0.25">
      <c r="A154" s="3">
        <v>40912</v>
      </c>
      <c r="B154" s="2">
        <v>66713341</v>
      </c>
      <c r="C154" s="2">
        <v>63846591</v>
      </c>
      <c r="D154" s="2">
        <v>79000</v>
      </c>
      <c r="E154" s="2">
        <v>2787750</v>
      </c>
      <c r="F154" s="7">
        <v>4.2000000000000003E-2</v>
      </c>
    </row>
    <row r="155" spans="1:7" x14ac:dyDescent="0.25">
      <c r="B155" s="2">
        <v>592620375</v>
      </c>
      <c r="C155" s="2">
        <v>569114972</v>
      </c>
      <c r="D155" s="2">
        <v>490610</v>
      </c>
      <c r="E155" s="2">
        <v>23014793</v>
      </c>
      <c r="G155" s="7">
        <v>3.9E-2</v>
      </c>
    </row>
    <row r="156" spans="1:7" x14ac:dyDescent="0.25">
      <c r="A156" s="3">
        <v>40943</v>
      </c>
      <c r="B156" s="2">
        <v>58066928</v>
      </c>
      <c r="C156" s="2">
        <v>57699780</v>
      </c>
      <c r="D156" s="2">
        <v>74960</v>
      </c>
      <c r="E156" s="2">
        <v>292188</v>
      </c>
      <c r="F156" s="7">
        <v>5.0000000000000001E-3</v>
      </c>
    </row>
    <row r="157" spans="1:7" x14ac:dyDescent="0.25">
      <c r="B157" s="2">
        <v>598240065</v>
      </c>
      <c r="C157" s="2">
        <v>572777032</v>
      </c>
      <c r="D157" s="2">
        <v>472930</v>
      </c>
      <c r="E157" s="2">
        <v>24990103</v>
      </c>
      <c r="G157" s="7">
        <v>4.2000000000000003E-2</v>
      </c>
    </row>
    <row r="158" spans="1:7" x14ac:dyDescent="0.25">
      <c r="A158" s="3">
        <v>40972</v>
      </c>
      <c r="B158" s="2">
        <v>51799780</v>
      </c>
      <c r="C158" s="2">
        <v>49850945</v>
      </c>
      <c r="D158" s="2">
        <v>49960</v>
      </c>
      <c r="E158" s="2">
        <v>1898875</v>
      </c>
      <c r="F158" s="7">
        <v>3.6999999999999998E-2</v>
      </c>
    </row>
    <row r="159" spans="1:7" x14ac:dyDescent="0.25">
      <c r="B159" s="2">
        <v>600669732</v>
      </c>
      <c r="C159" s="2">
        <v>576227417</v>
      </c>
      <c r="D159" s="2">
        <v>484690</v>
      </c>
      <c r="E159" s="2">
        <v>23957625</v>
      </c>
      <c r="G159" s="7">
        <v>0.04</v>
      </c>
    </row>
    <row r="160" spans="1:7" x14ac:dyDescent="0.25">
      <c r="A160" s="3">
        <v>41003</v>
      </c>
      <c r="B160" s="2">
        <v>45581019</v>
      </c>
      <c r="C160" s="2">
        <v>45205084</v>
      </c>
      <c r="D160" s="2">
        <v>29880</v>
      </c>
      <c r="E160" s="2">
        <v>346055</v>
      </c>
      <c r="F160" s="7">
        <v>8.0000000000000002E-3</v>
      </c>
    </row>
    <row r="161" spans="1:7" x14ac:dyDescent="0.25">
      <c r="B161" s="2">
        <v>604477059</v>
      </c>
      <c r="C161" s="2">
        <v>580292296</v>
      </c>
      <c r="D161" s="2">
        <v>487770</v>
      </c>
      <c r="E161" s="2">
        <v>23696993</v>
      </c>
      <c r="G161" s="7">
        <v>3.9E-2</v>
      </c>
    </row>
    <row r="162" spans="1:7" x14ac:dyDescent="0.25">
      <c r="A162" s="3">
        <v>41033</v>
      </c>
      <c r="B162" s="2">
        <v>45990817</v>
      </c>
      <c r="C162" s="2">
        <v>43133139</v>
      </c>
      <c r="D162" s="2">
        <v>20687</v>
      </c>
      <c r="E162" s="2">
        <v>2836991</v>
      </c>
      <c r="F162" s="7">
        <v>6.2E-2</v>
      </c>
    </row>
    <row r="163" spans="1:7" x14ac:dyDescent="0.25">
      <c r="B163" s="2">
        <v>608768301</v>
      </c>
      <c r="C163" s="2">
        <v>583262497</v>
      </c>
      <c r="D163" s="2">
        <v>491237</v>
      </c>
      <c r="E163" s="2">
        <v>25014567</v>
      </c>
      <c r="G163" s="7">
        <v>4.1000000000000002E-2</v>
      </c>
    </row>
    <row r="164" spans="1:7" x14ac:dyDescent="0.25">
      <c r="A164" s="3">
        <v>41064</v>
      </c>
      <c r="B164" s="2">
        <v>47479043</v>
      </c>
      <c r="C164" s="2">
        <v>46282818</v>
      </c>
      <c r="D164" s="2">
        <v>20650</v>
      </c>
      <c r="E164" s="2">
        <v>1175575</v>
      </c>
      <c r="F164" s="7">
        <v>2.5000000000000001E-2</v>
      </c>
    </row>
    <row r="165" spans="1:7" x14ac:dyDescent="0.25">
      <c r="B165" s="2">
        <v>613052333</v>
      </c>
      <c r="C165" s="2">
        <v>588546715</v>
      </c>
      <c r="D165" s="2">
        <v>490081</v>
      </c>
      <c r="E165" s="2">
        <v>24015537</v>
      </c>
      <c r="G165" s="7">
        <v>3.9E-2</v>
      </c>
    </row>
    <row r="166" spans="1:7" x14ac:dyDescent="0.25">
      <c r="A166" s="3">
        <v>41094</v>
      </c>
      <c r="B166" s="2">
        <v>50247827</v>
      </c>
      <c r="C166" s="2">
        <v>48036197</v>
      </c>
      <c r="D166" s="2">
        <v>23214</v>
      </c>
      <c r="E166" s="2">
        <v>2188416</v>
      </c>
      <c r="F166" s="7">
        <v>4.3999999999999997E-2</v>
      </c>
    </row>
    <row r="167" spans="1:7" x14ac:dyDescent="0.25">
      <c r="B167" s="2">
        <v>613713636</v>
      </c>
      <c r="C167" s="2">
        <v>588946828</v>
      </c>
      <c r="D167" s="2">
        <v>487305</v>
      </c>
      <c r="E167" s="2">
        <v>24279503</v>
      </c>
      <c r="G167" s="7">
        <v>0.04</v>
      </c>
    </row>
    <row r="168" spans="1:7" x14ac:dyDescent="0.25">
      <c r="A168" s="3">
        <v>41125</v>
      </c>
      <c r="B168" s="2">
        <v>50300598</v>
      </c>
      <c r="C168" s="2">
        <v>46482310</v>
      </c>
      <c r="D168" s="2">
        <v>20614</v>
      </c>
      <c r="E168" s="2">
        <v>3797674</v>
      </c>
      <c r="F168" s="7">
        <v>7.4999999999999997E-2</v>
      </c>
    </row>
    <row r="169" spans="1:7" x14ac:dyDescent="0.25">
      <c r="B169" s="2">
        <v>612279083</v>
      </c>
      <c r="C169" s="2">
        <v>587289948</v>
      </c>
      <c r="D169" s="2">
        <v>483024</v>
      </c>
      <c r="E169" s="2">
        <v>24506111</v>
      </c>
      <c r="G169" s="7">
        <v>0.04</v>
      </c>
    </row>
    <row r="170" spans="1:7" x14ac:dyDescent="0.25">
      <c r="A170" s="3">
        <v>41156</v>
      </c>
      <c r="B170" s="2">
        <v>45993976</v>
      </c>
      <c r="C170" s="2">
        <v>46415207</v>
      </c>
      <c r="D170" s="2">
        <v>18596</v>
      </c>
      <c r="E170" s="2">
        <v>-439827</v>
      </c>
      <c r="F170" s="7">
        <v>-0.01</v>
      </c>
    </row>
    <row r="171" spans="1:7" x14ac:dyDescent="0.25">
      <c r="B171" s="2">
        <v>614707119</v>
      </c>
      <c r="C171" s="2">
        <v>588960384</v>
      </c>
      <c r="D171" s="2">
        <v>480288</v>
      </c>
      <c r="E171" s="2">
        <v>25266447</v>
      </c>
      <c r="G171" s="7">
        <v>4.1000000000000002E-2</v>
      </c>
    </row>
    <row r="172" spans="1:7" x14ac:dyDescent="0.25">
      <c r="A172" s="3">
        <v>41186</v>
      </c>
      <c r="B172" s="2">
        <v>44981684</v>
      </c>
      <c r="C172" s="2">
        <v>42930650</v>
      </c>
      <c r="D172" s="2">
        <v>20578</v>
      </c>
      <c r="E172" s="2">
        <v>2030456</v>
      </c>
      <c r="F172" s="7">
        <v>4.4999999999999998E-2</v>
      </c>
    </row>
    <row r="173" spans="1:7" x14ac:dyDescent="0.25">
      <c r="B173" s="2">
        <v>614063972</v>
      </c>
      <c r="C173" s="2">
        <v>589263426</v>
      </c>
      <c r="D173" s="2">
        <v>475306</v>
      </c>
      <c r="E173" s="2">
        <v>24325240</v>
      </c>
      <c r="G173" s="7">
        <v>0.04</v>
      </c>
    </row>
    <row r="174" spans="1:7" x14ac:dyDescent="0.25">
      <c r="A174" s="3">
        <v>41217</v>
      </c>
      <c r="B174" s="2">
        <v>49625005</v>
      </c>
      <c r="C174" s="2">
        <v>46647824</v>
      </c>
      <c r="D174" s="2">
        <v>41097</v>
      </c>
      <c r="E174" s="2">
        <v>2936084</v>
      </c>
      <c r="F174" s="7">
        <v>5.8999999999999997E-2</v>
      </c>
    </row>
    <row r="175" spans="1:7" x14ac:dyDescent="0.25">
      <c r="B175" s="2">
        <v>617914986</v>
      </c>
      <c r="C175" s="2">
        <v>593304931</v>
      </c>
      <c r="D175" s="2">
        <v>473956</v>
      </c>
      <c r="E175" s="2">
        <v>24136099</v>
      </c>
      <c r="G175" s="7">
        <v>3.9E-2</v>
      </c>
    </row>
    <row r="176" spans="1:7" x14ac:dyDescent="0.25">
      <c r="A176" s="3">
        <v>41247</v>
      </c>
      <c r="B176" s="2">
        <v>63098366</v>
      </c>
      <c r="C176" s="2">
        <v>57589601</v>
      </c>
      <c r="D176" s="2">
        <v>71640</v>
      </c>
      <c r="E176" s="2">
        <v>5437125</v>
      </c>
      <c r="F176" s="7">
        <v>8.5999999999999993E-2</v>
      </c>
    </row>
    <row r="177" spans="1:7" x14ac:dyDescent="0.25">
      <c r="B177" s="2">
        <v>619878384</v>
      </c>
      <c r="C177" s="2">
        <v>594120146</v>
      </c>
      <c r="D177" s="2">
        <v>470876</v>
      </c>
      <c r="E177" s="2">
        <v>25287362</v>
      </c>
      <c r="G177" s="7">
        <v>4.1000000000000002E-2</v>
      </c>
    </row>
    <row r="178" spans="1:7" x14ac:dyDescent="0.25">
      <c r="A178" s="3">
        <v>40913</v>
      </c>
      <c r="B178" s="2">
        <v>61309643</v>
      </c>
      <c r="C178" s="2">
        <v>57185756</v>
      </c>
      <c r="D178" s="2">
        <v>71160</v>
      </c>
      <c r="E178" s="2">
        <v>4052727</v>
      </c>
      <c r="F178" s="7">
        <v>6.6000000000000003E-2</v>
      </c>
    </row>
    <row r="179" spans="1:7" x14ac:dyDescent="0.25">
      <c r="B179" s="2">
        <v>614474686</v>
      </c>
      <c r="C179" s="2">
        <v>587459311</v>
      </c>
      <c r="D179" s="2">
        <v>463036</v>
      </c>
      <c r="E179" s="2">
        <v>26552339</v>
      </c>
      <c r="G179" s="7">
        <v>4.2999999999999997E-2</v>
      </c>
    </row>
    <row r="180" spans="1:7" x14ac:dyDescent="0.25">
      <c r="A180" s="3">
        <v>40944</v>
      </c>
      <c r="B180" s="2">
        <v>54352361</v>
      </c>
      <c r="C180" s="2">
        <v>55609516</v>
      </c>
      <c r="D180" s="2">
        <v>62400</v>
      </c>
      <c r="E180" s="2">
        <v>-1319555</v>
      </c>
      <c r="F180" s="7">
        <v>-2.4E-2</v>
      </c>
    </row>
    <row r="181" spans="1:7" x14ac:dyDescent="0.25">
      <c r="B181" s="2">
        <v>610760119</v>
      </c>
      <c r="C181" s="2">
        <v>585369047</v>
      </c>
      <c r="D181" s="2">
        <v>450476</v>
      </c>
      <c r="E181" s="2">
        <v>24940596</v>
      </c>
      <c r="G181" s="7">
        <v>4.1000000000000002E-2</v>
      </c>
    </row>
    <row r="182" spans="1:7" x14ac:dyDescent="0.25">
      <c r="A182" s="3">
        <v>40973</v>
      </c>
      <c r="B182" s="2">
        <v>58181599</v>
      </c>
      <c r="C182" s="2">
        <v>55794821</v>
      </c>
      <c r="D182" s="2">
        <v>66080</v>
      </c>
      <c r="E182" s="2">
        <v>2320698</v>
      </c>
      <c r="F182" s="7">
        <v>0.04</v>
      </c>
    </row>
    <row r="183" spans="1:7" x14ac:dyDescent="0.25">
      <c r="B183" s="2">
        <v>617141938</v>
      </c>
      <c r="C183" s="2">
        <v>591312923</v>
      </c>
      <c r="D183" s="2">
        <v>466596</v>
      </c>
      <c r="E183" s="2">
        <v>25362419</v>
      </c>
      <c r="G183" s="7">
        <v>4.1000000000000002E-2</v>
      </c>
    </row>
    <row r="184" spans="1:7" x14ac:dyDescent="0.25">
      <c r="A184" s="3">
        <v>41004</v>
      </c>
      <c r="B184" s="2">
        <v>45434104</v>
      </c>
      <c r="C184" s="2">
        <v>44848437</v>
      </c>
      <c r="D184" s="2">
        <v>27320</v>
      </c>
      <c r="E184" s="2">
        <v>558347</v>
      </c>
      <c r="F184" s="7">
        <v>1.2E-2</v>
      </c>
    </row>
    <row r="185" spans="1:7" x14ac:dyDescent="0.25">
      <c r="B185" s="2">
        <v>616995023</v>
      </c>
      <c r="C185" s="2">
        <v>590956276</v>
      </c>
      <c r="D185" s="2">
        <v>464036</v>
      </c>
      <c r="E185" s="2">
        <v>25574711</v>
      </c>
      <c r="G185" s="7">
        <v>4.1000000000000002E-2</v>
      </c>
    </row>
    <row r="186" spans="1:7" x14ac:dyDescent="0.25">
      <c r="A186" s="3">
        <v>41034</v>
      </c>
      <c r="B186" s="2">
        <v>44562053</v>
      </c>
      <c r="C186" s="2">
        <v>42705003</v>
      </c>
      <c r="D186" s="2">
        <v>23692</v>
      </c>
      <c r="E186" s="2">
        <v>1833358</v>
      </c>
      <c r="F186" s="7">
        <v>4.1000000000000002E-2</v>
      </c>
    </row>
    <row r="187" spans="1:7" x14ac:dyDescent="0.25">
      <c r="B187" s="2">
        <v>615566259</v>
      </c>
      <c r="C187" s="2">
        <v>590528140</v>
      </c>
      <c r="D187" s="2">
        <v>467041</v>
      </c>
      <c r="E187" s="2">
        <v>24571078</v>
      </c>
      <c r="G187" s="7">
        <v>0.04</v>
      </c>
    </row>
    <row r="188" spans="1:7" x14ac:dyDescent="0.25">
      <c r="A188" s="3">
        <v>41065</v>
      </c>
      <c r="B188" s="2">
        <v>50869738</v>
      </c>
      <c r="C188" s="2">
        <v>48539243</v>
      </c>
      <c r="D188" s="2">
        <v>23545</v>
      </c>
      <c r="E188" s="2">
        <v>2306950</v>
      </c>
      <c r="F188" s="7">
        <v>4.4999999999999998E-2</v>
      </c>
    </row>
    <row r="189" spans="1:7" x14ac:dyDescent="0.25">
      <c r="B189" s="2">
        <v>618956954</v>
      </c>
      <c r="C189" s="2">
        <v>592784565</v>
      </c>
      <c r="D189" s="2">
        <v>469936</v>
      </c>
      <c r="E189" s="2">
        <v>25702453</v>
      </c>
      <c r="G189" s="7">
        <v>4.2000000000000003E-2</v>
      </c>
    </row>
    <row r="190" spans="1:7" x14ac:dyDescent="0.25">
      <c r="A190" s="3">
        <v>41095</v>
      </c>
      <c r="B190" s="2">
        <v>54525319</v>
      </c>
      <c r="C190" s="2">
        <v>52111560</v>
      </c>
      <c r="D190" s="2">
        <v>25328</v>
      </c>
      <c r="E190" s="2">
        <v>2388431</v>
      </c>
      <c r="F190" s="7">
        <v>4.3999999999999997E-2</v>
      </c>
    </row>
    <row r="191" spans="1:7" x14ac:dyDescent="0.25">
      <c r="B191" s="2">
        <v>623234446</v>
      </c>
      <c r="C191" s="2">
        <v>596859928</v>
      </c>
      <c r="D191" s="2">
        <v>472050</v>
      </c>
      <c r="E191" s="2">
        <v>25902468</v>
      </c>
      <c r="G191" s="7">
        <v>4.2000000000000003E-2</v>
      </c>
    </row>
    <row r="192" spans="1:7" x14ac:dyDescent="0.25">
      <c r="A192" s="3">
        <v>41126</v>
      </c>
      <c r="B192" s="2">
        <v>56814861</v>
      </c>
      <c r="C192" s="2">
        <v>53428482</v>
      </c>
      <c r="D192" s="2">
        <v>25676</v>
      </c>
      <c r="E192" s="2">
        <v>3360703</v>
      </c>
      <c r="F192" s="7">
        <v>5.8999999999999997E-2</v>
      </c>
    </row>
    <row r="193" spans="1:7" x14ac:dyDescent="0.25">
      <c r="B193" s="2">
        <v>629748709</v>
      </c>
      <c r="C193" s="2">
        <v>603806100</v>
      </c>
      <c r="D193" s="2">
        <v>477112</v>
      </c>
      <c r="E193" s="2">
        <v>25465497</v>
      </c>
      <c r="G193" s="7">
        <v>0.04</v>
      </c>
    </row>
    <row r="194" spans="1:7" x14ac:dyDescent="0.25">
      <c r="A194" s="3">
        <v>41157</v>
      </c>
      <c r="B194" s="2">
        <v>49303375</v>
      </c>
      <c r="C194" s="2">
        <v>49378354</v>
      </c>
      <c r="D194" s="2">
        <v>21764</v>
      </c>
      <c r="E194" s="2">
        <v>-96743</v>
      </c>
      <c r="F194" s="7">
        <v>-2E-3</v>
      </c>
    </row>
    <row r="195" spans="1:7" x14ac:dyDescent="0.25">
      <c r="B195" s="2">
        <v>633058108</v>
      </c>
      <c r="C195" s="2">
        <v>606769247</v>
      </c>
      <c r="D195" s="2">
        <v>480280</v>
      </c>
      <c r="E195" s="2">
        <v>25808581</v>
      </c>
      <c r="G195" s="7">
        <v>4.1000000000000002E-2</v>
      </c>
    </row>
    <row r="196" spans="1:7" x14ac:dyDescent="0.25">
      <c r="A196" s="3">
        <v>41187</v>
      </c>
      <c r="B196" s="2">
        <v>47329836</v>
      </c>
      <c r="C196" s="2">
        <v>44053111</v>
      </c>
      <c r="D196" s="2">
        <v>22113</v>
      </c>
      <c r="E196" s="2">
        <v>3254612</v>
      </c>
      <c r="F196" s="7">
        <v>6.9000000000000006E-2</v>
      </c>
    </row>
    <row r="197" spans="1:7" x14ac:dyDescent="0.25">
      <c r="B197" s="2">
        <v>635406260</v>
      </c>
      <c r="C197" s="2">
        <v>607891708</v>
      </c>
      <c r="D197" s="2">
        <v>481815</v>
      </c>
      <c r="E197" s="2">
        <v>27032737</v>
      </c>
      <c r="G197" s="7">
        <v>4.2999999999999997E-2</v>
      </c>
    </row>
    <row r="198" spans="1:7" x14ac:dyDescent="0.25">
      <c r="A198" s="3">
        <v>41218</v>
      </c>
      <c r="B198" s="2">
        <v>52110874</v>
      </c>
      <c r="C198" s="2">
        <v>49821427</v>
      </c>
      <c r="D198" s="2">
        <v>36600</v>
      </c>
      <c r="E198" s="2">
        <v>2252847</v>
      </c>
      <c r="F198" s="7">
        <v>4.2999999999999997E-2</v>
      </c>
    </row>
    <row r="199" spans="1:7" x14ac:dyDescent="0.25">
      <c r="B199" s="2">
        <v>637892129</v>
      </c>
      <c r="C199" s="2">
        <v>611065311</v>
      </c>
      <c r="D199" s="2">
        <v>477318</v>
      </c>
      <c r="E199" s="2">
        <v>26349500</v>
      </c>
      <c r="G199" s="7">
        <v>4.1000000000000002E-2</v>
      </c>
    </row>
    <row r="200" spans="1:7" x14ac:dyDescent="0.25">
      <c r="A200" s="3">
        <v>41248</v>
      </c>
      <c r="B200" s="2">
        <v>65922360</v>
      </c>
      <c r="C200" s="2">
        <v>59698412</v>
      </c>
      <c r="D200" s="2">
        <v>66280</v>
      </c>
      <c r="E200" s="2">
        <v>6157668</v>
      </c>
      <c r="F200" s="7">
        <v>9.2999999999999999E-2</v>
      </c>
    </row>
    <row r="201" spans="1:7" x14ac:dyDescent="0.25">
      <c r="B201" s="2">
        <v>640716123</v>
      </c>
      <c r="C201" s="2">
        <v>613174122</v>
      </c>
      <c r="D201" s="2">
        <v>471958</v>
      </c>
      <c r="E201" s="2">
        <v>27070043</v>
      </c>
      <c r="G201" s="7">
        <v>4.2000000000000003E-2</v>
      </c>
    </row>
    <row r="202" spans="1:7" x14ac:dyDescent="0.25">
      <c r="A202" s="3">
        <v>40914</v>
      </c>
      <c r="B202" s="2">
        <v>57078349</v>
      </c>
      <c r="C202" s="2">
        <v>56249472</v>
      </c>
      <c r="D202" s="2">
        <v>59200</v>
      </c>
      <c r="E202" s="2">
        <v>769677</v>
      </c>
      <c r="F202" s="7">
        <v>1.2999999999999999E-2</v>
      </c>
    </row>
    <row r="203" spans="1:7" x14ac:dyDescent="0.25">
      <c r="B203" s="2">
        <v>636484829</v>
      </c>
      <c r="C203" s="2">
        <v>612237838</v>
      </c>
      <c r="D203" s="2">
        <v>459998</v>
      </c>
      <c r="E203" s="2">
        <v>23786993</v>
      </c>
      <c r="G203" s="7">
        <v>3.6999999999999998E-2</v>
      </c>
    </row>
    <row r="204" spans="1:7" x14ac:dyDescent="0.25">
      <c r="A204" s="3">
        <v>40945</v>
      </c>
      <c r="B204" s="2">
        <v>57200989</v>
      </c>
      <c r="C204" s="2">
        <v>55562684</v>
      </c>
      <c r="D204" s="2">
        <v>56296</v>
      </c>
      <c r="E204" s="2">
        <v>1582009</v>
      </c>
      <c r="F204" s="7">
        <v>2.8000000000000001E-2</v>
      </c>
    </row>
    <row r="205" spans="1:7" x14ac:dyDescent="0.25">
      <c r="B205" s="2">
        <v>639333457</v>
      </c>
      <c r="C205" s="2">
        <v>612191006</v>
      </c>
      <c r="D205" s="2">
        <v>453894</v>
      </c>
      <c r="E205" s="2">
        <v>26688557</v>
      </c>
      <c r="G205" s="7">
        <v>4.2000000000000003E-2</v>
      </c>
    </row>
    <row r="206" spans="1:7" x14ac:dyDescent="0.25">
      <c r="A206" s="3">
        <v>40974</v>
      </c>
      <c r="B206" s="2">
        <v>55187218</v>
      </c>
      <c r="C206" s="2">
        <v>52739738</v>
      </c>
      <c r="D206" s="2">
        <v>33520</v>
      </c>
      <c r="E206" s="2">
        <v>2413960</v>
      </c>
      <c r="F206" s="7">
        <v>4.3999999999999997E-2</v>
      </c>
    </row>
    <row r="207" spans="1:7" x14ac:dyDescent="0.25">
      <c r="B207" s="2">
        <v>636339076</v>
      </c>
      <c r="C207" s="2">
        <v>609135923</v>
      </c>
      <c r="D207" s="2">
        <v>421334</v>
      </c>
      <c r="E207" s="2">
        <v>26781819</v>
      </c>
      <c r="G207" s="7">
        <v>4.2000000000000003E-2</v>
      </c>
    </row>
    <row r="208" spans="1:7" x14ac:dyDescent="0.25">
      <c r="A208" s="3">
        <v>41005</v>
      </c>
      <c r="B208" s="2">
        <v>43267049</v>
      </c>
      <c r="C208" s="2">
        <v>44267245</v>
      </c>
      <c r="D208" s="2">
        <v>18157</v>
      </c>
      <c r="E208" s="2">
        <v>-1018353</v>
      </c>
      <c r="F208" s="7">
        <v>-2.4E-2</v>
      </c>
    </row>
    <row r="209" spans="1:7" x14ac:dyDescent="0.25">
      <c r="B209" s="2">
        <v>634172021</v>
      </c>
      <c r="C209" s="2">
        <v>608554731</v>
      </c>
      <c r="D209" s="2">
        <v>412171</v>
      </c>
      <c r="E209" s="2">
        <v>25205119</v>
      </c>
      <c r="G209" s="7">
        <v>0.04</v>
      </c>
    </row>
    <row r="210" spans="1:7" x14ac:dyDescent="0.25">
      <c r="A210" s="3">
        <v>41035</v>
      </c>
      <c r="B210" s="2">
        <v>45976329</v>
      </c>
      <c r="C210" s="2">
        <v>43194428</v>
      </c>
      <c r="D210" s="2">
        <v>15699</v>
      </c>
      <c r="E210" s="2">
        <v>2766202</v>
      </c>
      <c r="F210" s="7">
        <v>0.06</v>
      </c>
    </row>
    <row r="211" spans="1:7" x14ac:dyDescent="0.25">
      <c r="B211" s="2">
        <v>635586297</v>
      </c>
      <c r="C211" s="2">
        <v>609044156</v>
      </c>
      <c r="D211" s="2">
        <v>404178</v>
      </c>
      <c r="E211" s="2">
        <v>26137963</v>
      </c>
      <c r="G211" s="7">
        <v>4.1000000000000002E-2</v>
      </c>
    </row>
    <row r="212" spans="1:7" x14ac:dyDescent="0.25">
      <c r="A212" s="3">
        <v>41066</v>
      </c>
      <c r="B212" s="2">
        <v>47086551</v>
      </c>
      <c r="C212" s="2">
        <v>45678818</v>
      </c>
      <c r="D212" s="2">
        <v>17266</v>
      </c>
      <c r="E212" s="2">
        <v>1390467</v>
      </c>
      <c r="F212" s="7">
        <v>0.03</v>
      </c>
    </row>
    <row r="213" spans="1:7" x14ac:dyDescent="0.25">
      <c r="B213" s="2">
        <v>631803110</v>
      </c>
      <c r="C213" s="2">
        <v>606183731</v>
      </c>
      <c r="D213" s="2">
        <v>397899</v>
      </c>
      <c r="E213" s="2">
        <v>25221480</v>
      </c>
      <c r="G213" s="7">
        <v>0.04</v>
      </c>
    </row>
    <row r="214" spans="1:7" x14ac:dyDescent="0.25">
      <c r="A214" s="3">
        <v>41096</v>
      </c>
      <c r="B214" s="2">
        <v>53949556</v>
      </c>
      <c r="C214" s="2">
        <v>52056799</v>
      </c>
      <c r="D214" s="2">
        <v>18465</v>
      </c>
      <c r="E214" s="2">
        <v>1874292</v>
      </c>
      <c r="F214" s="7">
        <v>3.5000000000000003E-2</v>
      </c>
    </row>
    <row r="215" spans="1:7" x14ac:dyDescent="0.25">
      <c r="B215" s="2">
        <v>631227347</v>
      </c>
      <c r="C215" s="2">
        <v>606128970</v>
      </c>
      <c r="D215" s="2">
        <v>391036</v>
      </c>
      <c r="E215" s="2">
        <v>24707341</v>
      </c>
      <c r="G215" s="7">
        <v>3.9E-2</v>
      </c>
    </row>
    <row r="216" spans="1:7" x14ac:dyDescent="0.25">
      <c r="A216" s="3">
        <v>41127</v>
      </c>
      <c r="B216" s="2">
        <v>54607799</v>
      </c>
      <c r="C216" s="2">
        <v>51474262</v>
      </c>
      <c r="D216" s="2">
        <v>20379</v>
      </c>
      <c r="E216" s="2">
        <v>3113158</v>
      </c>
      <c r="F216" s="7">
        <v>5.7000000000000002E-2</v>
      </c>
    </row>
    <row r="217" spans="1:7" x14ac:dyDescent="0.25">
      <c r="B217" s="2">
        <v>629020285</v>
      </c>
      <c r="C217" s="2">
        <v>604174750</v>
      </c>
      <c r="D217" s="2">
        <v>385739</v>
      </c>
      <c r="E217" s="2">
        <v>24459796</v>
      </c>
      <c r="G217" s="7">
        <v>3.9E-2</v>
      </c>
    </row>
    <row r="218" spans="1:7" x14ac:dyDescent="0.25">
      <c r="A218" s="3">
        <v>41158</v>
      </c>
      <c r="B218" s="2">
        <v>43378904</v>
      </c>
      <c r="C218" s="2">
        <v>43837020</v>
      </c>
      <c r="D218" s="2">
        <v>12360</v>
      </c>
      <c r="E218" s="2">
        <v>-470476</v>
      </c>
      <c r="F218" s="7">
        <v>-1.0999999999999999E-2</v>
      </c>
    </row>
    <row r="219" spans="1:7" x14ac:dyDescent="0.25">
      <c r="B219" s="2">
        <v>623095814</v>
      </c>
      <c r="C219" s="2">
        <v>598633416</v>
      </c>
      <c r="D219" s="2">
        <v>376335</v>
      </c>
      <c r="E219" s="2">
        <v>24086063</v>
      </c>
      <c r="G219" s="7">
        <v>3.9E-2</v>
      </c>
    </row>
    <row r="220" spans="1:7" x14ac:dyDescent="0.25">
      <c r="A220" s="3">
        <v>41188</v>
      </c>
      <c r="B220" s="2">
        <v>49034607</v>
      </c>
      <c r="C220" s="2">
        <v>45107812</v>
      </c>
      <c r="D220" s="2">
        <v>15940</v>
      </c>
      <c r="E220" s="2">
        <v>3910855</v>
      </c>
      <c r="F220" s="7">
        <v>0.08</v>
      </c>
    </row>
    <row r="221" spans="1:7" x14ac:dyDescent="0.25">
      <c r="B221" s="2">
        <v>624800585</v>
      </c>
      <c r="C221" s="2">
        <v>599688117</v>
      </c>
      <c r="D221" s="2">
        <v>370162</v>
      </c>
      <c r="E221" s="2">
        <v>24742306</v>
      </c>
      <c r="G221" s="7">
        <v>0.04</v>
      </c>
    </row>
    <row r="222" spans="1:7" x14ac:dyDescent="0.25">
      <c r="A222" s="3">
        <v>41219</v>
      </c>
      <c r="B222" s="2">
        <v>51389789</v>
      </c>
      <c r="C222" s="2">
        <v>50247754</v>
      </c>
      <c r="D222" s="2">
        <v>31354</v>
      </c>
      <c r="E222" s="2">
        <v>1110681</v>
      </c>
      <c r="F222" s="7">
        <v>2.1999999999999999E-2</v>
      </c>
    </row>
    <row r="223" spans="1:7" x14ac:dyDescent="0.25">
      <c r="B223" s="2">
        <v>624079500</v>
      </c>
      <c r="C223" s="2">
        <v>600114444</v>
      </c>
      <c r="D223" s="2">
        <v>364916</v>
      </c>
      <c r="E223" s="2">
        <v>23600140</v>
      </c>
      <c r="G223" s="7">
        <v>3.7999999999999999E-2</v>
      </c>
    </row>
    <row r="224" spans="1:7" x14ac:dyDescent="0.25">
      <c r="A224" s="3">
        <v>41249</v>
      </c>
      <c r="B224" s="2">
        <v>58109310</v>
      </c>
      <c r="C224" s="2">
        <v>54342130</v>
      </c>
      <c r="D224" s="2">
        <v>103144</v>
      </c>
      <c r="E224" s="2">
        <v>3664036</v>
      </c>
      <c r="F224" s="7">
        <v>6.3E-2</v>
      </c>
    </row>
    <row r="225" spans="1:7" x14ac:dyDescent="0.25">
      <c r="B225" s="2">
        <v>616266450</v>
      </c>
      <c r="C225" s="2">
        <v>594758162</v>
      </c>
      <c r="D225" s="2">
        <v>401780</v>
      </c>
      <c r="E225" s="2">
        <v>21106508</v>
      </c>
      <c r="G225" s="7">
        <v>3.4000000000000002E-2</v>
      </c>
    </row>
    <row r="226" spans="1:7" x14ac:dyDescent="0.25">
      <c r="A226" s="3">
        <v>40915</v>
      </c>
      <c r="B226" s="2">
        <v>61984051</v>
      </c>
      <c r="C226" s="2">
        <v>56503321</v>
      </c>
      <c r="D226" s="2">
        <v>96258</v>
      </c>
      <c r="E226" s="2">
        <v>5384472</v>
      </c>
      <c r="F226" s="7">
        <v>8.6999999999999994E-2</v>
      </c>
    </row>
    <row r="227" spans="1:7" x14ac:dyDescent="0.25">
      <c r="B227" s="2">
        <v>621172152</v>
      </c>
      <c r="C227" s="2">
        <v>595012011</v>
      </c>
      <c r="D227" s="2">
        <v>438838</v>
      </c>
      <c r="E227" s="2">
        <v>25721303</v>
      </c>
      <c r="G227" s="7">
        <v>4.1000000000000002E-2</v>
      </c>
    </row>
    <row r="228" spans="1:7" x14ac:dyDescent="0.25">
      <c r="A228" s="3">
        <v>40946</v>
      </c>
      <c r="B228" s="2">
        <v>65260636</v>
      </c>
      <c r="C228" s="2">
        <v>63820228</v>
      </c>
      <c r="D228" s="2">
        <v>116331</v>
      </c>
      <c r="E228" s="2">
        <v>1324077</v>
      </c>
      <c r="F228" s="7">
        <v>0.02</v>
      </c>
    </row>
    <row r="229" spans="1:7" x14ac:dyDescent="0.25">
      <c r="B229" s="2">
        <v>629231799</v>
      </c>
      <c r="C229" s="2">
        <v>603269555</v>
      </c>
      <c r="D229" s="2">
        <v>498873</v>
      </c>
      <c r="E229" s="2">
        <v>25463371</v>
      </c>
      <c r="G229" s="7">
        <v>0.04</v>
      </c>
    </row>
    <row r="230" spans="1:7" x14ac:dyDescent="0.25">
      <c r="A230" s="3">
        <v>40975</v>
      </c>
      <c r="B230" s="2">
        <v>52580060</v>
      </c>
      <c r="C230" s="2">
        <v>52921683</v>
      </c>
      <c r="D230" s="2">
        <v>49171</v>
      </c>
      <c r="E230" s="2">
        <v>-390794</v>
      </c>
      <c r="F230" s="7">
        <v>-7.0000000000000001E-3</v>
      </c>
    </row>
    <row r="231" spans="1:7" x14ac:dyDescent="0.25">
      <c r="B231" s="2">
        <v>626624641</v>
      </c>
      <c r="C231" s="2">
        <v>603451500</v>
      </c>
      <c r="D231" s="2">
        <v>514524</v>
      </c>
      <c r="E231" s="2">
        <v>22658617</v>
      </c>
      <c r="G231" s="7">
        <v>3.5999999999999997E-2</v>
      </c>
    </row>
    <row r="232" spans="1:7" x14ac:dyDescent="0.25">
      <c r="A232" s="3">
        <v>41006</v>
      </c>
      <c r="B232" s="2">
        <v>47860266</v>
      </c>
      <c r="C232" s="2">
        <v>45771032</v>
      </c>
      <c r="D232" s="2">
        <v>42022</v>
      </c>
      <c r="E232" s="2">
        <v>2047212</v>
      </c>
      <c r="F232" s="7">
        <v>4.2999999999999997E-2</v>
      </c>
    </row>
    <row r="233" spans="1:7" x14ac:dyDescent="0.25">
      <c r="B233" s="2">
        <v>631217858</v>
      </c>
      <c r="C233" s="2">
        <v>604955287</v>
      </c>
      <c r="D233" s="2">
        <v>538389</v>
      </c>
      <c r="E233" s="2">
        <v>25724182</v>
      </c>
      <c r="G233" s="7">
        <v>4.1000000000000002E-2</v>
      </c>
    </row>
    <row r="234" spans="1:7" x14ac:dyDescent="0.25">
      <c r="A234" s="3">
        <v>41036</v>
      </c>
      <c r="B234" s="2">
        <v>46709385</v>
      </c>
      <c r="C234" s="2">
        <v>43966182</v>
      </c>
      <c r="D234" s="2">
        <v>26938</v>
      </c>
      <c r="E234" s="2">
        <v>2716265</v>
      </c>
      <c r="F234" s="7">
        <v>5.8000000000000003E-2</v>
      </c>
    </row>
    <row r="235" spans="1:7" x14ac:dyDescent="0.25">
      <c r="B235" s="2">
        <v>631950914</v>
      </c>
      <c r="C235" s="2">
        <v>605727041</v>
      </c>
      <c r="D235" s="2">
        <v>549628</v>
      </c>
      <c r="E235" s="2">
        <v>25674245</v>
      </c>
      <c r="G235" s="7">
        <v>4.1000000000000002E-2</v>
      </c>
    </row>
    <row r="236" spans="1:7" x14ac:dyDescent="0.25">
      <c r="A236" s="3">
        <v>41067</v>
      </c>
      <c r="B236" s="2">
        <v>49868801</v>
      </c>
      <c r="C236" s="2">
        <v>49318005</v>
      </c>
      <c r="D236" s="2">
        <v>31580</v>
      </c>
      <c r="E236" s="2">
        <v>519216</v>
      </c>
      <c r="F236" s="7">
        <v>0.01</v>
      </c>
    </row>
    <row r="237" spans="1:7" x14ac:dyDescent="0.25">
      <c r="B237" s="2">
        <v>634733164</v>
      </c>
      <c r="C237" s="2">
        <v>609366228</v>
      </c>
      <c r="D237" s="2">
        <v>563942</v>
      </c>
      <c r="E237" s="2">
        <v>24802994</v>
      </c>
      <c r="G237" s="7">
        <v>3.9E-2</v>
      </c>
    </row>
    <row r="238" spans="1:7" x14ac:dyDescent="0.25">
      <c r="A238" s="3">
        <v>41097</v>
      </c>
      <c r="B238" s="2">
        <v>50034190</v>
      </c>
      <c r="C238" s="2">
        <v>48730488</v>
      </c>
      <c r="D238" s="2">
        <v>32154</v>
      </c>
      <c r="E238" s="2">
        <v>1271548</v>
      </c>
      <c r="F238" s="7">
        <v>2.5000000000000001E-2</v>
      </c>
    </row>
    <row r="239" spans="1:7" x14ac:dyDescent="0.25">
      <c r="B239" s="2">
        <v>630817798</v>
      </c>
      <c r="C239" s="2">
        <v>606039917</v>
      </c>
      <c r="D239" s="2">
        <v>577631</v>
      </c>
      <c r="E239" s="2">
        <v>24200250</v>
      </c>
      <c r="G239" s="7">
        <v>3.7999999999999999E-2</v>
      </c>
    </row>
    <row r="240" spans="1:7" x14ac:dyDescent="0.25">
      <c r="A240" s="3">
        <v>41128</v>
      </c>
      <c r="B240" s="2">
        <v>58499363</v>
      </c>
      <c r="C240" s="2">
        <v>53225831</v>
      </c>
      <c r="D240" s="2">
        <v>40189</v>
      </c>
      <c r="E240" s="2">
        <v>5233343</v>
      </c>
      <c r="F240" s="7">
        <v>8.8999999999999996E-2</v>
      </c>
    </row>
    <row r="241" spans="1:7" x14ac:dyDescent="0.25">
      <c r="B241" s="2">
        <v>634709362</v>
      </c>
      <c r="C241" s="2">
        <v>607791486</v>
      </c>
      <c r="D241" s="2">
        <v>597441</v>
      </c>
      <c r="E241" s="2">
        <v>26320435</v>
      </c>
      <c r="G241" s="7">
        <v>4.1000000000000002E-2</v>
      </c>
    </row>
    <row r="242" spans="1:7" x14ac:dyDescent="0.25">
      <c r="A242" s="3">
        <v>41159</v>
      </c>
      <c r="B242" s="2">
        <v>49010486</v>
      </c>
      <c r="C242" s="2">
        <v>48617074</v>
      </c>
      <c r="D242" s="2">
        <v>37234</v>
      </c>
      <c r="E242" s="2">
        <v>356178</v>
      </c>
      <c r="F242" s="7">
        <v>7.0000000000000001E-3</v>
      </c>
    </row>
    <row r="243" spans="1:7" x14ac:dyDescent="0.25">
      <c r="B243" s="2">
        <v>640340944</v>
      </c>
      <c r="C243" s="2">
        <v>612571540</v>
      </c>
      <c r="D243" s="2">
        <v>622315</v>
      </c>
      <c r="E243" s="2">
        <v>27147089</v>
      </c>
      <c r="G243" s="7">
        <v>4.2000000000000003E-2</v>
      </c>
    </row>
    <row r="244" spans="1:7" x14ac:dyDescent="0.25">
      <c r="A244" s="3">
        <v>41189</v>
      </c>
      <c r="B244" s="2">
        <v>47706444</v>
      </c>
      <c r="C244" s="2">
        <v>46121441</v>
      </c>
      <c r="D244" s="2">
        <v>27369</v>
      </c>
      <c r="E244" s="2">
        <v>1557634</v>
      </c>
      <c r="F244" s="7">
        <v>3.3000000000000002E-2</v>
      </c>
    </row>
    <row r="245" spans="1:7" x14ac:dyDescent="0.25">
      <c r="B245" s="2">
        <v>639012781</v>
      </c>
      <c r="C245" s="2">
        <v>613585169</v>
      </c>
      <c r="D245" s="2">
        <v>633744</v>
      </c>
      <c r="E245" s="2">
        <v>24793868</v>
      </c>
      <c r="G245" s="7">
        <v>3.9E-2</v>
      </c>
    </row>
    <row r="246" spans="1:7" x14ac:dyDescent="0.25">
      <c r="A246" s="3">
        <v>41220</v>
      </c>
      <c r="B246" s="2">
        <v>52568871</v>
      </c>
      <c r="C246" s="2">
        <v>48994642</v>
      </c>
      <c r="D246" s="2">
        <v>61081</v>
      </c>
      <c r="E246" s="2">
        <v>3513148</v>
      </c>
      <c r="F246" s="7">
        <v>6.7000000000000004E-2</v>
      </c>
    </row>
    <row r="247" spans="1:7" x14ac:dyDescent="0.25">
      <c r="B247" s="2">
        <v>640191863</v>
      </c>
      <c r="C247" s="2">
        <v>612332057</v>
      </c>
      <c r="D247" s="2">
        <v>663471</v>
      </c>
      <c r="E247" s="2">
        <v>27196335</v>
      </c>
      <c r="G247" s="7">
        <v>4.2000000000000003E-2</v>
      </c>
    </row>
    <row r="248" spans="1:7" x14ac:dyDescent="0.25">
      <c r="A248" s="3">
        <v>41250</v>
      </c>
      <c r="B248" s="2">
        <v>60103141</v>
      </c>
      <c r="C248" s="2">
        <v>56327886</v>
      </c>
      <c r="D248" s="2">
        <v>87660</v>
      </c>
      <c r="E248" s="2">
        <v>3687595</v>
      </c>
      <c r="F248" s="7">
        <v>6.0999999999999999E-2</v>
      </c>
    </row>
    <row r="249" spans="1:7" x14ac:dyDescent="0.25">
      <c r="B249" s="2">
        <v>642185694</v>
      </c>
      <c r="C249" s="2">
        <v>614317813</v>
      </c>
      <c r="D249" s="2">
        <v>647987</v>
      </c>
      <c r="E249" s="2">
        <v>27219894</v>
      </c>
      <c r="G249" s="7">
        <v>4.2000000000000003E-2</v>
      </c>
    </row>
    <row r="250" spans="1:7" x14ac:dyDescent="0.25">
      <c r="A250" s="3">
        <v>40916</v>
      </c>
      <c r="B250" s="2">
        <v>69248622</v>
      </c>
      <c r="C250" s="2">
        <v>63563570</v>
      </c>
      <c r="D250" s="2">
        <v>107017</v>
      </c>
      <c r="E250" s="2">
        <v>5578035</v>
      </c>
      <c r="F250" s="7">
        <v>8.1000000000000003E-2</v>
      </c>
    </row>
    <row r="251" spans="1:7" x14ac:dyDescent="0.25">
      <c r="B251" s="2">
        <v>649450265</v>
      </c>
      <c r="C251" s="2">
        <v>621378062</v>
      </c>
      <c r="D251" s="2">
        <v>658746</v>
      </c>
      <c r="E251" s="2">
        <v>27413457</v>
      </c>
      <c r="G251" s="7">
        <v>4.2000000000000003E-2</v>
      </c>
    </row>
    <row r="252" spans="1:7" x14ac:dyDescent="0.25">
      <c r="A252" s="3">
        <v>40947</v>
      </c>
      <c r="B252" s="2">
        <v>61013433</v>
      </c>
      <c r="C252" s="2">
        <v>60891426</v>
      </c>
      <c r="D252" s="2">
        <v>102941</v>
      </c>
      <c r="E252" s="2">
        <v>19066</v>
      </c>
      <c r="F252" s="7">
        <v>0</v>
      </c>
    </row>
    <row r="253" spans="1:7" x14ac:dyDescent="0.25">
      <c r="B253" s="2">
        <v>645203062</v>
      </c>
      <c r="C253" s="2">
        <v>618449260</v>
      </c>
      <c r="D253" s="2">
        <v>645356</v>
      </c>
      <c r="E253" s="2">
        <v>26108446</v>
      </c>
      <c r="G253" s="7">
        <v>0.04</v>
      </c>
    </row>
    <row r="254" spans="1:7" x14ac:dyDescent="0.25">
      <c r="A254" s="3">
        <v>40976</v>
      </c>
      <c r="B254" s="2">
        <v>57342710</v>
      </c>
      <c r="C254" s="2">
        <v>55876485</v>
      </c>
      <c r="D254" s="2">
        <v>73183</v>
      </c>
      <c r="E254" s="2">
        <v>1393042</v>
      </c>
      <c r="F254" s="7">
        <v>2.4E-2</v>
      </c>
    </row>
    <row r="255" spans="1:7" x14ac:dyDescent="0.25">
      <c r="B255" s="2">
        <v>649965712</v>
      </c>
      <c r="C255" s="2">
        <v>621404062</v>
      </c>
      <c r="D255" s="2">
        <v>669368</v>
      </c>
      <c r="E255" s="2">
        <v>27892282</v>
      </c>
      <c r="G255" s="7">
        <v>4.2999999999999997E-2</v>
      </c>
    </row>
    <row r="256" spans="1:7" x14ac:dyDescent="0.25">
      <c r="A256" s="3">
        <v>41007</v>
      </c>
      <c r="B256" s="2">
        <v>44658472</v>
      </c>
      <c r="C256" s="2">
        <v>44579353</v>
      </c>
      <c r="D256" s="2">
        <v>39857</v>
      </c>
      <c r="E256" s="2">
        <v>39262</v>
      </c>
      <c r="F256" s="7">
        <v>1E-3</v>
      </c>
    </row>
    <row r="257" spans="1:7" x14ac:dyDescent="0.25">
      <c r="B257" s="2">
        <v>646763918</v>
      </c>
      <c r="C257" s="2">
        <v>620212383</v>
      </c>
      <c r="D257" s="2">
        <v>667203</v>
      </c>
      <c r="E257" s="2">
        <v>25884332</v>
      </c>
      <c r="G257" s="7">
        <v>0.04</v>
      </c>
    </row>
    <row r="258" spans="1:7" x14ac:dyDescent="0.25">
      <c r="A258" s="3">
        <v>41037</v>
      </c>
      <c r="B258" s="2">
        <v>43449910</v>
      </c>
      <c r="C258" s="2">
        <v>42032680</v>
      </c>
      <c r="D258" s="2">
        <v>25636</v>
      </c>
      <c r="E258" s="2">
        <v>1391594</v>
      </c>
      <c r="F258" s="7">
        <v>3.2000000000000001E-2</v>
      </c>
    </row>
    <row r="259" spans="1:7" x14ac:dyDescent="0.25">
      <c r="B259" s="2">
        <v>643504443</v>
      </c>
      <c r="C259" s="2">
        <v>618278881</v>
      </c>
      <c r="D259" s="2">
        <v>665901</v>
      </c>
      <c r="E259" s="2">
        <v>24559661</v>
      </c>
      <c r="G259" s="7">
        <v>3.7999999999999999E-2</v>
      </c>
    </row>
    <row r="260" spans="1:7" x14ac:dyDescent="0.25">
      <c r="A260" s="3">
        <v>41068</v>
      </c>
      <c r="B260" s="2">
        <v>49399314</v>
      </c>
      <c r="C260" s="2">
        <v>46642423</v>
      </c>
      <c r="D260" s="2">
        <v>28614</v>
      </c>
      <c r="E260" s="2">
        <v>2728277</v>
      </c>
      <c r="F260" s="7">
        <v>5.5E-2</v>
      </c>
    </row>
    <row r="261" spans="1:7" x14ac:dyDescent="0.25">
      <c r="B261" s="2">
        <v>643034956</v>
      </c>
      <c r="C261" s="2">
        <v>615603299</v>
      </c>
      <c r="D261" s="2">
        <v>662935</v>
      </c>
      <c r="E261" s="2">
        <v>26768722</v>
      </c>
      <c r="G261" s="7">
        <v>4.2000000000000003E-2</v>
      </c>
    </row>
    <row r="262" spans="1:7" x14ac:dyDescent="0.25">
      <c r="A262" s="3">
        <v>41098</v>
      </c>
      <c r="B262" s="2">
        <v>52541779</v>
      </c>
      <c r="C262" s="2">
        <v>50482840</v>
      </c>
      <c r="D262" s="2">
        <v>33349</v>
      </c>
      <c r="E262" s="2">
        <v>2025590</v>
      </c>
      <c r="F262" s="7">
        <v>3.9E-2</v>
      </c>
    </row>
    <row r="263" spans="1:7" x14ac:dyDescent="0.25">
      <c r="B263" s="2">
        <v>645542545</v>
      </c>
      <c r="C263" s="2">
        <v>617355651</v>
      </c>
      <c r="D263" s="2">
        <v>664130</v>
      </c>
      <c r="E263" s="2">
        <v>27522764</v>
      </c>
      <c r="G263" s="7">
        <v>4.2999999999999997E-2</v>
      </c>
    </row>
    <row r="264" spans="1:7" x14ac:dyDescent="0.25">
      <c r="A264" s="3">
        <v>41129</v>
      </c>
      <c r="B264" s="2">
        <v>50416745</v>
      </c>
      <c r="C264" s="2">
        <v>47530711</v>
      </c>
      <c r="D264" s="2">
        <v>32613</v>
      </c>
      <c r="E264" s="2">
        <v>2853421</v>
      </c>
      <c r="F264" s="7">
        <v>5.7000000000000002E-2</v>
      </c>
    </row>
    <row r="265" spans="1:7" x14ac:dyDescent="0.25">
      <c r="B265" s="2">
        <v>637459927</v>
      </c>
      <c r="C265" s="2">
        <v>611660531</v>
      </c>
      <c r="D265" s="2">
        <v>656554</v>
      </c>
      <c r="E265" s="2">
        <v>25142842</v>
      </c>
      <c r="G265" s="7">
        <v>3.9E-2</v>
      </c>
    </row>
    <row r="266" spans="1:7" x14ac:dyDescent="0.25">
      <c r="A266" s="3">
        <v>41160</v>
      </c>
      <c r="B266" s="2">
        <v>46362472</v>
      </c>
      <c r="C266" s="2">
        <v>46368892</v>
      </c>
      <c r="D266" s="2">
        <v>26254</v>
      </c>
      <c r="E266" s="2">
        <v>-32674</v>
      </c>
      <c r="F266" s="7">
        <v>-1E-3</v>
      </c>
    </row>
    <row r="267" spans="1:7" x14ac:dyDescent="0.25">
      <c r="B267" s="2">
        <v>634811913</v>
      </c>
      <c r="C267" s="2">
        <v>609412349</v>
      </c>
      <c r="D267" s="2">
        <v>645574</v>
      </c>
      <c r="E267" s="2">
        <v>24753990</v>
      </c>
      <c r="G267" s="7">
        <v>3.9E-2</v>
      </c>
    </row>
    <row r="268" spans="1:7" x14ac:dyDescent="0.25">
      <c r="A268" s="3">
        <v>41190</v>
      </c>
      <c r="B268" s="2">
        <v>46204766</v>
      </c>
      <c r="C268" s="2">
        <v>43494713</v>
      </c>
      <c r="D268" s="2">
        <v>39161</v>
      </c>
      <c r="E268" s="2">
        <v>2670892</v>
      </c>
      <c r="F268" s="7">
        <v>5.8000000000000003E-2</v>
      </c>
    </row>
    <row r="269" spans="1:7" x14ac:dyDescent="0.25">
      <c r="B269" s="2">
        <v>633310235</v>
      </c>
      <c r="C269" s="2">
        <v>606785621</v>
      </c>
      <c r="D269" s="2">
        <v>657366</v>
      </c>
      <c r="E269" s="2">
        <v>25867248</v>
      </c>
      <c r="G269" s="7">
        <v>4.1000000000000002E-2</v>
      </c>
    </row>
    <row r="270" spans="1:7" x14ac:dyDescent="0.25">
      <c r="A270" s="3">
        <v>41221</v>
      </c>
      <c r="B270" s="2">
        <v>53795377</v>
      </c>
      <c r="C270" s="2">
        <v>50069788</v>
      </c>
      <c r="D270" s="2">
        <v>58709</v>
      </c>
      <c r="E270" s="2">
        <v>3666880</v>
      </c>
      <c r="F270" s="7">
        <v>6.8000000000000005E-2</v>
      </c>
    </row>
    <row r="271" spans="1:7" x14ac:dyDescent="0.25">
      <c r="B271" s="2">
        <v>634536741</v>
      </c>
      <c r="C271" s="2">
        <v>607860767</v>
      </c>
      <c r="D271" s="2">
        <v>654994</v>
      </c>
      <c r="E271" s="2">
        <v>26020980</v>
      </c>
      <c r="G271" s="7">
        <v>4.1000000000000002E-2</v>
      </c>
    </row>
    <row r="272" spans="1:7" x14ac:dyDescent="0.25">
      <c r="A272" s="3">
        <v>41251</v>
      </c>
      <c r="B272" s="2">
        <v>63049397</v>
      </c>
      <c r="C272" s="2">
        <v>60209388</v>
      </c>
      <c r="D272" s="2">
        <v>95887</v>
      </c>
      <c r="E272" s="2">
        <v>2744122</v>
      </c>
      <c r="F272" s="7">
        <v>4.3999999999999997E-2</v>
      </c>
    </row>
    <row r="273" spans="1:7" x14ac:dyDescent="0.25">
      <c r="B273" s="2">
        <v>637482997</v>
      </c>
      <c r="C273" s="2">
        <v>611742269</v>
      </c>
      <c r="D273" s="2">
        <v>663221</v>
      </c>
      <c r="E273" s="2">
        <v>25077507</v>
      </c>
      <c r="G273" s="7">
        <v>3.9E-2</v>
      </c>
    </row>
    <row r="274" spans="1:7" x14ac:dyDescent="0.25">
      <c r="A274" s="3">
        <v>40917</v>
      </c>
      <c r="B274" s="2">
        <v>68896124</v>
      </c>
      <c r="C274" s="2">
        <v>64623292</v>
      </c>
      <c r="D274" s="2">
        <v>131762</v>
      </c>
      <c r="E274" s="2">
        <v>4141070</v>
      </c>
      <c r="F274" s="7">
        <v>0.06</v>
      </c>
    </row>
    <row r="275" spans="1:7" x14ac:dyDescent="0.25">
      <c r="B275" s="2">
        <v>637130499</v>
      </c>
      <c r="C275" s="2">
        <v>612801991</v>
      </c>
      <c r="D275" s="2">
        <v>687966</v>
      </c>
      <c r="E275" s="2">
        <v>23640542</v>
      </c>
      <c r="G275" s="7">
        <v>3.6999999999999998E-2</v>
      </c>
    </row>
    <row r="276" spans="1:7" x14ac:dyDescent="0.25">
      <c r="A276" s="3">
        <v>40948</v>
      </c>
      <c r="B276" s="2">
        <v>54134002</v>
      </c>
      <c r="C276" s="2">
        <v>54065530</v>
      </c>
      <c r="D276" s="2">
        <v>91393</v>
      </c>
      <c r="E276" s="2">
        <v>-22921</v>
      </c>
      <c r="F276" s="7">
        <v>0</v>
      </c>
    </row>
    <row r="277" spans="1:7" x14ac:dyDescent="0.25">
      <c r="B277" s="2">
        <v>630251068</v>
      </c>
      <c r="C277" s="2">
        <v>605976095</v>
      </c>
      <c r="D277" s="2">
        <v>676418</v>
      </c>
      <c r="E277" s="2">
        <v>23598555</v>
      </c>
      <c r="G277" s="7">
        <v>3.6999999999999998E-2</v>
      </c>
    </row>
    <row r="278" spans="1:7" x14ac:dyDescent="0.25">
      <c r="A278" s="3">
        <v>40977</v>
      </c>
      <c r="B278" s="2">
        <v>51373543</v>
      </c>
      <c r="C278" s="2">
        <v>50130710</v>
      </c>
      <c r="D278" s="2">
        <v>63444</v>
      </c>
      <c r="E278" s="2">
        <v>1179389</v>
      </c>
      <c r="F278" s="7">
        <v>2.3E-2</v>
      </c>
    </row>
    <row r="279" spans="1:7" x14ac:dyDescent="0.25">
      <c r="B279" s="2">
        <v>624281901</v>
      </c>
      <c r="C279" s="2">
        <v>600230320</v>
      </c>
      <c r="D279" s="2">
        <v>666679</v>
      </c>
      <c r="E279" s="2">
        <v>23384902</v>
      </c>
      <c r="G279" s="7">
        <v>3.6999999999999998E-2</v>
      </c>
    </row>
    <row r="280" spans="1:7" x14ac:dyDescent="0.25">
      <c r="A280" s="3">
        <v>41008</v>
      </c>
      <c r="B280" s="2">
        <v>44254018</v>
      </c>
      <c r="C280" s="2">
        <v>42525173</v>
      </c>
      <c r="D280" s="2">
        <v>38806</v>
      </c>
      <c r="E280" s="2">
        <v>1690039</v>
      </c>
      <c r="F280" s="7">
        <v>3.7999999999999999E-2</v>
      </c>
    </row>
    <row r="281" spans="1:7" x14ac:dyDescent="0.25">
      <c r="B281" s="2">
        <v>623877447</v>
      </c>
      <c r="C281" s="2">
        <v>598176140</v>
      </c>
      <c r="D281" s="2">
        <v>665628</v>
      </c>
      <c r="E281" s="2">
        <v>25035679</v>
      </c>
      <c r="G281" s="7">
        <v>0.04</v>
      </c>
    </row>
    <row r="282" spans="1:7" x14ac:dyDescent="0.25">
      <c r="A282" s="3">
        <v>41038</v>
      </c>
      <c r="B282" s="2">
        <v>38360555</v>
      </c>
      <c r="C282" s="2">
        <v>35670636</v>
      </c>
      <c r="D282" s="2">
        <v>25672</v>
      </c>
      <c r="E282" s="2">
        <v>2664247</v>
      </c>
      <c r="F282" s="7">
        <v>6.9000000000000006E-2</v>
      </c>
    </row>
    <row r="283" spans="1:7" x14ac:dyDescent="0.25">
      <c r="B283" s="2">
        <v>618788092</v>
      </c>
      <c r="C283" s="2">
        <v>591814096</v>
      </c>
      <c r="D283" s="2">
        <v>665664</v>
      </c>
      <c r="E283" s="2">
        <v>26308332</v>
      </c>
      <c r="G283" s="7">
        <v>4.2999999999999997E-2</v>
      </c>
    </row>
    <row r="284" spans="1:7" x14ac:dyDescent="0.25">
      <c r="A284" s="3">
        <v>41069</v>
      </c>
      <c r="B284" s="2">
        <v>44365590</v>
      </c>
      <c r="C284" s="2">
        <v>42379905</v>
      </c>
      <c r="D284" s="2">
        <v>30925</v>
      </c>
      <c r="E284" s="2">
        <v>1954760</v>
      </c>
      <c r="F284" s="7">
        <v>4.3999999999999997E-2</v>
      </c>
    </row>
    <row r="285" spans="1:7" x14ac:dyDescent="0.25">
      <c r="B285" s="2">
        <v>613754368</v>
      </c>
      <c r="C285" s="2">
        <v>587551578</v>
      </c>
      <c r="D285" s="2">
        <v>667975</v>
      </c>
      <c r="E285" s="2">
        <v>25534815</v>
      </c>
      <c r="G285" s="7">
        <v>4.2000000000000003E-2</v>
      </c>
    </row>
    <row r="286" spans="1:7" x14ac:dyDescent="0.25">
      <c r="A286" s="3">
        <v>41099</v>
      </c>
      <c r="B286" s="2">
        <v>45674001</v>
      </c>
      <c r="C286" s="2">
        <v>46716020</v>
      </c>
      <c r="D286" s="2">
        <v>29972</v>
      </c>
      <c r="E286" s="2">
        <v>-1071991</v>
      </c>
      <c r="F286" s="7">
        <v>-2.3E-2</v>
      </c>
    </row>
    <row r="287" spans="1:7" x14ac:dyDescent="0.25">
      <c r="B287" s="2">
        <v>606886590</v>
      </c>
      <c r="C287" s="2">
        <v>583784758</v>
      </c>
      <c r="D287" s="2">
        <v>664598</v>
      </c>
      <c r="E287" s="2">
        <v>22437234</v>
      </c>
      <c r="G287" s="7">
        <v>3.6999999999999998E-2</v>
      </c>
    </row>
    <row r="288" spans="1:7" x14ac:dyDescent="0.25">
      <c r="A288" s="3">
        <v>41130</v>
      </c>
      <c r="B288" s="2">
        <v>49543907</v>
      </c>
      <c r="C288" s="2">
        <v>43668963</v>
      </c>
      <c r="D288" s="2">
        <v>30770</v>
      </c>
      <c r="E288" s="2">
        <v>5844174</v>
      </c>
      <c r="F288" s="7">
        <v>0.11799999999999999</v>
      </c>
    </row>
    <row r="289" spans="1:7" x14ac:dyDescent="0.25">
      <c r="B289" s="2">
        <v>606013752</v>
      </c>
      <c r="C289" s="2">
        <v>579923010</v>
      </c>
      <c r="D289" s="2">
        <v>662755</v>
      </c>
      <c r="E289" s="2">
        <v>25427987</v>
      </c>
      <c r="G289" s="7">
        <v>4.2000000000000003E-2</v>
      </c>
    </row>
    <row r="290" spans="1:7" x14ac:dyDescent="0.25">
      <c r="A290" s="3">
        <v>41161</v>
      </c>
      <c r="B290" s="2">
        <v>44322076</v>
      </c>
      <c r="C290" s="2">
        <v>44397561</v>
      </c>
      <c r="D290" s="2">
        <v>26563</v>
      </c>
      <c r="E290" s="2">
        <v>-102048</v>
      </c>
      <c r="F290" s="7">
        <v>-2E-3</v>
      </c>
    </row>
    <row r="291" spans="1:7" x14ac:dyDescent="0.25">
      <c r="B291" s="2">
        <v>603973356</v>
      </c>
      <c r="C291" s="2">
        <v>577951679</v>
      </c>
      <c r="D291" s="2">
        <v>663064</v>
      </c>
      <c r="E291" s="2">
        <v>25358613</v>
      </c>
      <c r="G291" s="7">
        <v>4.2000000000000003E-2</v>
      </c>
    </row>
    <row r="292" spans="1:7" x14ac:dyDescent="0.25">
      <c r="A292" s="3">
        <v>41191</v>
      </c>
      <c r="B292" s="2">
        <v>47357058</v>
      </c>
      <c r="C292" s="2">
        <v>44769918</v>
      </c>
      <c r="D292" s="2">
        <v>29645</v>
      </c>
      <c r="E292" s="2">
        <v>2557495</v>
      </c>
      <c r="F292" s="7">
        <v>5.3999999999999999E-2</v>
      </c>
    </row>
    <row r="293" spans="1:7" x14ac:dyDescent="0.25">
      <c r="B293" s="2">
        <v>605125648</v>
      </c>
      <c r="C293" s="2">
        <v>579226884</v>
      </c>
      <c r="D293" s="2">
        <v>653548</v>
      </c>
      <c r="E293" s="2">
        <v>25245216</v>
      </c>
      <c r="G293" s="7">
        <v>4.2000000000000003E-2</v>
      </c>
    </row>
    <row r="294" spans="1:7" x14ac:dyDescent="0.25">
      <c r="A294" s="3">
        <v>41222</v>
      </c>
      <c r="B294" s="2">
        <v>49523925</v>
      </c>
      <c r="C294" s="2">
        <v>46561769</v>
      </c>
      <c r="D294" s="2">
        <v>46702</v>
      </c>
      <c r="E294" s="2">
        <v>2915454</v>
      </c>
      <c r="F294" s="7">
        <v>5.8999999999999997E-2</v>
      </c>
    </row>
    <row r="295" spans="1:7" x14ac:dyDescent="0.25">
      <c r="B295" s="2">
        <v>600854196</v>
      </c>
      <c r="C295" s="2">
        <v>575718865</v>
      </c>
      <c r="D295" s="2">
        <v>641541</v>
      </c>
      <c r="E295" s="2">
        <v>24493790</v>
      </c>
      <c r="G295" s="7">
        <v>4.1000000000000002E-2</v>
      </c>
    </row>
    <row r="296" spans="1:7" x14ac:dyDescent="0.25">
      <c r="A296" s="3">
        <v>41252</v>
      </c>
      <c r="B296" s="2">
        <v>62164014</v>
      </c>
      <c r="C296" s="2">
        <v>57172655</v>
      </c>
      <c r="D296" s="2">
        <v>101551</v>
      </c>
      <c r="E296" s="2">
        <v>4889808</v>
      </c>
      <c r="F296" s="7">
        <v>7.9000000000000001E-2</v>
      </c>
    </row>
    <row r="297" spans="1:7" x14ac:dyDescent="0.25">
      <c r="B297" s="2">
        <v>599968813</v>
      </c>
      <c r="C297" s="2">
        <v>572682132</v>
      </c>
      <c r="D297" s="2">
        <v>647205</v>
      </c>
      <c r="E297" s="2">
        <v>26639476</v>
      </c>
      <c r="G297" s="7">
        <v>4.3999999999999997E-2</v>
      </c>
    </row>
    <row r="298" spans="1:7" x14ac:dyDescent="0.25">
      <c r="A298" s="3">
        <v>40918</v>
      </c>
      <c r="B298" s="2">
        <v>70162034</v>
      </c>
      <c r="C298" s="2">
        <v>66099915</v>
      </c>
      <c r="D298" s="2">
        <v>83544</v>
      </c>
      <c r="E298" s="2">
        <v>3978575</v>
      </c>
      <c r="F298" s="7">
        <v>5.7000000000000002E-2</v>
      </c>
    </row>
    <row r="299" spans="1:7" x14ac:dyDescent="0.25">
      <c r="B299" s="2">
        <v>601234723</v>
      </c>
      <c r="C299" s="2">
        <v>574158755</v>
      </c>
      <c r="D299" s="2">
        <v>598987</v>
      </c>
      <c r="E299" s="2">
        <v>26476981</v>
      </c>
      <c r="G299" s="7">
        <v>4.3999999999999997E-2</v>
      </c>
    </row>
    <row r="300" spans="1:7" x14ac:dyDescent="0.25">
      <c r="A300" s="3">
        <v>40949</v>
      </c>
      <c r="B300" s="2">
        <v>63324641</v>
      </c>
      <c r="C300" s="2">
        <v>63245992</v>
      </c>
      <c r="D300" s="2">
        <v>96461</v>
      </c>
      <c r="E300" s="2">
        <v>-17812</v>
      </c>
      <c r="F300" s="7">
        <v>0</v>
      </c>
    </row>
    <row r="301" spans="1:7" x14ac:dyDescent="0.25">
      <c r="B301" s="2">
        <v>610425362</v>
      </c>
      <c r="C301" s="2">
        <v>583339217</v>
      </c>
      <c r="D301" s="2">
        <v>604055</v>
      </c>
      <c r="E301" s="2">
        <v>26482090</v>
      </c>
      <c r="G301" s="7">
        <v>4.2999999999999997E-2</v>
      </c>
    </row>
    <row r="302" spans="1:7" x14ac:dyDescent="0.25">
      <c r="A302" s="3">
        <v>40978</v>
      </c>
      <c r="B302" s="2">
        <v>53825341</v>
      </c>
      <c r="C302" s="2">
        <v>51688817</v>
      </c>
      <c r="D302" s="2">
        <v>58321</v>
      </c>
      <c r="E302" s="2">
        <v>2078203</v>
      </c>
      <c r="F302" s="7">
        <v>3.9E-2</v>
      </c>
    </row>
    <row r="303" spans="1:7" x14ac:dyDescent="0.25">
      <c r="B303" s="2">
        <v>612877160</v>
      </c>
      <c r="C303" s="2">
        <v>584897324</v>
      </c>
      <c r="D303" s="2">
        <v>598932</v>
      </c>
      <c r="E303" s="2">
        <v>27380904</v>
      </c>
      <c r="G303" s="7">
        <v>4.4999999999999998E-2</v>
      </c>
    </row>
    <row r="304" spans="1:7" x14ac:dyDescent="0.25">
      <c r="A304" s="3">
        <v>41009</v>
      </c>
      <c r="B304" s="2">
        <v>41950319</v>
      </c>
      <c r="C304" s="2">
        <v>41669156</v>
      </c>
      <c r="D304" s="2">
        <v>29479</v>
      </c>
      <c r="E304" s="2">
        <v>251684</v>
      </c>
      <c r="F304" s="7">
        <v>6.0000000000000001E-3</v>
      </c>
    </row>
    <row r="305" spans="1:7" x14ac:dyDescent="0.25">
      <c r="B305" s="2">
        <v>610573461</v>
      </c>
      <c r="C305" s="2">
        <v>584041307</v>
      </c>
      <c r="D305" s="2">
        <v>589605</v>
      </c>
      <c r="E305" s="2">
        <v>25942549</v>
      </c>
      <c r="G305" s="7">
        <v>4.2000000000000003E-2</v>
      </c>
    </row>
    <row r="306" spans="1:7" x14ac:dyDescent="0.25">
      <c r="A306" s="3">
        <v>41039</v>
      </c>
      <c r="B306" s="2">
        <v>45424207</v>
      </c>
      <c r="C306" s="2">
        <v>42867996</v>
      </c>
      <c r="D306" s="2">
        <v>27832</v>
      </c>
      <c r="E306" s="2">
        <v>2528379</v>
      </c>
      <c r="F306" s="7">
        <v>5.6000000000000001E-2</v>
      </c>
    </row>
    <row r="307" spans="1:7" x14ac:dyDescent="0.25">
      <c r="B307" s="2">
        <v>617637113</v>
      </c>
      <c r="C307" s="2">
        <v>591238667</v>
      </c>
      <c r="D307" s="2">
        <v>591765</v>
      </c>
      <c r="E307" s="2">
        <v>25806681</v>
      </c>
      <c r="G307" s="7">
        <v>4.2000000000000003E-2</v>
      </c>
    </row>
    <row r="308" spans="1:7" x14ac:dyDescent="0.25">
      <c r="A308" s="3">
        <v>41070</v>
      </c>
      <c r="B308" s="2">
        <v>52966919</v>
      </c>
      <c r="C308" s="2">
        <v>50847661</v>
      </c>
      <c r="D308" s="2">
        <v>34833</v>
      </c>
      <c r="E308" s="2">
        <v>2084425</v>
      </c>
      <c r="F308" s="7">
        <v>3.9E-2</v>
      </c>
    </row>
    <row r="309" spans="1:7" x14ac:dyDescent="0.25">
      <c r="B309" s="2">
        <v>626238442</v>
      </c>
      <c r="C309" s="2">
        <v>599706423</v>
      </c>
      <c r="D309" s="2">
        <v>595673</v>
      </c>
      <c r="E309" s="2">
        <v>25936346</v>
      </c>
      <c r="G309" s="7">
        <v>4.1000000000000002E-2</v>
      </c>
    </row>
    <row r="310" spans="1:7" x14ac:dyDescent="0.25">
      <c r="A310" s="3">
        <v>41100</v>
      </c>
      <c r="B310" s="2">
        <v>55811175</v>
      </c>
      <c r="C310" s="2">
        <v>53753522</v>
      </c>
      <c r="D310" s="2">
        <v>42586</v>
      </c>
      <c r="E310" s="2">
        <v>2015067</v>
      </c>
      <c r="F310" s="7">
        <v>3.5999999999999997E-2</v>
      </c>
    </row>
    <row r="311" spans="1:7" x14ac:dyDescent="0.25">
      <c r="B311" s="2">
        <v>636375616</v>
      </c>
      <c r="C311" s="2">
        <v>606743925</v>
      </c>
      <c r="D311" s="2">
        <v>608287</v>
      </c>
      <c r="E311" s="2">
        <v>29023404</v>
      </c>
      <c r="G311" s="7">
        <v>4.5999999999999999E-2</v>
      </c>
    </row>
    <row r="312" spans="1:7" x14ac:dyDescent="0.25">
      <c r="A312" s="3">
        <v>41131</v>
      </c>
      <c r="B312" s="2">
        <v>55905212</v>
      </c>
      <c r="C312" s="2">
        <v>52430083</v>
      </c>
      <c r="D312" s="2">
        <v>40796</v>
      </c>
      <c r="E312" s="2">
        <v>3434333</v>
      </c>
      <c r="F312" s="7">
        <v>6.0999999999999999E-2</v>
      </c>
    </row>
    <row r="313" spans="1:7" x14ac:dyDescent="0.25">
      <c r="B313" s="2">
        <v>642736921</v>
      </c>
      <c r="C313" s="2">
        <v>615505045</v>
      </c>
      <c r="D313" s="2">
        <v>618313</v>
      </c>
      <c r="E313" s="2">
        <v>26613563</v>
      </c>
      <c r="G313" s="7">
        <v>4.1000000000000002E-2</v>
      </c>
    </row>
    <row r="314" spans="1:7" x14ac:dyDescent="0.25">
      <c r="A314" s="3">
        <v>41162</v>
      </c>
      <c r="B314" s="2">
        <v>47327874</v>
      </c>
      <c r="C314" s="2">
        <v>47383153</v>
      </c>
      <c r="D314" s="2">
        <v>31383</v>
      </c>
      <c r="E314" s="2">
        <v>-86662</v>
      </c>
      <c r="F314" s="7">
        <v>-2E-3</v>
      </c>
    </row>
    <row r="315" spans="1:7" x14ac:dyDescent="0.25">
      <c r="B315" s="2">
        <v>645742719</v>
      </c>
      <c r="C315" s="2">
        <v>618490637</v>
      </c>
      <c r="D315" s="2">
        <v>623133</v>
      </c>
      <c r="E315" s="2">
        <v>26628949</v>
      </c>
      <c r="G315" s="7">
        <v>4.1000000000000002E-2</v>
      </c>
    </row>
    <row r="316" spans="1:7" x14ac:dyDescent="0.25">
      <c r="A316" s="3">
        <v>41192</v>
      </c>
      <c r="B316" s="2">
        <v>43484902</v>
      </c>
      <c r="C316" s="2">
        <v>40786108</v>
      </c>
      <c r="D316" s="2">
        <v>32118</v>
      </c>
      <c r="E316" s="2">
        <v>2666676</v>
      </c>
      <c r="F316" s="7">
        <v>6.0999999999999999E-2</v>
      </c>
    </row>
    <row r="317" spans="1:7" x14ac:dyDescent="0.25">
      <c r="B317" s="2">
        <v>641870563</v>
      </c>
      <c r="C317" s="2">
        <v>614506827</v>
      </c>
      <c r="D317" s="2">
        <v>625606</v>
      </c>
      <c r="E317" s="2">
        <v>26738130</v>
      </c>
      <c r="G317" s="7">
        <v>4.2000000000000003E-2</v>
      </c>
    </row>
    <row r="318" spans="1:7" x14ac:dyDescent="0.25">
      <c r="A318" s="3">
        <v>41223</v>
      </c>
      <c r="B318" s="2">
        <v>46567951</v>
      </c>
      <c r="C318" s="2">
        <v>43976608</v>
      </c>
      <c r="D318" s="2">
        <v>62843</v>
      </c>
      <c r="E318" s="2">
        <v>2528500</v>
      </c>
      <c r="F318" s="7">
        <v>5.3999999999999999E-2</v>
      </c>
    </row>
    <row r="319" spans="1:7" x14ac:dyDescent="0.25">
      <c r="B319" s="2">
        <v>638914589</v>
      </c>
      <c r="C319" s="2">
        <v>611921666</v>
      </c>
      <c r="D319" s="2">
        <v>641747</v>
      </c>
      <c r="E319" s="2">
        <v>26351176</v>
      </c>
      <c r="G319" s="7">
        <v>4.1000000000000002E-2</v>
      </c>
    </row>
    <row r="320" spans="1:7" x14ac:dyDescent="0.25">
      <c r="A320" s="3">
        <v>41253</v>
      </c>
      <c r="B320" s="2">
        <v>69500470</v>
      </c>
      <c r="C320" s="2">
        <v>65896682</v>
      </c>
      <c r="D320" s="2">
        <v>120711</v>
      </c>
      <c r="E320" s="2">
        <v>3483077</v>
      </c>
      <c r="F320" s="7">
        <v>0.05</v>
      </c>
    </row>
    <row r="321" spans="1:7" x14ac:dyDescent="0.25">
      <c r="B321" s="2">
        <v>646251045</v>
      </c>
      <c r="C321" s="2">
        <v>620645693</v>
      </c>
      <c r="D321" s="2">
        <v>660907</v>
      </c>
      <c r="E321" s="2">
        <v>24944445</v>
      </c>
      <c r="G321" s="7">
        <v>3.9E-2</v>
      </c>
    </row>
    <row r="322" spans="1:7" x14ac:dyDescent="0.25">
      <c r="A322" s="3">
        <v>40919</v>
      </c>
      <c r="B322" s="2">
        <v>70350342</v>
      </c>
      <c r="C322" s="2">
        <v>64692215</v>
      </c>
      <c r="D322" s="2">
        <v>102224</v>
      </c>
      <c r="E322" s="2">
        <v>5555903</v>
      </c>
      <c r="F322" s="7">
        <v>7.9000000000000001E-2</v>
      </c>
    </row>
    <row r="323" spans="1:7" x14ac:dyDescent="0.25">
      <c r="B323" s="2">
        <v>646439353</v>
      </c>
      <c r="C323" s="2">
        <v>619237993</v>
      </c>
      <c r="D323" s="2">
        <v>679587</v>
      </c>
      <c r="E323" s="2">
        <v>26521773</v>
      </c>
      <c r="G323" s="7">
        <v>4.1000000000000002E-2</v>
      </c>
    </row>
    <row r="324" spans="1:7" x14ac:dyDescent="0.25">
      <c r="A324" s="3">
        <v>40950</v>
      </c>
      <c r="B324" s="2">
        <v>56871527</v>
      </c>
      <c r="C324" s="2">
        <v>57019614</v>
      </c>
      <c r="D324" s="2">
        <v>77031</v>
      </c>
      <c r="E324" s="2">
        <v>-225118</v>
      </c>
      <c r="F324" s="7">
        <v>-4.0000000000000001E-3</v>
      </c>
    </row>
    <row r="325" spans="1:7" x14ac:dyDescent="0.25">
      <c r="B325" s="2">
        <v>639986239</v>
      </c>
      <c r="C325" s="2">
        <v>613011615</v>
      </c>
      <c r="D325" s="2">
        <v>660157</v>
      </c>
      <c r="E325" s="2">
        <v>26314467</v>
      </c>
      <c r="G325" s="7">
        <v>4.1000000000000002E-2</v>
      </c>
    </row>
    <row r="326" spans="1:7" x14ac:dyDescent="0.25">
      <c r="A326" s="3">
        <v>40979</v>
      </c>
      <c r="B326" s="2">
        <v>53592841</v>
      </c>
      <c r="C326" s="2">
        <v>52107958</v>
      </c>
      <c r="D326" s="2">
        <v>57960</v>
      </c>
      <c r="E326" s="2">
        <v>1426923</v>
      </c>
      <c r="F326" s="7">
        <v>2.7E-2</v>
      </c>
    </row>
    <row r="327" spans="1:7" x14ac:dyDescent="0.25">
      <c r="B327" s="2">
        <v>639753739</v>
      </c>
      <c r="C327" s="2">
        <v>613430756</v>
      </c>
      <c r="D327" s="2">
        <v>659796</v>
      </c>
      <c r="E327" s="2">
        <v>25663187</v>
      </c>
      <c r="G327" s="7">
        <v>0.04</v>
      </c>
    </row>
    <row r="328" spans="1:7" x14ac:dyDescent="0.25">
      <c r="A328" s="3">
        <v>41010</v>
      </c>
      <c r="B328" s="2">
        <v>44408369</v>
      </c>
      <c r="C328" s="2">
        <v>44150694</v>
      </c>
      <c r="D328" s="2">
        <v>35338</v>
      </c>
      <c r="E328" s="2">
        <v>222337</v>
      </c>
      <c r="F328" s="7">
        <v>5.0000000000000001E-3</v>
      </c>
    </row>
    <row r="329" spans="1:7" x14ac:dyDescent="0.25">
      <c r="B329" s="2">
        <v>642211789</v>
      </c>
      <c r="C329" s="2">
        <v>615912294</v>
      </c>
      <c r="D329" s="2">
        <v>665655</v>
      </c>
      <c r="E329" s="2">
        <v>25633840</v>
      </c>
      <c r="G329" s="7">
        <v>0.04</v>
      </c>
    </row>
    <row r="330" spans="1:7" x14ac:dyDescent="0.25">
      <c r="A330" s="3">
        <v>41040</v>
      </c>
      <c r="B330" s="2">
        <v>46901628</v>
      </c>
      <c r="C330" s="2">
        <v>43843656</v>
      </c>
      <c r="D330" s="2">
        <v>30732</v>
      </c>
      <c r="E330" s="2">
        <v>3027240</v>
      </c>
      <c r="F330" s="7">
        <v>6.5000000000000002E-2</v>
      </c>
    </row>
    <row r="331" spans="1:7" x14ac:dyDescent="0.25">
      <c r="B331" s="2">
        <v>643689210</v>
      </c>
      <c r="C331" s="2">
        <v>616887954</v>
      </c>
      <c r="D331" s="2">
        <v>668555</v>
      </c>
      <c r="E331" s="2">
        <v>26132701</v>
      </c>
      <c r="G331" s="7">
        <v>4.1000000000000002E-2</v>
      </c>
    </row>
    <row r="332" spans="1:7" x14ac:dyDescent="0.25">
      <c r="A332" s="3">
        <v>41071</v>
      </c>
      <c r="B332" s="2">
        <v>49093357</v>
      </c>
      <c r="C332" s="2">
        <v>48604065</v>
      </c>
      <c r="D332" s="2">
        <v>28479</v>
      </c>
      <c r="E332" s="2">
        <v>460813</v>
      </c>
      <c r="F332" s="7">
        <v>8.9999999999999993E-3</v>
      </c>
    </row>
    <row r="333" spans="1:7" x14ac:dyDescent="0.25">
      <c r="B333" s="2">
        <v>639815648</v>
      </c>
      <c r="C333" s="2">
        <v>614644358</v>
      </c>
      <c r="D333" s="2">
        <v>662201</v>
      </c>
      <c r="E333" s="2">
        <v>24509089</v>
      </c>
      <c r="G333" s="7">
        <v>3.7999999999999999E-2</v>
      </c>
    </row>
    <row r="334" spans="1:7" x14ac:dyDescent="0.25">
      <c r="A334" s="3">
        <v>41101</v>
      </c>
      <c r="B334" s="2">
        <v>57098915</v>
      </c>
      <c r="C334" s="2">
        <v>52276275</v>
      </c>
      <c r="D334" s="2">
        <v>31888</v>
      </c>
      <c r="E334" s="2">
        <v>4790752</v>
      </c>
      <c r="F334" s="7">
        <v>8.4000000000000005E-2</v>
      </c>
    </row>
    <row r="335" spans="1:7" x14ac:dyDescent="0.25">
      <c r="B335" s="2">
        <v>641103388</v>
      </c>
      <c r="C335" s="2">
        <v>613167111</v>
      </c>
      <c r="D335" s="2">
        <v>651503</v>
      </c>
      <c r="E335" s="2">
        <v>27284774</v>
      </c>
      <c r="G335" s="7">
        <v>4.2999999999999997E-2</v>
      </c>
    </row>
    <row r="336" spans="1:7" x14ac:dyDescent="0.25">
      <c r="A336" s="3">
        <v>41132</v>
      </c>
      <c r="B336" s="2">
        <v>53710424</v>
      </c>
      <c r="C336" s="2">
        <v>50885833</v>
      </c>
      <c r="D336" s="2">
        <v>30689</v>
      </c>
      <c r="E336" s="2">
        <v>2793902</v>
      </c>
      <c r="F336" s="7">
        <v>5.1999999999999998E-2</v>
      </c>
    </row>
    <row r="337" spans="1:7" x14ac:dyDescent="0.25">
      <c r="B337" s="2">
        <v>638908600</v>
      </c>
      <c r="C337" s="2">
        <v>611622861</v>
      </c>
      <c r="D337" s="2">
        <v>641396</v>
      </c>
      <c r="E337" s="2">
        <v>26644343</v>
      </c>
      <c r="G337" s="7">
        <v>4.2000000000000003E-2</v>
      </c>
    </row>
    <row r="338" spans="1:7" x14ac:dyDescent="0.25">
      <c r="A338" s="3">
        <v>41163</v>
      </c>
      <c r="B338" s="2">
        <v>44100917</v>
      </c>
      <c r="C338" s="2">
        <v>45232626</v>
      </c>
      <c r="D338" s="2">
        <v>26637</v>
      </c>
      <c r="E338" s="2">
        <v>-1158346</v>
      </c>
      <c r="F338" s="7">
        <v>-2.5999999999999999E-2</v>
      </c>
    </row>
    <row r="339" spans="1:7" x14ac:dyDescent="0.25">
      <c r="B339" s="2">
        <v>635681643</v>
      </c>
      <c r="C339" s="2">
        <v>609472334</v>
      </c>
      <c r="D339" s="2">
        <v>636650</v>
      </c>
      <c r="E339" s="2">
        <v>25572659</v>
      </c>
      <c r="G339" s="7">
        <v>0.04</v>
      </c>
    </row>
    <row r="340" spans="1:7" x14ac:dyDescent="0.25">
      <c r="A340" s="3">
        <v>41193</v>
      </c>
      <c r="B340" s="2">
        <v>46453182</v>
      </c>
      <c r="C340" s="2">
        <v>42297559</v>
      </c>
      <c r="D340" s="2">
        <v>34925</v>
      </c>
      <c r="E340" s="2">
        <v>4120698</v>
      </c>
      <c r="F340" s="7">
        <v>8.8999999999999996E-2</v>
      </c>
    </row>
    <row r="341" spans="1:7" x14ac:dyDescent="0.25">
      <c r="B341" s="2">
        <v>638649923</v>
      </c>
      <c r="C341" s="2">
        <v>610983785</v>
      </c>
      <c r="D341" s="2">
        <v>639457</v>
      </c>
      <c r="E341" s="2">
        <v>27026681</v>
      </c>
      <c r="G341" s="7">
        <v>4.2000000000000003E-2</v>
      </c>
    </row>
    <row r="342" spans="1:7" x14ac:dyDescent="0.25">
      <c r="A342" s="3">
        <v>41224</v>
      </c>
      <c r="B342" s="2">
        <v>47702610</v>
      </c>
      <c r="C342" s="2">
        <v>45158483</v>
      </c>
      <c r="D342" s="2">
        <v>56808</v>
      </c>
      <c r="E342" s="2">
        <v>2487319</v>
      </c>
      <c r="F342" s="7">
        <v>5.1999999999999998E-2</v>
      </c>
    </row>
    <row r="343" spans="1:7" x14ac:dyDescent="0.25">
      <c r="B343" s="2">
        <v>639784582</v>
      </c>
      <c r="C343" s="2">
        <v>612165660</v>
      </c>
      <c r="D343" s="2">
        <v>633422</v>
      </c>
      <c r="E343" s="2">
        <v>26985500</v>
      </c>
      <c r="G343" s="7">
        <v>4.2000000000000003E-2</v>
      </c>
    </row>
    <row r="344" spans="1:7" x14ac:dyDescent="0.25">
      <c r="A344" s="3">
        <v>41254</v>
      </c>
      <c r="B344" s="2">
        <v>57301904</v>
      </c>
      <c r="C344" s="2">
        <v>54293201</v>
      </c>
      <c r="D344" s="2">
        <v>82480</v>
      </c>
      <c r="E344" s="2">
        <v>2926223</v>
      </c>
      <c r="F344" s="7">
        <v>5.0999999999999997E-2</v>
      </c>
    </row>
    <row r="345" spans="1:7" x14ac:dyDescent="0.25">
      <c r="B345" s="2">
        <v>627586016</v>
      </c>
      <c r="C345" s="2">
        <v>600562179</v>
      </c>
      <c r="D345" s="2">
        <v>595191</v>
      </c>
      <c r="E345" s="2">
        <v>26428646</v>
      </c>
      <c r="G345" s="7">
        <v>4.2000000000000003E-2</v>
      </c>
    </row>
    <row r="346" spans="1:7" x14ac:dyDescent="0.25">
      <c r="A346" s="3">
        <v>40920</v>
      </c>
      <c r="B346" s="2">
        <v>61774269</v>
      </c>
      <c r="C346" s="2">
        <v>58960360</v>
      </c>
      <c r="D346" s="2">
        <v>79072</v>
      </c>
      <c r="E346" s="2">
        <v>2734837</v>
      </c>
      <c r="F346" s="7">
        <v>4.3999999999999997E-2</v>
      </c>
    </row>
    <row r="347" spans="1:7" x14ac:dyDescent="0.25">
      <c r="B347" s="2">
        <v>619009943</v>
      </c>
      <c r="C347" s="2">
        <v>594830324</v>
      </c>
      <c r="D347" s="2">
        <v>572039</v>
      </c>
      <c r="E347" s="2">
        <v>23607580</v>
      </c>
      <c r="G347" s="7">
        <v>3.7999999999999999E-2</v>
      </c>
    </row>
    <row r="348" spans="1:7" x14ac:dyDescent="0.25">
      <c r="A348" s="3">
        <v>40951</v>
      </c>
      <c r="B348" s="2">
        <v>54425979</v>
      </c>
      <c r="C348" s="2">
        <v>52604649</v>
      </c>
      <c r="D348" s="2">
        <v>69273</v>
      </c>
      <c r="E348" s="2">
        <v>1752057</v>
      </c>
      <c r="F348" s="7">
        <v>3.2000000000000001E-2</v>
      </c>
    </row>
    <row r="349" spans="1:7" x14ac:dyDescent="0.25">
      <c r="B349" s="2">
        <f>+B348+B346+B344+B342+B340+B338+B336+B334+B332+B330+B328+B326</f>
        <v>616564395</v>
      </c>
      <c r="C349" s="2">
        <f>+C348+C346+C344+C342+C340+C338+C336+C334+C332+C330+C328+C326</f>
        <v>590415359</v>
      </c>
      <c r="D349" s="2">
        <f>+D348+D346+D344+D342+D340+D338+D336+D334+D332+D330+D328+D326</f>
        <v>564281</v>
      </c>
      <c r="E349" s="2">
        <f t="shared" ref="E349:E355" si="0">B349-C349-D349</f>
        <v>25584755</v>
      </c>
      <c r="G349" s="7">
        <v>4.1000000000000002E-2</v>
      </c>
    </row>
    <row r="350" spans="1:7" x14ac:dyDescent="0.25">
      <c r="A350" s="6">
        <v>40999</v>
      </c>
      <c r="B350" s="2">
        <f>67886042-21225436</f>
        <v>46660606</v>
      </c>
      <c r="C350" s="2">
        <f>67409244-21225436-12762</f>
        <v>46171046</v>
      </c>
      <c r="D350" s="2">
        <v>40219</v>
      </c>
      <c r="E350" s="2">
        <f t="shared" si="0"/>
        <v>449341</v>
      </c>
      <c r="F350" s="7">
        <f>E350/B350</f>
        <v>9.6299863743732773E-3</v>
      </c>
    </row>
    <row r="351" spans="1:7" x14ac:dyDescent="0.25">
      <c r="A351" s="6"/>
      <c r="B351" s="2">
        <f>+B350+B348+B346+B344+B342+B340+B338+B336+B334+B332+B330+B328</f>
        <v>609632160</v>
      </c>
      <c r="C351" s="2">
        <f>+C350+C348+C346+C344+C342+C340+C338+C336+C334+C332+C330+C328</f>
        <v>584478447</v>
      </c>
      <c r="D351" s="2">
        <f>+D350+D348+D346+D344+D342+D340+D338+D336+D334+D332+D330+D328</f>
        <v>546540</v>
      </c>
      <c r="E351" s="2">
        <f t="shared" si="0"/>
        <v>24607173</v>
      </c>
      <c r="G351" s="7">
        <f>E351/B351</f>
        <v>4.0363968003262821E-2</v>
      </c>
    </row>
    <row r="352" spans="1:7" x14ac:dyDescent="0.25">
      <c r="A352" s="6">
        <v>41029</v>
      </c>
      <c r="B352" s="2">
        <f>62818845-19089232</f>
        <v>43729613</v>
      </c>
      <c r="C352" s="2">
        <f>61061088-19089232-12231</f>
        <v>41959625</v>
      </c>
      <c r="D352" s="2">
        <v>28125</v>
      </c>
      <c r="E352" s="2">
        <f t="shared" si="0"/>
        <v>1741863</v>
      </c>
      <c r="F352" s="7">
        <f>E352/B352</f>
        <v>3.9832572952337809E-2</v>
      </c>
    </row>
    <row r="353" spans="1:7" x14ac:dyDescent="0.25">
      <c r="A353" s="6"/>
      <c r="B353" s="2">
        <f>+B352+B350+B348+B346+B344+B342+B340+B338+B336+B334+B332+B330</f>
        <v>608953404</v>
      </c>
      <c r="C353" s="2">
        <f>+C352+C350+C348+C346+C344+C342+C340+C338+C336+C334+C332+C330</f>
        <v>582287378</v>
      </c>
      <c r="D353" s="2">
        <f>+D352+D350+D348+D346+D344+D342+D340+D338+D336+D334+D332+D330</f>
        <v>539327</v>
      </c>
      <c r="E353" s="2">
        <f t="shared" si="0"/>
        <v>26126699</v>
      </c>
      <c r="G353" s="7">
        <f>E353/B353</f>
        <v>4.290426628438717E-2</v>
      </c>
    </row>
    <row r="354" spans="1:7" x14ac:dyDescent="0.25">
      <c r="A354" s="6">
        <v>41060</v>
      </c>
      <c r="B354" s="2">
        <f>65371309-19195305</f>
        <v>46176004</v>
      </c>
      <c r="C354" s="2">
        <f>62411849-19195305-14630</f>
        <v>43201914</v>
      </c>
      <c r="D354" s="2">
        <v>26944</v>
      </c>
      <c r="E354" s="2">
        <f t="shared" si="0"/>
        <v>2947146</v>
      </c>
      <c r="F354" s="7">
        <f>E354/B354</f>
        <v>6.3824188857918504E-2</v>
      </c>
    </row>
    <row r="355" spans="1:7" x14ac:dyDescent="0.25">
      <c r="A355" s="6"/>
      <c r="B355" s="2">
        <f>+B354+B352+B350+B348+B346+B344+B342+B340+B338+B336+B334+B332</f>
        <v>608227780</v>
      </c>
      <c r="C355" s="2">
        <f>+C354+C352+C350+C348+C346+C344+C342+C340+C338+C336+C334+C332</f>
        <v>581645636</v>
      </c>
      <c r="D355" s="2">
        <f>+D354+D352+D350+D348+D346+D344+D342+D340+D338+D336+D334+D332</f>
        <v>535539</v>
      </c>
      <c r="E355" s="2">
        <f t="shared" si="0"/>
        <v>26046605</v>
      </c>
      <c r="G355" s="7">
        <f>E355/B355</f>
        <v>4.2823767437916105E-2</v>
      </c>
    </row>
    <row r="356" spans="1:7" x14ac:dyDescent="0.25">
      <c r="A356" s="6">
        <v>41090</v>
      </c>
      <c r="B356" s="2">
        <f>65868069-18424582</f>
        <v>47443487</v>
      </c>
      <c r="C356" s="2">
        <f>64984252-8125-18424582</f>
        <v>46551545</v>
      </c>
      <c r="D356" s="2">
        <v>29354</v>
      </c>
      <c r="E356" s="2">
        <f t="shared" ref="E356:E357" si="1">B356-C356-D356</f>
        <v>862588</v>
      </c>
      <c r="F356" s="7">
        <f>E356/B356</f>
        <v>1.8181378615783447E-2</v>
      </c>
    </row>
    <row r="357" spans="1:7" x14ac:dyDescent="0.25">
      <c r="A357" s="6"/>
      <c r="B357" s="2">
        <f>+B356+B354+B352+B350+B348+B346+B344+B342+B340+B338+B336+B334</f>
        <v>606577910</v>
      </c>
      <c r="C357" s="2">
        <f>+C356+C354+C352+C350+C348+C346+C344+C342+C340+C338+C336+C334</f>
        <v>579593116</v>
      </c>
      <c r="D357" s="2">
        <f>+D356+D354+D352+D350+D348+D346+D344+D342+D340+D338+D336+D334</f>
        <v>536414</v>
      </c>
      <c r="E357" s="2">
        <f t="shared" si="1"/>
        <v>26448380</v>
      </c>
      <c r="G357" s="7">
        <f>E357/B357</f>
        <v>4.3602609926892986E-2</v>
      </c>
    </row>
    <row r="358" spans="1:7" x14ac:dyDescent="0.25">
      <c r="A358" s="6">
        <v>41121</v>
      </c>
      <c r="B358" s="2">
        <f>72772551-17548963</f>
        <v>55223588</v>
      </c>
      <c r="C358" s="2">
        <f>69559962-17548963</f>
        <v>52010999</v>
      </c>
      <c r="D358" s="2">
        <v>30106</v>
      </c>
      <c r="E358" s="2">
        <f t="shared" ref="E358:E359" si="2">B358-C358-D358</f>
        <v>3182483</v>
      </c>
      <c r="F358" s="7">
        <f>E358/B358</f>
        <v>5.7629051556736949E-2</v>
      </c>
    </row>
    <row r="359" spans="1:7" x14ac:dyDescent="0.25">
      <c r="A359" s="6"/>
      <c r="B359" s="2">
        <f>+B358+B356+B354+B352+B350+B348+B346+B344+B342+B340+B338+B336</f>
        <v>604702583</v>
      </c>
      <c r="C359" s="2">
        <f>+C358+C356+C354+C352+C350+C348+C346+C344+C342+C340+C338+C336</f>
        <v>579327840</v>
      </c>
      <c r="D359" s="2">
        <f>+D358+D356+D354+D352+D350+D348+D346+D344+D342+D340+D338+D336</f>
        <v>534632</v>
      </c>
      <c r="E359" s="2">
        <f t="shared" si="2"/>
        <v>24840111</v>
      </c>
      <c r="G359" s="7">
        <f>E359/B359</f>
        <v>4.1078228700074861E-2</v>
      </c>
    </row>
    <row r="360" spans="1:7" x14ac:dyDescent="0.25">
      <c r="A360" s="6">
        <v>41152</v>
      </c>
      <c r="B360" s="2">
        <f>73892967-21079301</f>
        <v>52813666</v>
      </c>
      <c r="C360" s="2">
        <f>71813361-21079301-7680</f>
        <v>50726380</v>
      </c>
      <c r="D360" s="2">
        <v>24877</v>
      </c>
      <c r="E360" s="2">
        <f t="shared" ref="E360:E361" si="3">B360-C360-D360</f>
        <v>2062409</v>
      </c>
      <c r="F360" s="7">
        <f>E360/B360</f>
        <v>3.905066919611299E-2</v>
      </c>
    </row>
    <row r="361" spans="1:7" x14ac:dyDescent="0.25">
      <c r="A361" s="6"/>
      <c r="B361" s="2">
        <f>+B360+B358+B356+B354+B352+B350+B348+B346+B344+B342+B340+B338</f>
        <v>603805825</v>
      </c>
      <c r="C361" s="2">
        <f>+C360+C358+C356+C354+C352+C350+C348+C346+C344+C342+C340+C338</f>
        <v>579168387</v>
      </c>
      <c r="D361" s="2">
        <f>+D360+D358+D356+D354+D352+D350+D348+D346+D344+D342+D340+D338</f>
        <v>528820</v>
      </c>
      <c r="E361" s="2">
        <f t="shared" si="3"/>
        <v>24108618</v>
      </c>
      <c r="G361" s="7">
        <f>E361/B361</f>
        <v>3.9927766513348888E-2</v>
      </c>
    </row>
    <row r="362" spans="1:7" x14ac:dyDescent="0.25">
      <c r="A362" s="6">
        <v>41182</v>
      </c>
      <c r="B362" s="2">
        <f>64794613-20210225</f>
        <v>44584388</v>
      </c>
      <c r="C362" s="2">
        <f>65305272-20210225-13102</f>
        <v>45081945</v>
      </c>
      <c r="D362" s="2">
        <v>27511</v>
      </c>
      <c r="E362" s="2">
        <f t="shared" ref="E362:E363" si="4">B362-C362-D362</f>
        <v>-525068</v>
      </c>
      <c r="F362" s="7">
        <f>E362/B362</f>
        <v>-1.177694757187202E-2</v>
      </c>
    </row>
    <row r="363" spans="1:7" x14ac:dyDescent="0.25">
      <c r="A363" s="6"/>
      <c r="B363" s="2">
        <f>+B362+B360+B358+B356+B354+B352+B350+B348+B346+B344+B342+B340</f>
        <v>604289296</v>
      </c>
      <c r="C363" s="2">
        <f>+C362+C360+C358+C356+C354+C352+C350+C348+C346+C344+C342+C340</f>
        <v>579017706</v>
      </c>
      <c r="D363" s="2">
        <f>+D362+D360+D358+D356+D354+D352+D350+D348+D346+D344+D342+D340</f>
        <v>529694</v>
      </c>
      <c r="E363" s="2">
        <f t="shared" si="4"/>
        <v>24741896</v>
      </c>
      <c r="G363" s="7">
        <f>E363/B363</f>
        <v>4.0943793252296828E-2</v>
      </c>
    </row>
    <row r="364" spans="1:7" x14ac:dyDescent="0.25">
      <c r="A364" s="6">
        <v>41213</v>
      </c>
      <c r="B364" s="2">
        <f>67895623-20302994</f>
        <v>47592629</v>
      </c>
      <c r="C364" s="2">
        <f>64407089-20302994-11127</f>
        <v>44092968</v>
      </c>
      <c r="D364" s="2">
        <v>38097</v>
      </c>
      <c r="E364" s="2">
        <f t="shared" ref="E364:E365" si="5">B364-C364-D364</f>
        <v>3461564</v>
      </c>
      <c r="F364" s="7">
        <f>E364/B364</f>
        <v>7.2733195722388025E-2</v>
      </c>
    </row>
    <row r="365" spans="1:7" x14ac:dyDescent="0.25">
      <c r="A365" s="6"/>
      <c r="B365" s="2">
        <f>+B364+B362+B360+B358+B356+B354+B352+B350+B348+B346+B344+B342</f>
        <v>605428743</v>
      </c>
      <c r="C365" s="2">
        <f>+C364+C362+C360+C358+C356+C354+C352+C350+C348+C346+C344+C342</f>
        <v>580813115</v>
      </c>
      <c r="D365" s="2">
        <f>+D364+D362+D360+D358+D356+D354+D352+D350+D348+D346+D344+D342</f>
        <v>532866</v>
      </c>
      <c r="E365" s="2">
        <f t="shared" si="5"/>
        <v>24082762</v>
      </c>
      <c r="G365" s="7">
        <f>E365/B365</f>
        <v>3.9778028840629392E-2</v>
      </c>
    </row>
    <row r="366" spans="1:7" x14ac:dyDescent="0.25">
      <c r="A366" s="6">
        <v>41243</v>
      </c>
      <c r="B366" s="2">
        <f>72266456-19450001</f>
        <v>52816455</v>
      </c>
      <c r="C366" s="2">
        <f>69584183-13816-19450001</f>
        <v>50120366</v>
      </c>
      <c r="D366" s="2">
        <v>60275</v>
      </c>
      <c r="E366" s="2">
        <f t="shared" ref="E366:E367" si="6">B366-C366-D366</f>
        <v>2635814</v>
      </c>
      <c r="F366" s="7">
        <f>E366/B366</f>
        <v>4.9905166865137011E-2</v>
      </c>
    </row>
    <row r="367" spans="1:7" x14ac:dyDescent="0.25">
      <c r="A367" s="6"/>
      <c r="B367" s="2">
        <f>+B366+B364+B362+B360+B358+B356+B354+B352+B350+B348+B346+B344</f>
        <v>610542588</v>
      </c>
      <c r="C367" s="2">
        <f>+C366+C364+C362+C360+C358+C356+C354+C352+C350+C348+C346+C344</f>
        <v>585774998</v>
      </c>
      <c r="D367" s="2">
        <f>+D366+D364+D362+D360+D358+D356+D354+D352+D350+D348+D346+D344</f>
        <v>536333</v>
      </c>
      <c r="E367" s="2">
        <f t="shared" si="6"/>
        <v>24231257</v>
      </c>
      <c r="G367" s="7">
        <f>E367/B367</f>
        <v>3.9688070048276465E-2</v>
      </c>
    </row>
    <row r="368" spans="1:7" x14ac:dyDescent="0.25">
      <c r="A368" s="6">
        <v>41274</v>
      </c>
      <c r="B368" s="2">
        <f>78195519-20610001</f>
        <v>57585518</v>
      </c>
      <c r="C368" s="2">
        <f>74783519-14487-20610001</f>
        <v>54159031</v>
      </c>
      <c r="D368" s="2">
        <v>71152</v>
      </c>
      <c r="E368" s="2">
        <f t="shared" ref="E368:E369" si="7">B368-C368-D368</f>
        <v>3355335</v>
      </c>
      <c r="F368" s="7">
        <f>E368/B368</f>
        <v>5.8266993447901261E-2</v>
      </c>
    </row>
    <row r="369" spans="1:7" x14ac:dyDescent="0.25">
      <c r="A369" s="6"/>
      <c r="B369" s="2">
        <f>+B368+B366+B364+B362+B360+B358+B356+B354+B352+B350+B348+B346</f>
        <v>610826202</v>
      </c>
      <c r="C369" s="2">
        <f>+C368+C366+C364+C362+C360+C358+C356+C354+C352+C350+C348+C346</f>
        <v>585640828</v>
      </c>
      <c r="D369" s="2">
        <f>+D368+D366+D364+D362+D360+D358+D356+D354+D352+D350+D348+D346</f>
        <v>525005</v>
      </c>
      <c r="E369" s="2">
        <f t="shared" si="7"/>
        <v>24660369</v>
      </c>
      <c r="G369" s="7">
        <f>E369/B369</f>
        <v>4.0372153190638665E-2</v>
      </c>
    </row>
    <row r="370" spans="1:7" x14ac:dyDescent="0.25">
      <c r="A370" s="6">
        <v>41305</v>
      </c>
      <c r="B370" s="2">
        <f>84996083-21019322</f>
        <v>63976761</v>
      </c>
      <c r="C370" s="2">
        <f>82668502-22739-21019322</f>
        <v>61626441</v>
      </c>
      <c r="D370" s="2">
        <v>85792</v>
      </c>
      <c r="E370" s="2">
        <f t="shared" ref="E370:E371" si="8">B370-C370-D370</f>
        <v>2264528</v>
      </c>
      <c r="F370" s="7">
        <f>E370/B370</f>
        <v>3.5396102656713113E-2</v>
      </c>
    </row>
    <row r="371" spans="1:7" x14ac:dyDescent="0.25">
      <c r="A371" s="6"/>
      <c r="B371" s="2">
        <f>+B370+B368+B366+B364+B362+B360+B358+B356+B354+B352+B350+B348</f>
        <v>613028694</v>
      </c>
      <c r="C371" s="2">
        <f>+C370+C368+C366+C364+C362+C360+C358+C356+C354+C352+C350+C348</f>
        <v>588306909</v>
      </c>
      <c r="D371" s="2">
        <f>+D370+D368+D366+D364+D362+D360+D358+D356+D354+D352+D350+D348</f>
        <v>531725</v>
      </c>
      <c r="E371" s="2">
        <f t="shared" si="8"/>
        <v>24190060</v>
      </c>
      <c r="G371" s="7">
        <f>E371/B371</f>
        <v>3.9459914742587893E-2</v>
      </c>
    </row>
    <row r="372" spans="1:7" x14ac:dyDescent="0.25">
      <c r="A372" s="6">
        <v>41333</v>
      </c>
      <c r="B372" s="2">
        <f>77495218-19252685</f>
        <v>58242533</v>
      </c>
      <c r="C372" s="2">
        <f>77112743-40380-19252685</f>
        <v>57819678</v>
      </c>
      <c r="D372" s="2">
        <v>82109</v>
      </c>
      <c r="E372" s="2">
        <f t="shared" ref="E372:E373" si="9">B372-C372-D372</f>
        <v>340746</v>
      </c>
      <c r="F372" s="7">
        <f>E372/B372</f>
        <v>5.8504667027445391E-3</v>
      </c>
    </row>
    <row r="373" spans="1:7" x14ac:dyDescent="0.25">
      <c r="A373" s="6"/>
      <c r="B373" s="2">
        <f>+B372+B370+B368+B366+B364+B362+B360+B358+B356+B354+B352+B350</f>
        <v>616845248</v>
      </c>
      <c r="C373" s="2">
        <f>+C372+C370+C368+C366+C364+C362+C360+C358+C356+C354+C352+C350</f>
        <v>593521938</v>
      </c>
      <c r="D373" s="2">
        <f>+D372+D370+D368+D366+D364+D362+D360+D358+D356+D354+D352+D350</f>
        <v>544561</v>
      </c>
      <c r="E373" s="2">
        <f t="shared" si="9"/>
        <v>22778749</v>
      </c>
      <c r="G373" s="7">
        <f>E373/B373</f>
        <v>3.6927817915199369E-2</v>
      </c>
    </row>
    <row r="374" spans="1:7" x14ac:dyDescent="0.25">
      <c r="A374" s="6">
        <v>41364</v>
      </c>
      <c r="B374" s="2">
        <f>75901011-16864171</f>
        <v>59036840</v>
      </c>
      <c r="C374" s="2">
        <f>72544562-42935-16864171</f>
        <v>55637456</v>
      </c>
      <c r="D374" s="2">
        <v>83794</v>
      </c>
      <c r="E374" s="2">
        <f t="shared" ref="E374:E375" si="10">B374-C374-D374</f>
        <v>3315590</v>
      </c>
      <c r="F374" s="7">
        <f>E374/B374</f>
        <v>5.6161373135825018E-2</v>
      </c>
    </row>
    <row r="375" spans="1:7" x14ac:dyDescent="0.25">
      <c r="A375" s="6"/>
      <c r="B375" s="2">
        <f>+B374+B372+B370+B368+B366+B364+B362+B360+B358+B356+B354+B352</f>
        <v>629221482</v>
      </c>
      <c r="C375" s="2">
        <f>+C374+C372+C370+C368+C366+C364+C362+C360+C358+C356+C354+C352</f>
        <v>602988348</v>
      </c>
      <c r="D375" s="2">
        <f>+D374+D372+D370+D368+D366+D364+D362+D360+D358+D356+D354+D352</f>
        <v>588136</v>
      </c>
      <c r="E375" s="2">
        <f t="shared" si="10"/>
        <v>25644998</v>
      </c>
      <c r="G375" s="7">
        <f>E375/B375</f>
        <v>4.0756710846054679E-2</v>
      </c>
    </row>
    <row r="376" spans="1:7" x14ac:dyDescent="0.25">
      <c r="A376" s="6">
        <v>41394</v>
      </c>
      <c r="B376" s="2">
        <f>64388139-17962216</f>
        <v>46425923</v>
      </c>
      <c r="C376" s="2">
        <f>63735088-8586-17962216</f>
        <v>45764286</v>
      </c>
      <c r="D376" s="2">
        <v>31961</v>
      </c>
      <c r="E376" s="2">
        <f t="shared" ref="E376:E377" si="11">B376-C376-D376</f>
        <v>629676</v>
      </c>
      <c r="F376" s="7">
        <f>E376/B376</f>
        <v>1.3563025984426847E-2</v>
      </c>
    </row>
    <row r="377" spans="1:7" x14ac:dyDescent="0.25">
      <c r="A377" s="6"/>
      <c r="B377" s="2">
        <f>+B376+B374+B372+B370+B368+B366+B364+B362+B360+B358+B356+B354</f>
        <v>631917792</v>
      </c>
      <c r="C377" s="2">
        <f>+C376+C374+C372+C370+C368+C366+C364+C362+C360+C358+C356+C354</f>
        <v>606793009</v>
      </c>
      <c r="D377" s="2">
        <f>+D376+D374+D372+D370+D368+D366+D364+D362+D360+D358+D356+D354</f>
        <v>591972</v>
      </c>
      <c r="E377" s="2">
        <f t="shared" si="11"/>
        <v>24532811</v>
      </c>
      <c r="G377" s="7">
        <f>E377/B377</f>
        <v>3.8822788835165448E-2</v>
      </c>
    </row>
    <row r="378" spans="1:7" x14ac:dyDescent="0.25">
      <c r="A378" s="6">
        <v>41425</v>
      </c>
      <c r="B378" s="2">
        <f>67291628-21324860</f>
        <v>45966768</v>
      </c>
      <c r="C378" s="2">
        <f>65063648-21324860-12895</f>
        <v>43725893</v>
      </c>
      <c r="D378" s="2">
        <v>24994</v>
      </c>
      <c r="E378" s="2">
        <f t="shared" ref="E378:E379" si="12">B378-C378-D378</f>
        <v>2215881</v>
      </c>
      <c r="F378" s="7">
        <f>E378/B378</f>
        <v>4.8206151887815997E-2</v>
      </c>
    </row>
    <row r="379" spans="1:7" x14ac:dyDescent="0.25">
      <c r="A379" s="6"/>
      <c r="B379" s="2">
        <f>+B378+B376+B374+B372+B370+B368+B366+B364+B362+B360+B358+B356</f>
        <v>631708556</v>
      </c>
      <c r="C379" s="2">
        <f>+C378+C376+C374+C372+C370+C368+C366+C364+C362+C360+C358+C356</f>
        <v>607316988</v>
      </c>
      <c r="D379" s="2">
        <f>+D378+D376+D374+D372+D370+D368+D366+D364+D362+D360+D358+D356</f>
        <v>590022</v>
      </c>
      <c r="E379" s="2">
        <f t="shared" si="12"/>
        <v>23801546</v>
      </c>
      <c r="G379" s="7">
        <f>E379/B379</f>
        <v>3.7678049116054713E-2</v>
      </c>
    </row>
    <row r="380" spans="1:7" x14ac:dyDescent="0.25">
      <c r="A380" s="6">
        <v>41455</v>
      </c>
      <c r="B380" s="2">
        <f>67061681-19669592</f>
        <v>47392089</v>
      </c>
      <c r="C380" s="2">
        <f>65048318-19669592-17532</f>
        <v>45361194</v>
      </c>
      <c r="D380" s="2">
        <v>26657</v>
      </c>
      <c r="E380" s="2">
        <f t="shared" ref="E380:E381" si="13">B380-C380-D380</f>
        <v>2004238</v>
      </c>
      <c r="F380" s="7">
        <f>E380/B380</f>
        <v>4.2290560350694818E-2</v>
      </c>
    </row>
    <row r="381" spans="1:7" x14ac:dyDescent="0.25">
      <c r="A381" s="6"/>
      <c r="B381" s="2">
        <f>+B380+B378+B376+B374+B372+B370+B368+B366+B364+B362+B360+B358</f>
        <v>631657158</v>
      </c>
      <c r="C381" s="2">
        <f>+C380+C378+C376+C374+C372+C370+C368+C366+C364+C362+C360+C358</f>
        <v>606126637</v>
      </c>
      <c r="D381" s="2">
        <f>+D380+D378+D376+D374+D372+D370+D368+D366+D364+D362+D360+D358</f>
        <v>587325</v>
      </c>
      <c r="E381" s="2">
        <f t="shared" si="13"/>
        <v>24943196</v>
      </c>
      <c r="G381" s="7">
        <f>E381/B381</f>
        <v>3.9488503667047814E-2</v>
      </c>
    </row>
    <row r="382" spans="1:7" x14ac:dyDescent="0.25">
      <c r="A382" s="6">
        <v>41486</v>
      </c>
      <c r="B382" s="2">
        <f>70680594-19578961</f>
        <v>51101633</v>
      </c>
      <c r="C382" s="2">
        <f>69735798-19051-19578961</f>
        <v>50137786</v>
      </c>
      <c r="D382" s="2">
        <v>28936</v>
      </c>
      <c r="E382" s="2">
        <f t="shared" ref="E382:E383" si="14">B382-C382-D382</f>
        <v>934911</v>
      </c>
      <c r="F382" s="7">
        <f>E382/B382</f>
        <v>1.8295129629223396E-2</v>
      </c>
    </row>
    <row r="383" spans="1:7" x14ac:dyDescent="0.25">
      <c r="A383" s="6"/>
      <c r="B383" s="2">
        <f>+B382+B380+B378+B376+B374+B372+B370+B368+B366+B364+B362+B360</f>
        <v>627535203</v>
      </c>
      <c r="C383" s="2">
        <f>+C382+C380+C378+C376+C374+C372+C370+C368+C366+C364+C362+C360</f>
        <v>604253424</v>
      </c>
      <c r="D383" s="2">
        <f>+D382+D380+D378+D376+D374+D372+D370+D368+D366+D364+D362+D360</f>
        <v>586155</v>
      </c>
      <c r="E383" s="2">
        <f t="shared" si="14"/>
        <v>22695624</v>
      </c>
      <c r="G383" s="7">
        <f>E383/B383</f>
        <v>3.6166296155978363E-2</v>
      </c>
    </row>
    <row r="384" spans="1:7" x14ac:dyDescent="0.25">
      <c r="A384" s="6">
        <v>41517</v>
      </c>
      <c r="B384" s="2">
        <f>73314025-21212908</f>
        <v>52101117</v>
      </c>
      <c r="C384" s="2">
        <f>70911500-14692-21212908</f>
        <v>49683900</v>
      </c>
      <c r="D384" s="2">
        <v>29329</v>
      </c>
      <c r="E384" s="2">
        <f t="shared" ref="E384:E385" si="15">B384-C384-D384</f>
        <v>2387888</v>
      </c>
      <c r="F384" s="7">
        <f>E384/B384</f>
        <v>4.5831800496714876E-2</v>
      </c>
    </row>
    <row r="385" spans="1:7" x14ac:dyDescent="0.25">
      <c r="A385" s="6"/>
      <c r="B385" s="2">
        <f>+B384+B382+B380+B378+B376+B374+B372+B370+B368+B366+B364+B362</f>
        <v>626822654</v>
      </c>
      <c r="C385" s="2">
        <f>+C384+C382+C380+C378+C376+C374+C372+C370+C368+C366+C364+C362</f>
        <v>603210944</v>
      </c>
      <c r="D385" s="2">
        <f>+D384+D382+D380+D378+D376+D374+D372+D370+D368+D366+D364+D362</f>
        <v>590607</v>
      </c>
      <c r="E385" s="2">
        <f t="shared" si="15"/>
        <v>23021103</v>
      </c>
      <c r="G385" s="7">
        <f>E385/B385</f>
        <v>3.672666080763571E-2</v>
      </c>
    </row>
    <row r="386" spans="1:7" x14ac:dyDescent="0.25">
      <c r="A386" s="6">
        <v>41547</v>
      </c>
      <c r="B386" s="2">
        <f>64907744-19917579</f>
        <v>44990165</v>
      </c>
      <c r="C386" s="2">
        <f>64231097-13325-19917579</f>
        <v>44300193</v>
      </c>
      <c r="D386" s="2">
        <v>24019</v>
      </c>
      <c r="E386" s="2">
        <f t="shared" ref="E386:E387" si="16">B386-C386-D386</f>
        <v>665953</v>
      </c>
      <c r="F386" s="7">
        <f>E386/B386</f>
        <v>1.4802190656557938E-2</v>
      </c>
    </row>
    <row r="387" spans="1:7" x14ac:dyDescent="0.25">
      <c r="A387" s="6"/>
      <c r="B387" s="2">
        <f>+B386+B384+B382+B380+B378+B376+B374+B372+B370+B368+B366+B364</f>
        <v>627228431</v>
      </c>
      <c r="C387" s="2">
        <f>+C386+C384+C382+C380+C378+C376+C374+C372+C370+C368+C366+C364</f>
        <v>602429192</v>
      </c>
      <c r="D387" s="2">
        <f>+D386+D384+D382+D380+D378+D376+D374+D372+D370+D368+D366+D364</f>
        <v>587115</v>
      </c>
      <c r="E387" s="2">
        <f t="shared" si="16"/>
        <v>24212124</v>
      </c>
      <c r="G387" s="7">
        <f>E387/B387</f>
        <v>3.8601764211163445E-2</v>
      </c>
    </row>
    <row r="388" spans="1:7" x14ac:dyDescent="0.25">
      <c r="A388" s="6">
        <v>41578</v>
      </c>
      <c r="B388" s="2">
        <f>64564839-18038994</f>
        <v>46525845</v>
      </c>
      <c r="C388" s="2">
        <f>61576070-13095-18038994</f>
        <v>43523981</v>
      </c>
      <c r="D388" s="2">
        <v>41139</v>
      </c>
      <c r="E388" s="2">
        <f t="shared" ref="E388:E389" si="17">B388-C388-D388</f>
        <v>2960725</v>
      </c>
      <c r="F388" s="7">
        <f>E388/B388</f>
        <v>6.3636136001398794E-2</v>
      </c>
    </row>
    <row r="389" spans="1:7" x14ac:dyDescent="0.25">
      <c r="A389" s="6"/>
      <c r="B389" s="2">
        <f>+B388+B386+B384+B382+B380+B378+B376+B374+B372+B370+B368+B366</f>
        <v>626161647</v>
      </c>
      <c r="C389" s="2">
        <f>+C388+C386+C384+C382+C380+C378+C376+C374+C372+C370+C368+C366</f>
        <v>601860205</v>
      </c>
      <c r="D389" s="2">
        <f>+D388+D386+D384+D382+D380+D378+D376+D374+D372+D370+D368+D366</f>
        <v>590157</v>
      </c>
      <c r="E389" s="2">
        <f t="shared" si="17"/>
        <v>23711285</v>
      </c>
      <c r="G389" s="7">
        <f>E389/B389</f>
        <v>3.7867673808517369E-2</v>
      </c>
    </row>
    <row r="390" spans="1:7" x14ac:dyDescent="0.25">
      <c r="A390" s="6">
        <v>41608</v>
      </c>
      <c r="B390" s="2">
        <f>71549547-16172243</f>
        <v>55377304</v>
      </c>
      <c r="C390" s="2">
        <f>67362295-10682-16172243</f>
        <v>51179370</v>
      </c>
      <c r="D390" s="2">
        <v>76041</v>
      </c>
      <c r="E390" s="2">
        <f t="shared" ref="E390:E391" si="18">B390-C390-D390</f>
        <v>4121893</v>
      </c>
      <c r="F390" s="7">
        <f>E390/B390</f>
        <v>7.4432894024598961E-2</v>
      </c>
    </row>
    <row r="391" spans="1:7" x14ac:dyDescent="0.25">
      <c r="A391" s="6"/>
      <c r="B391" s="2">
        <f>+B390+B388+B386+B384+B382+B380+B378+B376+B374+B372+B370+B368</f>
        <v>628722496</v>
      </c>
      <c r="C391" s="2">
        <f>+C390+C388+C386+C384+C382+C380+C378+C376+C374+C372+C370+C368</f>
        <v>602919209</v>
      </c>
      <c r="D391" s="2">
        <f>+D390+D388+D386+D384+D382+D380+D378+D376+D374+D372+D370+D368</f>
        <v>605923</v>
      </c>
      <c r="E391" s="2">
        <f t="shared" si="18"/>
        <v>25197364</v>
      </c>
      <c r="G391" s="7">
        <f>E391/B391</f>
        <v>4.0077083546888069E-2</v>
      </c>
    </row>
    <row r="392" spans="1:7" x14ac:dyDescent="0.25">
      <c r="A392" s="6">
        <v>41639</v>
      </c>
      <c r="B392" s="2">
        <f>78833011-18025010</f>
        <v>60808001</v>
      </c>
      <c r="C392" s="2">
        <f>78836356-2039829-18025010</f>
        <v>58771517</v>
      </c>
      <c r="D392" s="2">
        <v>88603</v>
      </c>
      <c r="E392" s="2">
        <f t="shared" ref="E392:E393" si="19">B392-C392-D392</f>
        <v>1947881</v>
      </c>
      <c r="F392" s="7">
        <f>E392/B392</f>
        <v>3.2033301012476957E-2</v>
      </c>
    </row>
    <row r="393" spans="1:7" x14ac:dyDescent="0.25">
      <c r="A393" s="6"/>
      <c r="B393" s="2">
        <f>+B392+B390+B388+B386+B384+B382+B380+B378+B376+B374+B372+B370</f>
        <v>631944979</v>
      </c>
      <c r="C393" s="2">
        <f>+C392+C390+C388+C386+C384+C382+C380+C378+C376+C374+C372+C370</f>
        <v>607531695</v>
      </c>
      <c r="D393" s="2">
        <f>+D392+D390+D388+D386+D384+D382+D380+D378+D376+D374+D372+D370</f>
        <v>623374</v>
      </c>
      <c r="E393" s="2">
        <f t="shared" si="19"/>
        <v>23789910</v>
      </c>
      <c r="G393" s="7">
        <f>E393/B393</f>
        <v>3.7645540024141881E-2</v>
      </c>
    </row>
    <row r="394" spans="1:7" x14ac:dyDescent="0.25">
      <c r="A394" s="6">
        <v>41670</v>
      </c>
      <c r="B394" s="2">
        <f>96673002-21149704</f>
        <v>75523298</v>
      </c>
      <c r="C394" s="2">
        <f>93175394-3163253-21149704</f>
        <v>68862437</v>
      </c>
      <c r="D394" s="2">
        <v>135448</v>
      </c>
      <c r="E394" s="2">
        <f t="shared" ref="E394:E395" si="20">B394-C394-D394</f>
        <v>6525413</v>
      </c>
      <c r="F394" s="7">
        <f>E394/B394</f>
        <v>8.6402648888558864E-2</v>
      </c>
    </row>
    <row r="395" spans="1:7" x14ac:dyDescent="0.25">
      <c r="A395" s="6"/>
      <c r="B395" s="2">
        <f>+B394+B392+B390+B388+B386+B384+B382+B380+B378+B376+B374+B372</f>
        <v>643491516</v>
      </c>
      <c r="C395" s="2">
        <f>+C394+C392+C390+C388+C386+C384+C382+C380+C378+C376+C374+C372</f>
        <v>614767691</v>
      </c>
      <c r="D395" s="2">
        <f>+D394+D392+D390+D388+D386+D384+D382+D380+D378+D376+D374+D372</f>
        <v>673030</v>
      </c>
      <c r="E395" s="2">
        <f t="shared" si="20"/>
        <v>28050795</v>
      </c>
      <c r="G395" s="7">
        <f>E395/B395</f>
        <v>4.3591553738526675E-2</v>
      </c>
    </row>
    <row r="396" spans="1:7" x14ac:dyDescent="0.25">
      <c r="A396" s="6">
        <v>41698</v>
      </c>
      <c r="B396" s="2">
        <f>79630520-18684750</f>
        <v>60945770</v>
      </c>
      <c r="C396" s="2">
        <f>81550093-439998-18684750</f>
        <v>62425345</v>
      </c>
      <c r="D396" s="2">
        <v>106559</v>
      </c>
      <c r="E396" s="2">
        <f t="shared" ref="E396:E397" si="21">B396-C396-D396</f>
        <v>-1586134</v>
      </c>
      <c r="F396" s="7">
        <f>E396/B396</f>
        <v>-2.6025333669588552E-2</v>
      </c>
    </row>
    <row r="397" spans="1:7" x14ac:dyDescent="0.25">
      <c r="A397" s="6"/>
      <c r="B397" s="2">
        <f>+B396+B394+B392+B390+B388+B386+B384+B382+B380+B378+B376+B374</f>
        <v>646194753</v>
      </c>
      <c r="C397" s="2">
        <f>+C396+C394+C392+C390+C388+C386+C384+C382+C380+C378+C376+C374</f>
        <v>619373358</v>
      </c>
      <c r="D397" s="2">
        <f>+D396+D394+D392+D390+D388+D386+D384+D382+D380+D378+D376+D374</f>
        <v>697480</v>
      </c>
      <c r="E397" s="2">
        <f t="shared" si="21"/>
        <v>26123915</v>
      </c>
      <c r="G397" s="7">
        <f>E397/B397</f>
        <v>4.0427309071635248E-2</v>
      </c>
    </row>
    <row r="398" spans="1:7" x14ac:dyDescent="0.25">
      <c r="A398" s="6">
        <v>41729</v>
      </c>
      <c r="B398" s="2">
        <f>78944601-19542383</f>
        <v>59402218</v>
      </c>
      <c r="C398" s="2">
        <f>74372167-34861-19542383</f>
        <v>54794923</v>
      </c>
      <c r="D398" s="2">
        <v>83600</v>
      </c>
      <c r="E398" s="2">
        <f t="shared" ref="E398:E399" si="22">B398-C398-D398</f>
        <v>4523695</v>
      </c>
      <c r="F398" s="7">
        <f>E398/B398</f>
        <v>7.6153637899514126E-2</v>
      </c>
    </row>
    <row r="399" spans="1:7" x14ac:dyDescent="0.25">
      <c r="A399" s="6"/>
      <c r="B399" s="2">
        <f>+B398+B396+B394+B392+B390+B388+B386+B384+B382+B380+B378+B376</f>
        <v>646560131</v>
      </c>
      <c r="C399" s="2">
        <f>+C398+C396+C394+C392+C390+C388+C386+C384+C382+C380+C378+C376</f>
        <v>618530825</v>
      </c>
      <c r="D399" s="2">
        <f>+D398+D396+D394+D392+D390+D388+D386+D384+D382+D380+D378+D376</f>
        <v>697286</v>
      </c>
      <c r="E399" s="2">
        <f t="shared" si="22"/>
        <v>27332020</v>
      </c>
      <c r="G399" s="7">
        <f>E399/B399</f>
        <v>4.2272974607523398E-2</v>
      </c>
    </row>
    <row r="400" spans="1:7" x14ac:dyDescent="0.25">
      <c r="A400" s="6">
        <v>41759</v>
      </c>
      <c r="B400" s="2">
        <f>63976431-20426395</f>
        <v>43550036</v>
      </c>
      <c r="C400" s="2">
        <f>64465251-279056-20426395</f>
        <v>43759800</v>
      </c>
      <c r="D400" s="2">
        <v>33682</v>
      </c>
      <c r="E400" s="2">
        <f t="shared" ref="E400:E401" si="23">B400-C400-D400</f>
        <v>-243446</v>
      </c>
      <c r="F400" s="7">
        <f>E400/B400</f>
        <v>-5.5900298222485972E-3</v>
      </c>
    </row>
    <row r="401" spans="1:7" x14ac:dyDescent="0.25">
      <c r="A401" s="6"/>
      <c r="B401" s="2">
        <f>+B400+B398+B396+B394+B392+B390+B388+B386+B384+B382+B380+B378</f>
        <v>643684244</v>
      </c>
      <c r="C401" s="2">
        <f>+C400+C398+C396+C394+C392+C390+C388+C386+C384+C382+C380+C378</f>
        <v>616526339</v>
      </c>
      <c r="D401" s="2">
        <f>+D400+D398+D396+D394+D392+D390+D388+D386+D384+D382+D380+D378</f>
        <v>699007</v>
      </c>
      <c r="E401" s="2">
        <f t="shared" si="23"/>
        <v>26458898</v>
      </c>
      <c r="G401" s="7">
        <f>E401/B401</f>
        <v>4.1105399497707758E-2</v>
      </c>
    </row>
    <row r="402" spans="1:7" x14ac:dyDescent="0.25">
      <c r="A402" s="6">
        <v>41790</v>
      </c>
      <c r="B402" s="2">
        <f>66200322-21135334</f>
        <v>45064988</v>
      </c>
      <c r="C402" s="2">
        <f>74311045-9581769-21135334</f>
        <v>43593942</v>
      </c>
      <c r="D402" s="2">
        <v>28455</v>
      </c>
      <c r="E402" s="2">
        <f t="shared" ref="E402:E403" si="24">B402-C402-D402</f>
        <v>1442591</v>
      </c>
      <c r="F402" s="7">
        <f>E402/B402</f>
        <v>3.201134770079158E-2</v>
      </c>
    </row>
    <row r="403" spans="1:7" x14ac:dyDescent="0.25">
      <c r="A403" s="6"/>
      <c r="B403" s="2">
        <f>+B402+B400+B398+B396+B394+B392+B390+B388+B386+B384+B382+B380</f>
        <v>642782464</v>
      </c>
      <c r="C403" s="2">
        <f>+C402+C400+C398+C396+C394+C392+C390+C388+C386+C384+C382+C380</f>
        <v>616394388</v>
      </c>
      <c r="D403" s="2">
        <f>+D402+D400+D398+D396+D394+D392+D390+D388+D386+D384+D382+D380</f>
        <v>702468</v>
      </c>
      <c r="E403" s="2">
        <f t="shared" si="24"/>
        <v>25685608</v>
      </c>
      <c r="G403" s="7">
        <f>E403/B403</f>
        <v>3.9960032263730204E-2</v>
      </c>
    </row>
    <row r="404" spans="1:7" x14ac:dyDescent="0.25">
      <c r="A404" s="6">
        <v>41820</v>
      </c>
      <c r="B404" s="2">
        <f>68680729-20396174</f>
        <v>48284555</v>
      </c>
      <c r="C404" s="2">
        <f>76172534-10368450-20396174</f>
        <v>45407910</v>
      </c>
      <c r="D404" s="2">
        <v>27386</v>
      </c>
      <c r="E404" s="2">
        <f t="shared" ref="E404:E405" si="25">B404-C404-D404</f>
        <v>2849259</v>
      </c>
      <c r="F404" s="7">
        <f>E404/B404</f>
        <v>5.9009739242704008E-2</v>
      </c>
    </row>
    <row r="405" spans="1:7" x14ac:dyDescent="0.25">
      <c r="A405" s="6"/>
      <c r="B405" s="2">
        <f>+B404+B402+B400+B398+B396+B394+B392+B390+B388+B386+B384+B382</f>
        <v>643674930</v>
      </c>
      <c r="C405" s="2">
        <f>+C404+C402+C400+C398+C396+C394+C392+C390+C388+C386+C384+C382</f>
        <v>616441104</v>
      </c>
      <c r="D405" s="2">
        <f>+D404+D402+D400+D398+D396+D394+D392+D390+D388+D386+D384+D382</f>
        <v>703197</v>
      </c>
      <c r="E405" s="2">
        <f t="shared" si="25"/>
        <v>26530629</v>
      </c>
      <c r="G405" s="7">
        <f>E405/B405</f>
        <v>4.1217434085866915E-2</v>
      </c>
    </row>
    <row r="406" spans="1:7" x14ac:dyDescent="0.25">
      <c r="A406" s="6">
        <v>41851</v>
      </c>
      <c r="B406" s="2">
        <f>71045316-20989088</f>
        <v>50056228</v>
      </c>
      <c r="C406" s="2">
        <f>78570940-8890790-20989088</f>
        <v>48691062</v>
      </c>
      <c r="D406" s="2">
        <v>27585</v>
      </c>
      <c r="E406" s="2">
        <f t="shared" ref="E406:E407" si="26">B406-C406-D406</f>
        <v>1337581</v>
      </c>
      <c r="F406" s="7">
        <f>E406/B406</f>
        <v>2.6721569991250638E-2</v>
      </c>
    </row>
    <row r="407" spans="1:7" x14ac:dyDescent="0.25">
      <c r="A407" s="6"/>
      <c r="B407" s="2">
        <f>+B406+B404+B402+B400+B398+B396+B394+B392+B390+B388+B386+B384</f>
        <v>642629525</v>
      </c>
      <c r="C407" s="2">
        <f>+C406+C404+C402+C400+C398+C396+C394+C392+C390+C388+C386+C384</f>
        <v>614994380</v>
      </c>
      <c r="D407" s="2">
        <f>+D406+D404+D402+D400+D398+D396+D394+D392+D390+D388+D386+D384</f>
        <v>701846</v>
      </c>
      <c r="E407" s="2">
        <f t="shared" si="26"/>
        <v>26933299</v>
      </c>
      <c r="G407" s="7">
        <f>E407/B407</f>
        <v>4.1911082438983796E-2</v>
      </c>
    </row>
    <row r="408" spans="1:7" x14ac:dyDescent="0.25">
      <c r="A408" s="6">
        <v>41882</v>
      </c>
      <c r="B408" s="2">
        <f>70446455-20088696</f>
        <v>50357759</v>
      </c>
      <c r="C408" s="2">
        <f>77921732-10572540-20088696</f>
        <v>47260496</v>
      </c>
      <c r="D408" s="2">
        <v>27594</v>
      </c>
      <c r="E408" s="2">
        <f t="shared" ref="E408:E409" si="27">B408-C408-D408</f>
        <v>3069669</v>
      </c>
      <c r="F408" s="7">
        <f>E408/B408</f>
        <v>6.0957220117757824E-2</v>
      </c>
    </row>
    <row r="409" spans="1:7" x14ac:dyDescent="0.25">
      <c r="A409" s="6"/>
      <c r="B409" s="2">
        <f>+B408+B406+B404+B402+B400+B398+B396+B394+B392+B390+B388+B386</f>
        <v>640886167</v>
      </c>
      <c r="C409" s="2">
        <f>+C408+C406+C404+C402+C400+C398+C396+C394+C392+C390+C388+C386</f>
        <v>612570976</v>
      </c>
      <c r="D409" s="2">
        <f>+D408+D406+D404+D402+D400+D398+D396+D394+D392+D390+D388+D386</f>
        <v>700111</v>
      </c>
      <c r="E409" s="2">
        <f t="shared" si="27"/>
        <v>27615080</v>
      </c>
      <c r="G409" s="7">
        <f>E409/B409</f>
        <v>4.3088900060468928E-2</v>
      </c>
    </row>
    <row r="410" spans="1:7" x14ac:dyDescent="0.25">
      <c r="A410" s="6">
        <v>41912</v>
      </c>
      <c r="B410" s="2">
        <f>63385605-20533593</f>
        <v>42852012</v>
      </c>
      <c r="C410" s="2">
        <f>73576474-10009368-20533593</f>
        <v>43033513</v>
      </c>
      <c r="D410" s="2">
        <v>24597</v>
      </c>
      <c r="E410" s="2">
        <f t="shared" ref="E410:E411" si="28">B410-C410-D410</f>
        <v>-206098</v>
      </c>
      <c r="F410" s="7">
        <f>E410/B410</f>
        <v>-4.8095291301607961E-3</v>
      </c>
    </row>
    <row r="411" spans="1:7" x14ac:dyDescent="0.25">
      <c r="A411" s="6"/>
      <c r="B411" s="2">
        <f>+B410+B408+B406+B404+B402+B400+B398+B396+B394+B392+B390+B388</f>
        <v>638748014</v>
      </c>
      <c r="C411" s="2">
        <f>+C410+C408+C406+C404+C402+C400+C398+C396+C394+C392+C390+C388</f>
        <v>611304296</v>
      </c>
      <c r="D411" s="2">
        <f>+D410+D408+D406+D404+D402+D400+D398+D396+D394+D392+D390+D388</f>
        <v>700689</v>
      </c>
      <c r="E411" s="2">
        <f t="shared" si="28"/>
        <v>26743029</v>
      </c>
      <c r="G411" s="7">
        <f>E411/B411</f>
        <v>4.1867885948526799E-2</v>
      </c>
    </row>
    <row r="412" spans="1:7" x14ac:dyDescent="0.25">
      <c r="A412" s="6">
        <v>41943</v>
      </c>
      <c r="B412" s="2">
        <f>64420983-19688106</f>
        <v>44732877</v>
      </c>
      <c r="C412" s="2">
        <f>71770542-9649986-19688106</f>
        <v>42432450</v>
      </c>
      <c r="D412" s="2">
        <v>30321</v>
      </c>
      <c r="E412" s="2">
        <f t="shared" ref="E412:E413" si="29">B412-C412-D412</f>
        <v>2270106</v>
      </c>
      <c r="F412" s="7">
        <f>E412/B412</f>
        <v>5.0748043771027741E-2</v>
      </c>
    </row>
    <row r="413" spans="1:7" x14ac:dyDescent="0.25">
      <c r="A413" s="6"/>
      <c r="B413" s="2">
        <f>+B412+B410+B408+B406+B404+B402+B400+B398+B396+B394+B392+B390</f>
        <v>636955046</v>
      </c>
      <c r="C413" s="2">
        <f>+C412+C410+C408+C406+C404+C402+C400+C398+C396+C394+C392+C390</f>
        <v>610212765</v>
      </c>
      <c r="D413" s="2">
        <f>+D412+D410+D408+D406+D404+D402+D400+D398+D396+D394+D392+D390</f>
        <v>689871</v>
      </c>
      <c r="E413" s="2">
        <f t="shared" si="29"/>
        <v>26052410</v>
      </c>
      <c r="G413" s="7">
        <f>E413/B413</f>
        <v>4.0901489302276446E-2</v>
      </c>
    </row>
    <row r="414" spans="1:7" x14ac:dyDescent="0.25">
      <c r="A414" s="6">
        <v>41973</v>
      </c>
      <c r="B414" s="2">
        <f>73023418-17512458</f>
        <v>55510960</v>
      </c>
      <c r="C414" s="2">
        <f>78867107-10334318-17512458</f>
        <v>51020331</v>
      </c>
      <c r="D414" s="2">
        <v>70560</v>
      </c>
      <c r="E414" s="2">
        <f t="shared" ref="E414:E415" si="30">B414-C414-D414</f>
        <v>4420069</v>
      </c>
      <c r="F414" s="7">
        <f>E414/B414</f>
        <v>7.96251587073976E-2</v>
      </c>
    </row>
    <row r="415" spans="1:7" x14ac:dyDescent="0.25">
      <c r="A415" s="6"/>
      <c r="B415" s="2">
        <f>+B414+B412+B410+B408+B406+B404+B402+B400+B398+B396+B394+B392</f>
        <v>637088702</v>
      </c>
      <c r="C415" s="2">
        <f>+C414+C412+C410+C408+C406+C404+C402+C400+C398+C396+C394+C392</f>
        <v>610053726</v>
      </c>
      <c r="D415" s="2">
        <f>+D414+D412+D410+D408+D406+D404+D402+D400+D398+D396+D394+D392</f>
        <v>684390</v>
      </c>
      <c r="E415" s="2">
        <f t="shared" si="30"/>
        <v>26350586</v>
      </c>
      <c r="G415" s="7">
        <f>E415/B415</f>
        <v>4.1360937522951079E-2</v>
      </c>
    </row>
    <row r="416" spans="1:7" x14ac:dyDescent="0.25">
      <c r="A416" s="6">
        <v>42004</v>
      </c>
      <c r="B416" s="2">
        <f>78822035-20884703</f>
        <v>57937332</v>
      </c>
      <c r="C416" s="2">
        <f>85418532-9697082-20884703</f>
        <v>54836747</v>
      </c>
      <c r="D416" s="2">
        <v>80881</v>
      </c>
      <c r="E416" s="2">
        <f t="shared" ref="E416:E417" si="31">B416-C416-D416</f>
        <v>3019704</v>
      </c>
      <c r="F416" s="7">
        <f>E416/B416</f>
        <v>5.2120177021613631E-2</v>
      </c>
    </row>
    <row r="417" spans="1:7" x14ac:dyDescent="0.25">
      <c r="A417" s="6"/>
      <c r="B417" s="2">
        <f>+B416+B414+B412+B410+B408+B406+B404+B402+B400+B398+B396+B394</f>
        <v>634218033</v>
      </c>
      <c r="C417" s="2">
        <f>+C416+C414+C412+C410+C408+C406+C404+C402+C400+C398+C396+C394</f>
        <v>606118956</v>
      </c>
      <c r="D417" s="2">
        <f>+D416+D414+D412+D410+D408+D406+D404+D402+D400+D398+D396+D394</f>
        <v>676668</v>
      </c>
      <c r="E417" s="2">
        <f t="shared" si="31"/>
        <v>27422409</v>
      </c>
      <c r="G417" s="7">
        <f>E417/B417</f>
        <v>4.3238141416896608E-2</v>
      </c>
    </row>
    <row r="418" spans="1:7" x14ac:dyDescent="0.25">
      <c r="A418" s="6">
        <v>42035</v>
      </c>
      <c r="B418" s="2">
        <f>89553615-20908004</f>
        <v>68645611</v>
      </c>
      <c r="C418" s="2">
        <f>96702160-10277026-20908004</f>
        <v>65517130</v>
      </c>
      <c r="D418" s="2">
        <v>108803</v>
      </c>
      <c r="E418" s="2">
        <f t="shared" ref="E418:E419" si="32">B418-C418-D418</f>
        <v>3019678</v>
      </c>
      <c r="F418" s="7">
        <f>E418/B418</f>
        <v>4.3989381928583898E-2</v>
      </c>
    </row>
    <row r="419" spans="1:7" x14ac:dyDescent="0.25">
      <c r="A419" s="6"/>
      <c r="B419" s="2">
        <f>+B418+B416+B414+B412+B410+B408+B406+B404+B402+B400+B398+B396</f>
        <v>627340346</v>
      </c>
      <c r="C419" s="2">
        <f>+C418+C416+C414+C412+C410+C408+C406+C404+C402+C400+C398+C396</f>
        <v>602773649</v>
      </c>
      <c r="D419" s="2">
        <f>+D418+D416+D414+D412+D410+D408+D406+D404+D402+D400+D398+D396</f>
        <v>650023</v>
      </c>
      <c r="E419" s="2">
        <f t="shared" si="32"/>
        <v>23916674</v>
      </c>
      <c r="G419" s="7">
        <f>E419/B419</f>
        <v>3.8123921333125928E-2</v>
      </c>
    </row>
    <row r="420" spans="1:7" x14ac:dyDescent="0.25">
      <c r="A420" s="6">
        <v>42063</v>
      </c>
      <c r="B420" s="2">
        <f>86142531-18670701</f>
        <v>67471830</v>
      </c>
      <c r="C420" s="2">
        <f>91718720-7889494-18670701</f>
        <v>65158525</v>
      </c>
      <c r="D420" s="2">
        <v>114449</v>
      </c>
      <c r="E420" s="2">
        <f t="shared" ref="E420:E421" si="33">B420-C420-D420</f>
        <v>2198856</v>
      </c>
      <c r="F420" s="7">
        <f>E420/B420</f>
        <v>3.2589245022700587E-2</v>
      </c>
    </row>
    <row r="421" spans="1:7" x14ac:dyDescent="0.25">
      <c r="A421" s="6"/>
      <c r="B421" s="2">
        <f>+B420+B418+B416+B414+B412+B410+B408+B406+B404+B402+B400+B398</f>
        <v>633866406</v>
      </c>
      <c r="C421" s="2">
        <f>+C420+C418+C416+C414+C412+C410+C408+C406+C404+C402+C400+C398</f>
        <v>605506829</v>
      </c>
      <c r="D421" s="2">
        <f>+D420+D418+D416+D414+D412+D410+D408+D406+D404+D402+D400+D398</f>
        <v>657913</v>
      </c>
      <c r="E421" s="2">
        <f t="shared" si="33"/>
        <v>27701664</v>
      </c>
      <c r="G421" s="7">
        <f>E421/B421</f>
        <v>4.3702685199568693E-2</v>
      </c>
    </row>
    <row r="422" spans="1:7" x14ac:dyDescent="0.25">
      <c r="A422" s="6">
        <v>42094</v>
      </c>
      <c r="B422" s="2">
        <f>76916767-21117568</f>
        <v>55799199</v>
      </c>
      <c r="C422" s="2">
        <f>80821470-5165820-21117568</f>
        <v>54538082</v>
      </c>
      <c r="D422" s="2">
        <v>73517</v>
      </c>
      <c r="E422" s="2">
        <f t="shared" ref="E422:E423" si="34">B422-C422-D422</f>
        <v>1187600</v>
      </c>
      <c r="F422" s="7">
        <f>E422/B422</f>
        <v>2.1283459642494153E-2</v>
      </c>
    </row>
    <row r="423" spans="1:7" x14ac:dyDescent="0.25">
      <c r="A423" s="6"/>
      <c r="B423" s="2">
        <f>+B422+B420+B418+B416+B414+B412+B410+B408+B406+B404+B402+B400</f>
        <v>630263387</v>
      </c>
      <c r="C423" s="2">
        <f>+C422+C420+C418+C416+C414+C412+C410+C408+C406+C404+C402+C400</f>
        <v>605249988</v>
      </c>
      <c r="D423" s="2">
        <f>+D422+D420+D418+D416+D414+D412+D410+D408+D406+D404+D402+D400</f>
        <v>647830</v>
      </c>
      <c r="E423" s="2">
        <f t="shared" si="34"/>
        <v>24365569</v>
      </c>
      <c r="G423" s="7">
        <f>E423/B423</f>
        <v>3.8659343859363357E-2</v>
      </c>
    </row>
    <row r="424" spans="1:7" x14ac:dyDescent="0.25">
      <c r="A424" s="6">
        <v>42124</v>
      </c>
      <c r="B424" s="2">
        <f>62517217-19350219</f>
        <v>43166998</v>
      </c>
      <c r="C424" s="2">
        <f>61956919-11084-19350219</f>
        <v>42595616</v>
      </c>
      <c r="D424" s="2">
        <v>30035</v>
      </c>
      <c r="E424" s="2">
        <f t="shared" ref="E424:E425" si="35">B424-C424-D424</f>
        <v>541347</v>
      </c>
      <c r="F424" s="7">
        <f>E424/B424</f>
        <v>1.2540760884043871E-2</v>
      </c>
    </row>
    <row r="425" spans="1:7" x14ac:dyDescent="0.25">
      <c r="A425" s="6"/>
      <c r="B425" s="2">
        <f>+B424+B422+B420+B418+B416+B414+B412+B410+B408+B406+B404+B402</f>
        <v>629880349</v>
      </c>
      <c r="C425" s="2">
        <f>+C424+C422+C420+C418+C416+C414+C412+C410+C408+C406+C404+C402</f>
        <v>604085804</v>
      </c>
      <c r="D425" s="2">
        <f>+D424+D422+D420+D418+D416+D414+D412+D410+D408+D406+D404+D402</f>
        <v>644183</v>
      </c>
      <c r="E425" s="2">
        <f t="shared" si="35"/>
        <v>25150362</v>
      </c>
      <c r="G425" s="7">
        <f>E425/B425</f>
        <v>3.9928792888885629E-2</v>
      </c>
    </row>
    <row r="426" spans="1:7" x14ac:dyDescent="0.25">
      <c r="A426" s="6">
        <v>42155</v>
      </c>
      <c r="B426" s="2">
        <f>63529090-18696900</f>
        <v>44832190</v>
      </c>
      <c r="C426" s="2">
        <f>60956319-9749-18696900</f>
        <v>42249670</v>
      </c>
      <c r="D426" s="2">
        <v>25691</v>
      </c>
      <c r="E426" s="2">
        <f t="shared" ref="E426:E427" si="36">B426-C426-D426</f>
        <v>2556829</v>
      </c>
      <c r="F426" s="7">
        <f>E426/B426</f>
        <v>5.7031097521669141E-2</v>
      </c>
    </row>
    <row r="427" spans="1:7" x14ac:dyDescent="0.25">
      <c r="A427" s="6"/>
      <c r="B427" s="2">
        <f>+B426+B424+B422+B420+B418+B416+B414+B412+B410+B408+B406+B404</f>
        <v>629647551</v>
      </c>
      <c r="C427" s="2">
        <f>+C426+C424+C422+C420+C418+C416+C414+C412+C410+C408+C406+C404</f>
        <v>602741532</v>
      </c>
      <c r="D427" s="2">
        <f>+D426+D424+D422+D420+D418+D416+D414+D412+D410+D408+D406+D404</f>
        <v>641419</v>
      </c>
      <c r="E427" s="2">
        <f t="shared" si="36"/>
        <v>26264600</v>
      </c>
      <c r="G427" s="7">
        <f>E427/B427</f>
        <v>4.1713177408991463E-2</v>
      </c>
    </row>
    <row r="428" spans="1:7" x14ac:dyDescent="0.25">
      <c r="A428" s="6">
        <v>42185</v>
      </c>
      <c r="B428" s="2">
        <f>66790132-20336626</f>
        <v>46453506</v>
      </c>
      <c r="C428" s="2">
        <f>66263682-14476-20336626</f>
        <v>45912580</v>
      </c>
      <c r="D428" s="2">
        <v>27460</v>
      </c>
      <c r="E428" s="2">
        <f t="shared" ref="E428:E429" si="37">B428-C428-D428</f>
        <v>513466</v>
      </c>
      <c r="F428" s="7">
        <f>E428/B428</f>
        <v>1.1053331475131285E-2</v>
      </c>
    </row>
    <row r="429" spans="1:7" x14ac:dyDescent="0.25">
      <c r="A429" s="6"/>
      <c r="B429" s="2">
        <f>+B428+B426+B424+B422+B420+B418+B416+B414+B412+B410+B408+B406</f>
        <v>627816502</v>
      </c>
      <c r="C429" s="2">
        <f>+C428+C426+C424+C422+C420+C418+C416+C414+C412+C410+C408+C406</f>
        <v>603246202</v>
      </c>
      <c r="D429" s="2">
        <f>+D428+D426+D424+D422+D420+D418+D416+D414+D412+D410+D408+D406</f>
        <v>641493</v>
      </c>
      <c r="E429" s="2">
        <f t="shared" si="37"/>
        <v>23928807</v>
      </c>
      <c r="G429" s="7">
        <f>E429/B429</f>
        <v>3.8114332649382958E-2</v>
      </c>
    </row>
    <row r="430" spans="1:7" x14ac:dyDescent="0.25">
      <c r="A430" s="6">
        <v>42216</v>
      </c>
      <c r="B430" s="2">
        <v>49329615</v>
      </c>
      <c r="C430" s="2">
        <v>45430056</v>
      </c>
      <c r="D430" s="2">
        <v>29420</v>
      </c>
      <c r="E430" s="2">
        <f t="shared" ref="E430:E432" si="38">B430-C430-D430</f>
        <v>3870139</v>
      </c>
      <c r="F430" s="7">
        <f>E430/B430</f>
        <v>7.8454676769725451E-2</v>
      </c>
    </row>
    <row r="431" spans="1:7" x14ac:dyDescent="0.25">
      <c r="A431" s="6"/>
      <c r="B431" s="2">
        <f>+B430+B428+B426+B424+B422+B420+B418+B416+B414+B412+B410+B408</f>
        <v>627089889</v>
      </c>
      <c r="C431" s="2">
        <f>+C430+C428+C426+C424+C422+C420+C418+C416+C414+C412+C410+C408</f>
        <v>599985196</v>
      </c>
      <c r="D431" s="2">
        <f>+D430+D428+D426+D424+D422+D420+D418+D416+D414+D412+D410+D408</f>
        <v>643328</v>
      </c>
      <c r="E431" s="2">
        <f t="shared" si="38"/>
        <v>26461365</v>
      </c>
      <c r="G431" s="7">
        <f>E431/B431</f>
        <v>4.2197084443822058E-2</v>
      </c>
    </row>
    <row r="432" spans="1:7" x14ac:dyDescent="0.25">
      <c r="A432" s="6">
        <v>42247</v>
      </c>
      <c r="B432" s="2">
        <v>49158995</v>
      </c>
      <c r="C432" s="2">
        <v>48597346</v>
      </c>
      <c r="D432" s="2">
        <v>27697</v>
      </c>
      <c r="E432" s="2">
        <f t="shared" si="38"/>
        <v>533952</v>
      </c>
      <c r="F432" s="7">
        <f>E432/B432</f>
        <v>1.086173547689492E-2</v>
      </c>
    </row>
    <row r="433" spans="1:7" x14ac:dyDescent="0.25">
      <c r="A433" s="6"/>
      <c r="B433" s="2">
        <f>+B432+B430+B428+B426+B424+B422+B420+B418+B416+B414+B412+B410</f>
        <v>625891125</v>
      </c>
      <c r="C433" s="2">
        <f>+C432+C430+C428+C426+C424+C422+C420+C418+C416+C414+C412+C410</f>
        <v>601322046</v>
      </c>
      <c r="D433" s="2">
        <f>+D432+D430+D428+D426+D424+D422+D420+D418+D416+D414+D412+D410</f>
        <v>643431</v>
      </c>
      <c r="E433" s="2">
        <f t="shared" ref="E433:E434" si="39">B433-C433-D433</f>
        <v>23925648</v>
      </c>
      <c r="G433" s="7">
        <f>E433/B433</f>
        <v>3.8226533408665928E-2</v>
      </c>
    </row>
    <row r="434" spans="1:7" x14ac:dyDescent="0.25">
      <c r="A434" s="6">
        <v>42277</v>
      </c>
      <c r="B434" s="2">
        <f>64206023-18949859</f>
        <v>45256164</v>
      </c>
      <c r="C434" s="2">
        <f>64941075-13016-18949859</f>
        <v>45978200</v>
      </c>
      <c r="D434" s="2">
        <v>25051</v>
      </c>
      <c r="E434" s="2">
        <f t="shared" si="39"/>
        <v>-747087</v>
      </c>
      <c r="F434" s="7">
        <f>E434/B434</f>
        <v>-1.6507961213858072E-2</v>
      </c>
    </row>
    <row r="435" spans="1:7" x14ac:dyDescent="0.25">
      <c r="A435" s="6"/>
      <c r="B435" s="2">
        <f>+B434+B432+B430+B428+B426+B424+B422+B420+B418+B416+B414+B412</f>
        <v>628295277</v>
      </c>
      <c r="C435" s="2">
        <f>+C434+C432+C430+C428+C426+C424+C422+C420+C418+C416+C414+C412</f>
        <v>604266733</v>
      </c>
      <c r="D435" s="2">
        <f>+D434+D432+D430+D428+D426+D424+D422+D420+D418+D416+D414+D412</f>
        <v>643885</v>
      </c>
      <c r="E435" s="2">
        <f t="shared" ref="E435:E436" si="40">B435-C435-D435</f>
        <v>23384659</v>
      </c>
      <c r="G435" s="7">
        <f>E435/B435</f>
        <v>3.721921818616504E-2</v>
      </c>
    </row>
    <row r="436" spans="1:7" x14ac:dyDescent="0.25">
      <c r="A436" s="6">
        <v>42308</v>
      </c>
      <c r="B436" s="2">
        <f>62685261-17598187</f>
        <v>45087074</v>
      </c>
      <c r="C436" s="2">
        <f>60672367-12738-17598187</f>
        <v>43061442</v>
      </c>
      <c r="D436" s="2">
        <v>25507</v>
      </c>
      <c r="E436" s="2">
        <f t="shared" si="40"/>
        <v>2000125</v>
      </c>
      <c r="F436" s="7">
        <f>E436/B436</f>
        <v>4.436138393012596E-2</v>
      </c>
    </row>
    <row r="437" spans="1:7" x14ac:dyDescent="0.25">
      <c r="A437" s="6"/>
      <c r="B437" s="2">
        <f>+B436+B434+B432+B430+B428+B426+B424+B422+B420+B418+B416+B414</f>
        <v>628649474</v>
      </c>
      <c r="C437" s="2">
        <f>+C436+C434+C432+C430+C428+C426+C424+C422+C420+C418+C416+C414</f>
        <v>604895725</v>
      </c>
      <c r="D437" s="2">
        <f>+D436+D434+D432+D430+D428+D426+D424+D422+D420+D418+D416+D414</f>
        <v>639071</v>
      </c>
      <c r="E437" s="2">
        <f t="shared" ref="E437:E438" si="41">B437-C437-D437</f>
        <v>23114678</v>
      </c>
      <c r="G437" s="7">
        <f>E437/B437</f>
        <v>3.6768786034170768E-2</v>
      </c>
    </row>
    <row r="438" spans="1:7" x14ac:dyDescent="0.25">
      <c r="A438" s="6">
        <v>42338</v>
      </c>
      <c r="B438" s="2">
        <f>64912493-17124386</f>
        <v>47788107</v>
      </c>
      <c r="C438" s="2">
        <f>62010737-83756-17124386</f>
        <v>44802595</v>
      </c>
      <c r="D438" s="2">
        <v>40497</v>
      </c>
      <c r="E438" s="2">
        <f t="shared" si="41"/>
        <v>2945015</v>
      </c>
      <c r="F438" s="7">
        <f>E438/B438</f>
        <v>6.1626525612324422E-2</v>
      </c>
    </row>
    <row r="439" spans="1:7" x14ac:dyDescent="0.25">
      <c r="A439" s="6"/>
      <c r="B439" s="2">
        <f>+B438+B436+B434+B432+B430+B428+B426+B424+B422+B420+B418+B416</f>
        <v>620926621</v>
      </c>
      <c r="C439" s="2">
        <f>+C438+C436+C434+C432+C430+C428+C426+C424+C422+C420+C418+C416</f>
        <v>598677989</v>
      </c>
      <c r="D439" s="2">
        <f>+D438+D436+D434+D432+D430+D428+D426+D424+D422+D420+D418+D416</f>
        <v>609008</v>
      </c>
      <c r="E439" s="2">
        <f t="shared" ref="E439:E440" si="42">B439-C439-D439</f>
        <v>21639624</v>
      </c>
      <c r="G439" s="7">
        <f>E439/B439</f>
        <v>3.4850533490011215E-2</v>
      </c>
    </row>
    <row r="440" spans="1:7" x14ac:dyDescent="0.25">
      <c r="A440" s="6">
        <v>42369</v>
      </c>
      <c r="B440" s="2">
        <f>66941917-16927550</f>
        <v>50014367</v>
      </c>
      <c r="C440" s="2">
        <f>77244535-14778142-16927550</f>
        <v>45538843</v>
      </c>
      <c r="D440" s="2">
        <v>49350</v>
      </c>
      <c r="E440" s="2">
        <f t="shared" si="42"/>
        <v>4426174</v>
      </c>
      <c r="F440" s="7">
        <f>E440/B440</f>
        <v>8.849805097003427E-2</v>
      </c>
    </row>
    <row r="441" spans="1:7" x14ac:dyDescent="0.25">
      <c r="A441" s="6"/>
      <c r="B441" s="2">
        <f>+B440+B438+B436+B434+B432+B430+B428+B426+B424+B422+B420+B418</f>
        <v>613003656</v>
      </c>
      <c r="C441" s="2">
        <f>+C440+C438+C436+C434+C432+C430+C428+C426+C424+C422+C420+C418</f>
        <v>589380085</v>
      </c>
      <c r="D441" s="2">
        <f>+D440+D438+D436+D434+D432+D430+D428+D426+D424+D422+D420+D418</f>
        <v>577477</v>
      </c>
      <c r="E441" s="2">
        <f t="shared" ref="E441:E442" si="43">B441-C441-D441</f>
        <v>23046094</v>
      </c>
      <c r="G441" s="7">
        <f>E441/B441</f>
        <v>3.7595361421465974E-2</v>
      </c>
    </row>
    <row r="442" spans="1:7" x14ac:dyDescent="0.25">
      <c r="A442" s="6">
        <v>42400</v>
      </c>
      <c r="B442" s="2">
        <f>82334102-16377605</f>
        <v>65956497</v>
      </c>
      <c r="C442" s="2">
        <f>96663271-15260736-16377605</f>
        <v>65024930</v>
      </c>
      <c r="D442" s="2">
        <v>99559</v>
      </c>
      <c r="E442" s="2">
        <f t="shared" si="43"/>
        <v>832008</v>
      </c>
      <c r="F442" s="7">
        <f>E442/B442</f>
        <v>1.2614496491528349E-2</v>
      </c>
    </row>
    <row r="443" spans="1:7" x14ac:dyDescent="0.25">
      <c r="A443" s="6"/>
      <c r="B443" s="2">
        <f>+B442+B440+B438+B436+B434+B432+B430+B428+B426+B424+B422+B420</f>
        <v>610314542</v>
      </c>
      <c r="C443" s="2">
        <f>+C442+C440+C438+C436+C434+C432+C430+C428+C426+C424+C422+C420</f>
        <v>588887885</v>
      </c>
      <c r="D443" s="2">
        <f>+D442+D440+D438+D436+D434+D432+D430+D428+D426+D424+D422+D420</f>
        <v>568233</v>
      </c>
      <c r="E443" s="2">
        <f t="shared" ref="E443:E444" si="44">B443-C443-D443</f>
        <v>20858424</v>
      </c>
      <c r="G443" s="7">
        <f>E443/B443</f>
        <v>3.4176514837164079E-2</v>
      </c>
    </row>
    <row r="444" spans="1:7" x14ac:dyDescent="0.25">
      <c r="A444" s="6">
        <v>42429</v>
      </c>
      <c r="B444" s="2">
        <f>75246629-16355318</f>
        <v>58891311</v>
      </c>
      <c r="C444" s="2">
        <f>87610011-13882645-16355318</f>
        <v>57372048</v>
      </c>
      <c r="D444" s="2">
        <v>82659</v>
      </c>
      <c r="E444" s="2">
        <f t="shared" si="44"/>
        <v>1436604</v>
      </c>
      <c r="F444" s="7">
        <f>E444/B444</f>
        <v>2.4394158927791572E-2</v>
      </c>
    </row>
    <row r="445" spans="1:7" x14ac:dyDescent="0.25">
      <c r="A445" s="6"/>
      <c r="B445" s="2">
        <f>+B444+B442+B440+B438+B436+B434+B432+B430+B428+B426+B424+B422</f>
        <v>601734023</v>
      </c>
      <c r="C445" s="2">
        <f>+C444+C442+C440+C438+C436+C434+C432+C430+C428+C426+C424+C422</f>
        <v>581101408</v>
      </c>
      <c r="D445" s="2">
        <f>+D444+D442+D440+D438+D436+D434+D432+D430+D428+D426+D424+D422</f>
        <v>536443</v>
      </c>
      <c r="E445" s="2">
        <f t="shared" ref="E445:E446" si="45">B445-C445-D445</f>
        <v>20096172</v>
      </c>
      <c r="G445" s="7">
        <f>E445/B445</f>
        <v>3.3397101097605714E-2</v>
      </c>
    </row>
    <row r="446" spans="1:7" x14ac:dyDescent="0.25">
      <c r="A446" s="6">
        <v>42460</v>
      </c>
      <c r="B446" s="2">
        <f>67718571-20764006-6780400+2818956</f>
        <v>42993121</v>
      </c>
      <c r="C446" s="2">
        <f>78217135-11943029-20764006-6738000+2818956</f>
        <v>41591056</v>
      </c>
      <c r="D446" s="2">
        <v>32535</v>
      </c>
      <c r="E446" s="2">
        <f t="shared" si="45"/>
        <v>1369530</v>
      </c>
      <c r="F446" s="7">
        <f>E446/B446</f>
        <v>3.1854630883856976E-2</v>
      </c>
    </row>
    <row r="447" spans="1:7" x14ac:dyDescent="0.25">
      <c r="A447" s="6"/>
      <c r="B447" s="2">
        <f>+B446+B444+B442+B440+B438+B436+B434+B432+B430+B428+B426+B424</f>
        <v>588927945</v>
      </c>
      <c r="C447" s="2">
        <f>+C446+C444+C442+C440+C438+C436+C434+C432+C430+C428+C426+C424</f>
        <v>568154382</v>
      </c>
      <c r="D447" s="2">
        <f>+D446+D444+D442+D440+D438+D436+D434+D432+D430+D428+D426+D424</f>
        <v>495461</v>
      </c>
      <c r="E447" s="2">
        <f t="shared" ref="E447:E448" si="46">B447-C447-D447</f>
        <v>20278102</v>
      </c>
      <c r="G447" s="7">
        <f>E447/B447</f>
        <v>3.4432229226276569E-2</v>
      </c>
    </row>
    <row r="448" spans="1:7" x14ac:dyDescent="0.25">
      <c r="A448" s="6">
        <v>42490</v>
      </c>
      <c r="B448" s="2">
        <f>62368943-19673088-6780400+1795991</f>
        <v>37711446</v>
      </c>
      <c r="C448" s="2">
        <f>75105766-14863155-19673088-6637600+1795991</f>
        <v>35727914</v>
      </c>
      <c r="D448" s="2">
        <v>55727</v>
      </c>
      <c r="E448" s="2">
        <f t="shared" si="46"/>
        <v>1927805</v>
      </c>
      <c r="F448" s="7">
        <f>E448/B448</f>
        <v>5.1119890762077909E-2</v>
      </c>
    </row>
    <row r="449" spans="1:7" x14ac:dyDescent="0.25">
      <c r="A449" s="6"/>
      <c r="B449" s="2">
        <f>+B448+B446+B444+B442+B440+B438+B436+B434+B432+B430+B428+B426</f>
        <v>583472393</v>
      </c>
      <c r="C449" s="2">
        <f>+C448+C446+C444+C442+C440+C438+C436+C434+C432+C430+C428+C426</f>
        <v>561286680</v>
      </c>
      <c r="D449" s="2">
        <f>+D448+D446+D444+D442+D440+D438+D436+D434+D432+D430+D428+D426</f>
        <v>521153</v>
      </c>
      <c r="E449" s="2">
        <f t="shared" ref="E449:E450" si="47">B449-C449-D449</f>
        <v>21664560</v>
      </c>
      <c r="G449" s="7">
        <f>E449/B449</f>
        <v>3.713039427385556E-2</v>
      </c>
    </row>
    <row r="450" spans="1:7" x14ac:dyDescent="0.25">
      <c r="A450" s="6">
        <v>42521</v>
      </c>
      <c r="B450" s="2">
        <f>61153363-19105542-6780400+3053635</f>
        <v>38321056</v>
      </c>
      <c r="C450" s="2">
        <f>75338681-15789315-19105542-6611200+3053635</f>
        <v>36886259</v>
      </c>
      <c r="D450" s="2">
        <v>24452</v>
      </c>
      <c r="E450" s="2">
        <f t="shared" si="47"/>
        <v>1410345</v>
      </c>
      <c r="F450" s="7">
        <f>E450/B450</f>
        <v>3.6803396023324615E-2</v>
      </c>
    </row>
    <row r="451" spans="1:7" x14ac:dyDescent="0.25">
      <c r="A451" s="6"/>
      <c r="B451" s="2">
        <f>+B450+B448+B446+B444+B442+B440+B438+B436+B434+B432+B430+B428</f>
        <v>576961259</v>
      </c>
      <c r="C451" s="2">
        <f>+C450+C448+C446+C444+C442+C440+C438+C436+C434+C432+C430+C428</f>
        <v>555923269</v>
      </c>
      <c r="D451" s="2">
        <f>+D450+D448+D446+D444+D442+D440+D438+D436+D434+D432+D430+D428</f>
        <v>519914</v>
      </c>
      <c r="E451" s="2">
        <f t="shared" ref="E451:E452" si="48">B451-C451-D451</f>
        <v>20518076</v>
      </c>
      <c r="G451" s="7">
        <f>E451/B451</f>
        <v>3.5562311472285522E-2</v>
      </c>
    </row>
    <row r="452" spans="1:7" x14ac:dyDescent="0.25">
      <c r="A452" s="6">
        <v>42551</v>
      </c>
      <c r="B452" s="2">
        <f>67952397-19077706</f>
        <v>48874691</v>
      </c>
      <c r="C452" s="2">
        <f>77558876-10025563-19077706</f>
        <v>48455607</v>
      </c>
      <c r="D452" s="2">
        <v>27830</v>
      </c>
      <c r="E452" s="2">
        <f t="shared" si="48"/>
        <v>391254</v>
      </c>
      <c r="F452" s="7">
        <f>E452/B452</f>
        <v>8.0052475421276831E-3</v>
      </c>
    </row>
    <row r="453" spans="1:7" x14ac:dyDescent="0.25">
      <c r="A453" s="6"/>
      <c r="B453" s="2">
        <f>+B452+B450+B448+B446+B444+B442+B440+B438+B436+B434+B432+B430</f>
        <v>579382444</v>
      </c>
      <c r="C453" s="2">
        <f>+C452+C450+C448+C446+C444+C442+C440+C438+C436+C434+C432+C430</f>
        <v>558466296</v>
      </c>
      <c r="D453" s="2">
        <f>+D452+D450+D448+D446+D444+D442+D440+D438+D436+D434+D432+D430</f>
        <v>520284</v>
      </c>
      <c r="E453" s="2">
        <f t="shared" ref="E453:E454" si="49">B453-C453-D453</f>
        <v>20395864</v>
      </c>
      <c r="G453" s="7">
        <f>E453/B453</f>
        <v>3.5202764963309797E-2</v>
      </c>
    </row>
    <row r="454" spans="1:7" x14ac:dyDescent="0.25">
      <c r="A454" s="6">
        <v>42582</v>
      </c>
      <c r="B454" s="2">
        <f>71647933-17879601</f>
        <v>53768332</v>
      </c>
      <c r="C454" s="2">
        <f>78529896-10749751-17879601</f>
        <v>49900544</v>
      </c>
      <c r="D454" s="2">
        <v>31276</v>
      </c>
      <c r="E454" s="2">
        <f t="shared" si="49"/>
        <v>3836512</v>
      </c>
      <c r="F454" s="7">
        <f>E454/B454</f>
        <v>7.135263188004419E-2</v>
      </c>
    </row>
    <row r="455" spans="1:7" x14ac:dyDescent="0.25">
      <c r="A455" s="6"/>
      <c r="B455" s="2">
        <f>+B454+B452+B450+B448+B446+B444+B442+B440+B438+B436+B434+B432</f>
        <v>583821161</v>
      </c>
      <c r="C455" s="2">
        <f>+C454+C452+C450+C448+C446+C444+C442+C440+C438+C436+C434+C432</f>
        <v>562936784</v>
      </c>
      <c r="D455" s="2">
        <f>+D454+D452+D450+D448+D446+D444+D442+D440+D438+D436+D434+D432</f>
        <v>522140</v>
      </c>
      <c r="E455" s="2">
        <f t="shared" ref="E455:E456" si="50">B455-C455-D455</f>
        <v>20362237</v>
      </c>
      <c r="G455" s="7">
        <f>E455/B455</f>
        <v>3.4877524763101214E-2</v>
      </c>
    </row>
    <row r="456" spans="1:7" x14ac:dyDescent="0.25">
      <c r="A456" s="6">
        <v>42613</v>
      </c>
      <c r="B456" s="2">
        <f>75995740-18772463</f>
        <v>57223277</v>
      </c>
      <c r="C456" s="2">
        <f>86694756-12564243-18772463</f>
        <v>55358050</v>
      </c>
      <c r="D456" s="2">
        <v>31912</v>
      </c>
      <c r="E456" s="2">
        <f t="shared" si="50"/>
        <v>1833315</v>
      </c>
      <c r="F456" s="7">
        <f>E456/B456</f>
        <v>3.203792400774251E-2</v>
      </c>
    </row>
    <row r="457" spans="1:7" x14ac:dyDescent="0.25">
      <c r="A457" s="6"/>
      <c r="B457" s="2">
        <f>+B456+B454+B452+B450+B448+B446+B444+B442+B440+B438+B436+B434</f>
        <v>591885443</v>
      </c>
      <c r="C457" s="2">
        <f>+C456+C454+C452+C450+C448+C446+C444+C442+C440+C438+C436+C434</f>
        <v>569697488</v>
      </c>
      <c r="D457" s="2">
        <f>+D456+D454+D452+D450+D448+D446+D444+D442+D440+D438+D436+D434</f>
        <v>526355</v>
      </c>
      <c r="E457" s="2">
        <f t="shared" ref="E457:E458" si="51">B457-C457-D457</f>
        <v>21661600</v>
      </c>
      <c r="G457" s="7">
        <f>E457/B457</f>
        <v>3.659762248959382E-2</v>
      </c>
    </row>
    <row r="458" spans="1:7" x14ac:dyDescent="0.25">
      <c r="A458" s="6">
        <v>42643</v>
      </c>
      <c r="B458" s="2">
        <f>68056124-18966552</f>
        <v>49089572</v>
      </c>
      <c r="C458" s="2">
        <f>77926525-10555793-18966552</f>
        <v>48404180</v>
      </c>
      <c r="D458" s="2">
        <v>26997</v>
      </c>
      <c r="E458" s="2">
        <f t="shared" si="51"/>
        <v>658395</v>
      </c>
      <c r="F458" s="7">
        <f>E458/B458</f>
        <v>1.3412115306281343E-2</v>
      </c>
    </row>
    <row r="459" spans="1:7" x14ac:dyDescent="0.25">
      <c r="A459" s="6"/>
      <c r="B459" s="2">
        <f>+B458+B456+B454+B452+B450+B448+B446+B444+B442+B440+B438+B436</f>
        <v>595718851</v>
      </c>
      <c r="C459" s="2">
        <f>+C458+C456+C454+C452+C450+C448+C446+C444+C442+C440+C438+C436</f>
        <v>572123468</v>
      </c>
      <c r="D459" s="2">
        <f>+D458+D456+D454+D452+D450+D448+D446+D444+D442+D440+D438+D436</f>
        <v>528301</v>
      </c>
      <c r="E459" s="2">
        <f t="shared" ref="E459:E460" si="52">B459-C459-D459</f>
        <v>23067082</v>
      </c>
      <c r="G459" s="7">
        <f>E459/B459</f>
        <v>3.8721423640159409E-2</v>
      </c>
    </row>
    <row r="460" spans="1:7" x14ac:dyDescent="0.25">
      <c r="A460" s="6">
        <v>42674</v>
      </c>
      <c r="B460" s="2">
        <f>65345818-20496560</f>
        <v>44849258</v>
      </c>
      <c r="C460" s="2">
        <f>74358019-10990675-20496560</f>
        <v>42870784</v>
      </c>
      <c r="D460" s="2">
        <v>25542</v>
      </c>
      <c r="E460" s="2">
        <f t="shared" si="52"/>
        <v>1952932</v>
      </c>
      <c r="F460" s="7">
        <f>E460/B460</f>
        <v>4.3544354736035989E-2</v>
      </c>
    </row>
    <row r="461" spans="1:7" x14ac:dyDescent="0.25">
      <c r="A461" s="6"/>
      <c r="B461" s="2">
        <f>+B460+B458+B456+B454+B452+B450+B448+B446+B444+B442+B440+B438</f>
        <v>595481035</v>
      </c>
      <c r="C461" s="2">
        <f>+C460+C458+C456+C454+C452+C450+C448+C446+C444+C442+C440+C438</f>
        <v>571932810</v>
      </c>
      <c r="D461" s="2">
        <f>+D460+D458+D456+D454+D452+D450+D448+D446+D444+D442+D440+D438</f>
        <v>528336</v>
      </c>
      <c r="E461" s="2">
        <f t="shared" ref="E461:E462" si="53">B461-C461-D461</f>
        <v>23019889</v>
      </c>
      <c r="G461" s="7">
        <f>E461/B461</f>
        <v>3.8657635838897877E-2</v>
      </c>
    </row>
    <row r="462" spans="1:7" x14ac:dyDescent="0.25">
      <c r="A462" s="6">
        <v>42704</v>
      </c>
      <c r="B462" s="2">
        <f>68398300-18162487</f>
        <v>50235813</v>
      </c>
      <c r="C462" s="2">
        <f>79125942-13078065-18162487</f>
        <v>47885390</v>
      </c>
      <c r="D462" s="2">
        <v>46769</v>
      </c>
      <c r="E462" s="2">
        <f t="shared" si="53"/>
        <v>2303654</v>
      </c>
      <c r="F462" s="7">
        <f>E462/B462</f>
        <v>4.5856807373655918E-2</v>
      </c>
    </row>
    <row r="463" spans="1:7" x14ac:dyDescent="0.25">
      <c r="A463" s="6"/>
      <c r="B463" s="2">
        <f>+B462+B460+B458+B456+B454+B452+B450+B448+B446+B444+B442+B440</f>
        <v>597928741</v>
      </c>
      <c r="C463" s="2">
        <f>+C462+C460+C458+C456+C454+C452+C450+C448+C446+C444+C442+C440</f>
        <v>575015605</v>
      </c>
      <c r="D463" s="2">
        <f>+D462+D460+D458+D456+D454+D452+D450+D448+D446+D444+D442+D440</f>
        <v>534608</v>
      </c>
      <c r="E463" s="2">
        <f t="shared" ref="E463:E464" si="54">B463-C463-D463</f>
        <v>22378528</v>
      </c>
      <c r="G463" s="7">
        <f>E463/B463</f>
        <v>3.7426747479261911E-2</v>
      </c>
    </row>
    <row r="464" spans="1:7" x14ac:dyDescent="0.25">
      <c r="A464" s="6">
        <v>42735</v>
      </c>
      <c r="B464" s="2">
        <f>83232245-21358726</f>
        <v>61873519</v>
      </c>
      <c r="C464" s="2">
        <f>94984978-15182190-21358726</f>
        <v>58444062</v>
      </c>
      <c r="D464" s="2">
        <v>81473</v>
      </c>
      <c r="E464" s="2">
        <f t="shared" si="54"/>
        <v>3347984</v>
      </c>
      <c r="F464" s="7">
        <f>E464/B464</f>
        <v>5.4110127468263117E-2</v>
      </c>
    </row>
    <row r="465" spans="1:7" x14ac:dyDescent="0.25">
      <c r="A465" s="6"/>
      <c r="B465" s="2">
        <f>+B464+B462+B460+B458+B456+B454+B452+B450+B448+B446+B444+B442</f>
        <v>609787893</v>
      </c>
      <c r="C465" s="2">
        <f>+C464+C462+C460+C458+C456+C454+C452+C450+C448+C446+C444+C442</f>
        <v>587920824</v>
      </c>
      <c r="D465" s="2">
        <f>+D464+D462+D460+D458+D456+D454+D452+D450+D448+D446+D444+D442</f>
        <v>566731</v>
      </c>
      <c r="E465" s="2">
        <f t="shared" ref="E465:E466" si="55">B465-C465-D465</f>
        <v>21300338</v>
      </c>
      <c r="G465" s="7">
        <f>E465/B465</f>
        <v>3.4930732873701055E-2</v>
      </c>
    </row>
    <row r="466" spans="1:7" x14ac:dyDescent="0.25">
      <c r="A466" s="6">
        <v>42766</v>
      </c>
      <c r="B466" s="2">
        <f>78570006-20349972</f>
        <v>58220034</v>
      </c>
      <c r="C466" s="2">
        <f>90759217-15343620-20349972</f>
        <v>55065625</v>
      </c>
      <c r="D466" s="2">
        <v>79203</v>
      </c>
      <c r="E466" s="2">
        <f t="shared" si="55"/>
        <v>3075206</v>
      </c>
      <c r="F466" s="7">
        <f>E466/B466</f>
        <v>5.2820408864756072E-2</v>
      </c>
    </row>
    <row r="467" spans="1:7" x14ac:dyDescent="0.25">
      <c r="A467" s="6"/>
      <c r="B467" s="2">
        <f>+B466+B464+B462+B460+B458+B456+B454+B452+B450+B448+B446+B444</f>
        <v>602051430</v>
      </c>
      <c r="C467" s="2">
        <f>+C466+C464+C462+C460+C458+C456+C454+C452+C450+C448+C446+C444</f>
        <v>577961519</v>
      </c>
      <c r="D467" s="2">
        <f>+D466+D464+D462+D460+D458+D456+D454+D452+D450+D448+D446+D444</f>
        <v>546375</v>
      </c>
      <c r="E467" s="2">
        <f t="shared" ref="E467:E468" si="56">B467-C467-D467</f>
        <v>23543536</v>
      </c>
      <c r="G467" s="7">
        <f>E467/B467</f>
        <v>3.9105522928497984E-2</v>
      </c>
    </row>
    <row r="468" spans="1:7" x14ac:dyDescent="0.25">
      <c r="A468" s="6">
        <v>42794</v>
      </c>
      <c r="B468" s="2">
        <f>65722944-18520105</f>
        <v>47202839</v>
      </c>
      <c r="C468" s="2">
        <f>76428620-10578714-18520105</f>
        <v>47329801</v>
      </c>
      <c r="D468" s="2">
        <v>73784</v>
      </c>
      <c r="E468" s="2">
        <f t="shared" si="56"/>
        <v>-200746</v>
      </c>
      <c r="F468" s="7">
        <f>E468/B468</f>
        <v>-4.2528374193764066E-3</v>
      </c>
    </row>
    <row r="469" spans="1:7" x14ac:dyDescent="0.25">
      <c r="A469" s="6"/>
      <c r="B469" s="2">
        <f>+B468+B466+B464+B462+B460+B458+B456+B454+B452+B450+B448+B446</f>
        <v>590362958</v>
      </c>
      <c r="C469" s="2">
        <f>+C468+C466+C464+C462+C460+C458+C456+C454+C452+C450+C448+C446</f>
        <v>567919272</v>
      </c>
      <c r="D469" s="2">
        <f>+D468+D466+D464+D462+D460+D458+D456+D454+D452+D450+D448+D446</f>
        <v>537500</v>
      </c>
      <c r="E469" s="2">
        <f t="shared" ref="E469:E470" si="57">B469-C469-D469</f>
        <v>21906186</v>
      </c>
      <c r="G469" s="7">
        <f>E469/B469</f>
        <v>3.7106301645707253E-2</v>
      </c>
    </row>
    <row r="470" spans="1:7" x14ac:dyDescent="0.25">
      <c r="A470" s="6">
        <v>42811</v>
      </c>
      <c r="B470" s="2">
        <f>75611363-21191807</f>
        <v>54419556</v>
      </c>
      <c r="C470" s="2">
        <f>88293335-21191807-15008302</f>
        <v>52093226</v>
      </c>
      <c r="D470" s="2">
        <v>51878</v>
      </c>
      <c r="E470" s="2">
        <f t="shared" si="57"/>
        <v>2274452</v>
      </c>
      <c r="F470" s="7">
        <f>E470/B470</f>
        <v>4.1794754812038523E-2</v>
      </c>
    </row>
    <row r="471" spans="1:7" x14ac:dyDescent="0.25">
      <c r="A471" s="6"/>
      <c r="B471" s="2">
        <f>+B470+B468+B466+B464+B462+B460+B458+B456+B454+B452+B450+B448</f>
        <v>601789393</v>
      </c>
      <c r="C471" s="2">
        <f>+C470+C468+C466+C464+C462+C460+C458+C456+C454+C452+C450+C448</f>
        <v>578421442</v>
      </c>
      <c r="D471" s="2">
        <f>+D470+D468+D466+D464+D462+D460+D458+D456+D454+D452+D450+D448</f>
        <v>556843</v>
      </c>
      <c r="E471" s="2">
        <f t="shared" ref="E471" si="58">B471-C471-D471</f>
        <v>22811108</v>
      </c>
      <c r="G471" s="7">
        <f>E471/B471</f>
        <v>3.7905467037701673E-2</v>
      </c>
    </row>
    <row r="472" spans="1:7" x14ac:dyDescent="0.25">
      <c r="A472" s="6">
        <v>42842</v>
      </c>
      <c r="B472" s="2">
        <f>62527834-19503826</f>
        <v>43024008</v>
      </c>
      <c r="C472" s="2">
        <f>77352617-19503826-16263083</f>
        <v>41585708</v>
      </c>
      <c r="D472" s="2">
        <v>32394</v>
      </c>
      <c r="E472" s="2">
        <f>B472-C472-D472</f>
        <v>1405906</v>
      </c>
      <c r="F472" s="7">
        <f>E472/B472</f>
        <v>3.267724383093272E-2</v>
      </c>
    </row>
    <row r="473" spans="1:7" x14ac:dyDescent="0.25">
      <c r="A473" s="6"/>
      <c r="B473" s="2">
        <f>+B472+B470+B468+B466+B464+B462+B460+B458+B456+B454+B452+B450</f>
        <v>607101955</v>
      </c>
      <c r="C473" s="2">
        <f>+C472+C470+C468+C466+C464+C462+C460+C458+C456+C454+C452+C450</f>
        <v>584279236</v>
      </c>
      <c r="D473" s="2">
        <f>+D472+D470+D468+D466+D464+D462+D460+D458+D456+D454+D452+D450</f>
        <v>533510</v>
      </c>
      <c r="E473" s="2">
        <f t="shared" ref="E473:E477" si="59">B473-C473-D473</f>
        <v>22289209</v>
      </c>
      <c r="G473" s="7">
        <f>E473/B473</f>
        <v>3.6714111717858003E-2</v>
      </c>
    </row>
    <row r="474" spans="1:7" x14ac:dyDescent="0.25">
      <c r="A474" s="6">
        <v>42885</v>
      </c>
      <c r="B474" s="2">
        <f>67042560-20543238</f>
        <v>46499322</v>
      </c>
      <c r="C474" s="2">
        <f>80859017-15875447-20543238</f>
        <v>44440332</v>
      </c>
      <c r="D474" s="2">
        <v>29908</v>
      </c>
      <c r="E474" s="2">
        <f t="shared" si="59"/>
        <v>2029082</v>
      </c>
      <c r="F474" s="7">
        <f>E474/B474</f>
        <v>4.3636808295828486E-2</v>
      </c>
    </row>
    <row r="475" spans="1:7" x14ac:dyDescent="0.25">
      <c r="A475" s="6"/>
      <c r="B475" s="2">
        <f>+B474+B472+B470+B468+B466+B464+B462+B460+B458+B456+B454+B452</f>
        <v>615280221</v>
      </c>
      <c r="C475" s="2">
        <f>+C474+C472+C470+C468+C466+C464+C462+C460+C458+C456+C454+C452</f>
        <v>591833309</v>
      </c>
      <c r="D475" s="2">
        <f>+D474+D472+D470+D468+D466+D464+D462+D460+D458+D456+D454+D452</f>
        <v>538966</v>
      </c>
      <c r="E475" s="2">
        <f t="shared" si="59"/>
        <v>22907946</v>
      </c>
      <c r="G475" s="7">
        <f>E475/B475</f>
        <v>3.7231728272961985E-2</v>
      </c>
    </row>
    <row r="476" spans="1:7" x14ac:dyDescent="0.25">
      <c r="A476" s="6">
        <v>42916</v>
      </c>
      <c r="B476" s="2">
        <f>68472387-19706474</f>
        <v>48765913</v>
      </c>
      <c r="C476" s="2">
        <f>78874484-11780934-19706474</f>
        <v>47387076</v>
      </c>
      <c r="D476" s="2">
        <v>29606</v>
      </c>
      <c r="E476" s="2">
        <f t="shared" si="59"/>
        <v>1349231</v>
      </c>
      <c r="F476" s="7">
        <f>E476/B476</f>
        <v>2.7667502093111637E-2</v>
      </c>
    </row>
    <row r="477" spans="1:7" x14ac:dyDescent="0.25">
      <c r="A477" s="6"/>
      <c r="B477" s="2">
        <f>+B476+B474+B472+B470+B468+B466+B464+B462+B460+B458+B456+B454</f>
        <v>615171443</v>
      </c>
      <c r="C477" s="2">
        <f>+C476+C474+C472+C470+C468+C466+C464+C462+C460+C458+C456+C454</f>
        <v>590764778</v>
      </c>
      <c r="D477" s="2">
        <f>+D476+D474+D472+D470+D468+D466+D464+D462+D460+D458+D456+D454</f>
        <v>540742</v>
      </c>
      <c r="E477" s="2">
        <f t="shared" si="59"/>
        <v>23865923</v>
      </c>
      <c r="G477" s="7">
        <f>E477/B477</f>
        <v>3.8795563857147379E-2</v>
      </c>
    </row>
    <row r="478" spans="1:7" x14ac:dyDescent="0.25">
      <c r="A478" s="6">
        <v>42947</v>
      </c>
      <c r="B478" s="2">
        <f>74341347-20627603</f>
        <v>53713744</v>
      </c>
      <c r="C478" s="2">
        <f>87407820-20627603-15668368</f>
        <v>51111849</v>
      </c>
      <c r="D478" s="2">
        <v>25945</v>
      </c>
      <c r="E478" s="2">
        <f t="shared" ref="E478" si="60">B478-C478-D478</f>
        <v>2575950</v>
      </c>
      <c r="F478" s="7">
        <f>E478/B478</f>
        <v>4.7956999608889675E-2</v>
      </c>
    </row>
    <row r="479" spans="1:7" x14ac:dyDescent="0.25">
      <c r="A479" s="6"/>
      <c r="B479" s="2">
        <f>+B478+B476+B474+B472+B470+B468+B466+B464+B462+B460+B458+B456</f>
        <v>615116855</v>
      </c>
      <c r="C479" s="2">
        <f>+C478+C476+C474+C472+C470+C468+C466+C464+C462+C460+C458+C456</f>
        <v>591976083</v>
      </c>
      <c r="D479" s="2">
        <f>+D478+D476+D474+D472+D470+D468+D466+D464+D462+D460+D458+D456</f>
        <v>535411</v>
      </c>
      <c r="E479" s="2">
        <f>B479-C479-D479</f>
        <v>22605361</v>
      </c>
      <c r="G479" s="7">
        <f>E479/B479</f>
        <v>3.6749701810723429E-2</v>
      </c>
    </row>
    <row r="480" spans="1:7" x14ac:dyDescent="0.25">
      <c r="A480" s="6">
        <v>42978</v>
      </c>
      <c r="B480" s="2">
        <f>71671504-19666704</f>
        <v>52004800</v>
      </c>
      <c r="C480" s="2">
        <f>81967434-19666704-11711933</f>
        <v>50588797</v>
      </c>
      <c r="D480" s="2">
        <v>27598</v>
      </c>
      <c r="E480" s="2">
        <f t="shared" ref="E480" si="61">B480-C480-D480</f>
        <v>1388405</v>
      </c>
      <c r="F480" s="7">
        <f>E480/B480</f>
        <v>2.6697631757068577E-2</v>
      </c>
    </row>
    <row r="481" spans="1:7" x14ac:dyDescent="0.25">
      <c r="A481" s="6"/>
      <c r="B481" s="2">
        <f>+B480+B478+B476+B474+B472+B470+B468+B466+B464+B462+B460+B458</f>
        <v>609898378</v>
      </c>
      <c r="C481" s="2">
        <f>+C480+C478+C476+C474+C472+C470+C468+C466+C464+C462+C460+C458</f>
        <v>587206830</v>
      </c>
      <c r="D481" s="2">
        <f>+D480+D478+D476+D474+D472+D470+D468+D466+D464+D462+D460+D458</f>
        <v>531097</v>
      </c>
      <c r="E481" s="2">
        <f>B481-C481-D481</f>
        <v>22160451</v>
      </c>
      <c r="G481" s="7">
        <f>E481/B481</f>
        <v>3.633466131303599E-2</v>
      </c>
    </row>
    <row r="482" spans="1:7" x14ac:dyDescent="0.25">
      <c r="A482" s="6">
        <v>43008</v>
      </c>
      <c r="B482" s="2">
        <f>58682217-17367369-190026</f>
        <v>41124822</v>
      </c>
      <c r="C482" s="2">
        <f>71363039-17367369-13980998</f>
        <v>40014672</v>
      </c>
      <c r="D482" s="2">
        <v>23492</v>
      </c>
      <c r="E482" s="2">
        <f t="shared" ref="E482" si="62">B482-C482-D482</f>
        <v>1086658</v>
      </c>
      <c r="F482" s="7">
        <f>E482/B482</f>
        <v>2.6423409200409427E-2</v>
      </c>
    </row>
    <row r="483" spans="1:7" x14ac:dyDescent="0.25">
      <c r="A483" s="6"/>
      <c r="B483" s="2">
        <f>+B482+B480+B478+B476+B474+B472+B470+B468+B466+B464+B462+B460</f>
        <v>601933628</v>
      </c>
      <c r="C483" s="2">
        <f>+C482+C480+C478+C476+C474+C472+C470+C468+C466+C464+C462+C460</f>
        <v>578817322</v>
      </c>
      <c r="D483" s="2">
        <f>+D482+D480+D478+D476+D474+D472+D470+D468+D466+D464+D462+D460</f>
        <v>527592</v>
      </c>
      <c r="E483" s="2">
        <f>B483-C483-D483</f>
        <v>22588714</v>
      </c>
      <c r="G483" s="7">
        <f>E483/B483</f>
        <v>3.7526918167130545E-2</v>
      </c>
    </row>
    <row r="484" spans="1:7" x14ac:dyDescent="0.25">
      <c r="A484" s="6">
        <v>43039</v>
      </c>
      <c r="B484" s="2">
        <f>63091709-18358216</f>
        <v>44733493</v>
      </c>
      <c r="C484" s="2">
        <f>75474683-18358216-15118986</f>
        <v>41997481</v>
      </c>
      <c r="D484" s="2">
        <v>27137</v>
      </c>
      <c r="E484" s="2">
        <f t="shared" ref="E484" si="63">B484-C484-D484</f>
        <v>2708875</v>
      </c>
      <c r="F484" s="7">
        <f>E484/B484</f>
        <v>6.0555856883342418E-2</v>
      </c>
    </row>
    <row r="485" spans="1:7" x14ac:dyDescent="0.25">
      <c r="A485" s="6"/>
      <c r="B485" s="2">
        <f>+B484+B482+B480+B478+B476+B474+B472+B470+B468+B466+B464+B462</f>
        <v>601817863</v>
      </c>
      <c r="C485" s="2">
        <f>+C484+C482+C480+C478+C476+C474+C472+C470+C468+C466+C464+C462</f>
        <v>577944019</v>
      </c>
      <c r="D485" s="2">
        <f>+D484+D482+D480+D478+D476+D474+D472+D470+D468+D466+D464+D462</f>
        <v>529187</v>
      </c>
      <c r="E485" s="2">
        <f>B485-C485-D485</f>
        <v>23344657</v>
      </c>
      <c r="G485" s="7">
        <f>E485/B485</f>
        <v>3.8790236108362242E-2</v>
      </c>
    </row>
    <row r="486" spans="1:7" x14ac:dyDescent="0.25">
      <c r="A486" s="6">
        <v>43069</v>
      </c>
      <c r="B486" s="2">
        <f>68240724-19218631</f>
        <v>49022093</v>
      </c>
      <c r="C486" s="2">
        <f>77619120-11224450-19218631</f>
        <v>47176039</v>
      </c>
      <c r="D486" s="2">
        <v>57830</v>
      </c>
      <c r="E486" s="2">
        <f t="shared" ref="E486" si="64">B486-C486-D486</f>
        <v>1788224</v>
      </c>
      <c r="F486" s="7">
        <f>E486/B486</f>
        <v>3.6477920271580408E-2</v>
      </c>
    </row>
    <row r="487" spans="1:7" x14ac:dyDescent="0.25">
      <c r="A487" s="6"/>
      <c r="B487" s="2">
        <f>+B486+B484+B482+B480+B478+B476+B474+B472+B470+B468+B466+B464</f>
        <v>600604143</v>
      </c>
      <c r="C487" s="2">
        <f>+C486+C484+C482+C480+C478+C476+C474+C472+C470+C468+C466+C464</f>
        <v>577234668</v>
      </c>
      <c r="D487" s="2">
        <f>+D486+D484+D482+D480+D478+D476+D474+D472+D470+D468+D466+D464</f>
        <v>540248</v>
      </c>
      <c r="E487" s="2">
        <f t="shared" ref="E487:E493" si="65">B487-C487-D487</f>
        <v>22829227</v>
      </c>
      <c r="G487" s="7">
        <f>E487/B487</f>
        <v>3.8010438765821171E-2</v>
      </c>
    </row>
    <row r="488" spans="1:7" x14ac:dyDescent="0.25">
      <c r="A488" s="6">
        <v>43100</v>
      </c>
      <c r="B488" s="2">
        <f>81637264-21316942-90042</f>
        <v>60230280</v>
      </c>
      <c r="C488" s="2">
        <f>91246745-21316942-15149169</f>
        <v>54780634</v>
      </c>
      <c r="D488" s="2">
        <v>83516</v>
      </c>
      <c r="E488" s="2">
        <f t="shared" si="65"/>
        <v>5366130</v>
      </c>
      <c r="F488" s="7">
        <f>E488/B488</f>
        <v>8.9093558920861737E-2</v>
      </c>
    </row>
    <row r="489" spans="1:7" x14ac:dyDescent="0.25">
      <c r="A489" s="6"/>
      <c r="B489" s="2">
        <f>+B488+B486+B484+B482+B480+B478+B476+B474+B472+B470+B468+B466</f>
        <v>598960904</v>
      </c>
      <c r="C489" s="2">
        <f>+C488+C486+C484+C482+C480+C478+C476+C474+C472+C470+C468+C466</f>
        <v>573571240</v>
      </c>
      <c r="D489" s="2">
        <f>+D488+D486+D484+D482+D480+D478+D476+D474+D472+D470+D468+D466</f>
        <v>542291</v>
      </c>
      <c r="E489" s="2">
        <f t="shared" si="65"/>
        <v>24847373</v>
      </c>
      <c r="G489" s="7">
        <f>E489/B489</f>
        <v>4.1484131658783528E-2</v>
      </c>
    </row>
    <row r="490" spans="1:7" x14ac:dyDescent="0.25">
      <c r="A490" s="6">
        <v>43131</v>
      </c>
      <c r="B490" s="2">
        <f>91623928-20637149</f>
        <v>70986779</v>
      </c>
      <c r="C490" s="2">
        <f>100627774-20637149-10467333</f>
        <v>69523292</v>
      </c>
      <c r="D490" s="2">
        <v>105273</v>
      </c>
      <c r="E490" s="2">
        <f t="shared" si="65"/>
        <v>1358214</v>
      </c>
      <c r="F490" s="7">
        <f>E490/B490</f>
        <v>1.9133337490915035E-2</v>
      </c>
    </row>
    <row r="491" spans="1:7" x14ac:dyDescent="0.25">
      <c r="A491" s="6"/>
      <c r="B491" s="2">
        <f>+B490+B488+B486+B484+B482+B480+B478+B476+B474+B472+B470+B468</f>
        <v>611727649</v>
      </c>
      <c r="C491" s="2">
        <f>+C490+C488+C486+C484+C482+C480+C478+C476+C474+C472+C470+C468</f>
        <v>588028907</v>
      </c>
      <c r="D491" s="2">
        <f>+D490+D488+D486+D484+D482+D480+D478+D476+D474+D472+D470+D468</f>
        <v>568361</v>
      </c>
      <c r="E491" s="2">
        <f t="shared" si="65"/>
        <v>23130381</v>
      </c>
      <c r="G491" s="7">
        <f>E491/B491</f>
        <v>3.7811567023023344E-2</v>
      </c>
    </row>
    <row r="492" spans="1:7" x14ac:dyDescent="0.25">
      <c r="A492" s="6">
        <v>43159</v>
      </c>
      <c r="B492" s="2">
        <f>68898189-18748593</f>
        <v>50149596</v>
      </c>
      <c r="C492" s="2">
        <f>80317585-18748593-11399118</f>
        <v>50169874</v>
      </c>
      <c r="D492" s="2">
        <v>62055</v>
      </c>
      <c r="E492" s="2">
        <f t="shared" si="65"/>
        <v>-82333</v>
      </c>
      <c r="F492" s="7">
        <f>E492/B492</f>
        <v>-1.6417480212602312E-3</v>
      </c>
    </row>
    <row r="493" spans="1:7" x14ac:dyDescent="0.25">
      <c r="A493" s="6"/>
      <c r="B493" s="2">
        <f>+B492+B490+B488+B486+B484+B482+B480+B478+B476+B474+B472+B470</f>
        <v>614674406</v>
      </c>
      <c r="C493" s="2">
        <f>+C492+C490+C488+C486+C484+C482+C480+C478+C476+C474+C472+C470</f>
        <v>590868980</v>
      </c>
      <c r="D493" s="2">
        <f>+D492+D490+D488+D486+D484+D482+D480+D478+D476+D474+D472+D470</f>
        <v>556632</v>
      </c>
      <c r="E493" s="2">
        <f t="shared" si="65"/>
        <v>23248794</v>
      </c>
      <c r="G493" s="7">
        <f>E493/B493</f>
        <v>3.7822941337824302E-2</v>
      </c>
    </row>
    <row r="494" spans="1:7" x14ac:dyDescent="0.25">
      <c r="A494" s="6">
        <v>43190</v>
      </c>
      <c r="B494" s="2">
        <f>75449066-21536118</f>
        <v>53912948</v>
      </c>
      <c r="C494" s="2">
        <f>80562343-21536118-8516947</f>
        <v>50509278</v>
      </c>
      <c r="D494" s="2">
        <v>63117</v>
      </c>
      <c r="E494" s="2">
        <f t="shared" ref="E494:E495" si="66">B494-C494-D494</f>
        <v>3340553</v>
      </c>
      <c r="F494" s="7">
        <f>E494/B494</f>
        <v>6.1961979893957943E-2</v>
      </c>
    </row>
    <row r="495" spans="1:7" x14ac:dyDescent="0.25">
      <c r="A495" s="6"/>
      <c r="B495" s="2">
        <f>+B494+B492+B490+B488+B486+B484+B482+B480+B478+B476+B474+B472</f>
        <v>614167798</v>
      </c>
      <c r="C495" s="2">
        <f>+C494+C492+C490+C488+C486+C484+C482+C480+C478+C476+C474+C472</f>
        <v>589285032</v>
      </c>
      <c r="D495" s="2">
        <f>+D494+D492+D490+D488+D486+D484+D482+D480+D478+D476+D474+D472</f>
        <v>567871</v>
      </c>
      <c r="E495" s="2">
        <f t="shared" si="66"/>
        <v>24314895</v>
      </c>
      <c r="G495" s="7">
        <f>E495/B495</f>
        <v>3.9589986774265881E-2</v>
      </c>
    </row>
    <row r="496" spans="1:7" x14ac:dyDescent="0.25">
      <c r="A496" s="6">
        <v>43220</v>
      </c>
      <c r="B496" s="2">
        <f>66856908-20266212</f>
        <v>46590696</v>
      </c>
      <c r="C496" s="2">
        <f>76491984-20266212-10633100</f>
        <v>45592672</v>
      </c>
      <c r="D496" s="2">
        <v>48962</v>
      </c>
      <c r="E496" s="2">
        <f t="shared" ref="E496" si="67">B496-C496-D496</f>
        <v>949062</v>
      </c>
      <c r="F496" s="7">
        <f>E496/B496</f>
        <v>2.0370204385871376E-2</v>
      </c>
    </row>
    <row r="497" spans="1:7" x14ac:dyDescent="0.25">
      <c r="A497" s="6"/>
      <c r="B497" s="2">
        <f>+B496+B494+B492+B490+B488+B486+B484+B482+B480+B478+B476+B474</f>
        <v>617734486</v>
      </c>
      <c r="C497" s="2">
        <f>+C496+C494+C492+C490+C488+C486+C484+C482+C480+C478+C476+C474</f>
        <v>593291996</v>
      </c>
      <c r="D497" s="2">
        <f>+D496+D494+D492+D490+D488+D486+D484+D482+D480+D478+D476+D474</f>
        <v>584439</v>
      </c>
      <c r="E497" s="2">
        <f t="shared" ref="E497:E503" si="68">B497-C497-D497</f>
        <v>23858051</v>
      </c>
      <c r="G497" s="7">
        <f>E497/B497</f>
        <v>3.8621853791080074E-2</v>
      </c>
    </row>
    <row r="498" spans="1:7" x14ac:dyDescent="0.25">
      <c r="A498" s="6">
        <v>43251</v>
      </c>
      <c r="B498" s="2">
        <f>68195161-21624518</f>
        <v>46570643</v>
      </c>
      <c r="C498" s="2">
        <f>79003593-21624518-13279326</f>
        <v>44099749</v>
      </c>
      <c r="D498" s="2">
        <v>26939</v>
      </c>
      <c r="E498" s="2">
        <f t="shared" si="68"/>
        <v>2443955</v>
      </c>
      <c r="F498" s="7">
        <f>E498/B498</f>
        <v>5.2478446561281103E-2</v>
      </c>
    </row>
    <row r="499" spans="1:7" x14ac:dyDescent="0.25">
      <c r="A499" s="6"/>
      <c r="B499" s="2">
        <f>+B498+B496+B494+B492+B490+B488+B486+B484+B482+B480+B478+B476</f>
        <v>617805807</v>
      </c>
      <c r="C499" s="2">
        <f>+C498+C496+C494+C492+C490+C488+C486+C484+C482+C480+C478+C476</f>
        <v>592951413</v>
      </c>
      <c r="D499" s="2">
        <f>+D498+D496+D494+D492+D490+D488+D486+D484+D482+D480+D478+D476</f>
        <v>581470</v>
      </c>
      <c r="E499" s="2">
        <f t="shared" si="68"/>
        <v>24272924</v>
      </c>
      <c r="G499" s="7">
        <f>E499/B499</f>
        <v>3.9288921737182701E-2</v>
      </c>
    </row>
    <row r="500" spans="1:7" x14ac:dyDescent="0.25">
      <c r="A500" s="6">
        <v>43281</v>
      </c>
      <c r="B500" s="2">
        <f>69057001-20474980</f>
        <v>48582021</v>
      </c>
      <c r="C500" s="2">
        <f>80199885-20474980-12746681</f>
        <v>46978224</v>
      </c>
      <c r="D500" s="2">
        <v>27786</v>
      </c>
      <c r="E500" s="2">
        <f t="shared" si="68"/>
        <v>1576011</v>
      </c>
      <c r="F500" s="7">
        <f>E500/B500</f>
        <v>3.2440210752039317E-2</v>
      </c>
    </row>
    <row r="501" spans="1:7" x14ac:dyDescent="0.25">
      <c r="A501" s="6"/>
      <c r="B501" s="2">
        <f>+B500+B498+B496+B494+B492+B490+B488+B486+B484+B482+B480+B478</f>
        <v>617621915</v>
      </c>
      <c r="C501" s="2">
        <f>+C500+C498+C496+C494+C492+C490+C488+C486+C484+C482+C480+C478</f>
        <v>592542561</v>
      </c>
      <c r="D501" s="2">
        <f>+D500+D498+D496+D494+D492+D490+D488+D486+D484+D482+D480+D478</f>
        <v>579650</v>
      </c>
      <c r="E501" s="2">
        <f t="shared" si="68"/>
        <v>24499704</v>
      </c>
      <c r="G501" s="7">
        <f>E501/B501</f>
        <v>3.9667802267022857E-2</v>
      </c>
    </row>
    <row r="502" spans="1:7" x14ac:dyDescent="0.25">
      <c r="A502" s="6">
        <v>43312</v>
      </c>
      <c r="B502" s="2">
        <f>66985406-15535189</f>
        <v>51450217</v>
      </c>
      <c r="C502" s="2">
        <f>79613999-14834708-15535189</f>
        <v>49244102</v>
      </c>
      <c r="D502" s="2">
        <v>33270</v>
      </c>
      <c r="E502" s="2">
        <f t="shared" si="68"/>
        <v>2172845</v>
      </c>
      <c r="F502" s="7">
        <f>E502/B502</f>
        <v>4.2231989031261033E-2</v>
      </c>
    </row>
    <row r="503" spans="1:7" x14ac:dyDescent="0.25">
      <c r="A503" s="6"/>
      <c r="B503" s="2">
        <f>+B502+B500+B498+B496+B494+B492+B490+B488+B486+B484+B482+B480</f>
        <v>615358388</v>
      </c>
      <c r="C503" s="2">
        <f>+C502+C500+C498+C496+C494+C492+C490+C488+C486+C484+C482+C480</f>
        <v>590674814</v>
      </c>
      <c r="D503" s="2">
        <f>+D502+D500+D498+D496+D494+D492+D490+D488+D486+D484+D482+D480</f>
        <v>586975</v>
      </c>
      <c r="E503" s="2">
        <f t="shared" si="68"/>
        <v>24096599</v>
      </c>
      <c r="G503" s="7">
        <f>E503/B503</f>
        <v>3.9158642296755364E-2</v>
      </c>
    </row>
    <row r="504" spans="1:7" x14ac:dyDescent="0.25">
      <c r="A504" s="6">
        <v>43343</v>
      </c>
      <c r="B504" s="2">
        <f>64272869-11800800</f>
        <v>52472069</v>
      </c>
      <c r="C504" s="2">
        <f>75183090-13094485-11800800</f>
        <v>50287805</v>
      </c>
      <c r="D504" s="2">
        <v>29126</v>
      </c>
      <c r="E504" s="2">
        <f t="shared" ref="E504:E505" si="69">B504-C504-D504</f>
        <v>2155138</v>
      </c>
      <c r="F504" s="7">
        <f>E504/B504</f>
        <v>4.1072098757912519E-2</v>
      </c>
    </row>
    <row r="505" spans="1:7" x14ac:dyDescent="0.25">
      <c r="A505" s="6"/>
      <c r="B505" s="2">
        <f>+B504+B502+B500+B498+B496+B494+B492+B490+B488+B486+B484+B482</f>
        <v>615825657</v>
      </c>
      <c r="C505" s="2">
        <f>+C504+C502+C500+C498+C496+C494+C492+C490+C488+C486+C484+C482</f>
        <v>590373822</v>
      </c>
      <c r="D505" s="2">
        <f>+D504+D502+D500+D498+D496+D494+D492+D490+D488+D486+D484+D482</f>
        <v>588503</v>
      </c>
      <c r="E505" s="2">
        <f t="shared" si="69"/>
        <v>24863332</v>
      </c>
      <c r="G505" s="7">
        <f>E505/B505</f>
        <v>4.0373978767175661E-2</v>
      </c>
    </row>
    <row r="506" spans="1:7" x14ac:dyDescent="0.25">
      <c r="A506" s="6">
        <v>43373</v>
      </c>
      <c r="B506" s="2">
        <f>67247873-20562936</f>
        <v>46684937</v>
      </c>
      <c r="C506" s="2">
        <f>79303280-12711931-20562936</f>
        <v>46028413</v>
      </c>
      <c r="D506" s="2">
        <v>26610</v>
      </c>
      <c r="E506" s="2">
        <f t="shared" ref="E506:E507" si="70">B506-C506-D506</f>
        <v>629914</v>
      </c>
      <c r="F506" s="7">
        <f>E506/B506</f>
        <v>1.3492874586079017E-2</v>
      </c>
    </row>
    <row r="507" spans="1:7" x14ac:dyDescent="0.25">
      <c r="A507" s="6"/>
      <c r="B507" s="2">
        <f>+B506+B504+B502+B500+B498+B496+B494+B492+B490+B488+B486+B484</f>
        <v>621385772</v>
      </c>
      <c r="C507" s="2">
        <f>+C506+C504+C502+C500+C498+C496+C494+C492+C490+C488+C486+C484</f>
        <v>596387563</v>
      </c>
      <c r="D507" s="2">
        <f>+D506+D504+D502+D500+D498+D496+D494+D492+D490+D488+D486+D484</f>
        <v>591621</v>
      </c>
      <c r="E507" s="2">
        <f t="shared" si="70"/>
        <v>24406588</v>
      </c>
      <c r="G507" s="7">
        <f>E507/B507</f>
        <v>3.9277674352672494E-2</v>
      </c>
    </row>
    <row r="508" spans="1:7" x14ac:dyDescent="0.25">
      <c r="A508" s="6">
        <v>43404</v>
      </c>
      <c r="B508" s="2">
        <f>67997725-20494178</f>
        <v>47503547</v>
      </c>
      <c r="C508" s="2">
        <f>78424151-20494178-12935081</f>
        <v>44994892</v>
      </c>
      <c r="D508" s="2">
        <v>34846</v>
      </c>
      <c r="E508" s="2">
        <f t="shared" ref="E508:E509" si="71">B508-C508-D508</f>
        <v>2473809</v>
      </c>
      <c r="F508" s="7">
        <f>E508/B508</f>
        <v>5.2076300744447565E-2</v>
      </c>
    </row>
    <row r="509" spans="1:7" x14ac:dyDescent="0.25">
      <c r="A509" s="6"/>
      <c r="B509" s="2">
        <f>+B508+B506+B504+B502+B500+B498+B496+B494+B492+B490+B488+B486</f>
        <v>624155826</v>
      </c>
      <c r="C509" s="2">
        <f>+C508+C506+C504+C502+C500+C498+C496+C494+C492+C490+C488+C486</f>
        <v>599384974</v>
      </c>
      <c r="D509" s="2">
        <f>+D508+D506+D504+D502+D500+D498+D496+D494+D492+D490+D488+D486</f>
        <v>599330</v>
      </c>
      <c r="E509" s="2">
        <f t="shared" si="71"/>
        <v>24171522</v>
      </c>
      <c r="G509" s="7">
        <f>E509/B509</f>
        <v>3.8726742574698006E-2</v>
      </c>
    </row>
    <row r="510" spans="1:7" x14ac:dyDescent="0.25">
      <c r="A510" s="6">
        <v>43434</v>
      </c>
      <c r="B510" s="2">
        <f>76900596-21575247</f>
        <v>55325349</v>
      </c>
      <c r="C510" s="2">
        <f>79855377-21575247-6102003</f>
        <v>52178127</v>
      </c>
      <c r="D510" s="2">
        <v>74847</v>
      </c>
      <c r="E510" s="2">
        <f t="shared" ref="E510:E511" si="72">B510-C510-D510</f>
        <v>3072375</v>
      </c>
      <c r="F510" s="7">
        <f>E510/B510</f>
        <v>5.5532862522024037E-2</v>
      </c>
    </row>
    <row r="511" spans="1:7" x14ac:dyDescent="0.25">
      <c r="A511" s="6"/>
      <c r="B511" s="2">
        <f>+B510+B508+B506+B504+B502+B500+B498+B496+B494+B492+B490+B488</f>
        <v>630459082</v>
      </c>
      <c r="C511" s="2">
        <f>+C510+C508+C506+C504+C502+C500+C498+C496+C494+C492+C490+C488</f>
        <v>604387062</v>
      </c>
      <c r="D511" s="2">
        <f>+D510+D508+D506+D504+D502+D500+D498+D496+D494+D492+D490+D488</f>
        <v>616347</v>
      </c>
      <c r="E511" s="2">
        <f t="shared" si="72"/>
        <v>25455673</v>
      </c>
      <c r="G511" s="7">
        <f>E511/B511</f>
        <v>4.0376407806272191E-2</v>
      </c>
    </row>
    <row r="512" spans="1:7" x14ac:dyDescent="0.25">
      <c r="A512" s="6">
        <v>43465</v>
      </c>
      <c r="B512" s="2">
        <f>82511926-23617088</f>
        <v>58894838</v>
      </c>
      <c r="C512" s="2">
        <f>80152752-23617088-33331</f>
        <v>56502333</v>
      </c>
      <c r="D512" s="2">
        <v>74552</v>
      </c>
      <c r="E512" s="2">
        <f t="shared" ref="E512:E513" si="73">B512-C512-D512</f>
        <v>2317953</v>
      </c>
      <c r="F512" s="7">
        <f>E512/B512</f>
        <v>3.9357490040128812E-2</v>
      </c>
    </row>
    <row r="513" spans="1:7" x14ac:dyDescent="0.25">
      <c r="A513" s="6"/>
      <c r="B513" s="2">
        <f>+B512+B510+B508+B506+B504+B502+B500+B498+B496+B494+B492+B490</f>
        <v>629123640</v>
      </c>
      <c r="C513" s="2">
        <f>+C512+C510+C508+C506+C504+C502+C500+C498+C496+C494+C492+C490</f>
        <v>606108761</v>
      </c>
      <c r="D513" s="2">
        <f>+D512+D510+D508+D506+D504+D502+D500+D498+D496+D494+D492+D490</f>
        <v>607383</v>
      </c>
      <c r="E513" s="2">
        <f t="shared" si="73"/>
        <v>22407496</v>
      </c>
      <c r="G513" s="7">
        <f>E513/B513</f>
        <v>3.561699890978505E-2</v>
      </c>
    </row>
    <row r="514" spans="1:7" x14ac:dyDescent="0.25">
      <c r="A514" s="6">
        <v>43496</v>
      </c>
      <c r="B514" s="2">
        <f>86451565-20487253</f>
        <v>65964312</v>
      </c>
      <c r="C514" s="2">
        <f>81866870-20487253-35160</f>
        <v>61344457</v>
      </c>
      <c r="D514" s="2">
        <v>92937</v>
      </c>
      <c r="E514" s="2">
        <f t="shared" ref="E514:E515" si="74">B514-C514-D514</f>
        <v>4526918</v>
      </c>
      <c r="F514" s="7">
        <f>E514/B514</f>
        <v>6.8626775035567716E-2</v>
      </c>
    </row>
    <row r="515" spans="1:7" x14ac:dyDescent="0.25">
      <c r="A515" s="6"/>
      <c r="B515" s="2">
        <f>+B514+B512+B510+B508+B506+B504+B502+B500+B498+B496+B494+B492</f>
        <v>624101173</v>
      </c>
      <c r="C515" s="2">
        <f>+C514+C512+C510+C508+C506+C504+C502+C500+C498+C496+C494+C492</f>
        <v>597929926</v>
      </c>
      <c r="D515" s="2">
        <f>+D514+D512+D510+D508+D506+D504+D502+D500+D498+D496+D494+D492</f>
        <v>595047</v>
      </c>
      <c r="E515" s="2">
        <f t="shared" si="74"/>
        <v>25576200</v>
      </c>
      <c r="G515" s="7">
        <f>E515/B515</f>
        <v>4.0980855519077833E-2</v>
      </c>
    </row>
    <row r="516" spans="1:7" x14ac:dyDescent="0.25">
      <c r="A516" s="6">
        <v>43524</v>
      </c>
      <c r="B516" s="2">
        <f>67302344-14979483</f>
        <v>52322861</v>
      </c>
      <c r="C516" s="2">
        <f>68592374-14979483-30103</f>
        <v>53582788</v>
      </c>
      <c r="D516" s="2">
        <v>57000</v>
      </c>
      <c r="E516" s="2">
        <f>B516-C516-D516</f>
        <v>-1316927</v>
      </c>
      <c r="F516" s="7">
        <f>E516/B516</f>
        <v>-2.516924676576841E-2</v>
      </c>
    </row>
    <row r="517" spans="1:7" x14ac:dyDescent="0.25">
      <c r="A517" s="6"/>
      <c r="B517" s="2">
        <f>+B516+B514+B512+B510+B508+B506+B504+B502+B500+B498+B496+B494</f>
        <v>626274438</v>
      </c>
      <c r="C517" s="2">
        <f>+C516+C514+C512+C510+C508+C506+C504+C502+C500+C498+C496+C494</f>
        <v>601342840</v>
      </c>
      <c r="D517" s="2">
        <f>+D516+D514+D512+D510+D508+D506+D504+D502+D500+D498+D496+D494</f>
        <v>589992</v>
      </c>
      <c r="E517" s="2">
        <f t="shared" ref="E517" si="75">B517-C517-D517</f>
        <v>24341606</v>
      </c>
      <c r="G517" s="7">
        <f>E517/B517</f>
        <v>3.8867315226427938E-2</v>
      </c>
    </row>
    <row r="518" spans="1:7" x14ac:dyDescent="0.25">
      <c r="A518" s="6">
        <v>43555</v>
      </c>
      <c r="B518" s="2">
        <f>70932463-15698351</f>
        <v>55234112</v>
      </c>
      <c r="C518" s="2">
        <f>67900064-15698351-31454</f>
        <v>52170259</v>
      </c>
      <c r="D518" s="2">
        <v>58721</v>
      </c>
      <c r="E518" s="2">
        <f>B518-C518-D518</f>
        <v>3005132</v>
      </c>
      <c r="F518" s="7">
        <f>E518/B518</f>
        <v>5.4407175044291468E-2</v>
      </c>
    </row>
    <row r="519" spans="1:7" x14ac:dyDescent="0.25">
      <c r="A519" s="6"/>
      <c r="B519" s="2">
        <f>+B518+B516+B514+B512+B510+B508+B506+B504+B502+B500+B498+B496</f>
        <v>627595602</v>
      </c>
      <c r="C519" s="2">
        <f>+C518+C516+C514+C512+C510+C508+C506+C504+C502+C500+C498+C496</f>
        <v>603003821</v>
      </c>
      <c r="D519" s="2">
        <f>+D518+D516+D514+D512+D510+D508+D506+D504+D502+D500+D498+D496</f>
        <v>585596</v>
      </c>
      <c r="E519" s="2">
        <f t="shared" ref="E519" si="76">B519-C519-D519</f>
        <v>24006185</v>
      </c>
      <c r="G519" s="7">
        <f>E519/B519</f>
        <v>3.8251040835050341E-2</v>
      </c>
    </row>
    <row r="520" spans="1:7" x14ac:dyDescent="0.25">
      <c r="A520" s="6">
        <v>43585</v>
      </c>
      <c r="B520" s="2">
        <f>63435787-22308955</f>
        <v>41126832</v>
      </c>
      <c r="C520" s="2">
        <f>62698959-31146-22308955</f>
        <v>40358858</v>
      </c>
      <c r="D520" s="2">
        <v>32101</v>
      </c>
      <c r="E520" s="2">
        <f>B520-C520-D520</f>
        <v>735873</v>
      </c>
      <c r="F520" s="7">
        <f>E520/B520</f>
        <v>1.78927713177616E-2</v>
      </c>
    </row>
    <row r="521" spans="1:7" x14ac:dyDescent="0.25">
      <c r="A521" s="6"/>
      <c r="B521" s="2">
        <f>+B520+B518+B516+B514+B512+B510+B508+B506+B504+B502+B500+B498</f>
        <v>622131738</v>
      </c>
      <c r="C521" s="2">
        <f>+C520+C518+C516+C514+C512+C510+C508+C506+C504+C502+C500+C498</f>
        <v>597770007</v>
      </c>
      <c r="D521" s="2">
        <f>+D520+D518+D516+D514+D512+D510+D508+D506+D504+D502+D500+D498</f>
        <v>568735</v>
      </c>
      <c r="E521" s="2">
        <f t="shared" ref="E521" si="77">B521-C521-D521</f>
        <v>23792996</v>
      </c>
      <c r="G521" s="7">
        <f>E521/B521</f>
        <v>3.8244305099252147E-2</v>
      </c>
    </row>
    <row r="522" spans="1:7" x14ac:dyDescent="0.25">
      <c r="A522" s="6">
        <v>43616</v>
      </c>
      <c r="B522" s="2">
        <f>63878354-22648767</f>
        <v>41229587</v>
      </c>
      <c r="C522" s="2">
        <f>61709699-24790-22648767</f>
        <v>39036142</v>
      </c>
      <c r="D522" s="2">
        <v>25843</v>
      </c>
      <c r="E522" s="2">
        <f>B522-C522-D522</f>
        <v>2167602</v>
      </c>
      <c r="F522" s="7">
        <f>E522/B522</f>
        <v>5.2573944046541143E-2</v>
      </c>
    </row>
    <row r="523" spans="1:7" x14ac:dyDescent="0.25">
      <c r="A523" s="6"/>
      <c r="B523" s="2">
        <f>+B522+B520+B518+B516+B514+B512+B510+B508+B506+B504+B502+B500</f>
        <v>616790682</v>
      </c>
      <c r="C523" s="2">
        <f>+C522+C520+C518+C516+C514+C512+C510+C508+C506+C504+C502+C500</f>
        <v>592706400</v>
      </c>
      <c r="D523" s="2">
        <f>+D522+D520+D518+D516+D514+D512+D510+D508+D506+D504+D502+D500</f>
        <v>567639</v>
      </c>
      <c r="E523" s="2">
        <f t="shared" ref="E523" si="78">B523-C523-D523</f>
        <v>23516643</v>
      </c>
      <c r="G523" s="7">
        <f>E523/B523</f>
        <v>3.8127429104060299E-2</v>
      </c>
    </row>
    <row r="524" spans="1:7" x14ac:dyDescent="0.25">
      <c r="A524" s="6">
        <v>43646</v>
      </c>
      <c r="B524" s="2">
        <f>61912254-19306730-58978</f>
        <v>42546546</v>
      </c>
      <c r="C524" s="2">
        <f>61034911-1137528-19306730</f>
        <v>40590653</v>
      </c>
      <c r="D524" s="2">
        <v>27324</v>
      </c>
      <c r="E524" s="2">
        <f>B524-C524-D524</f>
        <v>1928569</v>
      </c>
      <c r="F524" s="7">
        <f>E524/B524</f>
        <v>4.5328450398770329E-2</v>
      </c>
    </row>
    <row r="525" spans="1:7" x14ac:dyDescent="0.25">
      <c r="A525" s="6"/>
      <c r="B525" s="2">
        <f>+B524+B522+B520+B518+B516+B514+B512+B510+B508+B506+B504+B502</f>
        <v>610755207</v>
      </c>
      <c r="C525" s="2">
        <f>+C524+C522+C520+C518+C516+C514+C512+C510+C508+C506+C504+C502</f>
        <v>586318829</v>
      </c>
      <c r="D525" s="2">
        <f>+D524+D522+D520+D518+D516+D514+D512+D510+D508+D506+D504+D502</f>
        <v>567177</v>
      </c>
      <c r="E525" s="2">
        <f t="shared" ref="E525" si="79">B525-C525-D525</f>
        <v>23869201</v>
      </c>
      <c r="G525" s="7">
        <f>E525/B525</f>
        <v>3.908145313610073E-2</v>
      </c>
    </row>
    <row r="526" spans="1:7" x14ac:dyDescent="0.25">
      <c r="A526" s="6">
        <v>43677</v>
      </c>
      <c r="B526" s="2">
        <f>71892900-22754144</f>
        <v>49138756</v>
      </c>
      <c r="C526" s="2">
        <f>79351472-9715049-22754144</f>
        <v>46882279</v>
      </c>
      <c r="D526" s="2">
        <v>32255</v>
      </c>
      <c r="E526" s="2">
        <f>B526-C526-D526</f>
        <v>2224222</v>
      </c>
      <c r="F526" s="7">
        <f>E526/B526</f>
        <v>4.5264108843129848E-2</v>
      </c>
    </row>
    <row r="527" spans="1:7" x14ac:dyDescent="0.25">
      <c r="A527" s="6"/>
      <c r="B527" s="2">
        <f>+B526+B524+B522+B520+B518+B516+B514+B512+B510+B508+B506+B504</f>
        <v>608443746</v>
      </c>
      <c r="C527" s="2">
        <f>+C526+C524+C522+C520+C518+C516+C514+C512+C510+C508+C506+C504</f>
        <v>583957006</v>
      </c>
      <c r="D527" s="2">
        <f>+D526+D524+D522+D520+D518+D516+D514+D512+D510+D508+D506+D504</f>
        <v>566162</v>
      </c>
      <c r="E527" s="2">
        <f t="shared" ref="E527" si="80">B527-C527-D527</f>
        <v>23920578</v>
      </c>
      <c r="G527" s="7">
        <f>E527/B527</f>
        <v>3.9314362514624321E-2</v>
      </c>
    </row>
    <row r="528" spans="1:7" x14ac:dyDescent="0.25">
      <c r="A528" s="6">
        <v>43708</v>
      </c>
      <c r="B528" s="2">
        <f>72232546-24406583</f>
        <v>47825963</v>
      </c>
      <c r="C528" s="2">
        <f>87983280-24406583-17262873</f>
        <v>46313824</v>
      </c>
      <c r="D528" s="2">
        <v>31328</v>
      </c>
      <c r="E528" s="2">
        <f>B528-C528-D528</f>
        <v>1480811</v>
      </c>
      <c r="F528" s="7">
        <f>E528/B528</f>
        <v>3.0962492067331714E-2</v>
      </c>
    </row>
    <row r="529" spans="1:7" x14ac:dyDescent="0.25">
      <c r="A529" s="6"/>
      <c r="B529" s="2">
        <f>+B528+B526+B524+B522+B520+B518+B516+B514+B512+B510+B508+B506</f>
        <v>603797640</v>
      </c>
      <c r="C529" s="2">
        <f>+C528+C526+C524+C522+C520+C518+C516+C514+C512+C510+C508+C506</f>
        <v>579983025</v>
      </c>
      <c r="D529" s="2">
        <f>+D528+D526+D524+D522+D520+D518+D516+D514+D512+D510+D508+D506</f>
        <v>568364</v>
      </c>
      <c r="E529" s="2">
        <f t="shared" ref="E529" si="81">B529-C529-D529</f>
        <v>23246251</v>
      </c>
      <c r="G529" s="7">
        <f>E529/B529</f>
        <v>3.8500069327862894E-2</v>
      </c>
    </row>
    <row r="530" spans="1:7" x14ac:dyDescent="0.25">
      <c r="A530" s="6">
        <v>43738</v>
      </c>
      <c r="B530" s="2">
        <f>66587474-22537069</f>
        <v>44050405</v>
      </c>
      <c r="C530" s="2">
        <f>84389295-22537069-19486697</f>
        <v>42365529</v>
      </c>
      <c r="D530" s="2">
        <v>29011</v>
      </c>
      <c r="E530" s="2">
        <f>B530-C530-D530</f>
        <v>1655865</v>
      </c>
      <c r="F530" s="7">
        <f>E530/B530</f>
        <v>3.7590233279353506E-2</v>
      </c>
    </row>
    <row r="531" spans="1:7" x14ac:dyDescent="0.25">
      <c r="A531" s="6"/>
      <c r="B531" s="2">
        <f>+B530+B528+B526+B524+B522+B520+B518+B516+B514+B512+B510+B508</f>
        <v>601163108</v>
      </c>
      <c r="C531" s="2">
        <f>+C530+C528+C526+C524+C522+C520+C518+C516+C514+C512+C510+C508</f>
        <v>576320141</v>
      </c>
      <c r="D531" s="2">
        <f>+D530+D528+D526+D524+D522+D520+D518+D516+D514+D512+D510+D508</f>
        <v>570765</v>
      </c>
      <c r="E531" s="2">
        <f t="shared" ref="E531" si="82">B531-C531-D531</f>
        <v>24272202</v>
      </c>
      <c r="G531" s="7">
        <f>E531/B531</f>
        <v>4.0375401745377897E-2</v>
      </c>
    </row>
    <row r="532" spans="1:7" x14ac:dyDescent="0.25">
      <c r="A532" s="6">
        <v>43769</v>
      </c>
      <c r="B532" s="2">
        <f>63143937-23857014</f>
        <v>39286923</v>
      </c>
      <c r="C532" s="2">
        <f>80833497-23857014-19110793</f>
        <v>37865690</v>
      </c>
      <c r="D532" s="2">
        <v>30986</v>
      </c>
      <c r="E532" s="2">
        <f>B532-C532-D532</f>
        <v>1390247</v>
      </c>
      <c r="F532" s="7">
        <f>E532/B532</f>
        <v>3.538701669255187E-2</v>
      </c>
    </row>
    <row r="533" spans="1:7" x14ac:dyDescent="0.25">
      <c r="A533" s="6"/>
      <c r="B533" s="2">
        <f>+B532+B530+B528+B526+B524+B522+B520+B518+B516+B514+B512+B510</f>
        <v>592946484</v>
      </c>
      <c r="C533" s="2">
        <f>+C532+C530+C528+C526+C524+C522+C520+C518+C516+C514+C512+C510</f>
        <v>569190939</v>
      </c>
      <c r="D533" s="2">
        <f>+D532+D530+D528+D526+D524+D522+D520+D518+D516+D514+D512+D510</f>
        <v>566905</v>
      </c>
      <c r="E533" s="2">
        <f t="shared" ref="E533" si="83">B533-C533-D533</f>
        <v>23188640</v>
      </c>
      <c r="G533" s="7">
        <f>E533/B533</f>
        <v>3.9107475338364603E-2</v>
      </c>
    </row>
    <row r="534" spans="1:7" x14ac:dyDescent="0.25">
      <c r="A534" s="6">
        <v>43799</v>
      </c>
      <c r="B534" s="2">
        <f>71229952-23309704-292748</f>
        <v>47627500</v>
      </c>
      <c r="C534" s="2">
        <f>85108535-23309704-16081188</f>
        <v>45717643</v>
      </c>
      <c r="D534" s="2">
        <v>59855</v>
      </c>
      <c r="E534" s="2">
        <f>B534-C534-D534</f>
        <v>1850002</v>
      </c>
      <c r="F534" s="7">
        <f>E534/B534</f>
        <v>3.8843147341346911E-2</v>
      </c>
    </row>
    <row r="535" spans="1:7" x14ac:dyDescent="0.25">
      <c r="A535" s="6"/>
      <c r="B535" s="2">
        <f>+B534+B532+B530+B528+B526+B524+B522+B520+B518+B516+B514+B512</f>
        <v>585248635</v>
      </c>
      <c r="C535" s="2">
        <f>+C534+C532+C530+C528+C526+C524+C522+C520+C518+C516+C514+C512</f>
        <v>562730455</v>
      </c>
      <c r="D535" s="2">
        <f>+D534+D532+D530+D528+D526+D524+D522+D520+D518+D516+D514+D512</f>
        <v>551913</v>
      </c>
      <c r="E535" s="2">
        <f t="shared" ref="E535" si="84">B535-C535-D535</f>
        <v>21966267</v>
      </c>
      <c r="G535" s="7">
        <f>E535/B535</f>
        <v>3.753322209798917E-2</v>
      </c>
    </row>
    <row r="536" spans="1:7" x14ac:dyDescent="0.25">
      <c r="A536" s="6">
        <v>43830</v>
      </c>
      <c r="B536" s="2">
        <f>74834943-23725330-808270</f>
        <v>50301343</v>
      </c>
      <c r="C536" s="2">
        <f>84299577-23725330-11518579</f>
        <v>49055668</v>
      </c>
      <c r="D536" s="2">
        <v>59128</v>
      </c>
      <c r="E536" s="2">
        <f>B536-C536-D536</f>
        <v>1186547</v>
      </c>
      <c r="F536" s="7">
        <f>E536/B536</f>
        <v>2.3588773762958974E-2</v>
      </c>
    </row>
    <row r="537" spans="1:7" x14ac:dyDescent="0.25">
      <c r="A537" s="6"/>
      <c r="B537" s="2">
        <f>+B536+B534+B532+B530+B528+B526+B524+B522+B520+B518+B516+B514</f>
        <v>576655140</v>
      </c>
      <c r="C537" s="2">
        <f>+C536+C534+C532+C530+C528+C526+C524+C522+C520+C518+C516+C514</f>
        <v>555283790</v>
      </c>
      <c r="D537" s="2">
        <f>+D536+D534+D532+D530+D528+D526+D524+D522+D520+D518+D516+D514</f>
        <v>536489</v>
      </c>
      <c r="E537" s="2">
        <f t="shared" ref="E537" si="85">B537-C537-D537</f>
        <v>20834861</v>
      </c>
      <c r="G537" s="7">
        <f>E537/B537</f>
        <v>3.6130538956090807E-2</v>
      </c>
    </row>
    <row r="538" spans="1:7" x14ac:dyDescent="0.25">
      <c r="A538" s="6">
        <v>43861</v>
      </c>
      <c r="B538" s="2">
        <f>76165173-24095382-879080</f>
        <v>51190711</v>
      </c>
      <c r="C538" s="2">
        <f>83727869-10208227-24095382</f>
        <v>49424260</v>
      </c>
      <c r="D538" s="2">
        <v>63253</v>
      </c>
      <c r="E538" s="2">
        <f>B538-C538-D538</f>
        <v>1703198</v>
      </c>
      <c r="F538" s="7">
        <f>E538/B538</f>
        <v>3.3271622267563347E-2</v>
      </c>
    </row>
    <row r="539" spans="1:7" x14ac:dyDescent="0.25">
      <c r="A539" s="6"/>
      <c r="B539" s="2">
        <f>+B538+B536+B534+B532+B530+B528+B526+B524+B522+B520+B518+B516</f>
        <v>561881539</v>
      </c>
      <c r="C539" s="2">
        <f>+C538+C536+C534+C532+C530+C528+C526+C524+C522+C520+C518+C516</f>
        <v>543363593</v>
      </c>
      <c r="D539" s="2">
        <f>+D538+D536+D534+D532+D530+D528+D526+D524+D522+D520+D518+D516</f>
        <v>506805</v>
      </c>
      <c r="E539" s="2">
        <f t="shared" ref="E539" si="86">B539-C539-D539</f>
        <v>18011141</v>
      </c>
      <c r="G539" s="7">
        <f>E539/B539</f>
        <v>3.2055050308388934E-2</v>
      </c>
    </row>
    <row r="540" spans="1:7" x14ac:dyDescent="0.25">
      <c r="A540" s="6">
        <v>43890</v>
      </c>
      <c r="B540" s="2">
        <f>72383999-21329203-1124971+2313470</f>
        <v>52243295</v>
      </c>
      <c r="C540" s="2">
        <f>85023194-21329203-13488011</f>
        <v>50205980</v>
      </c>
      <c r="D540" s="2">
        <v>59713</v>
      </c>
      <c r="E540" s="2">
        <f>B540-C540-D540</f>
        <v>1977602</v>
      </c>
      <c r="F540" s="7">
        <f>E540/B540</f>
        <v>3.7853699694860361E-2</v>
      </c>
    </row>
    <row r="541" spans="1:7" x14ac:dyDescent="0.25">
      <c r="A541" s="6"/>
      <c r="B541" s="2">
        <f>+B540+B538+B536+B534+B532+B530+B528+B526+B524+B522+B520+B518</f>
        <v>561801973</v>
      </c>
      <c r="C541" s="2">
        <f>+C540+C538+C536+C534+C532+C530+C528+C526+C524+C522+C520+C518</f>
        <v>539986785</v>
      </c>
      <c r="D541" s="2">
        <f>+D540+D538+D536+D534+D532+D530+D528+D526+D524+D522+D520+D518</f>
        <v>509518</v>
      </c>
      <c r="E541" s="2">
        <f t="shared" ref="E541" si="87">B541-C541-D541</f>
        <v>21305670</v>
      </c>
      <c r="G541" s="7">
        <f>E541/B541</f>
        <v>3.7923807718631845E-2</v>
      </c>
    </row>
    <row r="542" spans="1:7" x14ac:dyDescent="0.25">
      <c r="A542" s="6">
        <v>43921</v>
      </c>
      <c r="B542" s="2">
        <f>65896454-1003074-24200869+480574</f>
        <v>41173085</v>
      </c>
      <c r="C542" s="2">
        <f>80113964-24200869-15073416</f>
        <v>40839679</v>
      </c>
      <c r="D542" s="2">
        <v>51936</v>
      </c>
      <c r="E542" s="2">
        <f>B542-C542-D542</f>
        <v>281470</v>
      </c>
      <c r="F542" s="7">
        <f>E542/B542</f>
        <v>6.8362620872349008E-3</v>
      </c>
    </row>
    <row r="543" spans="1:7" x14ac:dyDescent="0.25">
      <c r="A543" s="6"/>
      <c r="B543" s="2">
        <f>+B542+B540+B538+B536+B534+B532+B530+B528+B526+B524+B522+B520</f>
        <v>547740946</v>
      </c>
      <c r="C543" s="2">
        <f>+C542+C540+C538+C536+C534+C532+C530+C528+C526+C524+C522+C520</f>
        <v>528656205</v>
      </c>
      <c r="D543" s="2">
        <f>+D542+D540+D538+D536+D534+D532+D530+D528+D526+D524+D522+D520</f>
        <v>502733</v>
      </c>
      <c r="E543" s="2">
        <f t="shared" ref="E543" si="88">B543-C543-D543</f>
        <v>18582008</v>
      </c>
      <c r="G543" s="7">
        <f>E543/B543</f>
        <v>3.3924810872181903E-2</v>
      </c>
    </row>
    <row r="544" spans="1:7" x14ac:dyDescent="0.25">
      <c r="A544" s="6">
        <v>43951</v>
      </c>
      <c r="B544" s="2">
        <f>58194791-22245755-1214880-1857290+436271</f>
        <v>33313137</v>
      </c>
      <c r="C544" s="2">
        <f>70219332-22245755-13120925</f>
        <v>34852652</v>
      </c>
      <c r="D544" s="2">
        <v>45154</v>
      </c>
      <c r="E544" s="2">
        <f>B544-C544-D544</f>
        <v>-1584669</v>
      </c>
      <c r="F544" s="7">
        <f>E544/B544</f>
        <v>-4.7568891515680438E-2</v>
      </c>
    </row>
    <row r="545" spans="1:7" x14ac:dyDescent="0.25">
      <c r="A545" s="6"/>
      <c r="B545" s="2">
        <f>+B544+B542+B540+B538+B536+B534+B532+B530+B528+B526+B524+B522</f>
        <v>539927251</v>
      </c>
      <c r="C545" s="2">
        <f>+C544+C542+C540+C538+C536+C534+C532+C530+C528+C526+C524+C522</f>
        <v>523149999</v>
      </c>
      <c r="D545" s="2">
        <f>+D544+D542+D540+D538+D536+D534+D532+D530+D528+D526+D524+D522</f>
        <v>515786</v>
      </c>
      <c r="E545" s="2">
        <f t="shared" ref="E545" si="89">B545-C545-D545</f>
        <v>16261466</v>
      </c>
      <c r="G545" s="7">
        <f>E545/B545</f>
        <v>3.0117883418334816E-2</v>
      </c>
    </row>
    <row r="546" spans="1:7" x14ac:dyDescent="0.25">
      <c r="A546" s="6">
        <v>43982</v>
      </c>
      <c r="B546" s="2">
        <f>58139339-21640470-1434250-1164450+730856</f>
        <v>34631025</v>
      </c>
      <c r="C546" s="2">
        <f>71759735-21640470-15014969</f>
        <v>35104296</v>
      </c>
      <c r="D546" s="2">
        <v>31218</v>
      </c>
      <c r="E546" s="2">
        <f>B546-C546-D546</f>
        <v>-504489</v>
      </c>
      <c r="F546" s="7">
        <f>E546/B546</f>
        <v>-1.4567544564447631E-2</v>
      </c>
    </row>
    <row r="547" spans="1:7" x14ac:dyDescent="0.25">
      <c r="A547" s="6"/>
      <c r="B547" s="2">
        <f>+B546+B544+B542+B540+B538+B536+B534+B532+B530+B528+B526+B524</f>
        <v>533328689</v>
      </c>
      <c r="C547" s="2">
        <f>+C546+C544+C542+C540+C538+C536+C534+C532+C530+C528+C526+C524</f>
        <v>519218153</v>
      </c>
      <c r="D547" s="2">
        <f>+D546+D544+D542+D540+D538+D536+D534+D532+D530+D528+D526+D524</f>
        <v>521161</v>
      </c>
      <c r="E547" s="2">
        <f t="shared" ref="E547" si="90">B547-C547-D547</f>
        <v>13589375</v>
      </c>
      <c r="G547" s="7">
        <f>E547/B547</f>
        <v>2.548030001063753E-2</v>
      </c>
    </row>
    <row r="548" spans="1:7" x14ac:dyDescent="0.25">
      <c r="A548" s="6">
        <v>44012</v>
      </c>
      <c r="B548" s="2">
        <f>64323624-23194856-1313663+503937</f>
        <v>40319042</v>
      </c>
      <c r="C548" s="2">
        <f>80569704-23194856-17410637</f>
        <v>39964211</v>
      </c>
      <c r="D548" s="2">
        <v>24037</v>
      </c>
      <c r="E548" s="2">
        <f>B548-C548-D548</f>
        <v>330794</v>
      </c>
      <c r="F548" s="7">
        <f>E548/B548</f>
        <v>8.2044112060003799E-3</v>
      </c>
    </row>
    <row r="549" spans="1:7" x14ac:dyDescent="0.25">
      <c r="A549" s="6"/>
      <c r="B549" s="2">
        <f>+B548+B546+B544+B542+B540+B538+B536+B534+B532+B530+B528+B526</f>
        <v>531101185</v>
      </c>
      <c r="C549" s="2">
        <f>+C548+C546+C544+C542+C540+C538+C536+C534+C532+C530+C528+C526</f>
        <v>518591711</v>
      </c>
      <c r="D549" s="2">
        <f>+D548+D546+D544+D542+D540+D538+D536+D534+D532+D530+D528+D526</f>
        <v>517874</v>
      </c>
      <c r="E549" s="2">
        <f t="shared" ref="E549" si="91">B549-C549-D549</f>
        <v>11991600</v>
      </c>
      <c r="G549" s="7">
        <f>E549/B549</f>
        <v>2.2578748341523659E-2</v>
      </c>
    </row>
    <row r="550" spans="1:7" x14ac:dyDescent="0.25">
      <c r="A550" s="6">
        <v>44043</v>
      </c>
      <c r="B550" s="2">
        <f>74299907-24189131-1168663+559193</f>
        <v>49501306</v>
      </c>
      <c r="C550" s="2">
        <f>81291165-9292133-24189131</f>
        <v>47809901</v>
      </c>
      <c r="D550" s="2">
        <v>29068</v>
      </c>
      <c r="E550" s="2">
        <f>B550-C550-D550</f>
        <v>1662337</v>
      </c>
      <c r="F550" s="7">
        <f>E550/B550</f>
        <v>3.3581679642957302E-2</v>
      </c>
    </row>
    <row r="551" spans="1:7" x14ac:dyDescent="0.25">
      <c r="A551" s="6"/>
      <c r="B551" s="2">
        <f>+B550+B548+B546+B544+B542+B540+B538+B536+B534+B532+B530+B528</f>
        <v>531463735</v>
      </c>
      <c r="C551" s="2">
        <f>+C550+C548+C546+C544+C542+C540+C538+C536+C534+C532+C530+C528</f>
        <v>519519333</v>
      </c>
      <c r="D551" s="2">
        <f>+D550+D548+D546+D544+D542+D540+D538+D536+D534+D532+D530+D528</f>
        <v>514687</v>
      </c>
      <c r="E551" s="2">
        <f t="shared" ref="E551" si="92">B551-C551-D551</f>
        <v>11429715</v>
      </c>
      <c r="G551" s="7">
        <f>E551/B551</f>
        <v>2.1506105209605695E-2</v>
      </c>
    </row>
    <row r="552" spans="1:7" x14ac:dyDescent="0.25">
      <c r="A552" s="6">
        <v>44074</v>
      </c>
      <c r="B552" s="2">
        <f>68161346-23375524+571774</f>
        <v>45357596</v>
      </c>
      <c r="C552" s="2">
        <f>86230365-19198559-23375524</f>
        <v>43656282</v>
      </c>
      <c r="D552" s="2">
        <v>25702</v>
      </c>
      <c r="E552" s="2">
        <f>B552-C552-D552</f>
        <v>1675612</v>
      </c>
      <c r="F552" s="7">
        <f>E552/B552</f>
        <v>3.6942257698137262E-2</v>
      </c>
    </row>
    <row r="553" spans="1:7" x14ac:dyDescent="0.25">
      <c r="A553" s="6"/>
      <c r="B553" s="2">
        <f>+B552+B550+B548+B546+B544+B542+B540+B538+B536+B534+B532+B530</f>
        <v>528995368</v>
      </c>
      <c r="C553" s="2">
        <f>+C552+C550+C548+C546+C544+C542+C540+C538+C536+C534+C532+C530</f>
        <v>516861791</v>
      </c>
      <c r="D553" s="2">
        <f>+D552+D550+D548+D546+D544+D542+D540+D538+D536+D534+D532+D530</f>
        <v>509061</v>
      </c>
      <c r="E553" s="2">
        <f t="shared" ref="E553" si="93">B553-C553-D553</f>
        <v>11624516</v>
      </c>
      <c r="G553" s="7">
        <f>E553/B553</f>
        <v>2.197470281063028E-2</v>
      </c>
    </row>
    <row r="554" spans="1:7" x14ac:dyDescent="0.25">
      <c r="A554" s="6">
        <v>44104</v>
      </c>
      <c r="B554" s="2">
        <f>60791281-23479282+474255</f>
        <v>37786254</v>
      </c>
      <c r="C554" s="2">
        <f>81162710-20633539-23479282</f>
        <v>37049889</v>
      </c>
      <c r="D554" s="2">
        <v>22578</v>
      </c>
      <c r="E554" s="2">
        <f>B554-C554-D554</f>
        <v>713787</v>
      </c>
      <c r="F554" s="7">
        <f>E554/B554</f>
        <v>1.8890123376612035E-2</v>
      </c>
    </row>
    <row r="555" spans="1:7" x14ac:dyDescent="0.25">
      <c r="A555" s="6"/>
      <c r="B555" s="2">
        <f>+B554+B552+B550+B548+B546+B544+B542+B540+B538+B536+B534+B532</f>
        <v>522731217</v>
      </c>
      <c r="C555" s="2">
        <f>+C554+C552+C550+C548+C546+C544+C542+C540+C538+C536+C534+C532</f>
        <v>511546151</v>
      </c>
      <c r="D555" s="2">
        <f>+D554+D552+D550+D548+D546+D544+D542+D540+D538+D536+D534+D532</f>
        <v>502628</v>
      </c>
      <c r="E555" s="2">
        <f t="shared" ref="E555" si="94">B555-C555-D555</f>
        <v>10682438</v>
      </c>
      <c r="G555" s="7">
        <f>E555/B555</f>
        <v>2.0435814148057663E-2</v>
      </c>
    </row>
    <row r="556" spans="1:7" x14ac:dyDescent="0.25">
      <c r="A556" s="6">
        <v>44135</v>
      </c>
      <c r="B556" s="2">
        <f>62529558-23666582-2620953+563747</f>
        <v>36805770</v>
      </c>
      <c r="C556" s="2">
        <f>81798804-21287072-23666582</f>
        <v>36845150</v>
      </c>
      <c r="D556" s="2">
        <v>30642</v>
      </c>
      <c r="E556" s="2">
        <f>B556-C556-D556</f>
        <v>-70022</v>
      </c>
      <c r="F556" s="7">
        <f>E556/B556</f>
        <v>-1.9024734437018979E-3</v>
      </c>
    </row>
    <row r="557" spans="1:7" x14ac:dyDescent="0.25">
      <c r="A557" s="6"/>
      <c r="B557" s="2">
        <f>+B556+B554+B552+B550+B548+B546+B544+B542+B540+B538+B536+B534</f>
        <v>520250064</v>
      </c>
      <c r="C557" s="2">
        <f>+C556+C554+C552+C550+C548+C546+C544+C542+C540+C538+C536+C534</f>
        <v>510525611</v>
      </c>
      <c r="D557" s="2">
        <f>+D556+D554+D552+D550+D548+D546+D544+D542+D540+D538+D536+D534</f>
        <v>502284</v>
      </c>
      <c r="E557" s="2">
        <f t="shared" ref="E557" si="95">B557-C557-D557</f>
        <v>9222169</v>
      </c>
      <c r="G557" s="7">
        <f>E557/B557</f>
        <v>1.7726415887572098E-2</v>
      </c>
    </row>
    <row r="558" spans="1:7" x14ac:dyDescent="0.25">
      <c r="A558" s="6">
        <v>44165</v>
      </c>
      <c r="B558" s="2">
        <f>67440098-23644839-45825+554676</f>
        <v>44304110</v>
      </c>
      <c r="C558" s="2">
        <f>86963290-23644839-20900424</f>
        <v>42418027</v>
      </c>
      <c r="D558" s="2">
        <v>52633</v>
      </c>
      <c r="E558" s="2">
        <f>B558-C558-D558</f>
        <v>1833450</v>
      </c>
      <c r="F558" s="7">
        <f>E558/B558</f>
        <v>4.1383293784707557E-2</v>
      </c>
    </row>
    <row r="559" spans="1:7" x14ac:dyDescent="0.25">
      <c r="A559" s="6"/>
      <c r="B559" s="2">
        <f>+B558+B556+B554+B552+B550+B548+B546+B544+B542+B540+B538+B536</f>
        <v>516926674</v>
      </c>
      <c r="C559" s="2">
        <f>+C558+C556+C554+C552+C550+C548+C546+C544+C542+C540+C538+C536</f>
        <v>507225995</v>
      </c>
      <c r="D559" s="2">
        <f>+D558+D556+D554+D552+D550+D548+D546+D544+D542+D540+D538+D536</f>
        <v>495062</v>
      </c>
      <c r="E559" s="2">
        <f t="shared" ref="E559" si="96">B559-C559-D559</f>
        <v>9205617</v>
      </c>
      <c r="G559" s="7">
        <f>E559/B559</f>
        <v>1.7808361346042668E-2</v>
      </c>
    </row>
    <row r="560" spans="1:7" x14ac:dyDescent="0.25">
      <c r="A560" s="6">
        <v>44196</v>
      </c>
      <c r="B560" s="2">
        <f>82545522-23111711+580413</f>
        <v>60014224</v>
      </c>
      <c r="C560" s="2">
        <f>99329167-20073321-23111711</f>
        <v>56144135</v>
      </c>
      <c r="D560" s="2">
        <v>80378</v>
      </c>
      <c r="E560" s="2">
        <f>B560-C560-D560</f>
        <v>3789711</v>
      </c>
      <c r="F560" s="7">
        <f>E560/B560</f>
        <v>6.314687997965282E-2</v>
      </c>
    </row>
    <row r="561" spans="1:7" x14ac:dyDescent="0.25">
      <c r="A561" s="6"/>
      <c r="B561" s="2">
        <f>+B560+B558+B556+B554+B552+B550+B548+B546+B544+B542+B540+B538</f>
        <v>526639555</v>
      </c>
      <c r="C561" s="2">
        <f>+C560+C558+C556+C554+C552+C550+C548+C546+C544+C542+C540+C538</f>
        <v>514314462</v>
      </c>
      <c r="D561" s="2">
        <f>+D560+D558+D556+D554+D552+D550+D548+D546+D544+D542+D540+D538</f>
        <v>516312</v>
      </c>
      <c r="E561" s="2">
        <f t="shared" ref="E561" si="97">B561-C561-D561</f>
        <v>11808781</v>
      </c>
      <c r="G561" s="7">
        <f>E561/B561</f>
        <v>2.2422890358093212E-2</v>
      </c>
    </row>
    <row r="562" spans="1:7" x14ac:dyDescent="0.25">
      <c r="A562" s="6">
        <v>44227</v>
      </c>
      <c r="B562" s="2">
        <f>87115471-24127138+560660</f>
        <v>63548993</v>
      </c>
      <c r="C562" s="2">
        <f>103797668-19061617-24127138</f>
        <v>60608913</v>
      </c>
      <c r="D562" s="2">
        <v>80132</v>
      </c>
      <c r="E562" s="2">
        <f>B562-C562-D562</f>
        <v>2859948</v>
      </c>
      <c r="F562" s="7">
        <f>E562/B562</f>
        <v>4.5003828778215259E-2</v>
      </c>
    </row>
    <row r="563" spans="1:7" x14ac:dyDescent="0.25">
      <c r="A563" s="6"/>
      <c r="B563" s="2">
        <f>+B562+B560+B558+B556+B554+B552+B550+B548+B546+B544+B542+B540</f>
        <v>538997837</v>
      </c>
      <c r="C563" s="2">
        <f>+C562+C560+C558+C556+C554+C552+C550+C548+C546+C544+C542+C540</f>
        <v>525499115</v>
      </c>
      <c r="D563" s="2">
        <f>+D562+D560+D558+D556+D554+D552+D550+D548+D546+D544+D542+D540</f>
        <v>533191</v>
      </c>
      <c r="E563" s="2">
        <f t="shared" ref="E563" si="98">B563-C563-D563</f>
        <v>12965531</v>
      </c>
      <c r="G563" s="7">
        <f>E563/B563</f>
        <v>2.4054885029158288E-2</v>
      </c>
    </row>
    <row r="564" spans="1:7" x14ac:dyDescent="0.25">
      <c r="A564" s="6">
        <v>44255</v>
      </c>
      <c r="B564" s="2">
        <f>83277022-21618506+480489</f>
        <v>62139005</v>
      </c>
      <c r="C564" s="2">
        <f>93286448-21618506-9562259</f>
        <v>62105683</v>
      </c>
      <c r="D564" s="2">
        <v>90928</v>
      </c>
      <c r="E564" s="2">
        <f>B564-C564-D564</f>
        <v>-57606</v>
      </c>
      <c r="F564" s="7">
        <f>E564/B564</f>
        <v>-9.2705056992785774E-4</v>
      </c>
    </row>
    <row r="565" spans="1:7" x14ac:dyDescent="0.25">
      <c r="A565" s="6"/>
      <c r="B565" s="2">
        <f>+B564+B562+B560+B558+B556+B554+B552+B550+B548+B546+B544+B542</f>
        <v>548893547</v>
      </c>
      <c r="C565" s="2">
        <f>+C564+C562+C560+C558+C556+C554+C552+C550+C548+C546+C544+C542</f>
        <v>537398818</v>
      </c>
      <c r="D565" s="2">
        <f>+D564+D562+D560+D558+D556+D554+D552+D550+D548+D546+D544+D542</f>
        <v>564406</v>
      </c>
      <c r="E565" s="2">
        <f t="shared" ref="E565" si="99">B565-C565-D565</f>
        <v>10930323</v>
      </c>
      <c r="G565" s="7">
        <f>E565/B565</f>
        <v>1.9913374933518756E-2</v>
      </c>
    </row>
    <row r="566" spans="1:7" x14ac:dyDescent="0.25">
      <c r="A566" s="6">
        <v>44286</v>
      </c>
      <c r="B566" s="2">
        <f>71453960-23925547+569856</f>
        <v>48098269</v>
      </c>
      <c r="C566" s="2">
        <f>88823822-19240043-23925547</f>
        <v>45658232</v>
      </c>
      <c r="D566" s="2">
        <v>59445</v>
      </c>
      <c r="E566" s="2">
        <f>B566-C566-D566</f>
        <v>2380592</v>
      </c>
      <c r="F566" s="7">
        <f>E566/B566</f>
        <v>4.9494338351344827E-2</v>
      </c>
    </row>
    <row r="567" spans="1:7" x14ac:dyDescent="0.25">
      <c r="A567" s="6"/>
      <c r="B567" s="2">
        <f>+B566+B564+B562+B560+B558+B556+B554+B552+B550+B548+B546+B544</f>
        <v>555818731</v>
      </c>
      <c r="C567" s="2">
        <f>+C566+C564+C562+C560+C558+C556+C554+C552+C550+C548+C546+C544</f>
        <v>542217371</v>
      </c>
      <c r="D567" s="2">
        <f>+D566+D564+D562+D560+D558+D556+D554+D552+D550+D548+D546+D544</f>
        <v>571915</v>
      </c>
      <c r="E567" s="2">
        <f t="shared" ref="E567" si="100">B567-C567-D567</f>
        <v>13029445</v>
      </c>
      <c r="G567" s="7">
        <f>E567/B567</f>
        <v>2.3441896203386495E-2</v>
      </c>
    </row>
  </sheetData>
  <mergeCells count="1">
    <mergeCell ref="A4:G4"/>
  </mergeCells>
  <pageMargins left="0.7" right="0.7" top="0.75" bottom="0.75" header="0.3" footer="0.3"/>
  <pageSetup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2"/>
  <sheetViews>
    <sheetView workbookViewId="0">
      <pane ySplit="8" topLeftCell="A268" activePane="bottomLeft" state="frozen"/>
      <selection activeCell="B387" sqref="B387"/>
      <selection pane="bottomLeft" activeCell="A283" sqref="A283"/>
    </sheetView>
  </sheetViews>
  <sheetFormatPr defaultRowHeight="15" x14ac:dyDescent="0.25"/>
  <cols>
    <col min="1" max="1" width="12.42578125" customWidth="1"/>
    <col min="2" max="2" width="15.140625" customWidth="1"/>
    <col min="3" max="3" width="11.42578125" customWidth="1"/>
    <col min="4" max="4" width="15.42578125" customWidth="1"/>
    <col min="5" max="5" width="17.140625" customWidth="1"/>
    <col min="6" max="6" width="15.28515625" customWidth="1"/>
    <col min="7" max="7" width="16.85546875" customWidth="1"/>
    <col min="8" max="8" width="13.42578125" customWidth="1"/>
  </cols>
  <sheetData>
    <row r="1" spans="1:8" x14ac:dyDescent="0.25">
      <c r="A1" t="s">
        <v>19</v>
      </c>
    </row>
    <row r="3" spans="1:8" x14ac:dyDescent="0.25">
      <c r="A3" t="s">
        <v>20</v>
      </c>
    </row>
    <row r="5" spans="1:8" x14ac:dyDescent="0.25">
      <c r="A5" s="4"/>
      <c r="B5" s="4"/>
      <c r="C5" s="4"/>
      <c r="D5" s="4"/>
      <c r="E5" s="4"/>
      <c r="F5" s="4" t="s">
        <v>21</v>
      </c>
      <c r="G5" s="4"/>
      <c r="H5" s="4"/>
    </row>
    <row r="6" spans="1:8" x14ac:dyDescent="0.25">
      <c r="A6" s="4" t="s">
        <v>22</v>
      </c>
      <c r="B6" s="4" t="s">
        <v>23</v>
      </c>
      <c r="C6" s="4" t="s">
        <v>24</v>
      </c>
      <c r="D6" s="4" t="s">
        <v>23</v>
      </c>
      <c r="E6" s="4" t="s">
        <v>25</v>
      </c>
      <c r="F6" s="4" t="s">
        <v>12</v>
      </c>
      <c r="G6" s="4" t="s">
        <v>26</v>
      </c>
      <c r="H6" s="4" t="s">
        <v>27</v>
      </c>
    </row>
    <row r="7" spans="1:8" x14ac:dyDescent="0.25">
      <c r="A7" s="4" t="s">
        <v>12</v>
      </c>
      <c r="B7" s="4" t="s">
        <v>28</v>
      </c>
      <c r="C7" s="4" t="s">
        <v>15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</row>
    <row r="8" spans="1:8" x14ac:dyDescent="0.25">
      <c r="A8" s="5"/>
      <c r="B8" s="5"/>
      <c r="C8" s="5"/>
      <c r="D8" s="5"/>
      <c r="E8" s="5"/>
      <c r="F8" s="5" t="s">
        <v>34</v>
      </c>
      <c r="G8" s="5" t="s">
        <v>31</v>
      </c>
      <c r="H8" s="5" t="s">
        <v>35</v>
      </c>
    </row>
    <row r="10" spans="1:8" x14ac:dyDescent="0.25">
      <c r="A10" t="s">
        <v>36</v>
      </c>
      <c r="B10" s="12">
        <v>-129877.53</v>
      </c>
      <c r="C10" s="12">
        <v>-178.29</v>
      </c>
      <c r="D10" s="12">
        <v>-130055.82</v>
      </c>
      <c r="E10" s="12">
        <v>-111635.67</v>
      </c>
      <c r="F10" s="12">
        <v>18420.150000000001</v>
      </c>
      <c r="G10" s="12">
        <v>15224.12</v>
      </c>
      <c r="H10" s="11">
        <v>-2.8999999999999998E-3</v>
      </c>
    </row>
    <row r="11" spans="1:8" x14ac:dyDescent="0.25">
      <c r="A11" t="s">
        <v>37</v>
      </c>
      <c r="B11" s="12">
        <v>-118975.88</v>
      </c>
      <c r="C11" s="12">
        <v>-202.07</v>
      </c>
      <c r="D11" s="12">
        <v>-119177.95</v>
      </c>
      <c r="E11" s="12">
        <v>-112424.42</v>
      </c>
      <c r="F11" s="12">
        <v>6753.53</v>
      </c>
      <c r="G11" s="12">
        <v>21977.65</v>
      </c>
      <c r="H11" s="11">
        <v>-2.5500000000000002E-3</v>
      </c>
    </row>
    <row r="12" spans="1:8" x14ac:dyDescent="0.25">
      <c r="A12" t="s">
        <v>38</v>
      </c>
      <c r="B12" s="12">
        <v>-101758.25</v>
      </c>
      <c r="C12" s="12">
        <v>-154.51</v>
      </c>
      <c r="D12" s="12">
        <v>-101912.76</v>
      </c>
      <c r="E12" s="12">
        <v>-121565.85</v>
      </c>
      <c r="F12" s="12">
        <v>-19653.09</v>
      </c>
      <c r="G12" s="12">
        <v>2324.56</v>
      </c>
      <c r="H12" s="11">
        <v>-2.6099999999999999E-3</v>
      </c>
    </row>
    <row r="13" spans="1:8" x14ac:dyDescent="0.25">
      <c r="A13" t="s">
        <v>39</v>
      </c>
      <c r="B13" s="12">
        <v>-119036.2</v>
      </c>
      <c r="C13" s="12">
        <v>-169.71</v>
      </c>
      <c r="D13" s="12">
        <v>-119205.91</v>
      </c>
      <c r="E13" s="12">
        <v>-113283.47</v>
      </c>
      <c r="F13" s="12">
        <v>5922.44</v>
      </c>
      <c r="G13" s="12">
        <v>8247</v>
      </c>
      <c r="H13" s="11">
        <v>-2.9099999999999998E-3</v>
      </c>
    </row>
    <row r="14" spans="1:8" x14ac:dyDescent="0.25">
      <c r="A14" t="s">
        <v>40</v>
      </c>
      <c r="B14" s="12">
        <v>-130918.37</v>
      </c>
      <c r="C14" s="12">
        <v>-93.65</v>
      </c>
      <c r="D14" s="12">
        <v>-131012.02</v>
      </c>
      <c r="E14" s="12">
        <v>-160232.09</v>
      </c>
      <c r="F14" s="12">
        <v>-29220.07</v>
      </c>
      <c r="G14" s="12">
        <v>-20973.07</v>
      </c>
      <c r="H14" s="11">
        <v>-3.7299999999999998E-3</v>
      </c>
    </row>
    <row r="15" spans="1:8" x14ac:dyDescent="0.25">
      <c r="A15" t="s">
        <v>41</v>
      </c>
      <c r="B15" s="12">
        <v>-33942.54</v>
      </c>
      <c r="C15" s="12">
        <v>-20.9</v>
      </c>
      <c r="D15" s="12">
        <v>-33963.440000000002</v>
      </c>
      <c r="E15" s="12">
        <v>-32652.560000000001</v>
      </c>
      <c r="F15" s="12">
        <v>1310.88</v>
      </c>
      <c r="G15" s="12">
        <v>-19662.189999999999</v>
      </c>
      <c r="H15" s="11">
        <v>-9.8999999999999999E-4</v>
      </c>
    </row>
    <row r="16" spans="1:8" x14ac:dyDescent="0.25">
      <c r="A16" t="s">
        <v>42</v>
      </c>
      <c r="B16" s="12">
        <v>-62659.15</v>
      </c>
      <c r="C16" s="12">
        <v>-41.32</v>
      </c>
      <c r="D16" s="12">
        <v>-62700.47</v>
      </c>
      <c r="E16" s="12">
        <v>-56444.07</v>
      </c>
      <c r="F16" s="12">
        <v>6256.4</v>
      </c>
      <c r="G16" s="12">
        <v>-13405.79</v>
      </c>
      <c r="H16" s="11">
        <v>-1.6100000000000001E-3</v>
      </c>
    </row>
    <row r="17" spans="1:8" x14ac:dyDescent="0.25">
      <c r="A17" t="s">
        <v>43</v>
      </c>
      <c r="B17" s="12">
        <v>-66522.78</v>
      </c>
      <c r="C17" s="12">
        <v>-44.22</v>
      </c>
      <c r="D17" s="12">
        <v>-66567</v>
      </c>
      <c r="E17" s="12">
        <v>-58815.12</v>
      </c>
      <c r="F17" s="12">
        <v>7751.88</v>
      </c>
      <c r="G17" s="12">
        <v>-5653.91</v>
      </c>
      <c r="H17" s="11">
        <v>-1.56E-3</v>
      </c>
    </row>
    <row r="18" spans="1:8" x14ac:dyDescent="0.25">
      <c r="A18" t="s">
        <v>44</v>
      </c>
      <c r="B18" s="12">
        <v>1426.3</v>
      </c>
      <c r="C18" s="12">
        <v>0.79</v>
      </c>
      <c r="D18" s="12">
        <v>1427.09</v>
      </c>
      <c r="E18" s="12">
        <v>1456.4</v>
      </c>
      <c r="F18" s="12">
        <v>29.31</v>
      </c>
      <c r="G18" s="12">
        <v>-5624.6</v>
      </c>
      <c r="H18" s="11">
        <v>3.0000000000000001E-5</v>
      </c>
    </row>
    <row r="19" spans="1:8" x14ac:dyDescent="0.25">
      <c r="A19" t="s">
        <v>45</v>
      </c>
      <c r="B19" s="12">
        <v>48235.35</v>
      </c>
      <c r="C19" s="12">
        <v>25.03</v>
      </c>
      <c r="D19" s="12">
        <v>48260.38</v>
      </c>
      <c r="E19" s="12">
        <v>53455.88</v>
      </c>
      <c r="F19" s="12">
        <v>5195.5</v>
      </c>
      <c r="G19" s="12">
        <v>-429.1</v>
      </c>
      <c r="H19" s="11">
        <v>1.31E-3</v>
      </c>
    </row>
    <row r="20" spans="1:8" x14ac:dyDescent="0.25">
      <c r="A20" t="s">
        <v>46</v>
      </c>
      <c r="B20" s="12">
        <v>-46346.54</v>
      </c>
      <c r="C20" s="12">
        <v>-32.409999999999997</v>
      </c>
      <c r="D20" s="12">
        <v>-46378.95</v>
      </c>
      <c r="E20" s="12">
        <v>-47990.31</v>
      </c>
      <c r="F20" s="12">
        <v>-1611.36</v>
      </c>
      <c r="G20" s="12">
        <v>-2040.46</v>
      </c>
      <c r="H20" s="11">
        <v>-1.3500000000000001E-3</v>
      </c>
    </row>
    <row r="21" spans="1:8" x14ac:dyDescent="0.25">
      <c r="A21" t="s">
        <v>47</v>
      </c>
      <c r="B21" s="12">
        <v>-50546.74</v>
      </c>
      <c r="C21" s="12">
        <v>-49.03</v>
      </c>
      <c r="D21" s="12">
        <v>-50595.77</v>
      </c>
      <c r="E21" s="12">
        <v>-48684.5</v>
      </c>
      <c r="F21" s="12">
        <v>1911.27</v>
      </c>
      <c r="G21" s="12">
        <v>-129.19</v>
      </c>
      <c r="H21" s="11">
        <v>-1.3500000000000001E-3</v>
      </c>
    </row>
    <row r="22" spans="1:8" x14ac:dyDescent="0.25">
      <c r="A22" t="s">
        <v>48</v>
      </c>
      <c r="B22" s="12">
        <v>-4894.38</v>
      </c>
      <c r="C22" s="12">
        <v>-7.23</v>
      </c>
      <c r="D22" s="12">
        <v>-4901.6099999999997</v>
      </c>
      <c r="E22" s="12">
        <v>-4054.36</v>
      </c>
      <c r="F22" s="12">
        <v>847.25</v>
      </c>
      <c r="G22" s="12">
        <v>718.06</v>
      </c>
      <c r="H22" s="11">
        <v>-1.1E-4</v>
      </c>
    </row>
    <row r="23" spans="1:8" x14ac:dyDescent="0.25">
      <c r="A23" t="s">
        <v>49</v>
      </c>
      <c r="B23" s="12">
        <v>-44987.72</v>
      </c>
      <c r="C23" s="12">
        <v>-69.7</v>
      </c>
      <c r="D23" s="12">
        <v>-45057.42</v>
      </c>
      <c r="E23" s="12">
        <v>-40494.730000000003</v>
      </c>
      <c r="F23" s="12">
        <v>4562.6899999999996</v>
      </c>
      <c r="G23" s="12">
        <v>5280.75</v>
      </c>
      <c r="H23" s="11">
        <v>-8.4999999999999995E-4</v>
      </c>
    </row>
    <row r="24" spans="1:8" x14ac:dyDescent="0.25">
      <c r="A24" t="s">
        <v>50</v>
      </c>
      <c r="B24" s="12">
        <v>-50399.62</v>
      </c>
      <c r="C24" s="12">
        <v>-66.400000000000006</v>
      </c>
      <c r="D24" s="12">
        <v>-50466.02</v>
      </c>
      <c r="E24" s="12">
        <v>-55892.75</v>
      </c>
      <c r="F24" s="12">
        <v>-5426.73</v>
      </c>
      <c r="G24" s="12">
        <v>-145.97999999999999</v>
      </c>
      <c r="H24" s="11">
        <v>-1.08E-3</v>
      </c>
    </row>
    <row r="25" spans="1:8" x14ac:dyDescent="0.25">
      <c r="A25" t="s">
        <v>51</v>
      </c>
      <c r="B25" s="12">
        <v>6353.52</v>
      </c>
      <c r="C25" s="12">
        <v>5.83</v>
      </c>
      <c r="D25" s="12">
        <v>6359.35</v>
      </c>
      <c r="E25" s="12">
        <v>6445.69</v>
      </c>
      <c r="F25" s="12">
        <v>86.34</v>
      </c>
      <c r="G25" s="12">
        <v>-59.64</v>
      </c>
      <c r="H25" s="11">
        <v>1.4999999999999999E-4</v>
      </c>
    </row>
    <row r="26" spans="1:8" x14ac:dyDescent="0.25">
      <c r="A26" t="s">
        <v>52</v>
      </c>
      <c r="B26" s="12">
        <v>-25171.75</v>
      </c>
      <c r="C26" s="12">
        <v>-19.399999999999999</v>
      </c>
      <c r="D26" s="12">
        <v>-25191.15</v>
      </c>
      <c r="E26" s="12">
        <v>-27062.73</v>
      </c>
      <c r="F26" s="12">
        <v>-1871.58</v>
      </c>
      <c r="G26" s="12">
        <v>-1931.22</v>
      </c>
      <c r="H26" s="11">
        <v>-6.3000000000000003E-4</v>
      </c>
    </row>
    <row r="27" spans="1:8" x14ac:dyDescent="0.25">
      <c r="A27" t="s">
        <v>53</v>
      </c>
      <c r="B27" s="12">
        <v>-39986.6</v>
      </c>
      <c r="C27" s="12">
        <v>-20.32</v>
      </c>
      <c r="D27" s="12">
        <v>-40006.92</v>
      </c>
      <c r="E27" s="12">
        <v>-37940.660000000003</v>
      </c>
      <c r="F27" s="12">
        <v>2066.2600000000002</v>
      </c>
      <c r="G27" s="12">
        <v>135.04</v>
      </c>
      <c r="H27" s="11">
        <v>-1E-3</v>
      </c>
    </row>
    <row r="28" spans="1:8" x14ac:dyDescent="0.25">
      <c r="A28" t="s">
        <v>54</v>
      </c>
      <c r="B28" s="12">
        <v>2728.92</v>
      </c>
      <c r="C28" s="12">
        <v>1.42</v>
      </c>
      <c r="D28" s="12">
        <v>2730.34</v>
      </c>
      <c r="E28" s="12">
        <v>2623.42</v>
      </c>
      <c r="F28" s="12">
        <v>-106.92</v>
      </c>
      <c r="G28" s="12">
        <v>28.12</v>
      </c>
      <c r="H28" s="11">
        <v>6.0000000000000002E-5</v>
      </c>
    </row>
    <row r="29" spans="1:8" x14ac:dyDescent="0.25">
      <c r="A29" t="s">
        <v>55</v>
      </c>
      <c r="B29" s="12">
        <v>-47826.720000000001</v>
      </c>
      <c r="C29" s="12">
        <v>-25.7</v>
      </c>
      <c r="D29" s="12">
        <v>-47852.42</v>
      </c>
      <c r="E29" s="12">
        <v>-48371.74</v>
      </c>
      <c r="F29" s="12">
        <v>-519.32000000000005</v>
      </c>
      <c r="G29" s="12">
        <v>-491.2</v>
      </c>
      <c r="H29" s="11">
        <v>-1.1000000000000001E-3</v>
      </c>
    </row>
    <row r="30" spans="1:8" x14ac:dyDescent="0.25">
      <c r="A30" t="s">
        <v>56</v>
      </c>
      <c r="B30" s="12">
        <v>-35194.6</v>
      </c>
      <c r="C30" s="12">
        <v>-18.04</v>
      </c>
      <c r="D30" s="12">
        <v>-35212.639999999999</v>
      </c>
      <c r="E30" s="12">
        <v>-35349.919999999998</v>
      </c>
      <c r="F30" s="12">
        <v>-137.28</v>
      </c>
      <c r="G30" s="12">
        <v>-628.48</v>
      </c>
      <c r="H30" s="11">
        <v>-8.0000000000000004E-4</v>
      </c>
    </row>
    <row r="31" spans="1:8" x14ac:dyDescent="0.25">
      <c r="A31" t="s">
        <v>57</v>
      </c>
      <c r="B31" s="12">
        <v>-22663.84</v>
      </c>
      <c r="C31" s="12">
        <v>-9.52</v>
      </c>
      <c r="D31" s="12">
        <v>-22673.360000000001</v>
      </c>
      <c r="E31" s="12">
        <v>-24889.32</v>
      </c>
      <c r="F31" s="12">
        <v>-2215.96</v>
      </c>
      <c r="G31" s="12">
        <v>-2844.44</v>
      </c>
      <c r="H31" s="11">
        <v>-5.4000000000000001E-4</v>
      </c>
    </row>
    <row r="32" spans="1:8" x14ac:dyDescent="0.25">
      <c r="A32" t="s">
        <v>58</v>
      </c>
      <c r="B32" s="12">
        <v>-8715.08</v>
      </c>
      <c r="C32" s="12">
        <v>-4.4000000000000004</v>
      </c>
      <c r="D32" s="12">
        <v>-8719.48</v>
      </c>
      <c r="E32" s="12">
        <v>-8670.2800000000007</v>
      </c>
      <c r="F32" s="12">
        <v>49.2</v>
      </c>
      <c r="G32" s="12">
        <v>-2795.24</v>
      </c>
      <c r="H32" s="11">
        <v>-2.1000000000000001E-4</v>
      </c>
    </row>
    <row r="33" spans="1:8" x14ac:dyDescent="0.25">
      <c r="A33" t="s">
        <v>59</v>
      </c>
      <c r="B33" s="12">
        <v>-35659.49</v>
      </c>
      <c r="C33" s="12">
        <v>-40.92</v>
      </c>
      <c r="D33" s="12">
        <v>-35700.410000000003</v>
      </c>
      <c r="E33" s="12">
        <v>-33505.96</v>
      </c>
      <c r="F33" s="12">
        <v>2194.4499999999998</v>
      </c>
      <c r="G33" s="12">
        <v>-600.79</v>
      </c>
      <c r="H33" s="11">
        <v>-8.0000000000000004E-4</v>
      </c>
    </row>
    <row r="34" spans="1:8" x14ac:dyDescent="0.25">
      <c r="A34" t="s">
        <v>60</v>
      </c>
      <c r="B34" s="12">
        <v>38857.839999999997</v>
      </c>
      <c r="C34" s="12">
        <v>59.37</v>
      </c>
      <c r="D34" s="12">
        <v>38917.21</v>
      </c>
      <c r="E34" s="12">
        <v>30812.2</v>
      </c>
      <c r="F34" s="12">
        <v>-8105.01</v>
      </c>
      <c r="G34" s="12">
        <v>-8705.7999999999993</v>
      </c>
      <c r="H34" s="11">
        <v>6.6E-4</v>
      </c>
    </row>
    <row r="35" spans="1:8" x14ac:dyDescent="0.25">
      <c r="A35" t="s">
        <v>61</v>
      </c>
      <c r="B35" s="12">
        <v>124115.58</v>
      </c>
      <c r="C35" s="12">
        <v>202.03</v>
      </c>
      <c r="D35" s="12">
        <v>124317.61</v>
      </c>
      <c r="E35" s="12">
        <v>127055.45</v>
      </c>
      <c r="F35" s="12">
        <v>2737.84</v>
      </c>
      <c r="G35" s="12">
        <v>-5967.96</v>
      </c>
      <c r="H35" s="11">
        <v>2.0699999999999998E-3</v>
      </c>
    </row>
    <row r="36" spans="1:8" x14ac:dyDescent="0.25">
      <c r="A36" t="s">
        <v>62</v>
      </c>
      <c r="B36" s="12">
        <v>367421.79</v>
      </c>
      <c r="C36" s="12">
        <v>471.51</v>
      </c>
      <c r="D36" s="12">
        <v>367893.3</v>
      </c>
      <c r="E36" s="12">
        <v>432277.99</v>
      </c>
      <c r="F36" s="12">
        <v>64384.69</v>
      </c>
      <c r="G36" s="12">
        <v>58416.73</v>
      </c>
      <c r="H36" s="11">
        <v>7.6099999999999996E-3</v>
      </c>
    </row>
    <row r="37" spans="1:8" x14ac:dyDescent="0.25">
      <c r="A37" t="s">
        <v>63</v>
      </c>
      <c r="B37" s="12">
        <v>138506.26</v>
      </c>
      <c r="C37" s="12">
        <v>167.74</v>
      </c>
      <c r="D37" s="12">
        <v>138674</v>
      </c>
      <c r="E37" s="12">
        <v>133071.84</v>
      </c>
      <c r="F37" s="12">
        <v>-5602.16</v>
      </c>
      <c r="G37" s="12">
        <v>52814.57</v>
      </c>
      <c r="H37" s="11">
        <v>2.8900000000000002E-3</v>
      </c>
    </row>
    <row r="38" spans="1:8" x14ac:dyDescent="0.25">
      <c r="A38" t="s">
        <v>64</v>
      </c>
      <c r="B38" s="12">
        <v>90742.77</v>
      </c>
      <c r="C38" s="12">
        <v>53.75</v>
      </c>
      <c r="D38" s="12">
        <v>90796.52</v>
      </c>
      <c r="E38" s="12">
        <v>109230.69</v>
      </c>
      <c r="F38" s="12">
        <v>18434.169999999998</v>
      </c>
      <c r="G38" s="12">
        <v>71248.740000000005</v>
      </c>
      <c r="H38" s="11">
        <v>2.1800000000000001E-3</v>
      </c>
    </row>
    <row r="39" spans="1:8" x14ac:dyDescent="0.25">
      <c r="A39" t="s">
        <v>65</v>
      </c>
      <c r="B39" s="12">
        <v>21462.79</v>
      </c>
      <c r="C39" s="12">
        <v>9.25</v>
      </c>
      <c r="D39" s="12">
        <v>21472.04</v>
      </c>
      <c r="E39" s="12">
        <v>21446.84</v>
      </c>
      <c r="F39" s="12">
        <v>-25.2</v>
      </c>
      <c r="G39" s="12">
        <v>71223.539999999994</v>
      </c>
      <c r="H39" s="11">
        <v>5.2999999999999998E-4</v>
      </c>
    </row>
    <row r="40" spans="1:8" x14ac:dyDescent="0.25">
      <c r="A40" t="s">
        <v>66</v>
      </c>
      <c r="B40" s="12">
        <v>68003.789999999994</v>
      </c>
      <c r="C40" s="12">
        <v>35.799999999999997</v>
      </c>
      <c r="D40" s="12">
        <v>68039.59</v>
      </c>
      <c r="E40" s="12">
        <v>66433.17</v>
      </c>
      <c r="F40" s="12">
        <v>-1606.42</v>
      </c>
      <c r="G40" s="12">
        <v>69617.119999999995</v>
      </c>
      <c r="H40" s="11">
        <v>1.6299999999999999E-3</v>
      </c>
    </row>
    <row r="41" spans="1:8" x14ac:dyDescent="0.25">
      <c r="A41" t="s">
        <v>67</v>
      </c>
      <c r="B41" s="12">
        <v>11241.51</v>
      </c>
      <c r="C41" s="12">
        <v>6.59</v>
      </c>
      <c r="D41" s="12">
        <v>11248.1</v>
      </c>
      <c r="E41" s="12">
        <v>10531.8</v>
      </c>
      <c r="F41" s="12">
        <v>-716.3</v>
      </c>
      <c r="G41" s="12">
        <v>68900.820000000007</v>
      </c>
      <c r="H41" s="11">
        <v>2.5000000000000001E-4</v>
      </c>
    </row>
    <row r="42" spans="1:8" x14ac:dyDescent="0.25">
      <c r="A42" t="s">
        <v>68</v>
      </c>
      <c r="B42" s="12">
        <v>69789.539999999994</v>
      </c>
      <c r="C42" s="12">
        <v>38.770000000000003</v>
      </c>
      <c r="D42" s="12">
        <v>69828.31</v>
      </c>
      <c r="E42" s="12">
        <v>65885.58</v>
      </c>
      <c r="F42" s="12">
        <v>-3942.73</v>
      </c>
      <c r="G42" s="12">
        <v>64958.09</v>
      </c>
      <c r="H42" s="11">
        <v>1.4300000000000001E-3</v>
      </c>
    </row>
    <row r="43" spans="1:8" x14ac:dyDescent="0.25">
      <c r="A43" t="s">
        <v>69</v>
      </c>
      <c r="B43" s="12">
        <v>100047.16</v>
      </c>
      <c r="C43" s="12">
        <v>48.31</v>
      </c>
      <c r="D43" s="12">
        <v>100095.47</v>
      </c>
      <c r="E43" s="12">
        <v>115865.7</v>
      </c>
      <c r="F43" s="12">
        <v>15770.23</v>
      </c>
      <c r="G43" s="12">
        <v>80728.320000000007</v>
      </c>
      <c r="H43" s="11">
        <v>2.4099999999999998E-3</v>
      </c>
    </row>
    <row r="44" spans="1:8" x14ac:dyDescent="0.25">
      <c r="A44" t="s">
        <v>70</v>
      </c>
      <c r="B44" s="12">
        <v>147231.09</v>
      </c>
      <c r="C44" s="12">
        <v>88.58</v>
      </c>
      <c r="D44" s="12">
        <v>147319.67000000001</v>
      </c>
      <c r="E44" s="12">
        <v>142104.26999999999</v>
      </c>
      <c r="F44" s="12">
        <v>-5215.3999999999996</v>
      </c>
      <c r="G44" s="12">
        <v>75512.92</v>
      </c>
      <c r="H44" s="11">
        <v>3.5699999999999998E-3</v>
      </c>
    </row>
    <row r="45" spans="1:8" x14ac:dyDescent="0.25">
      <c r="A45" t="s">
        <v>71</v>
      </c>
      <c r="B45" s="12">
        <v>165972.17000000001</v>
      </c>
      <c r="C45" s="12">
        <v>126.81</v>
      </c>
      <c r="D45" s="12">
        <v>166098.98000000001</v>
      </c>
      <c r="E45" s="12">
        <v>174224.23</v>
      </c>
      <c r="F45" s="12">
        <v>8125.25</v>
      </c>
      <c r="G45" s="12">
        <v>83638.17</v>
      </c>
      <c r="H45" s="11">
        <v>4.1900000000000001E-3</v>
      </c>
    </row>
    <row r="46" spans="1:8" x14ac:dyDescent="0.25">
      <c r="A46" t="s">
        <v>72</v>
      </c>
      <c r="B46" s="12">
        <v>-22518.21</v>
      </c>
      <c r="C46" s="12">
        <v>-99.2</v>
      </c>
      <c r="D46" s="12">
        <v>-22617.41</v>
      </c>
      <c r="E46" s="12">
        <v>-77316.399999999994</v>
      </c>
      <c r="F46" s="12">
        <v>-54698.99</v>
      </c>
      <c r="G46" s="12">
        <v>28939.18</v>
      </c>
      <c r="H46" s="11">
        <v>-1.8699999999999999E-3</v>
      </c>
    </row>
    <row r="47" spans="1:8" x14ac:dyDescent="0.25">
      <c r="A47" t="s">
        <v>73</v>
      </c>
      <c r="B47" s="12">
        <v>101964.3</v>
      </c>
      <c r="C47" s="12">
        <v>179.3</v>
      </c>
      <c r="D47" s="12">
        <v>102143.6</v>
      </c>
      <c r="E47" s="12">
        <v>124358.25</v>
      </c>
      <c r="F47" s="12">
        <v>22214.65</v>
      </c>
      <c r="G47" s="12">
        <v>51153.83</v>
      </c>
      <c r="H47" s="11">
        <v>2.5100000000000001E-3</v>
      </c>
    </row>
    <row r="48" spans="1:8" x14ac:dyDescent="0.25">
      <c r="A48" t="s">
        <v>74</v>
      </c>
      <c r="B48" s="12">
        <v>32551.54</v>
      </c>
      <c r="C48" s="12">
        <v>39.17</v>
      </c>
      <c r="D48" s="12">
        <v>32590.71</v>
      </c>
      <c r="E48" s="12">
        <v>33065.01</v>
      </c>
      <c r="F48" s="12">
        <v>474.3</v>
      </c>
      <c r="G48" s="12">
        <v>51628.13</v>
      </c>
      <c r="H48" s="11">
        <v>6.3000000000000003E-4</v>
      </c>
    </row>
    <row r="49" spans="1:8" x14ac:dyDescent="0.25">
      <c r="A49" t="s">
        <v>75</v>
      </c>
      <c r="B49" s="12">
        <v>115022.79</v>
      </c>
      <c r="C49" s="12">
        <v>127.36</v>
      </c>
      <c r="D49" s="12">
        <v>115150.15</v>
      </c>
      <c r="E49" s="12">
        <v>107704.65</v>
      </c>
      <c r="F49" s="12">
        <v>-7445.5</v>
      </c>
      <c r="G49" s="12">
        <v>44182.63</v>
      </c>
      <c r="H49" s="11">
        <v>2.31E-3</v>
      </c>
    </row>
    <row r="50" spans="1:8" x14ac:dyDescent="0.25">
      <c r="A50" t="s">
        <v>76</v>
      </c>
      <c r="B50" s="12">
        <v>55018.41</v>
      </c>
      <c r="C50" s="12">
        <v>41.66</v>
      </c>
      <c r="D50" s="12">
        <v>55060.07</v>
      </c>
      <c r="E50" s="12">
        <v>76930.3</v>
      </c>
      <c r="F50" s="12">
        <v>21870.23</v>
      </c>
      <c r="G50" s="12">
        <v>66052.86</v>
      </c>
      <c r="H50" s="11">
        <v>1.6299999999999999E-3</v>
      </c>
    </row>
    <row r="51" spans="1:8" x14ac:dyDescent="0.25">
      <c r="A51" t="s">
        <v>77</v>
      </c>
      <c r="B51" s="12">
        <v>78416.009999999995</v>
      </c>
      <c r="C51" s="12">
        <v>38.869999999999997</v>
      </c>
      <c r="D51" s="12">
        <v>78454.880000000005</v>
      </c>
      <c r="E51" s="12">
        <v>76492.5</v>
      </c>
      <c r="F51" s="12">
        <v>-1962.38</v>
      </c>
      <c r="G51" s="12">
        <v>64090.48</v>
      </c>
      <c r="H51" s="11">
        <v>1.98E-3</v>
      </c>
    </row>
    <row r="52" spans="1:8" x14ac:dyDescent="0.25">
      <c r="A52" t="s">
        <v>78</v>
      </c>
      <c r="B52" s="12">
        <v>94366.2</v>
      </c>
      <c r="C52" s="12">
        <v>54.35</v>
      </c>
      <c r="D52" s="12">
        <v>94420.55</v>
      </c>
      <c r="E52" s="12">
        <v>84692.23</v>
      </c>
      <c r="F52" s="12">
        <v>-9728.32</v>
      </c>
      <c r="G52" s="12">
        <v>54362.16</v>
      </c>
      <c r="H52" s="11">
        <v>2.1800000000000001E-3</v>
      </c>
    </row>
    <row r="53" spans="1:8" x14ac:dyDescent="0.25">
      <c r="A53" t="s">
        <v>79</v>
      </c>
      <c r="B53" s="12">
        <v>45213.93</v>
      </c>
      <c r="C53" s="12">
        <v>23.83</v>
      </c>
      <c r="D53" s="12">
        <v>45237.760000000002</v>
      </c>
      <c r="E53" s="12">
        <v>41539.620000000003</v>
      </c>
      <c r="F53" s="12">
        <v>-3698.14</v>
      </c>
      <c r="G53" s="12">
        <v>50664.02</v>
      </c>
      <c r="H53" s="11">
        <v>9.5E-4</v>
      </c>
    </row>
    <row r="54" spans="1:8" x14ac:dyDescent="0.25">
      <c r="A54" t="s">
        <v>80</v>
      </c>
      <c r="B54" s="12">
        <v>45268.6</v>
      </c>
      <c r="C54" s="12">
        <v>23.92</v>
      </c>
      <c r="D54" s="12">
        <v>45292.52</v>
      </c>
      <c r="E54" s="12">
        <v>46425.68</v>
      </c>
      <c r="F54" s="12">
        <v>1133.1600000000001</v>
      </c>
      <c r="G54" s="12">
        <v>51797.18</v>
      </c>
      <c r="H54" s="11">
        <v>9.6000000000000002E-4</v>
      </c>
    </row>
    <row r="55" spans="1:8" x14ac:dyDescent="0.25">
      <c r="A55" t="s">
        <v>81</v>
      </c>
      <c r="B55" s="12">
        <v>84464.06</v>
      </c>
      <c r="C55" s="12">
        <v>40.380000000000003</v>
      </c>
      <c r="D55" s="12">
        <v>84504.44</v>
      </c>
      <c r="E55" s="12">
        <v>90576.86</v>
      </c>
      <c r="F55" s="12">
        <v>6072.42</v>
      </c>
      <c r="G55" s="12">
        <v>57869.599999999999</v>
      </c>
      <c r="H55" s="11">
        <v>1.9E-3</v>
      </c>
    </row>
    <row r="56" spans="1:8" x14ac:dyDescent="0.25">
      <c r="A56" t="s">
        <v>82</v>
      </c>
      <c r="B56" s="12">
        <v>84377.3</v>
      </c>
      <c r="C56" s="12">
        <v>49.98</v>
      </c>
      <c r="D56" s="12">
        <v>84427.28</v>
      </c>
      <c r="E56" s="12">
        <v>87518.16</v>
      </c>
      <c r="F56" s="12">
        <v>3090.88</v>
      </c>
      <c r="G56" s="12">
        <v>60960.480000000003</v>
      </c>
      <c r="H56" s="11">
        <v>2.0600000000000002E-3</v>
      </c>
    </row>
    <row r="57" spans="1:8" x14ac:dyDescent="0.25">
      <c r="A57" t="s">
        <v>83</v>
      </c>
      <c r="B57" s="12">
        <v>114423.93</v>
      </c>
      <c r="C57" s="12">
        <v>132.6</v>
      </c>
      <c r="D57" s="12">
        <v>114556.53</v>
      </c>
      <c r="E57" s="12">
        <v>106325.42</v>
      </c>
      <c r="F57" s="12">
        <v>-8231.11</v>
      </c>
      <c r="G57" s="12">
        <v>52729.37</v>
      </c>
      <c r="H57" s="11">
        <v>2.5300000000000001E-3</v>
      </c>
    </row>
    <row r="58" spans="1:8" x14ac:dyDescent="0.25">
      <c r="A58" t="s">
        <v>84</v>
      </c>
      <c r="B58" s="12">
        <v>85554.7</v>
      </c>
      <c r="C58" s="12">
        <v>127.73</v>
      </c>
      <c r="D58" s="12">
        <v>85682.43</v>
      </c>
      <c r="E58" s="12">
        <v>72374.880000000005</v>
      </c>
      <c r="F58" s="12">
        <v>-13307.55</v>
      </c>
      <c r="G58" s="12">
        <v>39421.82</v>
      </c>
      <c r="H58" s="11">
        <v>1.57E-3</v>
      </c>
    </row>
    <row r="59" spans="1:8" x14ac:dyDescent="0.25">
      <c r="A59" t="s">
        <v>85</v>
      </c>
      <c r="B59" s="12">
        <v>64574.19</v>
      </c>
      <c r="C59" s="12">
        <v>105.64</v>
      </c>
      <c r="D59" s="12">
        <v>64679.83</v>
      </c>
      <c r="E59" s="12">
        <v>66383.89</v>
      </c>
      <c r="F59" s="12">
        <v>1704.06</v>
      </c>
      <c r="G59" s="12">
        <v>41125.879999999997</v>
      </c>
      <c r="H59" s="11">
        <v>1.1199999999999999E-3</v>
      </c>
    </row>
    <row r="60" spans="1:8" x14ac:dyDescent="0.25">
      <c r="A60" t="s">
        <v>86</v>
      </c>
      <c r="B60" s="12">
        <v>50204.05</v>
      </c>
      <c r="C60" s="12">
        <v>86.15</v>
      </c>
      <c r="D60" s="12">
        <v>50290.2</v>
      </c>
      <c r="E60" s="12">
        <v>57524.45</v>
      </c>
      <c r="F60" s="12">
        <v>7234.25</v>
      </c>
      <c r="G60" s="12">
        <v>48360.13</v>
      </c>
      <c r="H60" s="11">
        <v>9.3000000000000005E-4</v>
      </c>
    </row>
    <row r="61" spans="1:8" x14ac:dyDescent="0.25">
      <c r="A61" t="s">
        <v>87</v>
      </c>
      <c r="B61" s="12">
        <v>306051.76</v>
      </c>
      <c r="C61" s="12">
        <v>251.74</v>
      </c>
      <c r="D61" s="12">
        <v>306303.5</v>
      </c>
      <c r="E61" s="12">
        <v>328975.06</v>
      </c>
      <c r="F61" s="12">
        <v>22671.56</v>
      </c>
      <c r="G61" s="12">
        <v>71031.69</v>
      </c>
      <c r="H61" s="11">
        <v>6.5900000000000004E-3</v>
      </c>
    </row>
    <row r="62" spans="1:8" x14ac:dyDescent="0.25">
      <c r="A62" t="s">
        <v>88</v>
      </c>
      <c r="B62" s="12">
        <v>200908</v>
      </c>
      <c r="C62" s="12">
        <v>130.79</v>
      </c>
      <c r="D62" s="12">
        <v>201038.79</v>
      </c>
      <c r="E62" s="12">
        <v>230881.25</v>
      </c>
      <c r="F62" s="12">
        <v>29842.46</v>
      </c>
      <c r="G62" s="12">
        <v>100874.15</v>
      </c>
      <c r="H62" s="11">
        <v>4.8799999999999998E-3</v>
      </c>
    </row>
    <row r="63" spans="1:8" x14ac:dyDescent="0.25">
      <c r="A63" t="s">
        <v>89</v>
      </c>
      <c r="B63" s="12">
        <v>125642.67</v>
      </c>
      <c r="C63" s="12">
        <v>53.9</v>
      </c>
      <c r="D63" s="12">
        <v>125696.57</v>
      </c>
      <c r="E63" s="12">
        <v>125436.56</v>
      </c>
      <c r="F63" s="12">
        <v>-260.01</v>
      </c>
      <c r="G63" s="12">
        <v>100614.14</v>
      </c>
      <c r="H63" s="11">
        <v>3.13E-3</v>
      </c>
    </row>
    <row r="64" spans="1:8" x14ac:dyDescent="0.25">
      <c r="A64" t="s">
        <v>90</v>
      </c>
      <c r="B64" s="12">
        <v>103987.42</v>
      </c>
      <c r="C64" s="12">
        <v>55.38</v>
      </c>
      <c r="D64" s="12">
        <v>104042.8</v>
      </c>
      <c r="E64" s="12">
        <v>101148.46</v>
      </c>
      <c r="F64" s="12">
        <v>-2894.34</v>
      </c>
      <c r="G64" s="12">
        <v>97719.8</v>
      </c>
      <c r="H64" s="11">
        <v>2.5400000000000002E-3</v>
      </c>
    </row>
    <row r="65" spans="1:8" x14ac:dyDescent="0.25">
      <c r="A65" t="s">
        <v>91</v>
      </c>
      <c r="B65" s="12">
        <v>4739.47</v>
      </c>
      <c r="C65" s="12">
        <v>3.64</v>
      </c>
      <c r="D65" s="12">
        <v>4743.1099999999997</v>
      </c>
      <c r="E65" s="12">
        <v>5785.99</v>
      </c>
      <c r="F65" s="12">
        <v>1042.8800000000001</v>
      </c>
      <c r="G65" s="12">
        <v>98762.68</v>
      </c>
      <c r="H65" s="11">
        <v>1.3999999999999999E-4</v>
      </c>
    </row>
    <row r="66" spans="1:8" x14ac:dyDescent="0.25">
      <c r="A66" t="s">
        <v>92</v>
      </c>
      <c r="B66" s="12">
        <v>-43560.63</v>
      </c>
      <c r="C66" s="12">
        <v>-44.81</v>
      </c>
      <c r="D66" s="12">
        <v>-43605.440000000002</v>
      </c>
      <c r="E66" s="12">
        <v>-85206.34</v>
      </c>
      <c r="F66" s="12">
        <v>-41600.9</v>
      </c>
      <c r="G66" s="12">
        <v>57161.78</v>
      </c>
      <c r="H66" s="11">
        <v>-1.8E-3</v>
      </c>
    </row>
    <row r="67" spans="1:8" x14ac:dyDescent="0.25">
      <c r="A67" t="s">
        <v>93</v>
      </c>
      <c r="B67" s="12">
        <v>56069.67</v>
      </c>
      <c r="C67" s="12">
        <v>26.45</v>
      </c>
      <c r="D67" s="12">
        <v>56096.12</v>
      </c>
      <c r="E67" s="12">
        <v>61573.88</v>
      </c>
      <c r="F67" s="12">
        <v>5477.76</v>
      </c>
      <c r="G67" s="12">
        <v>62639.54</v>
      </c>
      <c r="H67" s="11">
        <v>1.24E-3</v>
      </c>
    </row>
    <row r="68" spans="1:8" x14ac:dyDescent="0.25">
      <c r="A68" t="s">
        <v>94</v>
      </c>
      <c r="B68" s="12">
        <v>105053.4</v>
      </c>
      <c r="C68" s="12">
        <v>62.88</v>
      </c>
      <c r="D68" s="12">
        <v>105116.28</v>
      </c>
      <c r="E68" s="12">
        <v>102166.1</v>
      </c>
      <c r="F68" s="12">
        <v>-2950.18</v>
      </c>
      <c r="G68" s="12">
        <v>59689.36</v>
      </c>
      <c r="H68" s="11">
        <v>2.4599999999999999E-3</v>
      </c>
    </row>
    <row r="69" spans="1:8" x14ac:dyDescent="0.25">
      <c r="A69" t="s">
        <v>95</v>
      </c>
      <c r="B69" s="12">
        <v>105320.02</v>
      </c>
      <c r="C69" s="12">
        <v>104.84</v>
      </c>
      <c r="D69" s="12">
        <v>105424.86</v>
      </c>
      <c r="E69" s="12">
        <v>108132.76</v>
      </c>
      <c r="F69" s="12">
        <v>2707.9</v>
      </c>
      <c r="G69" s="12">
        <v>62397.26</v>
      </c>
      <c r="H69" s="11">
        <v>2.47E-3</v>
      </c>
    </row>
    <row r="70" spans="1:8" x14ac:dyDescent="0.25">
      <c r="A70" t="s">
        <v>96</v>
      </c>
      <c r="B70" s="12">
        <v>35085.5</v>
      </c>
      <c r="C70" s="12">
        <v>46.32</v>
      </c>
      <c r="D70" s="12">
        <v>35131.82</v>
      </c>
      <c r="E70" s="12">
        <v>26803.82</v>
      </c>
      <c r="F70" s="12">
        <v>-8328</v>
      </c>
      <c r="G70" s="12">
        <v>54069.26</v>
      </c>
      <c r="H70" s="11">
        <v>6.2E-4</v>
      </c>
    </row>
    <row r="71" spans="1:8" x14ac:dyDescent="0.25">
      <c r="A71" t="s">
        <v>97</v>
      </c>
      <c r="B71" s="12">
        <v>255800.73</v>
      </c>
      <c r="C71" s="12">
        <v>316</v>
      </c>
      <c r="D71" s="12">
        <v>256116.73</v>
      </c>
      <c r="E71" s="12">
        <v>234409.9</v>
      </c>
      <c r="F71" s="12">
        <v>-21706.83</v>
      </c>
      <c r="G71" s="12">
        <v>32362.43</v>
      </c>
      <c r="H71" s="11">
        <v>4.0000000000000001E-3</v>
      </c>
    </row>
    <row r="72" spans="1:8" x14ac:dyDescent="0.25">
      <c r="A72" t="s">
        <v>98</v>
      </c>
      <c r="B72" s="12">
        <v>202761.44</v>
      </c>
      <c r="C72" s="12">
        <v>263.85000000000002</v>
      </c>
      <c r="D72" s="12">
        <v>203025.29</v>
      </c>
      <c r="E72" s="12">
        <v>223835</v>
      </c>
      <c r="F72" s="12">
        <v>20809.71</v>
      </c>
      <c r="G72" s="12">
        <v>53172.14</v>
      </c>
      <c r="H72" s="11">
        <v>3.5200000000000001E-3</v>
      </c>
    </row>
    <row r="73" spans="1:8" x14ac:dyDescent="0.25">
      <c r="A73" t="s">
        <v>99</v>
      </c>
      <c r="B73" s="12">
        <v>320759.46999999997</v>
      </c>
      <c r="C73" s="12">
        <v>321.24</v>
      </c>
      <c r="D73" s="12">
        <v>321080.71000000002</v>
      </c>
      <c r="E73" s="12">
        <v>358632.17</v>
      </c>
      <c r="F73" s="12">
        <v>37551.46</v>
      </c>
      <c r="G73" s="12">
        <v>90723.6</v>
      </c>
      <c r="H73" s="11">
        <v>6.43E-3</v>
      </c>
    </row>
    <row r="74" spans="1:8" x14ac:dyDescent="0.25">
      <c r="A74" t="s">
        <v>100</v>
      </c>
      <c r="B74" s="12">
        <v>207930.94</v>
      </c>
      <c r="C74" s="12">
        <v>137.44999999999999</v>
      </c>
      <c r="D74" s="12">
        <v>208068.39</v>
      </c>
      <c r="E74" s="12">
        <v>228525.71</v>
      </c>
      <c r="F74" s="12">
        <v>20457.32</v>
      </c>
      <c r="G74" s="12">
        <v>111180.92</v>
      </c>
      <c r="H74" s="11">
        <v>4.5999999999999999E-3</v>
      </c>
    </row>
    <row r="75" spans="1:8" x14ac:dyDescent="0.25">
      <c r="A75" t="s">
        <v>101</v>
      </c>
      <c r="B75" s="12">
        <v>245888.41</v>
      </c>
      <c r="C75" s="12">
        <v>117.91</v>
      </c>
      <c r="D75" s="12">
        <v>246006.32</v>
      </c>
      <c r="E75" s="12">
        <v>249503.46</v>
      </c>
      <c r="F75" s="12">
        <v>3497.14</v>
      </c>
      <c r="G75" s="12">
        <v>114678.06</v>
      </c>
      <c r="H75" s="11">
        <v>5.7000000000000002E-3</v>
      </c>
    </row>
    <row r="76" spans="1:8" x14ac:dyDescent="0.25">
      <c r="A76" t="s">
        <v>102</v>
      </c>
      <c r="B76" s="12">
        <v>223429.4</v>
      </c>
      <c r="C76" s="12">
        <v>99.74</v>
      </c>
      <c r="D76" s="12">
        <v>223529.14</v>
      </c>
      <c r="E76" s="12">
        <v>213627.32</v>
      </c>
      <c r="F76" s="12">
        <v>-9901.82</v>
      </c>
      <c r="G76" s="12">
        <v>104776.24</v>
      </c>
      <c r="H76" s="11">
        <v>4.8300000000000001E-3</v>
      </c>
    </row>
    <row r="77" spans="1:8" x14ac:dyDescent="0.25">
      <c r="A77" t="s">
        <v>103</v>
      </c>
      <c r="B77" s="12">
        <v>163274.98000000001</v>
      </c>
      <c r="C77" s="12">
        <v>78.930000000000007</v>
      </c>
      <c r="D77" s="12">
        <v>163353.91</v>
      </c>
      <c r="E77" s="12">
        <v>154954.14000000001</v>
      </c>
      <c r="F77" s="12">
        <v>-8399.77</v>
      </c>
      <c r="G77" s="12">
        <v>96376.47</v>
      </c>
      <c r="H77" s="11">
        <v>3.3999999999999998E-3</v>
      </c>
    </row>
    <row r="78" spans="1:8" x14ac:dyDescent="0.25">
      <c r="A78" t="s">
        <v>104</v>
      </c>
      <c r="B78" s="12">
        <v>248371.01</v>
      </c>
      <c r="C78" s="12">
        <v>110.08</v>
      </c>
      <c r="D78" s="12">
        <v>248481.09</v>
      </c>
      <c r="E78" s="12">
        <v>257919.18</v>
      </c>
      <c r="F78" s="12">
        <v>9438.09</v>
      </c>
      <c r="G78" s="12">
        <v>105814.56</v>
      </c>
      <c r="H78" s="11">
        <v>5.3400000000000001E-3</v>
      </c>
    </row>
    <row r="79" spans="1:8" x14ac:dyDescent="0.25">
      <c r="A79" t="s">
        <v>105</v>
      </c>
      <c r="B79" s="12">
        <v>226969.57</v>
      </c>
      <c r="C79" s="12">
        <v>90.94</v>
      </c>
      <c r="D79" s="12">
        <v>227060.51</v>
      </c>
      <c r="E79" s="12">
        <v>236061.23</v>
      </c>
      <c r="F79" s="12">
        <v>9000.7199999999993</v>
      </c>
      <c r="G79" s="12">
        <v>114815.28</v>
      </c>
      <c r="H79" s="11">
        <v>4.8900000000000002E-3</v>
      </c>
    </row>
    <row r="80" spans="1:8" x14ac:dyDescent="0.25">
      <c r="A80" t="s">
        <v>106</v>
      </c>
      <c r="B80" s="12">
        <v>313232.19</v>
      </c>
      <c r="C80" s="12">
        <v>150.01</v>
      </c>
      <c r="D80" s="12">
        <v>313382.2</v>
      </c>
      <c r="E80" s="12">
        <v>321738.09000000003</v>
      </c>
      <c r="F80" s="12">
        <v>8355.89</v>
      </c>
      <c r="G80" s="12">
        <v>123171.17</v>
      </c>
      <c r="H80" s="11">
        <v>7.2899999999999996E-3</v>
      </c>
    </row>
    <row r="81" spans="1:8" x14ac:dyDescent="0.25">
      <c r="A81" t="s">
        <v>107</v>
      </c>
      <c r="B81" s="12">
        <v>265816.7</v>
      </c>
      <c r="C81" s="12">
        <v>234.25</v>
      </c>
      <c r="D81" s="12">
        <v>266050.95</v>
      </c>
      <c r="E81" s="12">
        <v>246055.72</v>
      </c>
      <c r="F81" s="12">
        <v>-19995.23</v>
      </c>
      <c r="G81" s="12">
        <v>103175.94</v>
      </c>
      <c r="H81" s="11">
        <v>5.7000000000000002E-3</v>
      </c>
    </row>
    <row r="82" spans="1:8" x14ac:dyDescent="0.25">
      <c r="A82" t="s">
        <v>108</v>
      </c>
      <c r="B82" s="12">
        <v>284902.14</v>
      </c>
      <c r="C82" s="12">
        <v>354.61</v>
      </c>
      <c r="D82" s="12">
        <v>285256.75</v>
      </c>
      <c r="E82" s="12">
        <v>235637.89</v>
      </c>
      <c r="F82" s="12">
        <v>-49618.86</v>
      </c>
      <c r="G82" s="12">
        <v>53557.08</v>
      </c>
      <c r="H82" s="11">
        <v>4.9500000000000004E-3</v>
      </c>
    </row>
    <row r="83" spans="1:8" x14ac:dyDescent="0.25">
      <c r="A83" t="s">
        <v>109</v>
      </c>
      <c r="B83" s="12">
        <v>395235.69</v>
      </c>
      <c r="C83" s="12">
        <v>491.72</v>
      </c>
      <c r="D83" s="12">
        <v>395727.41</v>
      </c>
      <c r="E83" s="12">
        <v>419168.77</v>
      </c>
      <c r="F83" s="12">
        <v>23441.360000000001</v>
      </c>
      <c r="G83" s="12">
        <v>76998.44</v>
      </c>
      <c r="H83" s="11">
        <v>6.9100000000000003E-3</v>
      </c>
    </row>
    <row r="84" spans="1:8" x14ac:dyDescent="0.25">
      <c r="A84" t="s">
        <v>110</v>
      </c>
      <c r="B84" s="12">
        <v>606079.48</v>
      </c>
      <c r="C84" s="12">
        <v>0</v>
      </c>
      <c r="D84" s="12">
        <v>606079.48</v>
      </c>
      <c r="E84" s="12">
        <v>640115.14</v>
      </c>
      <c r="F84" s="12">
        <v>34035.660000000003</v>
      </c>
      <c r="G84" s="12">
        <v>111034.1</v>
      </c>
      <c r="H84" s="11">
        <v>1.089E-2</v>
      </c>
    </row>
    <row r="85" spans="1:8" x14ac:dyDescent="0.25">
      <c r="A85" t="s">
        <v>111</v>
      </c>
      <c r="B85" s="12">
        <v>764533.52</v>
      </c>
      <c r="C85" s="12">
        <v>0</v>
      </c>
      <c r="D85" s="12">
        <v>764533.52</v>
      </c>
      <c r="E85" s="12">
        <v>712630.36</v>
      </c>
      <c r="F85" s="12">
        <v>-51903.16</v>
      </c>
      <c r="G85" s="12">
        <v>59130.94</v>
      </c>
      <c r="H85" s="11">
        <v>1.37E-2</v>
      </c>
    </row>
    <row r="86" spans="1:8" x14ac:dyDescent="0.25">
      <c r="A86" t="s">
        <v>112</v>
      </c>
      <c r="B86" s="12">
        <v>487212.15</v>
      </c>
      <c r="C86" s="12">
        <v>1823.33</v>
      </c>
      <c r="D86" s="12">
        <v>489035.48</v>
      </c>
      <c r="E86" s="12">
        <v>487269.66</v>
      </c>
      <c r="F86" s="12">
        <v>-1765.82</v>
      </c>
      <c r="G86" s="12">
        <v>57365.120000000003</v>
      </c>
      <c r="H86" s="11">
        <v>8.7299999999999999E-3</v>
      </c>
    </row>
    <row r="87" spans="1:8" x14ac:dyDescent="0.25">
      <c r="A87" t="s">
        <v>113</v>
      </c>
      <c r="B87" s="12">
        <v>315095.19</v>
      </c>
      <c r="C87" s="12">
        <v>160.38999999999999</v>
      </c>
      <c r="D87" s="12">
        <v>315255.58</v>
      </c>
      <c r="E87" s="12">
        <v>294758.84000000003</v>
      </c>
      <c r="F87" s="12">
        <v>-20496.740000000002</v>
      </c>
      <c r="G87" s="12">
        <v>36868.379999999997</v>
      </c>
      <c r="H87" s="11">
        <v>6.77E-3</v>
      </c>
    </row>
    <row r="88" spans="1:8" x14ac:dyDescent="0.25">
      <c r="A88" t="s">
        <v>114</v>
      </c>
      <c r="B88" s="12">
        <v>375421.62</v>
      </c>
      <c r="C88" s="12">
        <v>182.23</v>
      </c>
      <c r="D88" s="12">
        <v>375603.85</v>
      </c>
      <c r="E88" s="12">
        <v>330666.18</v>
      </c>
      <c r="F88" s="12">
        <v>-44937.67</v>
      </c>
      <c r="G88" s="12">
        <v>-8069.29</v>
      </c>
      <c r="H88" s="11">
        <v>7.7400000000000004E-3</v>
      </c>
    </row>
    <row r="89" spans="1:8" x14ac:dyDescent="0.25">
      <c r="A89" t="s">
        <v>115</v>
      </c>
      <c r="B89" s="12">
        <v>67259.97</v>
      </c>
      <c r="C89" s="12">
        <v>32.93</v>
      </c>
      <c r="D89" s="12">
        <v>67292.899999999994</v>
      </c>
      <c r="E89" s="12">
        <v>63437.26</v>
      </c>
      <c r="F89" s="12">
        <v>-3855.64</v>
      </c>
      <c r="G89" s="12">
        <v>-11924.93</v>
      </c>
      <c r="H89" s="11">
        <v>1.2999999999999999E-3</v>
      </c>
    </row>
    <row r="90" spans="1:8" x14ac:dyDescent="0.25">
      <c r="A90" t="s">
        <v>116</v>
      </c>
      <c r="B90" s="12">
        <v>227631.49</v>
      </c>
      <c r="C90" s="12">
        <v>109.37</v>
      </c>
      <c r="D90" s="12">
        <v>227740.86</v>
      </c>
      <c r="E90" s="12">
        <v>221451.33</v>
      </c>
      <c r="F90" s="12">
        <v>-6289.53</v>
      </c>
      <c r="G90" s="12">
        <v>-18214.46</v>
      </c>
      <c r="H90" s="11">
        <v>4.2599999999999999E-3</v>
      </c>
    </row>
    <row r="91" spans="1:8" x14ac:dyDescent="0.25">
      <c r="A91" t="s">
        <v>117</v>
      </c>
      <c r="B91" s="12">
        <v>277027.3</v>
      </c>
      <c r="C91" s="12">
        <v>122.1</v>
      </c>
      <c r="D91" s="12">
        <v>277149.40000000002</v>
      </c>
      <c r="E91" s="12">
        <v>305218.36</v>
      </c>
      <c r="F91" s="12">
        <v>28068.959999999999</v>
      </c>
      <c r="G91" s="12">
        <v>9854.5</v>
      </c>
      <c r="H91" s="11">
        <v>5.6100000000000004E-3</v>
      </c>
    </row>
    <row r="92" spans="1:8" x14ac:dyDescent="0.25">
      <c r="A92" t="s">
        <v>118</v>
      </c>
      <c r="B92" s="12">
        <v>503760.43</v>
      </c>
      <c r="C92" s="12">
        <v>252.53</v>
      </c>
      <c r="D92" s="12">
        <v>504012.96</v>
      </c>
      <c r="E92" s="12">
        <v>540485.47</v>
      </c>
      <c r="F92" s="12">
        <v>36472.51</v>
      </c>
      <c r="G92" s="12">
        <v>46327.01</v>
      </c>
      <c r="H92" s="11">
        <v>1.142E-2</v>
      </c>
    </row>
    <row r="93" spans="1:8" x14ac:dyDescent="0.25">
      <c r="A93" t="s">
        <v>119</v>
      </c>
      <c r="B93" s="12">
        <v>491279.44</v>
      </c>
      <c r="C93" s="12">
        <v>360.87</v>
      </c>
      <c r="D93" s="12">
        <v>491640.31</v>
      </c>
      <c r="E93" s="12">
        <v>447882.96</v>
      </c>
      <c r="F93" s="12">
        <v>-43757.35</v>
      </c>
      <c r="G93" s="12">
        <v>2569.66</v>
      </c>
      <c r="H93" s="11">
        <v>9.8600000000000007E-3</v>
      </c>
    </row>
    <row r="94" spans="1:8" x14ac:dyDescent="0.25">
      <c r="A94" t="s">
        <v>120</v>
      </c>
      <c r="B94" s="12">
        <v>547946.96</v>
      </c>
      <c r="C94" s="12">
        <v>608.45000000000005</v>
      </c>
      <c r="D94" s="12">
        <v>548555.41</v>
      </c>
      <c r="E94" s="12">
        <v>458049.51</v>
      </c>
      <c r="F94" s="12">
        <v>-90505.9</v>
      </c>
      <c r="G94" s="12">
        <v>-87936.24</v>
      </c>
      <c r="H94" s="11">
        <v>9.1800000000000007E-3</v>
      </c>
    </row>
    <row r="95" spans="1:8" x14ac:dyDescent="0.25">
      <c r="A95" t="s">
        <v>121</v>
      </c>
      <c r="B95" s="12">
        <v>354284.64</v>
      </c>
      <c r="C95" s="12">
        <v>374.14</v>
      </c>
      <c r="D95" s="12">
        <v>354658.78</v>
      </c>
      <c r="E95" s="12">
        <v>399186.65</v>
      </c>
      <c r="F95" s="12">
        <v>44527.87</v>
      </c>
      <c r="G95" s="12">
        <v>-43408.37</v>
      </c>
      <c r="H95" s="11">
        <v>6.3200000000000001E-3</v>
      </c>
    </row>
    <row r="96" spans="1:8" x14ac:dyDescent="0.25">
      <c r="A96" t="s">
        <v>122</v>
      </c>
      <c r="B96" s="12">
        <v>666891.93000000005</v>
      </c>
      <c r="C96" s="12">
        <v>675.55</v>
      </c>
      <c r="D96" s="12">
        <v>667567.48</v>
      </c>
      <c r="E96" s="12">
        <v>656649.1</v>
      </c>
      <c r="F96" s="12">
        <v>-10918.38</v>
      </c>
      <c r="G96" s="12">
        <v>-54326.75</v>
      </c>
      <c r="H96" s="11">
        <v>1.2E-2</v>
      </c>
    </row>
    <row r="97" spans="1:8" x14ac:dyDescent="0.25">
      <c r="A97" t="s">
        <v>123</v>
      </c>
      <c r="B97" s="12">
        <v>456543.06</v>
      </c>
      <c r="C97" s="12">
        <v>290.29000000000002</v>
      </c>
      <c r="D97" s="12">
        <v>456833.35</v>
      </c>
      <c r="E97" s="12">
        <v>476966.87</v>
      </c>
      <c r="F97" s="12">
        <v>20133.52</v>
      </c>
      <c r="G97" s="12">
        <v>-34193.230000000003</v>
      </c>
      <c r="H97" s="11">
        <v>8.6599999999999993E-3</v>
      </c>
    </row>
    <row r="98" spans="1:8" x14ac:dyDescent="0.25">
      <c r="A98" t="s">
        <v>124</v>
      </c>
      <c r="B98" s="12">
        <v>308376.09000000003</v>
      </c>
      <c r="C98" s="12">
        <v>126.55</v>
      </c>
      <c r="D98" s="12">
        <v>308502.64</v>
      </c>
      <c r="E98" s="12">
        <v>368768.62</v>
      </c>
      <c r="F98" s="12">
        <v>60265.98</v>
      </c>
      <c r="G98" s="12">
        <v>26072.75</v>
      </c>
      <c r="H98" s="11">
        <v>6.9699999999999996E-3</v>
      </c>
    </row>
    <row r="99" spans="1:8" x14ac:dyDescent="0.25">
      <c r="A99" t="s">
        <v>125</v>
      </c>
      <c r="B99" s="12">
        <v>297437.44</v>
      </c>
      <c r="C99" s="12">
        <v>108.17</v>
      </c>
      <c r="D99" s="12">
        <v>297545.61</v>
      </c>
      <c r="E99" s="12">
        <v>285359.52</v>
      </c>
      <c r="F99" s="12">
        <v>-12186.09</v>
      </c>
      <c r="G99" s="12">
        <v>13886.66</v>
      </c>
      <c r="H99" s="11">
        <v>6.8900000000000003E-3</v>
      </c>
    </row>
    <row r="100" spans="1:8" x14ac:dyDescent="0.25">
      <c r="A100" t="s">
        <v>126</v>
      </c>
      <c r="B100" s="12">
        <v>401077.21</v>
      </c>
      <c r="C100" s="12">
        <v>151.59</v>
      </c>
      <c r="D100" s="12">
        <v>401228.79999999999</v>
      </c>
      <c r="E100" s="12">
        <v>387617.98</v>
      </c>
      <c r="F100" s="12">
        <v>-13610.82</v>
      </c>
      <c r="G100" s="12">
        <v>275.83999999999997</v>
      </c>
      <c r="H100" s="11">
        <v>8.7799999999999996E-3</v>
      </c>
    </row>
    <row r="101" spans="1:8" x14ac:dyDescent="0.25">
      <c r="A101" t="s">
        <v>127</v>
      </c>
      <c r="B101" s="12">
        <v>401854.98</v>
      </c>
      <c r="C101" s="12">
        <v>142.54</v>
      </c>
      <c r="D101" s="12">
        <v>401997.52</v>
      </c>
      <c r="E101" s="12">
        <v>348495.91</v>
      </c>
      <c r="F101" s="12">
        <v>-53501.61</v>
      </c>
      <c r="G101" s="12">
        <v>-53225.77</v>
      </c>
      <c r="H101" s="11">
        <v>7.7200000000000003E-3</v>
      </c>
    </row>
    <row r="102" spans="1:8" x14ac:dyDescent="0.25">
      <c r="A102" t="s">
        <v>128</v>
      </c>
      <c r="B102" s="12">
        <v>230529.78</v>
      </c>
      <c r="C102" s="12">
        <v>94.76</v>
      </c>
      <c r="D102" s="12">
        <v>230624.54</v>
      </c>
      <c r="E102" s="12">
        <v>240490.18</v>
      </c>
      <c r="F102" s="12">
        <v>9865.64</v>
      </c>
      <c r="G102" s="12">
        <v>-43360.13</v>
      </c>
      <c r="H102" s="11">
        <v>4.6499999999999996E-3</v>
      </c>
    </row>
    <row r="103" spans="1:8" x14ac:dyDescent="0.25">
      <c r="A103" t="s">
        <v>129</v>
      </c>
      <c r="B103" s="12">
        <v>221309.69</v>
      </c>
      <c r="C103" s="12">
        <v>62.42</v>
      </c>
      <c r="D103" s="12">
        <v>221372.11</v>
      </c>
      <c r="E103" s="12">
        <v>264862.39</v>
      </c>
      <c r="F103" s="12">
        <v>43490.28</v>
      </c>
      <c r="G103" s="12">
        <v>130.15</v>
      </c>
      <c r="H103" s="11">
        <v>5.0499999999999998E-3</v>
      </c>
    </row>
    <row r="104" spans="1:8" x14ac:dyDescent="0.25">
      <c r="A104" t="s">
        <v>130</v>
      </c>
      <c r="B104" s="12">
        <v>342840.08</v>
      </c>
      <c r="C104" s="12">
        <v>129.91</v>
      </c>
      <c r="D104" s="12">
        <v>342969.99</v>
      </c>
      <c r="E104" s="12">
        <v>339543.64</v>
      </c>
      <c r="F104" s="12">
        <v>-3426.35</v>
      </c>
      <c r="G104" s="12">
        <v>-3296.2</v>
      </c>
      <c r="H104" s="11">
        <v>8.1499999999999993E-3</v>
      </c>
    </row>
    <row r="105" spans="1:8" x14ac:dyDescent="0.25">
      <c r="A105" t="s">
        <v>131</v>
      </c>
      <c r="B105" s="12">
        <v>399502.15</v>
      </c>
      <c r="C105" s="12">
        <v>249.27</v>
      </c>
      <c r="D105" s="12">
        <v>399751.42</v>
      </c>
      <c r="E105" s="12">
        <v>374474.28</v>
      </c>
      <c r="F105" s="12">
        <v>-25277.14</v>
      </c>
      <c r="G105" s="12">
        <v>-28573.34</v>
      </c>
      <c r="H105" s="11">
        <v>7.9500000000000005E-3</v>
      </c>
    </row>
    <row r="106" spans="1:8" x14ac:dyDescent="0.25">
      <c r="A106" t="s">
        <v>132</v>
      </c>
      <c r="B106" s="12">
        <v>174301.21</v>
      </c>
      <c r="C106" s="12">
        <v>267.14</v>
      </c>
      <c r="D106" s="12">
        <v>174568.35</v>
      </c>
      <c r="E106" s="12">
        <v>128131.65</v>
      </c>
      <c r="F106" s="12">
        <v>-46436.7</v>
      </c>
      <c r="G106" s="12">
        <v>-75010.039999999994</v>
      </c>
      <c r="H106" s="11">
        <v>2.5899999999999999E-3</v>
      </c>
    </row>
    <row r="107" spans="1:8" x14ac:dyDescent="0.25">
      <c r="B107" s="12"/>
      <c r="C107" s="12"/>
      <c r="D107" s="12"/>
      <c r="E107" s="12"/>
      <c r="F107" s="12"/>
      <c r="G107" s="12"/>
      <c r="H107" s="11"/>
    </row>
    <row r="108" spans="1:8" x14ac:dyDescent="0.25">
      <c r="B108" s="12"/>
      <c r="C108" s="12"/>
      <c r="D108" s="12"/>
      <c r="E108" s="12"/>
      <c r="F108" s="12"/>
      <c r="G108" s="12"/>
      <c r="H108" s="11"/>
    </row>
    <row r="109" spans="1:8" x14ac:dyDescent="0.25">
      <c r="A109" t="s">
        <v>133</v>
      </c>
      <c r="B109" s="12" t="s">
        <v>134</v>
      </c>
      <c r="C109" s="12"/>
      <c r="D109" s="12"/>
      <c r="E109" s="12"/>
      <c r="F109" s="12"/>
      <c r="G109" s="12"/>
      <c r="H109" s="11"/>
    </row>
    <row r="110" spans="1:8" x14ac:dyDescent="0.25">
      <c r="A110" t="s">
        <v>135</v>
      </c>
      <c r="B110" s="12" t="s">
        <v>136</v>
      </c>
      <c r="C110" s="12"/>
      <c r="D110" s="12"/>
      <c r="E110" s="12"/>
      <c r="F110" s="12"/>
      <c r="G110" s="12"/>
      <c r="H110" s="11"/>
    </row>
    <row r="111" spans="1:8" x14ac:dyDescent="0.25">
      <c r="B111" s="12"/>
      <c r="C111" s="12"/>
      <c r="D111" s="12"/>
      <c r="E111" s="12"/>
      <c r="F111" s="12"/>
      <c r="G111" s="12"/>
      <c r="H111" s="11"/>
    </row>
    <row r="112" spans="1:8" x14ac:dyDescent="0.25">
      <c r="A112" t="s">
        <v>137</v>
      </c>
      <c r="B112" s="12">
        <v>244119.05</v>
      </c>
      <c r="C112" s="12">
        <v>471.67</v>
      </c>
      <c r="D112" s="12">
        <v>244590.72</v>
      </c>
      <c r="E112" s="12">
        <v>273984.86</v>
      </c>
      <c r="F112" s="12">
        <v>29394.14</v>
      </c>
      <c r="G112" s="12">
        <v>-45615.9</v>
      </c>
      <c r="H112" s="11">
        <v>4.8999999999999998E-3</v>
      </c>
    </row>
    <row r="113" spans="1:8" x14ac:dyDescent="0.25">
      <c r="A113" t="s">
        <v>138</v>
      </c>
      <c r="B113" s="12">
        <v>438822.07</v>
      </c>
      <c r="C113" s="12">
        <v>739.87</v>
      </c>
      <c r="D113" s="12">
        <v>439561.94</v>
      </c>
      <c r="E113" s="12">
        <v>380633.3</v>
      </c>
      <c r="F113" s="12">
        <v>-58928.639999999999</v>
      </c>
      <c r="G113" s="12">
        <v>-104544.54</v>
      </c>
      <c r="H113" s="11">
        <v>6.3600000000000002E-3</v>
      </c>
    </row>
    <row r="114" spans="1:8" x14ac:dyDescent="0.25">
      <c r="A114" t="s">
        <v>139</v>
      </c>
      <c r="B114" s="12">
        <v>465821.2</v>
      </c>
      <c r="C114" s="12">
        <v>708.06</v>
      </c>
      <c r="D114" s="12">
        <v>466529.26</v>
      </c>
      <c r="E114" s="12">
        <v>550826.14</v>
      </c>
      <c r="F114" s="12">
        <v>84296.88</v>
      </c>
      <c r="G114" s="12">
        <v>-20247.66</v>
      </c>
      <c r="H114" s="11">
        <v>8.8000000000000005E-3</v>
      </c>
    </row>
    <row r="115" spans="1:8" x14ac:dyDescent="0.25">
      <c r="A115" t="s">
        <v>140</v>
      </c>
      <c r="B115" s="12">
        <v>660630.43000000005</v>
      </c>
      <c r="C115" s="12">
        <v>369.79</v>
      </c>
      <c r="D115" s="12">
        <v>661000.22</v>
      </c>
      <c r="E115" s="12">
        <v>726617.36</v>
      </c>
      <c r="F115" s="12">
        <v>65617.14</v>
      </c>
      <c r="G115" s="12">
        <v>45369.48</v>
      </c>
      <c r="H115" s="11">
        <v>1.44E-2</v>
      </c>
    </row>
    <row r="116" spans="1:8" x14ac:dyDescent="0.25">
      <c r="A116" t="s">
        <v>141</v>
      </c>
      <c r="B116" s="12">
        <v>466468.79</v>
      </c>
      <c r="C116" s="12">
        <v>286.08999999999997</v>
      </c>
      <c r="D116" s="12">
        <v>466754.88</v>
      </c>
      <c r="E116" s="12">
        <v>490150.88</v>
      </c>
      <c r="F116" s="12">
        <v>23396</v>
      </c>
      <c r="G116" s="12">
        <v>68765.48</v>
      </c>
      <c r="H116" s="11">
        <v>1.0619999999999999E-2</v>
      </c>
    </row>
    <row r="117" spans="1:8" x14ac:dyDescent="0.25">
      <c r="A117" t="s">
        <v>142</v>
      </c>
      <c r="B117" s="12">
        <v>984136.75</v>
      </c>
      <c r="C117" s="12">
        <v>629.39</v>
      </c>
      <c r="D117" s="12">
        <v>984766.14</v>
      </c>
      <c r="E117" s="12">
        <v>892842.14</v>
      </c>
      <c r="F117" s="12">
        <v>-91924</v>
      </c>
      <c r="G117" s="12">
        <v>-23158.52</v>
      </c>
      <c r="H117" s="11">
        <v>1.993E-2</v>
      </c>
    </row>
    <row r="118" spans="1:8" x14ac:dyDescent="0.25">
      <c r="A118" t="s">
        <v>143</v>
      </c>
      <c r="B118" s="12">
        <v>330310.78000000003</v>
      </c>
      <c r="C118" s="12">
        <v>218.32</v>
      </c>
      <c r="D118" s="12">
        <v>330529.09999999998</v>
      </c>
      <c r="E118" s="12">
        <v>324603</v>
      </c>
      <c r="F118" s="12">
        <v>-5926.1</v>
      </c>
      <c r="G118" s="12">
        <v>-29084.62</v>
      </c>
      <c r="H118" s="11">
        <v>6.79E-3</v>
      </c>
    </row>
    <row r="119" spans="1:8" x14ac:dyDescent="0.25">
      <c r="A119" t="s">
        <v>144</v>
      </c>
      <c r="B119" s="12">
        <v>277101.56</v>
      </c>
      <c r="C119" s="12">
        <v>209.38</v>
      </c>
      <c r="D119" s="12">
        <v>277310.94</v>
      </c>
      <c r="E119" s="12">
        <v>250808</v>
      </c>
      <c r="F119" s="12">
        <v>-26502.94</v>
      </c>
      <c r="G119" s="12">
        <v>-55587.56</v>
      </c>
      <c r="H119" s="11">
        <v>5.2100000000000002E-3</v>
      </c>
    </row>
    <row r="120" spans="1:8" x14ac:dyDescent="0.25">
      <c r="A120" t="s">
        <v>145</v>
      </c>
      <c r="B120" s="12">
        <v>7275</v>
      </c>
      <c r="C120" s="12">
        <v>5.96</v>
      </c>
      <c r="D120" s="12">
        <v>7280.96</v>
      </c>
      <c r="E120" s="12">
        <v>8698.9</v>
      </c>
      <c r="F120" s="12">
        <v>1417.94</v>
      </c>
      <c r="G120" s="12">
        <v>-54169.62</v>
      </c>
      <c r="H120" s="11">
        <v>1.6000000000000001E-4</v>
      </c>
    </row>
    <row r="121" spans="1:8" x14ac:dyDescent="0.25">
      <c r="A121" t="s">
        <v>146</v>
      </c>
      <c r="B121" s="12">
        <v>394906.35</v>
      </c>
      <c r="C121" s="12">
        <v>234</v>
      </c>
      <c r="D121" s="12">
        <v>395140.35</v>
      </c>
      <c r="E121" s="12">
        <v>401848.06</v>
      </c>
      <c r="F121" s="12">
        <v>6707.71</v>
      </c>
      <c r="G121" s="12">
        <v>-47461.91</v>
      </c>
      <c r="H121" s="11">
        <v>8.5500000000000003E-3</v>
      </c>
    </row>
    <row r="122" spans="1:8" x14ac:dyDescent="0.25">
      <c r="A122" t="s">
        <v>147</v>
      </c>
      <c r="B122" s="12">
        <v>173393.3</v>
      </c>
      <c r="C122" s="12">
        <v>216.24</v>
      </c>
      <c r="D122" s="12">
        <v>173609.54</v>
      </c>
      <c r="E122" s="12">
        <v>161709.94</v>
      </c>
      <c r="F122" s="12">
        <v>-11899.6</v>
      </c>
      <c r="G122" s="12">
        <v>-59361.51</v>
      </c>
      <c r="H122" s="11">
        <v>3.5400000000000002E-3</v>
      </c>
    </row>
    <row r="123" spans="1:8" x14ac:dyDescent="0.25">
      <c r="A123" t="s">
        <v>148</v>
      </c>
      <c r="B123" s="12">
        <v>82136.72</v>
      </c>
      <c r="C123" s="12">
        <v>127.99</v>
      </c>
      <c r="D123" s="12">
        <v>82264.710000000006</v>
      </c>
      <c r="E123" s="12">
        <v>73470.710000000006</v>
      </c>
      <c r="F123" s="12">
        <v>-8794</v>
      </c>
      <c r="G123" s="12">
        <v>-68155.509999999995</v>
      </c>
      <c r="H123" s="11">
        <v>1.4599999999999999E-3</v>
      </c>
    </row>
    <row r="124" spans="1:8" x14ac:dyDescent="0.25">
      <c r="A124" t="s">
        <v>149</v>
      </c>
      <c r="B124" s="12">
        <v>48861.26</v>
      </c>
      <c r="C124" s="12">
        <v>82.4</v>
      </c>
      <c r="D124" s="12">
        <v>48943.66</v>
      </c>
      <c r="E124" s="12">
        <v>44598.400000000001</v>
      </c>
      <c r="F124" s="12">
        <v>-4345.26</v>
      </c>
      <c r="G124" s="12">
        <v>-72500.77</v>
      </c>
      <c r="H124" s="11">
        <v>7.6999999999999996E-4</v>
      </c>
    </row>
    <row r="125" spans="1:8" x14ac:dyDescent="0.25">
      <c r="A125" t="s">
        <v>150</v>
      </c>
      <c r="B125" s="12">
        <v>372654.51</v>
      </c>
      <c r="C125" s="12">
        <v>630</v>
      </c>
      <c r="D125" s="12">
        <v>373284.51</v>
      </c>
      <c r="E125" s="12">
        <v>406006</v>
      </c>
      <c r="F125" s="12">
        <v>32721.49</v>
      </c>
      <c r="G125" s="12">
        <v>-39779.279999999999</v>
      </c>
      <c r="H125" s="11">
        <v>6.1199999999999996E-3</v>
      </c>
    </row>
    <row r="126" spans="1:8" x14ac:dyDescent="0.25">
      <c r="A126" t="s">
        <v>151</v>
      </c>
      <c r="B126" s="12">
        <v>382143.06</v>
      </c>
      <c r="C126" s="12">
        <v>517.4</v>
      </c>
      <c r="D126" s="12">
        <v>382660.46</v>
      </c>
      <c r="E126" s="12">
        <v>412985.74</v>
      </c>
      <c r="F126" s="12">
        <v>30325.279999999999</v>
      </c>
      <c r="G126" s="12">
        <v>-9454</v>
      </c>
      <c r="H126" s="11">
        <v>7.0699999999999999E-3</v>
      </c>
    </row>
    <row r="127" spans="1:8" x14ac:dyDescent="0.25">
      <c r="A127" t="s">
        <v>152</v>
      </c>
      <c r="B127" s="12">
        <v>281278.36</v>
      </c>
      <c r="C127" s="12">
        <v>251.5</v>
      </c>
      <c r="D127" s="12">
        <v>281529.86</v>
      </c>
      <c r="E127" s="12">
        <v>347532.49</v>
      </c>
      <c r="F127" s="12">
        <v>66002.63</v>
      </c>
      <c r="G127" s="12">
        <v>56548.63</v>
      </c>
      <c r="H127" s="11">
        <v>6.3099999999999996E-3</v>
      </c>
    </row>
    <row r="128" spans="1:8" x14ac:dyDescent="0.25">
      <c r="A128" t="s">
        <v>153</v>
      </c>
      <c r="B128" s="12">
        <v>414802.97</v>
      </c>
      <c r="C128" s="12">
        <v>262.77</v>
      </c>
      <c r="D128" s="12">
        <v>415065.74</v>
      </c>
      <c r="E128" s="12">
        <v>438055.28</v>
      </c>
      <c r="F128" s="12">
        <v>22989.54</v>
      </c>
      <c r="G128" s="12">
        <v>79538.17</v>
      </c>
      <c r="H128" s="11">
        <v>1.025E-2</v>
      </c>
    </row>
    <row r="129" spans="1:8" x14ac:dyDescent="0.25">
      <c r="A129" t="s">
        <v>154</v>
      </c>
      <c r="B129" s="12">
        <v>480332.72</v>
      </c>
      <c r="C129" s="12">
        <v>284.39999999999998</v>
      </c>
      <c r="D129" s="12">
        <v>480617.12</v>
      </c>
      <c r="E129" s="12">
        <v>414469.63</v>
      </c>
      <c r="F129" s="12">
        <v>-66147.490000000005</v>
      </c>
      <c r="G129" s="12">
        <v>13390.68</v>
      </c>
      <c r="H129" s="11">
        <v>9.9399999999999992E-3</v>
      </c>
    </row>
    <row r="130" spans="1:8" x14ac:dyDescent="0.25">
      <c r="A130" t="s">
        <v>155</v>
      </c>
      <c r="B130" s="12">
        <v>288220.67</v>
      </c>
      <c r="C130" s="12">
        <v>190.75</v>
      </c>
      <c r="D130" s="12">
        <v>288411.42</v>
      </c>
      <c r="E130" s="12">
        <v>271466.53999999998</v>
      </c>
      <c r="F130" s="12">
        <v>-16944.88</v>
      </c>
      <c r="G130" s="12">
        <v>-3554.2</v>
      </c>
      <c r="H130" s="11">
        <v>5.7200000000000003E-3</v>
      </c>
    </row>
    <row r="131" spans="1:8" x14ac:dyDescent="0.25">
      <c r="A131" t="s">
        <v>156</v>
      </c>
      <c r="B131" s="12">
        <v>540213.14</v>
      </c>
      <c r="C131" s="12">
        <v>367.22</v>
      </c>
      <c r="D131" s="12">
        <v>540580.36</v>
      </c>
      <c r="E131" s="12">
        <v>566979.51</v>
      </c>
      <c r="F131" s="12">
        <v>26399.15</v>
      </c>
      <c r="G131" s="12">
        <v>22844.95</v>
      </c>
      <c r="H131" s="11">
        <v>1.1259999999999999E-2</v>
      </c>
    </row>
    <row r="132" spans="1:8" x14ac:dyDescent="0.25">
      <c r="A132" t="s">
        <v>157</v>
      </c>
      <c r="B132" s="12">
        <v>267754.5</v>
      </c>
      <c r="C132" s="12">
        <v>151.75</v>
      </c>
      <c r="D132" s="12">
        <v>267906.25</v>
      </c>
      <c r="E132" s="12">
        <v>279001.12</v>
      </c>
      <c r="F132" s="12">
        <v>11094.87</v>
      </c>
      <c r="G132" s="12">
        <v>33939.82</v>
      </c>
      <c r="H132" s="11">
        <v>5.7800000000000004E-3</v>
      </c>
    </row>
    <row r="133" spans="1:8" x14ac:dyDescent="0.25">
      <c r="A133" t="s">
        <v>158</v>
      </c>
      <c r="B133" s="12">
        <v>486056.09</v>
      </c>
      <c r="C133" s="12">
        <v>437.03</v>
      </c>
      <c r="D133" s="12">
        <v>486493.12</v>
      </c>
      <c r="E133" s="12">
        <v>496975.15</v>
      </c>
      <c r="F133" s="12">
        <v>10482.030000000001</v>
      </c>
      <c r="G133" s="12">
        <v>44421.85</v>
      </c>
      <c r="H133" s="11">
        <v>1.116E-2</v>
      </c>
    </row>
    <row r="134" spans="1:8" x14ac:dyDescent="0.25">
      <c r="A134" t="s">
        <v>159</v>
      </c>
      <c r="B134" s="12">
        <v>766607.64</v>
      </c>
      <c r="C134" s="12">
        <v>898.25</v>
      </c>
      <c r="D134" s="12">
        <v>767505.89</v>
      </c>
      <c r="E134" s="12">
        <v>679216.87</v>
      </c>
      <c r="F134" s="12">
        <v>-88289.02</v>
      </c>
      <c r="G134" s="12">
        <v>-43867.17</v>
      </c>
      <c r="H134" s="11">
        <v>1.5299999999999999E-2</v>
      </c>
    </row>
    <row r="135" spans="1:8" x14ac:dyDescent="0.25">
      <c r="A135" t="s">
        <v>160</v>
      </c>
      <c r="B135" s="12">
        <v>769646.2</v>
      </c>
      <c r="C135" s="12">
        <v>1226.3900000000001</v>
      </c>
      <c r="D135" s="12">
        <v>770872.59</v>
      </c>
      <c r="E135" s="12">
        <v>660330.03</v>
      </c>
      <c r="F135" s="12">
        <v>-110542.56</v>
      </c>
      <c r="G135" s="12">
        <v>-154409.73000000001</v>
      </c>
      <c r="H135" s="11">
        <v>1.2789999999999999E-2</v>
      </c>
    </row>
    <row r="136" spans="1:8" x14ac:dyDescent="0.25">
      <c r="A136" t="s">
        <v>161</v>
      </c>
      <c r="B136" s="12">
        <v>437385.16</v>
      </c>
      <c r="C136" s="12">
        <v>893.34</v>
      </c>
      <c r="D136" s="12">
        <v>438278.5</v>
      </c>
      <c r="E136" s="12">
        <v>409799.98</v>
      </c>
      <c r="F136" s="12">
        <v>-28478.52</v>
      </c>
      <c r="G136" s="12">
        <v>-182888.25</v>
      </c>
      <c r="H136" s="11">
        <v>6.7799999999999996E-3</v>
      </c>
    </row>
    <row r="137" spans="1:8" x14ac:dyDescent="0.25">
      <c r="A137" t="s">
        <v>162</v>
      </c>
      <c r="B137" s="12">
        <v>435693.42</v>
      </c>
      <c r="C137" s="12">
        <v>736.63</v>
      </c>
      <c r="D137" s="12">
        <v>436430.05</v>
      </c>
      <c r="E137" s="12">
        <v>533636.43999999994</v>
      </c>
      <c r="F137" s="12">
        <v>97206.39</v>
      </c>
      <c r="G137" s="12">
        <v>-85681.86</v>
      </c>
      <c r="H137" s="11">
        <v>8.0599999999999995E-3</v>
      </c>
    </row>
    <row r="138" spans="1:8" x14ac:dyDescent="0.25">
      <c r="A138" t="s">
        <v>163</v>
      </c>
      <c r="B138" s="12">
        <v>437703.27</v>
      </c>
      <c r="C138" s="12">
        <v>553.87</v>
      </c>
      <c r="D138" s="12">
        <v>438257.14</v>
      </c>
      <c r="E138" s="12">
        <v>455479.48</v>
      </c>
      <c r="F138" s="12">
        <v>17222.34</v>
      </c>
      <c r="G138" s="12">
        <v>-68459.520000000004</v>
      </c>
      <c r="H138" s="11">
        <v>8.7299999999999999E-3</v>
      </c>
    </row>
    <row r="139" spans="1:8" x14ac:dyDescent="0.25">
      <c r="A139" t="s">
        <v>164</v>
      </c>
      <c r="B139" s="12">
        <v>431644.75</v>
      </c>
      <c r="C139" s="12">
        <v>393.88</v>
      </c>
      <c r="D139" s="12">
        <v>432038.63</v>
      </c>
      <c r="E139" s="12">
        <v>502028.39</v>
      </c>
      <c r="F139" s="12">
        <v>69989.759999999995</v>
      </c>
      <c r="G139" s="12">
        <v>1530.24</v>
      </c>
      <c r="H139" s="11">
        <v>1.0149999999999999E-2</v>
      </c>
    </row>
    <row r="140" spans="1:8" x14ac:dyDescent="0.25">
      <c r="A140" t="s">
        <v>165</v>
      </c>
      <c r="B140" s="12">
        <v>191773.31</v>
      </c>
      <c r="C140" s="12">
        <v>138.38</v>
      </c>
      <c r="D140" s="12">
        <v>191911.69</v>
      </c>
      <c r="E140" s="12">
        <v>229643.34</v>
      </c>
      <c r="F140" s="12">
        <v>37731.65</v>
      </c>
      <c r="G140" s="12">
        <v>39261.89</v>
      </c>
      <c r="H140" s="11">
        <v>5.3899999999999998E-3</v>
      </c>
    </row>
    <row r="141" spans="1:8" x14ac:dyDescent="0.25">
      <c r="A141" t="s">
        <v>166</v>
      </c>
      <c r="B141" s="12">
        <v>167972.69</v>
      </c>
      <c r="C141" s="12">
        <v>122.78</v>
      </c>
      <c r="D141" s="12">
        <v>168095.47</v>
      </c>
      <c r="E141" s="12">
        <v>146324.76</v>
      </c>
      <c r="F141" s="12">
        <v>-21770.71</v>
      </c>
      <c r="G141" s="12">
        <v>17491.18</v>
      </c>
      <c r="H141" s="11">
        <v>3.9699999999999996E-3</v>
      </c>
    </row>
    <row r="142" spans="1:8" x14ac:dyDescent="0.25">
      <c r="A142" t="s">
        <v>167</v>
      </c>
      <c r="B142" s="12">
        <v>33963.93</v>
      </c>
      <c r="C142" s="12">
        <v>21.87</v>
      </c>
      <c r="D142" s="12">
        <v>33985.800000000003</v>
      </c>
      <c r="E142" s="12">
        <v>31076.65</v>
      </c>
      <c r="F142" s="12">
        <v>-2909.15</v>
      </c>
      <c r="G142" s="12">
        <v>14582.03</v>
      </c>
      <c r="H142" s="11">
        <v>7.2999999999999996E-4</v>
      </c>
    </row>
    <row r="143" spans="1:8" x14ac:dyDescent="0.25">
      <c r="A143" t="s">
        <v>168</v>
      </c>
      <c r="B143" s="12">
        <v>50955.14</v>
      </c>
      <c r="C143" s="12">
        <v>35.380000000000003</v>
      </c>
      <c r="D143" s="12">
        <v>50990.52</v>
      </c>
      <c r="E143" s="12">
        <v>50394.29</v>
      </c>
      <c r="F143" s="12">
        <v>-596.23</v>
      </c>
      <c r="G143" s="12">
        <v>13985.8</v>
      </c>
      <c r="H143" s="11">
        <v>1.15E-3</v>
      </c>
    </row>
    <row r="144" spans="1:8" x14ac:dyDescent="0.25">
      <c r="A144" t="s">
        <v>169</v>
      </c>
      <c r="B144" s="12">
        <v>-469361.8</v>
      </c>
      <c r="C144" s="12">
        <v>-279.70999999999998</v>
      </c>
      <c r="D144" s="12">
        <v>-469641.51</v>
      </c>
      <c r="E144" s="12">
        <v>-502311.15</v>
      </c>
      <c r="F144" s="12">
        <v>-32669.64</v>
      </c>
      <c r="G144" s="12">
        <v>-18683.84</v>
      </c>
      <c r="H144" s="11">
        <v>-1.0529999999999999E-2</v>
      </c>
    </row>
    <row r="145" spans="1:8" x14ac:dyDescent="0.25">
      <c r="A145" t="s">
        <v>170</v>
      </c>
      <c r="B145" s="12">
        <v>-348837.93</v>
      </c>
      <c r="C145" s="12">
        <v>-231.45</v>
      </c>
      <c r="D145" s="12">
        <v>-349069.38</v>
      </c>
      <c r="E145" s="12">
        <v>-331680.23</v>
      </c>
      <c r="F145" s="12">
        <v>17389.150000000001</v>
      </c>
      <c r="G145" s="12">
        <v>-1294.69</v>
      </c>
      <c r="H145" s="11">
        <v>-7.8100000000000001E-3</v>
      </c>
    </row>
    <row r="146" spans="1:8" x14ac:dyDescent="0.25">
      <c r="A146" t="s">
        <v>171</v>
      </c>
      <c r="B146" s="12">
        <v>-570089.04</v>
      </c>
      <c r="C146" s="12">
        <v>-571.16999999999996</v>
      </c>
      <c r="D146" s="12">
        <v>-570660.21</v>
      </c>
      <c r="E146" s="12">
        <v>-555017.64</v>
      </c>
      <c r="F146" s="12">
        <v>15642.57</v>
      </c>
      <c r="G146" s="12">
        <v>14347.88</v>
      </c>
      <c r="H146" s="11">
        <v>-1.223E-2</v>
      </c>
    </row>
    <row r="147" spans="1:8" x14ac:dyDescent="0.25">
      <c r="A147" t="s">
        <v>172</v>
      </c>
      <c r="B147" s="12">
        <v>-571127.61</v>
      </c>
      <c r="C147" s="12">
        <v>-1014.49</v>
      </c>
      <c r="D147" s="12">
        <v>-572142.1</v>
      </c>
      <c r="E147" s="12">
        <v>-473887.85</v>
      </c>
      <c r="F147" s="12">
        <v>98254.25</v>
      </c>
      <c r="G147" s="12">
        <v>112602.13</v>
      </c>
      <c r="H147" s="11">
        <v>-9.9900000000000006E-3</v>
      </c>
    </row>
    <row r="148" spans="1:8" x14ac:dyDescent="0.25">
      <c r="A148" t="s">
        <v>173</v>
      </c>
      <c r="B148" s="12">
        <v>-602185.97</v>
      </c>
      <c r="C148" s="12">
        <v>-761.09</v>
      </c>
      <c r="D148" s="12">
        <v>-602947.06000000006</v>
      </c>
      <c r="E148" s="12">
        <v>-543212.43000000005</v>
      </c>
      <c r="F148" s="12">
        <v>59734.63</v>
      </c>
      <c r="G148" s="12">
        <v>172336.76</v>
      </c>
      <c r="H148" s="11">
        <v>-9.11E-3</v>
      </c>
    </row>
    <row r="149" spans="1:8" x14ac:dyDescent="0.25">
      <c r="A149" t="s">
        <v>174</v>
      </c>
      <c r="B149" s="12">
        <v>-198326.57</v>
      </c>
      <c r="C149" s="12">
        <v>-777.48</v>
      </c>
      <c r="D149" s="12">
        <v>-199104.05</v>
      </c>
      <c r="E149" s="12">
        <v>-210458.75</v>
      </c>
      <c r="F149" s="12">
        <v>-11354.7</v>
      </c>
      <c r="G149" s="12">
        <v>160982.06</v>
      </c>
      <c r="H149" s="11">
        <v>-3.14E-3</v>
      </c>
    </row>
    <row r="150" spans="1:8" x14ac:dyDescent="0.25">
      <c r="A150" t="s">
        <v>175</v>
      </c>
      <c r="B150" s="12">
        <v>-138463.88</v>
      </c>
      <c r="C150" s="12">
        <v>-155.72</v>
      </c>
      <c r="D150" s="12">
        <v>-138619.6</v>
      </c>
      <c r="E150" s="12">
        <v>-161268.37</v>
      </c>
      <c r="F150" s="12">
        <v>-22648.77</v>
      </c>
      <c r="G150" s="12">
        <v>138333.29</v>
      </c>
      <c r="H150" s="11">
        <v>-2.6700000000000001E-3</v>
      </c>
    </row>
    <row r="151" spans="1:8" x14ac:dyDescent="0.25">
      <c r="A151" t="s">
        <v>176</v>
      </c>
      <c r="B151" s="12">
        <v>-345668.23</v>
      </c>
      <c r="C151" s="12">
        <v>-244.37</v>
      </c>
      <c r="D151" s="12">
        <v>-345912.6</v>
      </c>
      <c r="E151" s="12">
        <v>-426884.7</v>
      </c>
      <c r="F151" s="12">
        <v>-80972.100000000006</v>
      </c>
      <c r="G151" s="12">
        <v>57361.19</v>
      </c>
      <c r="H151" s="11">
        <v>-8.2900000000000005E-3</v>
      </c>
    </row>
    <row r="152" spans="1:8" x14ac:dyDescent="0.25">
      <c r="A152" t="s">
        <v>177</v>
      </c>
      <c r="B152" s="12">
        <v>-616112.22</v>
      </c>
      <c r="C152" s="12">
        <v>-399.67</v>
      </c>
      <c r="D152" s="12">
        <v>-616511.89</v>
      </c>
      <c r="E152" s="12">
        <v>-575136.77</v>
      </c>
      <c r="F152" s="12">
        <v>41375.120000000003</v>
      </c>
      <c r="G152" s="12">
        <v>98736.31</v>
      </c>
      <c r="H152" s="11">
        <v>-1.436E-2</v>
      </c>
    </row>
    <row r="153" spans="1:8" x14ac:dyDescent="0.25">
      <c r="A153" t="s">
        <v>178</v>
      </c>
      <c r="B153" s="12">
        <v>-827339.43</v>
      </c>
      <c r="C153" s="12">
        <v>-566.39</v>
      </c>
      <c r="D153" s="12">
        <v>-827905.82</v>
      </c>
      <c r="E153" s="12">
        <v>-707827.1</v>
      </c>
      <c r="F153" s="12">
        <v>120078.72</v>
      </c>
      <c r="G153" s="12">
        <v>218815.03</v>
      </c>
      <c r="H153" s="11">
        <v>-1.626E-2</v>
      </c>
    </row>
    <row r="154" spans="1:8" x14ac:dyDescent="0.25">
      <c r="A154" t="s">
        <v>179</v>
      </c>
      <c r="B154" s="12">
        <v>-482785.21</v>
      </c>
      <c r="C154" s="12">
        <v>-382.85</v>
      </c>
      <c r="D154" s="12">
        <v>-483168.06</v>
      </c>
      <c r="E154" s="12">
        <v>-455983.88</v>
      </c>
      <c r="F154" s="12">
        <v>27184.18</v>
      </c>
      <c r="G154" s="12">
        <v>245999.21</v>
      </c>
      <c r="H154" s="11">
        <v>-8.9899999999999997E-3</v>
      </c>
    </row>
    <row r="155" spans="1:8" x14ac:dyDescent="0.25">
      <c r="A155" t="s">
        <v>180</v>
      </c>
      <c r="B155" s="12">
        <v>-229657.52</v>
      </c>
      <c r="C155" s="12">
        <v>-180.31</v>
      </c>
      <c r="D155" s="12">
        <v>-229837.83</v>
      </c>
      <c r="E155" s="12">
        <v>-236554.28</v>
      </c>
      <c r="F155" s="12">
        <v>-6716.45</v>
      </c>
      <c r="G155" s="12">
        <v>239282.76</v>
      </c>
      <c r="H155" s="11">
        <v>-4.4200000000000003E-3</v>
      </c>
    </row>
    <row r="156" spans="1:8" x14ac:dyDescent="0.25">
      <c r="A156" t="s">
        <v>181</v>
      </c>
      <c r="B156" s="12">
        <v>-322958.01</v>
      </c>
      <c r="C156" s="12">
        <v>-219.69</v>
      </c>
      <c r="D156" s="12">
        <v>-323177.7</v>
      </c>
      <c r="E156" s="12">
        <v>-373655.82</v>
      </c>
      <c r="F156" s="12">
        <v>-50478.12</v>
      </c>
      <c r="G156" s="12">
        <v>188804.64</v>
      </c>
      <c r="H156" s="11">
        <v>-7.0000000000000001E-3</v>
      </c>
    </row>
    <row r="157" spans="1:8" x14ac:dyDescent="0.25">
      <c r="A157" t="s">
        <v>182</v>
      </c>
      <c r="B157" s="12">
        <v>-339985.61</v>
      </c>
      <c r="C157" s="12">
        <v>-260.14999999999998</v>
      </c>
      <c r="D157" s="12">
        <v>-340245.76000000001</v>
      </c>
      <c r="E157" s="12">
        <v>-367829.45</v>
      </c>
      <c r="F157" s="12">
        <v>-27583.69</v>
      </c>
      <c r="G157" s="12">
        <v>161220.95000000001</v>
      </c>
      <c r="H157" s="11">
        <v>-8.0999999999999996E-3</v>
      </c>
    </row>
    <row r="158" spans="1:8" x14ac:dyDescent="0.25">
      <c r="A158" t="s">
        <v>183</v>
      </c>
      <c r="B158" s="12">
        <v>-567941.22</v>
      </c>
      <c r="C158" s="12">
        <v>-810.67</v>
      </c>
      <c r="D158" s="12">
        <v>-568751.89</v>
      </c>
      <c r="E158" s="12">
        <v>-537945.12</v>
      </c>
      <c r="F158" s="12">
        <v>30806.77</v>
      </c>
      <c r="G158" s="12">
        <v>192027.72</v>
      </c>
      <c r="H158" s="11">
        <v>-1.29E-2</v>
      </c>
    </row>
    <row r="159" spans="1:8" x14ac:dyDescent="0.25">
      <c r="A159" t="s">
        <v>184</v>
      </c>
      <c r="B159" s="12">
        <v>-815806.84</v>
      </c>
      <c r="C159" s="12">
        <v>-1494.4</v>
      </c>
      <c r="D159" s="12">
        <v>-817301.24</v>
      </c>
      <c r="E159" s="12">
        <v>-552197.68999999994</v>
      </c>
      <c r="F159" s="12">
        <v>265103.55</v>
      </c>
      <c r="G159" s="12">
        <v>457131.27</v>
      </c>
      <c r="H159" s="11">
        <v>-1.238E-2</v>
      </c>
    </row>
    <row r="160" spans="1:8" x14ac:dyDescent="0.25">
      <c r="A160" t="s">
        <v>185</v>
      </c>
      <c r="B160" s="12">
        <v>-436914.89</v>
      </c>
      <c r="C160" s="12">
        <v>-693.07</v>
      </c>
      <c r="D160" s="12">
        <v>-437607.96</v>
      </c>
      <c r="E160" s="12">
        <v>-451528.23</v>
      </c>
      <c r="F160" s="12">
        <v>-13920.27</v>
      </c>
      <c r="G160" s="12">
        <v>443211</v>
      </c>
      <c r="H160" s="11">
        <v>-6.7799999999999996E-3</v>
      </c>
    </row>
    <row r="161" spans="1:8" x14ac:dyDescent="0.25">
      <c r="A161" t="s">
        <v>186</v>
      </c>
      <c r="B161" s="12">
        <v>-89592.75</v>
      </c>
      <c r="C161" s="12">
        <v>-121.71</v>
      </c>
      <c r="D161" s="12">
        <v>-89714.46</v>
      </c>
      <c r="E161" s="12">
        <v>-107049.45</v>
      </c>
      <c r="F161" s="12">
        <v>-17334.990000000002</v>
      </c>
      <c r="G161" s="12">
        <v>425876.01</v>
      </c>
      <c r="H161" s="11">
        <v>-1.58E-3</v>
      </c>
    </row>
    <row r="162" spans="1:8" x14ac:dyDescent="0.25">
      <c r="A162" t="s">
        <v>187</v>
      </c>
      <c r="B162" s="12">
        <v>-401565.03</v>
      </c>
      <c r="C162" s="12">
        <v>-446.29</v>
      </c>
      <c r="D162" s="12">
        <v>-402011.32</v>
      </c>
      <c r="E162" s="12">
        <v>-419984.27</v>
      </c>
      <c r="F162" s="12">
        <v>-17972.95</v>
      </c>
      <c r="G162" s="12">
        <v>407903.06</v>
      </c>
      <c r="H162" s="11">
        <v>-7.7000000000000002E-3</v>
      </c>
    </row>
    <row r="163" spans="1:8" x14ac:dyDescent="0.25">
      <c r="A163" t="s">
        <v>188</v>
      </c>
      <c r="B163" s="12">
        <v>-458687.09</v>
      </c>
      <c r="C163" s="12">
        <v>-364.33</v>
      </c>
      <c r="D163" s="12">
        <v>-459051.42</v>
      </c>
      <c r="E163" s="12">
        <v>-530218.99</v>
      </c>
      <c r="F163" s="12">
        <v>-71167.570000000007</v>
      </c>
      <c r="G163" s="12">
        <v>336735.49</v>
      </c>
      <c r="H163" s="11">
        <v>-1.031E-2</v>
      </c>
    </row>
    <row r="164" spans="1:8" x14ac:dyDescent="0.25">
      <c r="A164" t="s">
        <v>189</v>
      </c>
      <c r="B164" s="12">
        <v>-422198.52</v>
      </c>
      <c r="C164" s="12">
        <v>-295.95999999999998</v>
      </c>
      <c r="D164" s="12">
        <v>-422494.48</v>
      </c>
      <c r="E164" s="12">
        <v>-410543.95</v>
      </c>
      <c r="F164" s="12">
        <v>11950.53</v>
      </c>
      <c r="G164" s="12">
        <v>348686.02</v>
      </c>
      <c r="H164" s="11">
        <v>-9.6299999999999997E-3</v>
      </c>
    </row>
    <row r="165" spans="1:8" x14ac:dyDescent="0.25">
      <c r="A165" t="s">
        <v>190</v>
      </c>
      <c r="B165" s="12">
        <v>-668051.36</v>
      </c>
      <c r="C165" s="12">
        <v>-391.3</v>
      </c>
      <c r="D165" s="12">
        <v>-668442.66</v>
      </c>
      <c r="E165" s="12">
        <v>-618507.56999999995</v>
      </c>
      <c r="F165" s="12">
        <v>49935.09</v>
      </c>
      <c r="G165" s="12">
        <v>398621.11</v>
      </c>
      <c r="H165" s="11">
        <v>-1.374E-2</v>
      </c>
    </row>
    <row r="166" spans="1:8" x14ac:dyDescent="0.25">
      <c r="A166" t="s">
        <v>191</v>
      </c>
      <c r="B166" s="12">
        <v>-2124.66</v>
      </c>
      <c r="C166" s="12">
        <v>-2.23</v>
      </c>
      <c r="D166" s="12">
        <v>-2126.89</v>
      </c>
      <c r="E166" s="12">
        <v>-3267.47</v>
      </c>
      <c r="F166" s="12">
        <v>-1140.58</v>
      </c>
      <c r="G166" s="12">
        <v>397480.53</v>
      </c>
      <c r="H166" s="11">
        <v>-6.9999999999999994E-5</v>
      </c>
    </row>
    <row r="167" spans="1:8" x14ac:dyDescent="0.25">
      <c r="A167" t="s">
        <v>192</v>
      </c>
      <c r="B167" s="12">
        <v>-25800.55</v>
      </c>
      <c r="C167" s="12">
        <v>-15.65</v>
      </c>
      <c r="D167" s="12">
        <v>-25816.2</v>
      </c>
      <c r="E167" s="12">
        <v>-27717.91</v>
      </c>
      <c r="F167" s="12">
        <v>-1901.71</v>
      </c>
      <c r="G167" s="12">
        <v>395578.82</v>
      </c>
      <c r="H167" s="11">
        <v>-5.1000000000000004E-4</v>
      </c>
    </row>
    <row r="168" spans="1:8" x14ac:dyDescent="0.25">
      <c r="A168" t="s">
        <v>193</v>
      </c>
      <c r="B168" s="12">
        <v>16824.45</v>
      </c>
      <c r="C168" s="12">
        <v>9.86</v>
      </c>
      <c r="D168" s="12">
        <v>16834.310000000001</v>
      </c>
      <c r="E168" s="12">
        <v>18732.419999999998</v>
      </c>
      <c r="F168" s="12">
        <v>1898.11</v>
      </c>
      <c r="G168" s="12">
        <v>397476.93</v>
      </c>
      <c r="H168" s="11">
        <v>3.6999999999999999E-4</v>
      </c>
    </row>
    <row r="169" spans="1:8" x14ac:dyDescent="0.25">
      <c r="A169" t="s">
        <v>194</v>
      </c>
      <c r="B169" s="12">
        <v>-17827.54</v>
      </c>
      <c r="C169" s="12">
        <v>-14.67</v>
      </c>
      <c r="D169" s="12">
        <v>-17842.21</v>
      </c>
      <c r="E169" s="12">
        <v>-17776.71</v>
      </c>
      <c r="F169" s="12">
        <v>65.5</v>
      </c>
      <c r="G169" s="12">
        <v>397542.43</v>
      </c>
      <c r="H169" s="11">
        <v>-4.2000000000000002E-4</v>
      </c>
    </row>
    <row r="170" spans="1:8" x14ac:dyDescent="0.25">
      <c r="A170" t="s">
        <v>195</v>
      </c>
      <c r="B170" s="12">
        <v>-914.93</v>
      </c>
      <c r="C170" s="12">
        <v>-1.1399999999999999</v>
      </c>
      <c r="D170" s="12">
        <v>-916.07</v>
      </c>
      <c r="E170" s="12">
        <v>-888.89</v>
      </c>
      <c r="F170" s="12">
        <v>27.18</v>
      </c>
      <c r="G170" s="12">
        <v>397569.61</v>
      </c>
      <c r="H170" s="11">
        <v>-2.0000000000000002E-5</v>
      </c>
    </row>
    <row r="171" spans="1:8" x14ac:dyDescent="0.25">
      <c r="A171" t="s">
        <v>196</v>
      </c>
      <c r="B171" s="12">
        <v>111924.68</v>
      </c>
      <c r="C171" s="12">
        <v>169.91</v>
      </c>
      <c r="D171" s="12">
        <v>112094.59</v>
      </c>
      <c r="E171" s="12">
        <v>94038.5</v>
      </c>
      <c r="F171" s="12">
        <v>-18056.09</v>
      </c>
      <c r="G171" s="12">
        <v>379513.52</v>
      </c>
      <c r="H171" s="11">
        <v>2.0600000000000002E-3</v>
      </c>
    </row>
    <row r="172" spans="1:8" x14ac:dyDescent="0.25">
      <c r="A172" t="s">
        <v>197</v>
      </c>
      <c r="B172" s="12">
        <v>45310.42</v>
      </c>
      <c r="C172" s="12">
        <v>60.88</v>
      </c>
      <c r="D172" s="12">
        <v>45371.3</v>
      </c>
      <c r="E172" s="12">
        <v>42430.18</v>
      </c>
      <c r="F172" s="12">
        <v>-2941.12</v>
      </c>
      <c r="G172" s="12">
        <v>376572.4</v>
      </c>
      <c r="H172" s="11">
        <v>7.6999999999999996E-4</v>
      </c>
    </row>
    <row r="173" spans="1:8" x14ac:dyDescent="0.25">
      <c r="A173" t="s">
        <v>198</v>
      </c>
      <c r="B173" s="12">
        <v>22087.75</v>
      </c>
      <c r="C173" s="12">
        <v>29.09</v>
      </c>
      <c r="D173" s="12">
        <f t="shared" ref="D173:D178" si="0">B173+C173</f>
        <v>22116.84</v>
      </c>
      <c r="E173" s="12">
        <v>24566.91</v>
      </c>
      <c r="F173" s="12">
        <f t="shared" ref="F173:F178" si="1">E173-D173</f>
        <v>2450.0699999999997</v>
      </c>
      <c r="G173" s="12">
        <f t="shared" ref="G173:G178" si="2">G172+F173</f>
        <v>379022.47000000003</v>
      </c>
      <c r="H173" s="11">
        <v>4.2000000000000002E-4</v>
      </c>
    </row>
    <row r="174" spans="1:8" x14ac:dyDescent="0.25">
      <c r="A174" t="s">
        <v>199</v>
      </c>
      <c r="B174" s="12">
        <v>-29655.279999999999</v>
      </c>
      <c r="C174" s="12">
        <v>-25.74</v>
      </c>
      <c r="D174" s="12">
        <f t="shared" si="0"/>
        <v>-29681.02</v>
      </c>
      <c r="E174" s="12">
        <v>-33963.120000000003</v>
      </c>
      <c r="F174" s="12">
        <f t="shared" si="1"/>
        <v>-4282.1000000000022</v>
      </c>
      <c r="G174" s="12">
        <f t="shared" si="2"/>
        <v>374740.37000000005</v>
      </c>
      <c r="H174" s="11">
        <v>-6.4000000000000005E-4</v>
      </c>
    </row>
    <row r="175" spans="1:8" x14ac:dyDescent="0.25">
      <c r="A175" t="s">
        <v>200</v>
      </c>
      <c r="B175" s="12">
        <v>-68864.41</v>
      </c>
      <c r="C175" s="12">
        <v>-18</v>
      </c>
      <c r="D175" s="12">
        <f t="shared" si="0"/>
        <v>-68882.41</v>
      </c>
      <c r="E175" s="12">
        <v>-73140.929999999993</v>
      </c>
      <c r="F175" s="12">
        <f t="shared" si="1"/>
        <v>-4258.5199999999895</v>
      </c>
      <c r="G175" s="12">
        <f t="shared" si="2"/>
        <v>370481.85000000009</v>
      </c>
      <c r="H175" s="11">
        <v>-1.64E-3</v>
      </c>
    </row>
    <row r="176" spans="1:8" x14ac:dyDescent="0.25">
      <c r="A176" t="s">
        <v>201</v>
      </c>
      <c r="B176" s="12">
        <v>-187688.23</v>
      </c>
      <c r="C176" s="12">
        <v>-116.94</v>
      </c>
      <c r="D176" s="12">
        <f t="shared" si="0"/>
        <v>-187805.17</v>
      </c>
      <c r="E176" s="12">
        <v>-182262.1</v>
      </c>
      <c r="F176" s="12">
        <f t="shared" si="1"/>
        <v>5543.070000000007</v>
      </c>
      <c r="G176" s="12">
        <f t="shared" si="2"/>
        <v>376024.9200000001</v>
      </c>
      <c r="H176" s="11">
        <v>-4.3400000000000001E-3</v>
      </c>
    </row>
    <row r="177" spans="1:8" x14ac:dyDescent="0.25">
      <c r="A177" t="s">
        <v>202</v>
      </c>
      <c r="B177" s="12">
        <v>-167601.79999999999</v>
      </c>
      <c r="C177" s="12">
        <v>-105.68</v>
      </c>
      <c r="D177" s="12">
        <f t="shared" si="0"/>
        <v>-167707.47999999998</v>
      </c>
      <c r="E177" s="12">
        <v>-158947.51999999999</v>
      </c>
      <c r="F177" s="12">
        <f t="shared" si="1"/>
        <v>8759.9599999999919</v>
      </c>
      <c r="G177" s="12">
        <f t="shared" si="2"/>
        <v>384784.88000000012</v>
      </c>
      <c r="H177" s="11">
        <v>-3.5999999999999999E-3</v>
      </c>
    </row>
    <row r="178" spans="1:8" x14ac:dyDescent="0.25">
      <c r="A178" t="s">
        <v>203</v>
      </c>
      <c r="B178" s="12">
        <v>-161728.82999999999</v>
      </c>
      <c r="C178" s="12">
        <v>-93.63</v>
      </c>
      <c r="D178" s="12">
        <f t="shared" si="0"/>
        <v>-161822.46</v>
      </c>
      <c r="E178" s="12">
        <v>-141057.93</v>
      </c>
      <c r="F178" s="12">
        <f t="shared" si="1"/>
        <v>20764.53</v>
      </c>
      <c r="G178" s="12">
        <f t="shared" si="2"/>
        <v>405549.41000000015</v>
      </c>
      <c r="H178" s="11">
        <v>-3.1099999999999999E-3</v>
      </c>
    </row>
    <row r="179" spans="1:8" x14ac:dyDescent="0.25">
      <c r="A179" s="13" t="s">
        <v>204</v>
      </c>
      <c r="B179" s="12">
        <v>-153773.01</v>
      </c>
      <c r="C179" s="12">
        <v>-65.430000000000007</v>
      </c>
      <c r="D179" s="12">
        <f t="shared" ref="D179" si="3">B179+C179</f>
        <v>-153838.44</v>
      </c>
      <c r="E179" s="12">
        <v>-160223.04000000001</v>
      </c>
      <c r="F179" s="12">
        <f t="shared" ref="F179" si="4">E179-D179</f>
        <v>-6384.6000000000058</v>
      </c>
      <c r="G179" s="12">
        <f t="shared" ref="G179" si="5">G178+F179</f>
        <v>399164.81000000017</v>
      </c>
      <c r="H179" s="11">
        <v>-3.0300000000000001E-3</v>
      </c>
    </row>
    <row r="180" spans="1:8" x14ac:dyDescent="0.25">
      <c r="A180" s="13" t="s">
        <v>205</v>
      </c>
      <c r="B180" s="12">
        <v>-118555.62</v>
      </c>
      <c r="C180" s="12">
        <v>-83.36</v>
      </c>
      <c r="D180" s="12">
        <f t="shared" ref="D180" si="6">B180+C180</f>
        <v>-118638.98</v>
      </c>
      <c r="E180" s="12">
        <v>-133451.47</v>
      </c>
      <c r="F180" s="12">
        <f t="shared" ref="F180" si="7">E180-D180</f>
        <v>-14812.490000000005</v>
      </c>
      <c r="G180" s="12">
        <f t="shared" ref="G180" si="8">G179+F180</f>
        <v>384352.32000000018</v>
      </c>
      <c r="H180" s="11">
        <v>-2.63E-3</v>
      </c>
    </row>
    <row r="181" spans="1:8" x14ac:dyDescent="0.25">
      <c r="A181" s="13" t="s">
        <v>206</v>
      </c>
      <c r="B181" s="12">
        <v>-33791.629999999997</v>
      </c>
      <c r="C181" s="12">
        <v>-29.33</v>
      </c>
      <c r="D181" s="12">
        <f t="shared" ref="D181" si="9">B181+C181</f>
        <v>-33820.959999999999</v>
      </c>
      <c r="E181" s="12">
        <v>-33135.599999999999</v>
      </c>
      <c r="F181" s="12">
        <f t="shared" ref="F181" si="10">E181-D181</f>
        <v>685.36000000000058</v>
      </c>
      <c r="G181" s="12">
        <f t="shared" ref="G181" si="11">G180+F181</f>
        <v>385037.68000000017</v>
      </c>
      <c r="H181" s="11">
        <v>-7.6999999999999996E-4</v>
      </c>
    </row>
    <row r="182" spans="1:8" x14ac:dyDescent="0.25">
      <c r="A182" s="13" t="s">
        <v>207</v>
      </c>
      <c r="B182" s="12">
        <v>-104687</v>
      </c>
      <c r="C182" s="12">
        <v>-46.4</v>
      </c>
      <c r="D182" s="12">
        <f t="shared" ref="D182" si="12">B182+C182</f>
        <v>-104733.4</v>
      </c>
      <c r="E182" s="12">
        <v>-35275.49</v>
      </c>
      <c r="F182" s="12">
        <f t="shared" ref="F182" si="13">E182-D182</f>
        <v>69457.91</v>
      </c>
      <c r="G182" s="12">
        <f t="shared" ref="G182" si="14">G181+F182</f>
        <v>454495.5900000002</v>
      </c>
      <c r="H182" s="11">
        <v>-7.6999999999999996E-4</v>
      </c>
    </row>
    <row r="183" spans="1:8" x14ac:dyDescent="0.25">
      <c r="A183" s="13" t="s">
        <v>208</v>
      </c>
      <c r="B183" s="12">
        <v>162582.49</v>
      </c>
      <c r="C183" s="12">
        <v>126.64</v>
      </c>
      <c r="D183" s="12">
        <f t="shared" ref="D183" si="15">B183+C183</f>
        <v>162709.13</v>
      </c>
      <c r="E183" s="12">
        <v>90473.36</v>
      </c>
      <c r="F183" s="12">
        <f t="shared" ref="F183" si="16">E183-D183</f>
        <v>-72235.77</v>
      </c>
      <c r="G183" s="12">
        <f t="shared" ref="G183" si="17">G182+F183</f>
        <v>382259.82000000018</v>
      </c>
      <c r="H183" s="11">
        <v>1.7799999999999999E-3</v>
      </c>
    </row>
    <row r="184" spans="1:8" x14ac:dyDescent="0.25">
      <c r="A184" s="13" t="s">
        <v>209</v>
      </c>
      <c r="B184" s="12">
        <v>238631.99</v>
      </c>
      <c r="C184" s="12">
        <v>332.01</v>
      </c>
      <c r="D184" s="12">
        <f t="shared" ref="D184" si="18">B184+C184</f>
        <v>238964</v>
      </c>
      <c r="E184" s="12">
        <v>213997.91</v>
      </c>
      <c r="F184" s="12">
        <f t="shared" ref="F184" si="19">E184-D184</f>
        <v>-24966.089999999997</v>
      </c>
      <c r="G184" s="12">
        <f t="shared" ref="G184" si="20">G183+F184</f>
        <v>357293.73000000021</v>
      </c>
      <c r="H184" s="11">
        <v>3.8700000000000002E-3</v>
      </c>
    </row>
    <row r="185" spans="1:8" x14ac:dyDescent="0.25">
      <c r="A185" s="13" t="s">
        <v>210</v>
      </c>
      <c r="B185" s="12">
        <v>-131985.91</v>
      </c>
      <c r="C185" s="12">
        <v>-187.21</v>
      </c>
      <c r="D185" s="12">
        <f t="shared" ref="D185" si="21">B185+C185</f>
        <v>-132173.12</v>
      </c>
      <c r="E185" s="12">
        <v>-140051.76999999999</v>
      </c>
      <c r="F185" s="12">
        <f t="shared" ref="F185" si="22">E185-D185</f>
        <v>-7878.6499999999942</v>
      </c>
      <c r="G185" s="12">
        <f t="shared" ref="G185" si="23">G184+F185</f>
        <v>349415.08000000019</v>
      </c>
      <c r="H185" s="11">
        <v>-2.2799999999999999E-3</v>
      </c>
    </row>
    <row r="186" spans="1:8" x14ac:dyDescent="0.25">
      <c r="A186" s="13" t="s">
        <v>211</v>
      </c>
      <c r="B186" s="12">
        <v>-43959.9</v>
      </c>
      <c r="C186" s="12">
        <v>-66.19</v>
      </c>
      <c r="D186" s="12">
        <f t="shared" ref="D186" si="24">B186+C186</f>
        <v>-44026.090000000004</v>
      </c>
      <c r="E186" s="12">
        <v>-44186.09</v>
      </c>
      <c r="F186" s="12">
        <f t="shared" ref="F186" si="25">E186-D186</f>
        <v>-159.99999999999272</v>
      </c>
      <c r="G186" s="12">
        <f t="shared" ref="G186" si="26">G185+F186</f>
        <v>349255.08000000019</v>
      </c>
      <c r="H186" s="11">
        <v>-7.9000000000000001E-4</v>
      </c>
    </row>
    <row r="187" spans="1:8" x14ac:dyDescent="0.25">
      <c r="A187" s="13" t="s">
        <v>212</v>
      </c>
      <c r="B187" s="12">
        <v>-26953.61</v>
      </c>
      <c r="C187" s="12">
        <v>-18.86</v>
      </c>
      <c r="D187" s="12">
        <f t="shared" ref="D187" si="27">B187+C187</f>
        <v>-26972.47</v>
      </c>
      <c r="E187" s="12">
        <v>-33263.65</v>
      </c>
      <c r="F187" s="12">
        <f t="shared" ref="F187" si="28">E187-D187</f>
        <v>-6291.18</v>
      </c>
      <c r="G187" s="12">
        <f t="shared" ref="G187" si="29">G186+F187</f>
        <v>342963.9000000002</v>
      </c>
      <c r="H187" s="11">
        <v>-5.9000000000000003E-4</v>
      </c>
    </row>
    <row r="188" spans="1:8" x14ac:dyDescent="0.25">
      <c r="A188" s="13" t="s">
        <v>213</v>
      </c>
      <c r="B188" s="12">
        <v>47019.61</v>
      </c>
      <c r="C188" s="12">
        <v>26.49</v>
      </c>
      <c r="D188" s="12">
        <f t="shared" ref="D188" si="30">B188+C188</f>
        <v>47046.1</v>
      </c>
      <c r="E188" s="12">
        <v>47194</v>
      </c>
      <c r="F188" s="12">
        <f t="shared" ref="F188" si="31">E188-D188</f>
        <v>147.90000000000146</v>
      </c>
      <c r="G188" s="12">
        <f t="shared" ref="G188" si="32">G187+F188</f>
        <v>343111.80000000022</v>
      </c>
      <c r="H188" s="11">
        <v>1.06E-3</v>
      </c>
    </row>
    <row r="189" spans="1:8" x14ac:dyDescent="0.25">
      <c r="A189" s="13" t="s">
        <v>214</v>
      </c>
      <c r="B189" s="12">
        <v>130779.18</v>
      </c>
      <c r="C189" s="12">
        <v>76.78</v>
      </c>
      <c r="D189" s="12">
        <f t="shared" ref="D189" si="33">B189+C189</f>
        <v>130855.95999999999</v>
      </c>
      <c r="E189" s="12">
        <v>127013.82</v>
      </c>
      <c r="F189" s="12">
        <f t="shared" ref="F189" si="34">E189-D189</f>
        <v>-3842.1399999999849</v>
      </c>
      <c r="G189" s="12">
        <f t="shared" ref="G189" si="35">G188+F189</f>
        <v>339269.66000000027</v>
      </c>
      <c r="H189" s="11">
        <v>2.8800000000000002E-3</v>
      </c>
    </row>
    <row r="190" spans="1:8" x14ac:dyDescent="0.25">
      <c r="A190" s="13" t="s">
        <v>215</v>
      </c>
      <c r="B190" s="12">
        <v>65111.05</v>
      </c>
      <c r="C190" s="12">
        <v>37.619999999999997</v>
      </c>
      <c r="D190" s="12">
        <f t="shared" ref="D190" si="36">B190+C190</f>
        <v>65148.670000000006</v>
      </c>
      <c r="E190" s="12">
        <v>59386.9</v>
      </c>
      <c r="F190" s="12">
        <f t="shared" ref="F190" si="37">E190-D190</f>
        <v>-5761.7700000000041</v>
      </c>
      <c r="G190" s="12">
        <f t="shared" ref="G190" si="38">G189+F190</f>
        <v>333507.89000000025</v>
      </c>
      <c r="H190" s="11">
        <v>1.2999999999999999E-3</v>
      </c>
    </row>
    <row r="191" spans="1:8" x14ac:dyDescent="0.25">
      <c r="A191" s="13" t="s">
        <v>216</v>
      </c>
      <c r="B191" s="12">
        <v>-107962.83</v>
      </c>
      <c r="C191" s="12">
        <v>-63.63</v>
      </c>
      <c r="D191" s="12">
        <f t="shared" ref="D191" si="39">B191+C191</f>
        <v>-108026.46</v>
      </c>
      <c r="E191" s="12">
        <v>-106556.14</v>
      </c>
      <c r="F191" s="12">
        <f t="shared" ref="F191" si="40">E191-D191</f>
        <v>1470.320000000007</v>
      </c>
      <c r="G191" s="12">
        <f t="shared" ref="G191" si="41">G190+F191</f>
        <v>334978.21000000025</v>
      </c>
      <c r="H191" s="11">
        <v>-2.1700000000000001E-3</v>
      </c>
    </row>
    <row r="192" spans="1:8" x14ac:dyDescent="0.25">
      <c r="A192" s="13" t="s">
        <v>217</v>
      </c>
      <c r="B192" s="12">
        <v>-81026.58</v>
      </c>
      <c r="C192" s="12">
        <v>-43.96</v>
      </c>
      <c r="D192" s="12">
        <f t="shared" ref="D192" si="42">B192+C192</f>
        <v>-81070.540000000008</v>
      </c>
      <c r="E192" s="12">
        <v>-91728.77</v>
      </c>
      <c r="F192" s="12">
        <f t="shared" ref="F192" si="43">E192-D192</f>
        <v>-10658.229999999996</v>
      </c>
      <c r="G192" s="12">
        <f t="shared" ref="G192" si="44">G191+F192</f>
        <v>324319.98000000027</v>
      </c>
      <c r="H192" s="11">
        <v>-1.83E-3</v>
      </c>
    </row>
    <row r="193" spans="1:8" x14ac:dyDescent="0.25">
      <c r="A193" s="13" t="s">
        <v>218</v>
      </c>
      <c r="B193" s="12">
        <v>-95354.79</v>
      </c>
      <c r="C193" s="12">
        <v>-90.1</v>
      </c>
      <c r="D193" s="12">
        <f t="shared" ref="D193" si="45">B193+C193</f>
        <v>-95444.89</v>
      </c>
      <c r="E193" s="12">
        <v>-94808.68</v>
      </c>
      <c r="F193" s="12">
        <f t="shared" ref="F193" si="46">E193-D193</f>
        <v>636.2100000000064</v>
      </c>
      <c r="G193" s="12">
        <f t="shared" ref="G193" si="47">G192+F193</f>
        <v>324956.19000000029</v>
      </c>
      <c r="H193" s="11">
        <v>-2.1900000000000001E-3</v>
      </c>
    </row>
    <row r="194" spans="1:8" x14ac:dyDescent="0.25">
      <c r="A194" s="13" t="s">
        <v>219</v>
      </c>
      <c r="B194" s="12">
        <v>-188389.27</v>
      </c>
      <c r="C194" s="12">
        <v>-279.83</v>
      </c>
      <c r="D194" s="12">
        <f t="shared" ref="D194" si="48">B194+C194</f>
        <v>-188669.09999999998</v>
      </c>
      <c r="E194" s="12">
        <v>-164658.23000000001</v>
      </c>
      <c r="F194" s="12">
        <f t="shared" ref="F194" si="49">E194-D194</f>
        <v>24010.869999999966</v>
      </c>
      <c r="G194" s="12">
        <f t="shared" ref="G194" si="50">G193+F194</f>
        <v>348967.06000000029</v>
      </c>
      <c r="H194" s="11">
        <v>-3.6800000000000001E-3</v>
      </c>
    </row>
    <row r="195" spans="1:8" x14ac:dyDescent="0.25">
      <c r="A195" s="13" t="s">
        <v>220</v>
      </c>
      <c r="B195" s="12">
        <v>-136891.04</v>
      </c>
      <c r="C195" s="12">
        <v>-206.45</v>
      </c>
      <c r="D195" s="12">
        <f t="shared" ref="D195" si="51">B195+C195</f>
        <v>-137097.49000000002</v>
      </c>
      <c r="E195" s="12">
        <v>-123960.79</v>
      </c>
      <c r="F195" s="12">
        <f t="shared" ref="F195" si="52">E195-D195</f>
        <v>13136.700000000026</v>
      </c>
      <c r="G195" s="12">
        <f t="shared" ref="G195" si="53">G194+F195</f>
        <v>362103.7600000003</v>
      </c>
      <c r="H195" s="11">
        <v>-2.33E-3</v>
      </c>
    </row>
    <row r="196" spans="1:8" x14ac:dyDescent="0.25">
      <c r="A196" s="13" t="s">
        <v>221</v>
      </c>
      <c r="B196" s="12">
        <v>-1971.91</v>
      </c>
      <c r="C196" s="12">
        <v>-4.0599999999999996</v>
      </c>
      <c r="D196" s="12">
        <f t="shared" ref="D196" si="54">B196+C196</f>
        <v>-1975.97</v>
      </c>
      <c r="E196" s="12">
        <v>-1528.13</v>
      </c>
      <c r="F196" s="12">
        <f t="shared" ref="F196" si="55">E196-D196</f>
        <v>447.83999999999992</v>
      </c>
      <c r="G196" s="12">
        <f t="shared" ref="G196" si="56">G195+F196</f>
        <v>362551.60000000033</v>
      </c>
      <c r="H196" s="11">
        <v>-3.0000000000000001E-5</v>
      </c>
    </row>
    <row r="197" spans="1:8" x14ac:dyDescent="0.25">
      <c r="A197" s="13" t="s">
        <v>222</v>
      </c>
      <c r="B197" s="12">
        <v>-72430.55</v>
      </c>
      <c r="C197" s="12">
        <v>-123.62</v>
      </c>
      <c r="D197" s="12">
        <f t="shared" ref="D197" si="57">B197+C197</f>
        <v>-72554.17</v>
      </c>
      <c r="E197" s="12">
        <v>-84287.3</v>
      </c>
      <c r="F197" s="12">
        <f t="shared" ref="F197" si="58">E197-D197</f>
        <v>-11733.130000000005</v>
      </c>
      <c r="G197" s="12">
        <f t="shared" ref="G197" si="59">G196+F197</f>
        <v>350818.47000000032</v>
      </c>
      <c r="H197" s="11">
        <v>-1.16E-3</v>
      </c>
    </row>
    <row r="198" spans="1:8" x14ac:dyDescent="0.25">
      <c r="A198" s="13" t="s">
        <v>223</v>
      </c>
      <c r="B198" s="12">
        <v>52113.88</v>
      </c>
      <c r="C198" s="12">
        <v>79.41</v>
      </c>
      <c r="D198" s="12">
        <f t="shared" ref="D198" si="60">B198+C198</f>
        <v>52193.29</v>
      </c>
      <c r="E198" s="12">
        <v>55297.84</v>
      </c>
      <c r="F198" s="12">
        <f t="shared" ref="F198" si="61">E198-D198</f>
        <v>3104.5499999999956</v>
      </c>
      <c r="G198" s="12">
        <f t="shared" ref="G198" si="62">G197+F198</f>
        <v>353923.02000000031</v>
      </c>
      <c r="H198" s="11">
        <v>9.5E-4</v>
      </c>
    </row>
    <row r="199" spans="1:8" x14ac:dyDescent="0.25">
      <c r="A199" s="13" t="s">
        <v>224</v>
      </c>
      <c r="B199" s="12">
        <v>31951.56</v>
      </c>
      <c r="C199" s="12">
        <v>24.59</v>
      </c>
      <c r="D199" s="12">
        <f t="shared" ref="D199" si="63">B199+C199</f>
        <v>31976.15</v>
      </c>
      <c r="E199" s="12">
        <v>41728.870000000003</v>
      </c>
      <c r="F199" s="12">
        <f t="shared" ref="F199" si="64">E199-D199</f>
        <v>9752.7200000000012</v>
      </c>
      <c r="G199" s="12">
        <f t="shared" ref="G199" si="65">G198+F199</f>
        <v>363675.74000000034</v>
      </c>
      <c r="H199" s="11">
        <v>7.2999999999999996E-4</v>
      </c>
    </row>
    <row r="200" spans="1:8" x14ac:dyDescent="0.25">
      <c r="A200" s="13" t="s">
        <v>225</v>
      </c>
      <c r="B200" s="12">
        <v>116901.96</v>
      </c>
      <c r="C200" s="12">
        <v>76.260000000000005</v>
      </c>
      <c r="D200" s="12">
        <f t="shared" ref="D200" si="66">B200+C200</f>
        <v>116978.22</v>
      </c>
      <c r="E200" s="12">
        <v>111978.55</v>
      </c>
      <c r="F200" s="12">
        <f t="shared" ref="F200" si="67">E200-D200</f>
        <v>-4999.6699999999983</v>
      </c>
      <c r="G200" s="12">
        <f t="shared" ref="G200" si="68">G199+F200</f>
        <v>358676.07000000036</v>
      </c>
      <c r="H200" s="11">
        <v>2.6800000000000001E-3</v>
      </c>
    </row>
    <row r="201" spans="1:8" x14ac:dyDescent="0.25">
      <c r="A201" s="13" t="s">
        <v>226</v>
      </c>
      <c r="B201" s="12">
        <v>129041.57</v>
      </c>
      <c r="C201" s="12">
        <v>77.78</v>
      </c>
      <c r="D201" s="12">
        <f t="shared" ref="D201" si="69">B201+C201</f>
        <v>129119.35</v>
      </c>
      <c r="E201" s="12">
        <v>122414.72</v>
      </c>
      <c r="F201" s="12">
        <f t="shared" ref="F201" si="70">E201-D201</f>
        <v>-6704.6300000000047</v>
      </c>
      <c r="G201" s="12">
        <f t="shared" ref="G201" si="71">G200+F201</f>
        <v>351971.44000000035</v>
      </c>
      <c r="H201" s="11">
        <v>2.8300000000000001E-3</v>
      </c>
    </row>
    <row r="202" spans="1:8" x14ac:dyDescent="0.25">
      <c r="A202" s="13" t="s">
        <v>227</v>
      </c>
      <c r="B202" s="12">
        <v>121637.63</v>
      </c>
      <c r="C202" s="12">
        <v>68.97</v>
      </c>
      <c r="D202" s="12">
        <f t="shared" ref="D202" si="72">B202+C202</f>
        <v>121706.6</v>
      </c>
      <c r="E202" s="12">
        <v>115711.33</v>
      </c>
      <c r="F202" s="12">
        <f t="shared" ref="F202" si="73">E202-D202</f>
        <v>-5995.2700000000041</v>
      </c>
      <c r="G202" s="12">
        <f t="shared" ref="G202" si="74">G201+F202</f>
        <v>345976.17000000033</v>
      </c>
      <c r="H202" s="11">
        <v>2.5000000000000001E-3</v>
      </c>
    </row>
    <row r="203" spans="1:8" x14ac:dyDescent="0.25">
      <c r="A203" s="13" t="s">
        <v>228</v>
      </c>
      <c r="B203" s="12">
        <v>116745.8</v>
      </c>
      <c r="C203" s="12">
        <v>68.16</v>
      </c>
      <c r="D203" s="12">
        <f t="shared" ref="D203" si="75">B203+C203</f>
        <v>116813.96</v>
      </c>
      <c r="E203" s="12">
        <v>118434.37</v>
      </c>
      <c r="F203" s="12">
        <f t="shared" ref="F203" si="76">E203-D203</f>
        <v>1620.4099999999889</v>
      </c>
      <c r="G203" s="12">
        <f t="shared" ref="G203" si="77">G202+F203</f>
        <v>347596.58000000031</v>
      </c>
      <c r="H203" s="11">
        <v>2.47E-3</v>
      </c>
    </row>
    <row r="204" spans="1:8" x14ac:dyDescent="0.25">
      <c r="A204" s="13" t="s">
        <v>302</v>
      </c>
      <c r="B204" s="12">
        <v>107162.93</v>
      </c>
      <c r="C204" s="12">
        <v>61.26</v>
      </c>
      <c r="D204" s="12">
        <f t="shared" ref="D204" si="78">B204+C204</f>
        <v>107224.18999999999</v>
      </c>
      <c r="E204" s="12">
        <v>119898.73</v>
      </c>
      <c r="F204" s="12">
        <f t="shared" ref="F204" si="79">E204-D204</f>
        <v>12674.540000000008</v>
      </c>
      <c r="G204" s="12">
        <f t="shared" ref="G204" si="80">G203+F204</f>
        <v>360271.12000000034</v>
      </c>
      <c r="H204" s="11">
        <v>2.49E-3</v>
      </c>
    </row>
    <row r="205" spans="1:8" x14ac:dyDescent="0.25">
      <c r="A205" s="13" t="s">
        <v>303</v>
      </c>
      <c r="B205" s="12">
        <v>112430.15</v>
      </c>
      <c r="C205" s="12">
        <v>80.349999999999994</v>
      </c>
      <c r="D205" s="12">
        <f t="shared" ref="D205" si="81">B205+C205</f>
        <v>112510.5</v>
      </c>
      <c r="E205" s="12">
        <v>108749.41</v>
      </c>
      <c r="F205" s="12">
        <f t="shared" ref="F205" si="82">E205-D205</f>
        <v>-3761.0899999999965</v>
      </c>
      <c r="G205" s="12">
        <f t="shared" ref="G205" si="83">G204+F205</f>
        <v>356510.03000000038</v>
      </c>
      <c r="H205" s="11">
        <v>2.65E-3</v>
      </c>
    </row>
    <row r="206" spans="1:8" x14ac:dyDescent="0.25">
      <c r="A206" s="13" t="s">
        <v>304</v>
      </c>
      <c r="B206" s="12">
        <v>-1073</v>
      </c>
      <c r="C206" s="12">
        <v>-1.41</v>
      </c>
      <c r="D206" s="12">
        <f t="shared" ref="D206" si="84">B206+C206</f>
        <v>-1074.4100000000001</v>
      </c>
      <c r="E206" s="12">
        <v>-744.46</v>
      </c>
      <c r="F206" s="12">
        <f t="shared" ref="F206" si="85">E206-D206</f>
        <v>329.95000000000005</v>
      </c>
      <c r="G206" s="12">
        <f t="shared" ref="G206" si="86">G205+F206</f>
        <v>356839.98000000039</v>
      </c>
      <c r="H206" s="11">
        <v>-2.0000000000000002E-5</v>
      </c>
    </row>
    <row r="207" spans="1:8" x14ac:dyDescent="0.25">
      <c r="A207" s="13" t="s">
        <v>305</v>
      </c>
      <c r="B207" s="12">
        <v>-132183.9</v>
      </c>
      <c r="C207" s="12">
        <v>-194.93</v>
      </c>
      <c r="D207" s="12">
        <f t="shared" ref="D207" si="87">B207+C207</f>
        <v>-132378.82999999999</v>
      </c>
      <c r="E207" s="12">
        <v>-128105.09</v>
      </c>
      <c r="F207" s="12">
        <f t="shared" ref="F207" si="88">E207-D207</f>
        <v>4273.7399999999907</v>
      </c>
      <c r="G207" s="12">
        <f t="shared" ref="G207" si="89">G206+F207</f>
        <v>361113.72000000038</v>
      </c>
      <c r="H207" s="11">
        <v>-2.4099999999999998E-3</v>
      </c>
    </row>
    <row r="208" spans="1:8" x14ac:dyDescent="0.25">
      <c r="A208" s="13" t="s">
        <v>306</v>
      </c>
      <c r="B208" s="12">
        <v>-54343.11</v>
      </c>
      <c r="C208" s="12">
        <v>-90.69</v>
      </c>
      <c r="D208" s="12">
        <f t="shared" ref="D208" si="90">B208+C208</f>
        <v>-54433.8</v>
      </c>
      <c r="E208" s="12">
        <v>-46019.05</v>
      </c>
      <c r="F208" s="12">
        <f t="shared" ref="F208" si="91">E208-D208</f>
        <v>8414.75</v>
      </c>
      <c r="G208" s="12">
        <f t="shared" ref="G208" si="92">G207+F208</f>
        <v>369528.47000000038</v>
      </c>
      <c r="H208" s="11">
        <v>-8.3000000000000001E-4</v>
      </c>
    </row>
    <row r="209" spans="1:8" x14ac:dyDescent="0.25">
      <c r="A209" s="13" t="s">
        <v>307</v>
      </c>
      <c r="B209" s="12">
        <v>-221561.32</v>
      </c>
      <c r="C209" s="12">
        <v>-387.98</v>
      </c>
      <c r="D209" s="12">
        <f t="shared" ref="D209" si="93">B209+C209</f>
        <v>-221949.30000000002</v>
      </c>
      <c r="E209" s="12">
        <v>-222944.26</v>
      </c>
      <c r="F209" s="12">
        <f t="shared" ref="F209" si="94">E209-D209</f>
        <v>-994.95999999999185</v>
      </c>
      <c r="G209" s="12">
        <f t="shared" ref="G209" si="95">G208+F209</f>
        <v>368533.51000000036</v>
      </c>
      <c r="H209" s="11">
        <v>-3.3899999999999998E-3</v>
      </c>
    </row>
    <row r="210" spans="1:8" x14ac:dyDescent="0.25">
      <c r="A210" s="13" t="s">
        <v>308</v>
      </c>
      <c r="B210" s="12">
        <v>-161997.04999999999</v>
      </c>
      <c r="C210" s="12">
        <v>-218.35</v>
      </c>
      <c r="D210" s="12">
        <f t="shared" ref="D210" si="96">B210+C210</f>
        <v>-162215.4</v>
      </c>
      <c r="E210" s="12">
        <v>-192652.25</v>
      </c>
      <c r="F210" s="12">
        <f t="shared" ref="F210" si="97">E210-D210</f>
        <v>-30436.850000000006</v>
      </c>
      <c r="G210" s="12">
        <f t="shared" ref="G210" si="98">G209+F210</f>
        <v>338096.66000000038</v>
      </c>
      <c r="H210" s="11">
        <v>-2.97E-3</v>
      </c>
    </row>
    <row r="211" spans="1:8" x14ac:dyDescent="0.25">
      <c r="A211" s="13" t="s">
        <v>309</v>
      </c>
      <c r="B211" s="12">
        <v>-182053.63</v>
      </c>
      <c r="C211" s="12">
        <v>-128.25</v>
      </c>
      <c r="D211" s="12">
        <f t="shared" ref="D211" si="99">B211+C211</f>
        <v>-182181.88</v>
      </c>
      <c r="E211" s="12">
        <v>-227538.96</v>
      </c>
      <c r="F211" s="12">
        <f t="shared" ref="F211" si="100">E211-D211</f>
        <v>-45357.079999999987</v>
      </c>
      <c r="G211" s="12">
        <f t="shared" ref="G211" si="101">G210+F211</f>
        <v>292739.58000000042</v>
      </c>
      <c r="H211" s="11">
        <v>-4.2700000000000004E-3</v>
      </c>
    </row>
    <row r="212" spans="1:8" x14ac:dyDescent="0.25">
      <c r="A212" s="13" t="s">
        <v>310</v>
      </c>
      <c r="B212" s="12">
        <v>-273764.49</v>
      </c>
      <c r="C212" s="12">
        <v>-166.73</v>
      </c>
      <c r="D212" s="12">
        <f t="shared" ref="D212" si="102">B212+C212</f>
        <v>-273931.21999999997</v>
      </c>
      <c r="E212" s="12">
        <v>-269150.84999999998</v>
      </c>
      <c r="F212" s="12">
        <f t="shared" ref="F212" si="103">E212-D212</f>
        <v>4780.3699999999953</v>
      </c>
      <c r="G212" s="12">
        <f t="shared" ref="G212" si="104">G211+F212</f>
        <v>297519.95000000042</v>
      </c>
      <c r="H212" s="11">
        <v>-6.4900000000000001E-3</v>
      </c>
    </row>
    <row r="213" spans="1:8" x14ac:dyDescent="0.25">
      <c r="A213" s="13" t="s">
        <v>311</v>
      </c>
      <c r="B213" s="12">
        <v>-398557.65</v>
      </c>
      <c r="C213" s="12">
        <v>-238.36</v>
      </c>
      <c r="D213" s="12">
        <f t="shared" ref="D213:D216" si="105">B213+C213</f>
        <v>-398796.01</v>
      </c>
      <c r="E213" s="12">
        <v>-373526.08</v>
      </c>
      <c r="F213" s="12">
        <f t="shared" ref="F213" si="106">E213-D213</f>
        <v>25269.929999999993</v>
      </c>
      <c r="G213" s="12">
        <f t="shared" ref="G213" si="107">G212+F213</f>
        <v>322789.88000000041</v>
      </c>
      <c r="H213" s="11">
        <v>-8.6800000000000002E-3</v>
      </c>
    </row>
    <row r="214" spans="1:8" x14ac:dyDescent="0.25">
      <c r="A214" s="13" t="s">
        <v>312</v>
      </c>
      <c r="B214" s="12">
        <v>-107492.73</v>
      </c>
      <c r="C214" s="12">
        <v>-70.03</v>
      </c>
      <c r="D214" s="12">
        <f t="shared" si="105"/>
        <v>-107562.76</v>
      </c>
      <c r="E214" s="12">
        <v>-105779.63</v>
      </c>
      <c r="F214" s="12">
        <f t="shared" ref="F214" si="108">E214-D214</f>
        <v>1783.1299999999901</v>
      </c>
      <c r="G214" s="12">
        <f t="shared" ref="G214" si="109">G213+F214</f>
        <v>324573.01000000042</v>
      </c>
      <c r="H214" s="11">
        <v>-2.3800000000000002E-3</v>
      </c>
    </row>
    <row r="215" spans="1:8" x14ac:dyDescent="0.25">
      <c r="A215" s="13" t="s">
        <v>313</v>
      </c>
      <c r="B215" s="12">
        <v>-112719.36</v>
      </c>
      <c r="C215" s="12">
        <v>-64.260000000000005</v>
      </c>
      <c r="D215" s="12">
        <f t="shared" si="105"/>
        <v>-112783.62</v>
      </c>
      <c r="E215" s="12">
        <v>-109896.07</v>
      </c>
      <c r="F215" s="12">
        <f t="shared" ref="F215" si="110">E215-D215</f>
        <v>2887.5499999999884</v>
      </c>
      <c r="G215" s="12">
        <f t="shared" ref="G215" si="111">G214+F215</f>
        <v>327460.56000000041</v>
      </c>
      <c r="H215" s="11">
        <v>-2.32E-3</v>
      </c>
    </row>
    <row r="216" spans="1:8" x14ac:dyDescent="0.25">
      <c r="A216" s="13" t="s">
        <v>314</v>
      </c>
      <c r="B216" s="12">
        <v>-170472.55</v>
      </c>
      <c r="C216" s="12">
        <v>-92.94</v>
      </c>
      <c r="D216" s="12">
        <f t="shared" si="105"/>
        <v>-170565.49</v>
      </c>
      <c r="E216" s="12">
        <v>-174695.87</v>
      </c>
      <c r="F216" s="12">
        <f t="shared" ref="F216" si="112">E216-D216</f>
        <v>-4130.3800000000047</v>
      </c>
      <c r="G216" s="12">
        <f t="shared" ref="G216" si="113">G215+F216</f>
        <v>323330.1800000004</v>
      </c>
      <c r="H216" s="11">
        <v>-3.7100000000000002E-3</v>
      </c>
    </row>
    <row r="217" spans="1:8" x14ac:dyDescent="0.25">
      <c r="A217" s="13" t="s">
        <v>315</v>
      </c>
      <c r="B217" s="12">
        <v>-158448.04</v>
      </c>
      <c r="C217" s="12">
        <v>-93.86</v>
      </c>
      <c r="D217" s="12">
        <f t="shared" ref="D217" si="114">B217+C217</f>
        <v>-158541.9</v>
      </c>
      <c r="E217" s="12">
        <v>-160034.45000000001</v>
      </c>
      <c r="F217" s="12">
        <f t="shared" ref="F217" si="115">E217-D217</f>
        <v>-1492.5500000000175</v>
      </c>
      <c r="G217" s="12">
        <f t="shared" ref="G217" si="116">G216+F217</f>
        <v>321837.63000000035</v>
      </c>
      <c r="H217" s="11">
        <v>-3.6800000000000001E-3</v>
      </c>
    </row>
    <row r="218" spans="1:8" x14ac:dyDescent="0.25">
      <c r="A218" s="13" t="s">
        <v>316</v>
      </c>
      <c r="B218" s="12">
        <v>-212245.1</v>
      </c>
      <c r="C218" s="12">
        <v>-191.55</v>
      </c>
      <c r="D218" s="12">
        <f t="shared" ref="D218:D219" si="117">B218+C218</f>
        <v>-212436.65</v>
      </c>
      <c r="E218" s="12">
        <v>-205217.38</v>
      </c>
      <c r="F218" s="12">
        <f t="shared" ref="F218:F219" si="118">E218-D218</f>
        <v>7219.2699999999895</v>
      </c>
      <c r="G218" s="12">
        <f t="shared" ref="G218:G219" si="119">G217+F218</f>
        <v>329056.90000000037</v>
      </c>
      <c r="H218" s="11">
        <v>-4.7299999999999998E-3</v>
      </c>
    </row>
    <row r="219" spans="1:8" x14ac:dyDescent="0.25">
      <c r="A219" s="13" t="s">
        <v>319</v>
      </c>
      <c r="B219" s="12">
        <v>-170896.33</v>
      </c>
      <c r="C219" s="12">
        <v>-185.56</v>
      </c>
      <c r="D219" s="12">
        <f t="shared" si="117"/>
        <v>-171081.88999999998</v>
      </c>
      <c r="E219" s="12">
        <v>-173053.55</v>
      </c>
      <c r="F219" s="12">
        <f t="shared" si="118"/>
        <v>-1971.6600000000035</v>
      </c>
      <c r="G219" s="12">
        <f t="shared" si="119"/>
        <v>327085.24000000034</v>
      </c>
      <c r="H219" s="11">
        <v>-3.7599999999999999E-3</v>
      </c>
    </row>
    <row r="220" spans="1:8" x14ac:dyDescent="0.25">
      <c r="A220" s="13" t="s">
        <v>320</v>
      </c>
      <c r="B220" s="12">
        <v>-192505.32</v>
      </c>
      <c r="C220" s="12">
        <v>-294.69</v>
      </c>
      <c r="D220" s="12">
        <f t="shared" ref="D220:D222" si="120">B220+C220</f>
        <v>-192800.01</v>
      </c>
      <c r="E220" s="12">
        <v>-142823.73000000001</v>
      </c>
      <c r="F220" s="12">
        <f t="shared" ref="F220:F222" si="121">E220-D220</f>
        <v>49976.28</v>
      </c>
      <c r="G220" s="12">
        <f t="shared" ref="G220:G222" si="122">G219+F220</f>
        <v>377061.52000000037</v>
      </c>
      <c r="H220" s="11">
        <v>-2.96E-3</v>
      </c>
    </row>
    <row r="221" spans="1:8" x14ac:dyDescent="0.25">
      <c r="A221" s="13" t="s">
        <v>321</v>
      </c>
      <c r="B221" s="12">
        <v>-273558.46999999997</v>
      </c>
      <c r="C221" s="12">
        <v>-394.28</v>
      </c>
      <c r="D221" s="12">
        <f t="shared" si="120"/>
        <v>-273952.75</v>
      </c>
      <c r="E221" s="12">
        <v>-302734.65999999997</v>
      </c>
      <c r="F221" s="12">
        <f t="shared" si="121"/>
        <v>-28781.909999999974</v>
      </c>
      <c r="G221" s="12">
        <f t="shared" si="122"/>
        <v>348279.61000000039</v>
      </c>
      <c r="H221" s="11">
        <v>-4.7699999999999999E-3</v>
      </c>
    </row>
    <row r="222" spans="1:8" x14ac:dyDescent="0.25">
      <c r="A222" s="13" t="s">
        <v>322</v>
      </c>
      <c r="B222" s="12">
        <v>-105698.15</v>
      </c>
      <c r="C222" s="12">
        <v>-206.6</v>
      </c>
      <c r="D222" s="12">
        <f t="shared" si="120"/>
        <v>-105904.75</v>
      </c>
      <c r="E222" s="12">
        <v>-131998.72</v>
      </c>
      <c r="F222" s="12">
        <f t="shared" si="121"/>
        <v>-26093.97</v>
      </c>
      <c r="G222" s="12">
        <f t="shared" si="122"/>
        <v>322185.64000000036</v>
      </c>
      <c r="H222" s="11">
        <v>-2.32E-3</v>
      </c>
    </row>
    <row r="223" spans="1:8" x14ac:dyDescent="0.25">
      <c r="A223" s="13" t="s">
        <v>323</v>
      </c>
      <c r="B223" s="12">
        <v>-257644.74</v>
      </c>
      <c r="C223" s="12">
        <v>-129.28</v>
      </c>
      <c r="D223" s="12">
        <f t="shared" ref="D223:D224" si="123">B223+C223</f>
        <v>-257774.02</v>
      </c>
      <c r="E223" s="12">
        <v>-263953.90999999997</v>
      </c>
      <c r="F223" s="12">
        <f t="shared" ref="F223:F224" si="124">E223-D223</f>
        <v>-6179.8899999999849</v>
      </c>
      <c r="G223" s="12">
        <f t="shared" ref="G223:G224" si="125">G222+F223</f>
        <v>316005.75000000035</v>
      </c>
      <c r="H223" s="11">
        <v>-6.3499999999999997E-3</v>
      </c>
    </row>
    <row r="224" spans="1:8" x14ac:dyDescent="0.25">
      <c r="A224" s="13" t="s">
        <v>324</v>
      </c>
      <c r="B224" s="12">
        <v>-316442.82</v>
      </c>
      <c r="C224" s="12">
        <v>-192.2</v>
      </c>
      <c r="D224" s="12">
        <f t="shared" si="123"/>
        <v>-316635.02</v>
      </c>
      <c r="E224" s="12">
        <v>-286300.96999999997</v>
      </c>
      <c r="F224" s="12">
        <f t="shared" si="124"/>
        <v>30334.050000000047</v>
      </c>
      <c r="G224" s="12">
        <f t="shared" si="125"/>
        <v>346339.8000000004</v>
      </c>
      <c r="H224" s="11">
        <v>-7.8600000000000007E-3</v>
      </c>
    </row>
    <row r="225" spans="1:8" x14ac:dyDescent="0.25">
      <c r="A225" s="13" t="s">
        <v>325</v>
      </c>
      <c r="B225" s="12">
        <v>-324136</v>
      </c>
      <c r="C225" s="12">
        <v>-186.18</v>
      </c>
      <c r="D225" s="12">
        <f t="shared" ref="D225" si="126">B225+C225</f>
        <v>-324322.18</v>
      </c>
      <c r="E225" s="12">
        <v>-246835.89</v>
      </c>
      <c r="F225" s="12">
        <f t="shared" ref="F225" si="127">E225-D225</f>
        <v>77486.289999999979</v>
      </c>
      <c r="G225" s="12">
        <f t="shared" ref="G225" si="128">G224+F225</f>
        <v>423826.09000000037</v>
      </c>
      <c r="H225" s="11">
        <v>-6.6899999999999998E-3</v>
      </c>
    </row>
    <row r="226" spans="1:8" x14ac:dyDescent="0.25">
      <c r="A226" s="13" t="s">
        <v>326</v>
      </c>
      <c r="B226" s="12">
        <v>-295896.01</v>
      </c>
      <c r="C226" s="12">
        <v>-186.08</v>
      </c>
      <c r="D226" s="12">
        <f t="shared" ref="D226:D229" si="129">B226+C226</f>
        <v>-296082.09000000003</v>
      </c>
      <c r="E226" s="12">
        <v>-280508.95</v>
      </c>
      <c r="F226" s="12">
        <f t="shared" ref="F226:F228" si="130">E226-D226</f>
        <v>15573.140000000014</v>
      </c>
      <c r="G226" s="12">
        <f t="shared" ref="G226:G228" si="131">G225+F226</f>
        <v>439399.23000000039</v>
      </c>
      <c r="H226" s="11">
        <v>-5.9500000000000004E-3</v>
      </c>
    </row>
    <row r="227" spans="1:8" x14ac:dyDescent="0.25">
      <c r="A227" s="13" t="s">
        <v>327</v>
      </c>
      <c r="B227" s="12">
        <v>-168935.15</v>
      </c>
      <c r="C227" s="12">
        <v>-97.33</v>
      </c>
      <c r="D227" s="12">
        <f t="shared" si="129"/>
        <v>-169032.47999999998</v>
      </c>
      <c r="E227" s="12">
        <v>-158018.71</v>
      </c>
      <c r="F227" s="12">
        <f t="shared" si="130"/>
        <v>11013.76999999999</v>
      </c>
      <c r="G227" s="12">
        <f t="shared" si="131"/>
        <v>450413.00000000035</v>
      </c>
      <c r="H227" s="11">
        <v>-3.0500000000000002E-3</v>
      </c>
    </row>
    <row r="228" spans="1:8" x14ac:dyDescent="0.25">
      <c r="A228" s="13" t="s">
        <v>328</v>
      </c>
      <c r="B228" s="12">
        <v>-174713.84</v>
      </c>
      <c r="C228" s="12">
        <v>-97.45</v>
      </c>
      <c r="D228" s="12">
        <f t="shared" si="129"/>
        <v>-174811.29</v>
      </c>
      <c r="E228" s="12">
        <v>-199583.86</v>
      </c>
      <c r="F228" s="12">
        <f t="shared" si="130"/>
        <v>-24772.569999999978</v>
      </c>
      <c r="G228" s="12">
        <f t="shared" si="131"/>
        <v>425640.4300000004</v>
      </c>
      <c r="H228" s="11">
        <v>-3.6099999999999999E-3</v>
      </c>
    </row>
    <row r="229" spans="1:8" x14ac:dyDescent="0.25">
      <c r="A229" s="13" t="s">
        <v>329</v>
      </c>
      <c r="B229" s="12">
        <v>-160347.65</v>
      </c>
      <c r="C229" s="12">
        <v>-95.53</v>
      </c>
      <c r="D229" s="12">
        <f t="shared" si="129"/>
        <v>-160443.18</v>
      </c>
      <c r="E229" s="12">
        <v>-176999.23</v>
      </c>
      <c r="F229" s="12">
        <f t="shared" ref="F229" si="132">E229-D229</f>
        <v>-16556.050000000017</v>
      </c>
      <c r="G229" s="12">
        <f t="shared" ref="G229" si="133">G228+F229</f>
        <v>409084.38000000035</v>
      </c>
      <c r="H229" s="11">
        <v>-3.7399999999999998E-3</v>
      </c>
    </row>
    <row r="230" spans="1:8" x14ac:dyDescent="0.25">
      <c r="A230" s="13" t="s">
        <v>330</v>
      </c>
      <c r="B230" s="12">
        <v>-254365.13</v>
      </c>
      <c r="C230" s="12">
        <v>-248.34</v>
      </c>
      <c r="D230" s="12">
        <f t="shared" ref="D230" si="134">B230+C230</f>
        <v>-254613.47</v>
      </c>
      <c r="E230" s="12">
        <v>-228836.57</v>
      </c>
      <c r="F230" s="12">
        <f t="shared" ref="F230" si="135">E230-D230</f>
        <v>25776.899999999994</v>
      </c>
      <c r="G230" s="12">
        <f t="shared" ref="G230" si="136">G229+F230</f>
        <v>434861.28000000038</v>
      </c>
      <c r="H230" s="11">
        <v>-5.3099999999999996E-3</v>
      </c>
    </row>
    <row r="231" spans="1:8" x14ac:dyDescent="0.25">
      <c r="A231" s="13" t="s">
        <v>331</v>
      </c>
      <c r="B231" s="12">
        <v>-366426.4</v>
      </c>
      <c r="C231" s="12">
        <v>-510.83</v>
      </c>
      <c r="D231" s="12">
        <f t="shared" ref="D231" si="137">B231+C231</f>
        <v>-366937.23000000004</v>
      </c>
      <c r="E231" s="12">
        <v>-302899.05</v>
      </c>
      <c r="F231" s="12">
        <f t="shared" ref="F231" si="138">E231-D231</f>
        <v>64038.180000000051</v>
      </c>
      <c r="G231" s="12">
        <f t="shared" ref="G231" si="139">G230+F231</f>
        <v>498899.46000000043</v>
      </c>
      <c r="H231" s="11">
        <v>-6.2700000000000004E-3</v>
      </c>
    </row>
    <row r="232" spans="1:8" x14ac:dyDescent="0.25">
      <c r="A232" s="13" t="s">
        <v>332</v>
      </c>
      <c r="B232" s="12">
        <v>-199580.32</v>
      </c>
      <c r="C232" s="12">
        <v>-288.3</v>
      </c>
      <c r="D232" s="12">
        <f t="shared" ref="D232" si="140">B232+C232</f>
        <v>-199868.62</v>
      </c>
      <c r="E232" s="12">
        <v>-216766.1</v>
      </c>
      <c r="F232" s="12">
        <f t="shared" ref="F232" si="141">E232-D232</f>
        <v>-16897.48000000001</v>
      </c>
      <c r="G232" s="12">
        <f t="shared" ref="G232" si="142">G231+F232</f>
        <v>482001.98000000045</v>
      </c>
      <c r="H232" s="11">
        <v>-3.64E-3</v>
      </c>
    </row>
    <row r="233" spans="1:8" x14ac:dyDescent="0.25">
      <c r="A233" s="13" t="s">
        <v>333</v>
      </c>
      <c r="B233" s="12">
        <v>-104695.88</v>
      </c>
      <c r="C233" s="12">
        <v>-163.07</v>
      </c>
      <c r="D233" s="12">
        <f t="shared" ref="D233" si="143">B233+C233</f>
        <v>-104858.95000000001</v>
      </c>
      <c r="E233" s="12">
        <v>-124012.82</v>
      </c>
      <c r="F233" s="12">
        <f t="shared" ref="F233" si="144">E233-D233</f>
        <v>-19153.869999999995</v>
      </c>
      <c r="G233" s="12">
        <f t="shared" ref="G233" si="145">G232+F233</f>
        <v>462848.11000000045</v>
      </c>
      <c r="H233" s="11">
        <v>-2.2100000000000002E-3</v>
      </c>
    </row>
    <row r="234" spans="1:8" x14ac:dyDescent="0.25">
      <c r="A234" s="13" t="s">
        <v>334</v>
      </c>
      <c r="B234" s="12">
        <v>-234831.23</v>
      </c>
      <c r="C234" s="12">
        <v>-233.97</v>
      </c>
      <c r="D234" s="12">
        <f t="shared" ref="D234" si="146">B234+C234</f>
        <v>-235065.2</v>
      </c>
      <c r="E234" s="12">
        <v>-204764.48</v>
      </c>
      <c r="F234" s="12">
        <f t="shared" ref="F234:F239" si="147">E234-D234</f>
        <v>30300.720000000001</v>
      </c>
      <c r="G234" s="12">
        <f t="shared" ref="G234:G239" si="148">G233+F234</f>
        <v>493148.83000000042</v>
      </c>
      <c r="H234" s="11">
        <v>-4.5100000000000001E-3</v>
      </c>
    </row>
    <row r="235" spans="1:8" x14ac:dyDescent="0.25">
      <c r="A235" s="13" t="s">
        <v>335</v>
      </c>
      <c r="B235" s="12">
        <v>-334320.59000000003</v>
      </c>
      <c r="C235" s="12">
        <v>-260.45</v>
      </c>
      <c r="D235" s="12">
        <f t="shared" ref="D235:D240" si="149">B235+C235</f>
        <v>-334581.04000000004</v>
      </c>
      <c r="E235" s="12">
        <v>-421316.87</v>
      </c>
      <c r="F235" s="12">
        <f t="shared" si="147"/>
        <v>-86735.829999999958</v>
      </c>
      <c r="G235" s="12">
        <f t="shared" si="148"/>
        <v>406413.00000000047</v>
      </c>
      <c r="H235" s="11">
        <v>-8.0400000000000003E-3</v>
      </c>
    </row>
    <row r="236" spans="1:8" x14ac:dyDescent="0.25">
      <c r="A236" s="13" t="s">
        <v>336</v>
      </c>
      <c r="B236" s="12">
        <v>-192139.36</v>
      </c>
      <c r="C236" s="12">
        <v>-129.19999999999999</v>
      </c>
      <c r="D236" s="12">
        <f t="shared" si="149"/>
        <v>-192268.56</v>
      </c>
      <c r="E236" s="12">
        <v>-178796.28</v>
      </c>
      <c r="F236" s="12">
        <f t="shared" si="147"/>
        <v>13472.279999999999</v>
      </c>
      <c r="G236" s="12">
        <f t="shared" si="148"/>
        <v>419885.28000000049</v>
      </c>
      <c r="H236" s="11">
        <v>-4.3200000000000001E-3</v>
      </c>
    </row>
    <row r="237" spans="1:8" x14ac:dyDescent="0.25">
      <c r="A237" s="13" t="s">
        <v>337</v>
      </c>
      <c r="B237" s="12">
        <v>-353445.55</v>
      </c>
      <c r="C237" s="12">
        <v>-220.87</v>
      </c>
      <c r="D237" s="12">
        <f t="shared" si="149"/>
        <v>-353666.42</v>
      </c>
      <c r="E237" s="12">
        <v>-334112.83</v>
      </c>
      <c r="F237" s="12">
        <f t="shared" si="147"/>
        <v>19553.589999999967</v>
      </c>
      <c r="G237" s="12">
        <f t="shared" si="148"/>
        <v>439438.87000000046</v>
      </c>
      <c r="H237" s="11">
        <v>-7.4599999999999996E-3</v>
      </c>
    </row>
    <row r="238" spans="1:8" x14ac:dyDescent="0.25">
      <c r="A238" s="13" t="s">
        <v>338</v>
      </c>
      <c r="B238" s="12">
        <v>-253524.1</v>
      </c>
      <c r="C238" s="12">
        <v>-128.69</v>
      </c>
      <c r="D238" s="12">
        <f t="shared" si="149"/>
        <v>-253652.79</v>
      </c>
      <c r="E238" s="12">
        <v>-232795.72</v>
      </c>
      <c r="F238" s="12">
        <f t="shared" si="147"/>
        <v>20857.070000000007</v>
      </c>
      <c r="G238" s="12">
        <f t="shared" si="148"/>
        <v>460295.94000000047</v>
      </c>
      <c r="H238" s="11">
        <v>-4.96E-3</v>
      </c>
    </row>
    <row r="239" spans="1:8" x14ac:dyDescent="0.25">
      <c r="A239" s="13" t="s">
        <v>339</v>
      </c>
      <c r="B239" s="12">
        <v>-324871.93</v>
      </c>
      <c r="C239" s="12">
        <v>-177.17</v>
      </c>
      <c r="D239" s="12">
        <f t="shared" si="149"/>
        <v>-325049.09999999998</v>
      </c>
      <c r="E239" s="12">
        <v>-331197.40999999997</v>
      </c>
      <c r="F239" s="12">
        <f t="shared" si="147"/>
        <v>-6148.3099999999977</v>
      </c>
      <c r="G239" s="12">
        <f t="shared" si="148"/>
        <v>454147.63000000047</v>
      </c>
      <c r="H239" s="11">
        <v>-6.4200000000000004E-3</v>
      </c>
    </row>
    <row r="240" spans="1:8" x14ac:dyDescent="0.25">
      <c r="A240" s="13" t="s">
        <v>340</v>
      </c>
      <c r="B240" s="12">
        <v>-203398.68</v>
      </c>
      <c r="C240" s="12">
        <v>-119.59</v>
      </c>
      <c r="D240" s="12">
        <f t="shared" si="149"/>
        <v>-203518.27</v>
      </c>
      <c r="E240" s="12">
        <v>-254769.93</v>
      </c>
      <c r="F240" s="12">
        <f t="shared" ref="F240" si="150">E240-D240</f>
        <v>-51251.66</v>
      </c>
      <c r="G240" s="12">
        <f t="shared" ref="G240" si="151">G239+F240</f>
        <v>402895.97000000044</v>
      </c>
      <c r="H240" s="11">
        <v>-5.0899999999999999E-3</v>
      </c>
    </row>
    <row r="241" spans="1:8" x14ac:dyDescent="0.25">
      <c r="A241" s="13" t="s">
        <v>341</v>
      </c>
      <c r="B241" s="12">
        <v>-313270.5</v>
      </c>
      <c r="C241" s="12">
        <v>-202.43</v>
      </c>
      <c r="D241" s="12">
        <f t="shared" ref="D241:D246" si="152">B241+C241</f>
        <v>-313472.93</v>
      </c>
      <c r="E241" s="12">
        <v>-295666.31</v>
      </c>
      <c r="F241" s="12">
        <f t="shared" ref="F241" si="153">E241-D241</f>
        <v>17806.619999999995</v>
      </c>
      <c r="G241" s="12">
        <f t="shared" ref="G241:G246" si="154">G240+F241</f>
        <v>420702.59000000043</v>
      </c>
      <c r="H241" s="11">
        <v>-7.4599999999999996E-3</v>
      </c>
    </row>
    <row r="242" spans="1:8" x14ac:dyDescent="0.25">
      <c r="A242" s="13" t="s">
        <v>342</v>
      </c>
      <c r="B242" s="12">
        <v>-187317.35</v>
      </c>
      <c r="C242" s="12">
        <v>-229.58</v>
      </c>
      <c r="D242" s="12">
        <f t="shared" si="152"/>
        <v>-187546.93</v>
      </c>
      <c r="E242" s="12">
        <v>-170689.66</v>
      </c>
      <c r="F242" s="12">
        <f t="shared" ref="F242" si="155">E242-D242</f>
        <v>16857.26999999999</v>
      </c>
      <c r="G242" s="12">
        <f t="shared" si="154"/>
        <v>437559.86000000045</v>
      </c>
      <c r="H242" s="11">
        <v>-3.9699999999999996E-3</v>
      </c>
    </row>
    <row r="243" spans="1:8" x14ac:dyDescent="0.25">
      <c r="A243" s="13" t="s">
        <v>343</v>
      </c>
      <c r="B243" s="12">
        <v>-166519.23000000001</v>
      </c>
      <c r="C243" s="12">
        <v>-253.88</v>
      </c>
      <c r="D243" s="12">
        <f t="shared" si="152"/>
        <v>-166773.11000000002</v>
      </c>
      <c r="E243" s="12">
        <v>-142986.38</v>
      </c>
      <c r="F243" s="12">
        <f t="shared" ref="F243" si="156">E243-D243</f>
        <v>23786.73000000001</v>
      </c>
      <c r="G243" s="12">
        <f t="shared" si="154"/>
        <v>461346.59000000043</v>
      </c>
      <c r="H243" s="11">
        <v>-3.0400000000000002E-3</v>
      </c>
    </row>
    <row r="244" spans="1:8" x14ac:dyDescent="0.25">
      <c r="A244" s="13" t="s">
        <v>344</v>
      </c>
      <c r="B244" s="12">
        <v>-146680.32000000001</v>
      </c>
      <c r="C244" s="12">
        <v>-222.12</v>
      </c>
      <c r="D244" s="12">
        <f t="shared" si="152"/>
        <v>-146902.44</v>
      </c>
      <c r="E244" s="12">
        <v>-122275.73</v>
      </c>
      <c r="F244" s="12">
        <f t="shared" ref="F244" si="157">E244-D244</f>
        <v>24626.710000000006</v>
      </c>
      <c r="G244" s="12">
        <f t="shared" si="154"/>
        <v>485973.30000000045</v>
      </c>
      <c r="H244" s="11">
        <v>-2.1099999999999999E-3</v>
      </c>
    </row>
    <row r="245" spans="1:8" x14ac:dyDescent="0.25">
      <c r="A245" s="13" t="s">
        <v>345</v>
      </c>
      <c r="B245" s="12">
        <v>-41250.74</v>
      </c>
      <c r="C245" s="12">
        <v>-50.88</v>
      </c>
      <c r="D245" s="12">
        <f t="shared" si="152"/>
        <v>-41301.619999999995</v>
      </c>
      <c r="E245" s="12">
        <v>-55719.27</v>
      </c>
      <c r="F245" s="12">
        <f t="shared" ref="F245" si="158">E245-D245</f>
        <v>-14417.650000000001</v>
      </c>
      <c r="G245" s="12">
        <f t="shared" si="154"/>
        <v>471555.65000000043</v>
      </c>
      <c r="H245" s="11">
        <v>-8.1999999999999998E-4</v>
      </c>
    </row>
    <row r="246" spans="1:8" x14ac:dyDescent="0.25">
      <c r="A246" s="13" t="s">
        <v>347</v>
      </c>
      <c r="B246" s="12">
        <v>297972.93</v>
      </c>
      <c r="C246" s="12">
        <v>372.39</v>
      </c>
      <c r="D246" s="12">
        <f t="shared" si="152"/>
        <v>298345.32</v>
      </c>
      <c r="E246" s="12">
        <v>284402.71000000002</v>
      </c>
      <c r="F246" s="12">
        <f t="shared" ref="F246" si="159">E246-D246</f>
        <v>-13942.609999999986</v>
      </c>
      <c r="G246" s="12">
        <f t="shared" si="154"/>
        <v>457613.04000000044</v>
      </c>
      <c r="H246" s="11">
        <v>5.8999999999999999E-3</v>
      </c>
    </row>
    <row r="247" spans="1:8" x14ac:dyDescent="0.25">
      <c r="A247" s="13" t="s">
        <v>348</v>
      </c>
      <c r="B247" s="12">
        <v>-84789.97</v>
      </c>
      <c r="C247" s="12">
        <v>-91.07</v>
      </c>
      <c r="D247" s="12">
        <f t="shared" ref="D247" si="160">B247+C247</f>
        <v>-84881.040000000008</v>
      </c>
      <c r="E247" s="12">
        <v>-96363.65</v>
      </c>
      <c r="F247" s="12">
        <f t="shared" ref="F247" si="161">E247-D247</f>
        <v>-11482.609999999986</v>
      </c>
      <c r="G247" s="12">
        <f t="shared" ref="G247" si="162">G246+F247</f>
        <v>446130.43000000046</v>
      </c>
      <c r="H247" s="11">
        <v>-1.8600000000000001E-3</v>
      </c>
    </row>
    <row r="248" spans="1:8" x14ac:dyDescent="0.25">
      <c r="A248" s="13" t="s">
        <v>349</v>
      </c>
      <c r="B248" s="12">
        <v>-104072.67</v>
      </c>
      <c r="C248" s="12">
        <v>-63.57</v>
      </c>
      <c r="D248" s="12">
        <f t="shared" ref="D248" si="163">B248+C248</f>
        <v>-104136.24</v>
      </c>
      <c r="E248" s="12">
        <v>-105727.61</v>
      </c>
      <c r="F248" s="12">
        <f t="shared" ref="F248" si="164">E248-D248</f>
        <v>-1591.3699999999953</v>
      </c>
      <c r="G248" s="12">
        <f t="shared" ref="G248" si="165">G247+F248</f>
        <v>444539.06000000046</v>
      </c>
      <c r="H248" s="11">
        <v>-2.3600000000000001E-3</v>
      </c>
    </row>
    <row r="249" spans="1:8" x14ac:dyDescent="0.25">
      <c r="A249" s="13" t="s">
        <v>350</v>
      </c>
      <c r="B249" s="12">
        <v>-106165.32</v>
      </c>
      <c r="C249" s="12">
        <v>-62.79</v>
      </c>
      <c r="D249" s="12">
        <f t="shared" ref="D249" si="166">B249+C249</f>
        <v>-106228.11</v>
      </c>
      <c r="E249" s="12">
        <v>-101362.61</v>
      </c>
      <c r="F249" s="12">
        <f t="shared" ref="F249:F254" si="167">E249-D249</f>
        <v>4865.5</v>
      </c>
      <c r="G249" s="12">
        <f t="shared" ref="G249" si="168">G248+F249</f>
        <v>449404.56000000046</v>
      </c>
      <c r="H249" s="11">
        <v>-2.2599999999999999E-3</v>
      </c>
    </row>
    <row r="250" spans="1:8" x14ac:dyDescent="0.25">
      <c r="A250" s="13" t="s">
        <v>351</v>
      </c>
      <c r="B250" s="12">
        <v>-49773.82</v>
      </c>
      <c r="C250" s="12">
        <v>-33.6</v>
      </c>
      <c r="D250" s="12">
        <f t="shared" ref="D250" si="169">B250+C250</f>
        <v>-49807.42</v>
      </c>
      <c r="E250" s="12">
        <v>-47257.37</v>
      </c>
      <c r="F250" s="12">
        <f t="shared" si="167"/>
        <v>2550.0499999999956</v>
      </c>
      <c r="G250" s="12">
        <f t="shared" ref="G250" si="170">G249+F250</f>
        <v>451954.61000000045</v>
      </c>
      <c r="H250" s="11">
        <v>-1.01E-3</v>
      </c>
    </row>
    <row r="251" spans="1:8" x14ac:dyDescent="0.25">
      <c r="A251" s="13" t="s">
        <v>352</v>
      </c>
      <c r="B251" s="12">
        <v>-350596.84</v>
      </c>
      <c r="C251" s="12">
        <v>-203.3</v>
      </c>
      <c r="D251" s="12">
        <f t="shared" ref="D251" si="171">B251+C251</f>
        <v>-350800.14</v>
      </c>
      <c r="E251" s="12">
        <v>-344994.5</v>
      </c>
      <c r="F251" s="12">
        <f t="shared" si="167"/>
        <v>5805.640000000014</v>
      </c>
      <c r="G251" s="12">
        <f t="shared" ref="G251" si="172">G250+F251</f>
        <v>457760.25000000047</v>
      </c>
      <c r="H251" s="11">
        <v>-6.9800000000000001E-3</v>
      </c>
    </row>
    <row r="252" spans="1:8" x14ac:dyDescent="0.25">
      <c r="A252" s="13" t="s">
        <v>353</v>
      </c>
      <c r="B252" s="12">
        <v>-280334.74</v>
      </c>
      <c r="C252" s="12">
        <v>-162.05000000000001</v>
      </c>
      <c r="D252" s="12">
        <f t="shared" ref="D252:D257" si="173">B252+C252</f>
        <v>-280496.78999999998</v>
      </c>
      <c r="E252" s="12">
        <v>-307034.95</v>
      </c>
      <c r="F252" s="12">
        <f t="shared" si="167"/>
        <v>-26538.160000000033</v>
      </c>
      <c r="G252" s="12">
        <f t="shared" ref="G252:G257" si="174">G251+F252</f>
        <v>431222.09000000043</v>
      </c>
      <c r="H252" s="11">
        <v>-6.0899999999999999E-3</v>
      </c>
    </row>
    <row r="253" spans="1:8" x14ac:dyDescent="0.25">
      <c r="A253" s="13" t="s">
        <v>354</v>
      </c>
      <c r="B253" s="12">
        <v>-248386.67</v>
      </c>
      <c r="C253" s="12">
        <v>-192.34</v>
      </c>
      <c r="D253" s="12">
        <f t="shared" si="173"/>
        <v>-248579.01</v>
      </c>
      <c r="E253" s="12">
        <v>-247227.36</v>
      </c>
      <c r="F253" s="12">
        <f t="shared" si="167"/>
        <v>1351.6500000000233</v>
      </c>
      <c r="G253" s="12">
        <f t="shared" si="174"/>
        <v>432573.74000000046</v>
      </c>
      <c r="H253" s="11">
        <v>-5.5199999999999997E-3</v>
      </c>
    </row>
    <row r="254" spans="1:8" x14ac:dyDescent="0.25">
      <c r="A254" s="13" t="s">
        <v>355</v>
      </c>
      <c r="B254" s="12">
        <v>-233223.13</v>
      </c>
      <c r="C254" s="12">
        <v>-334.57</v>
      </c>
      <c r="D254" s="12">
        <f t="shared" si="173"/>
        <v>-233557.7</v>
      </c>
      <c r="E254" s="12">
        <v>-204201.16</v>
      </c>
      <c r="F254" s="12">
        <f t="shared" si="167"/>
        <v>29356.540000000008</v>
      </c>
      <c r="G254" s="12">
        <f t="shared" si="174"/>
        <v>461930.28000000049</v>
      </c>
      <c r="H254" s="11">
        <v>-4.47E-3</v>
      </c>
    </row>
    <row r="255" spans="1:8" x14ac:dyDescent="0.25">
      <c r="A255" s="13" t="s">
        <v>357</v>
      </c>
      <c r="B255" s="12">
        <v>-207915.49</v>
      </c>
      <c r="C255" s="12">
        <v>-274.36</v>
      </c>
      <c r="D255" s="12">
        <f t="shared" si="173"/>
        <v>-208189.84999999998</v>
      </c>
      <c r="E255" s="12">
        <v>-195605.35</v>
      </c>
      <c r="F255" s="12">
        <f t="shared" ref="F255" si="175">E255-D255</f>
        <v>12584.499999999971</v>
      </c>
      <c r="G255" s="12">
        <f t="shared" si="174"/>
        <v>474514.78000000049</v>
      </c>
      <c r="H255" s="11">
        <v>-3.6800000000000001E-3</v>
      </c>
    </row>
    <row r="256" spans="1:8" x14ac:dyDescent="0.25">
      <c r="A256" s="13" t="s">
        <v>358</v>
      </c>
      <c r="B256" s="12">
        <v>64427.42</v>
      </c>
      <c r="C256" s="12">
        <v>97.59</v>
      </c>
      <c r="D256" s="12">
        <f t="shared" si="173"/>
        <v>64525.009999999995</v>
      </c>
      <c r="E256" s="12">
        <v>59393.54</v>
      </c>
      <c r="F256" s="12">
        <f t="shared" ref="F256" si="176">E256-D256</f>
        <v>-5131.4699999999939</v>
      </c>
      <c r="G256" s="12">
        <f t="shared" si="174"/>
        <v>469383.31000000052</v>
      </c>
      <c r="H256" s="11">
        <v>1.0499999999999999E-3</v>
      </c>
    </row>
    <row r="257" spans="1:8" x14ac:dyDescent="0.25">
      <c r="A257" s="13" t="s">
        <v>359</v>
      </c>
      <c r="B257" s="12">
        <v>-246162.79</v>
      </c>
      <c r="C257" s="12">
        <v>-262.2</v>
      </c>
      <c r="D257" s="12">
        <f t="shared" si="173"/>
        <v>-246424.99000000002</v>
      </c>
      <c r="E257" s="12">
        <v>-292828.5</v>
      </c>
      <c r="F257" s="12">
        <f t="shared" ref="F257" si="177">E257-D257</f>
        <v>-46403.50999999998</v>
      </c>
      <c r="G257" s="12">
        <f t="shared" si="174"/>
        <v>422979.80000000051</v>
      </c>
      <c r="H257" s="11">
        <v>-4.5999999999999999E-3</v>
      </c>
    </row>
    <row r="258" spans="1:8" x14ac:dyDescent="0.25">
      <c r="A258" s="13" t="s">
        <v>360</v>
      </c>
      <c r="B258" s="12">
        <v>-150259.04999999999</v>
      </c>
      <c r="C258" s="12">
        <v>-169.1</v>
      </c>
      <c r="D258" s="12">
        <f t="shared" ref="D258" si="178">B258+C258</f>
        <v>-150428.15</v>
      </c>
      <c r="E258" s="12">
        <v>-144311.47</v>
      </c>
      <c r="F258" s="12">
        <f t="shared" ref="F258" si="179">E258-D258</f>
        <v>6116.679999999993</v>
      </c>
      <c r="G258" s="12">
        <f t="shared" ref="G258" si="180">G257+F258</f>
        <v>429096.48000000051</v>
      </c>
      <c r="H258" s="11">
        <v>-2.8800000000000002E-3</v>
      </c>
    </row>
    <row r="259" spans="1:8" x14ac:dyDescent="0.25">
      <c r="A259" s="13" t="s">
        <v>361</v>
      </c>
      <c r="B259" s="12">
        <v>-220203.38</v>
      </c>
      <c r="C259" s="12">
        <v>-175.27</v>
      </c>
      <c r="D259" s="12">
        <f t="shared" ref="D259" si="181">B259+C259</f>
        <v>-220378.65</v>
      </c>
      <c r="E259" s="12">
        <v>-289985.51</v>
      </c>
      <c r="F259" s="12">
        <f t="shared" ref="F259" si="182">E259-D259</f>
        <v>-69606.860000000015</v>
      </c>
      <c r="G259" s="12">
        <f t="shared" ref="G259" si="183">G258+F259</f>
        <v>359489.62000000046</v>
      </c>
      <c r="H259" s="11">
        <v>-5.4599999999999996E-3</v>
      </c>
    </row>
    <row r="260" spans="1:8" x14ac:dyDescent="0.25">
      <c r="A260" s="13" t="s">
        <v>362</v>
      </c>
      <c r="B260" s="12">
        <v>-61715.99</v>
      </c>
      <c r="C260" s="12">
        <v>-40.83</v>
      </c>
      <c r="D260" s="12">
        <f t="shared" ref="D260" si="184">B260+C260</f>
        <v>-61756.82</v>
      </c>
      <c r="E260" s="12">
        <v>-62564.32</v>
      </c>
      <c r="F260" s="12">
        <f t="shared" ref="F260" si="185">E260-D260</f>
        <v>-807.5</v>
      </c>
      <c r="G260" s="12">
        <f t="shared" ref="G260" si="186">G259+F260</f>
        <v>358682.12000000046</v>
      </c>
      <c r="H260" s="11">
        <v>-1.58E-3</v>
      </c>
    </row>
    <row r="261" spans="1:8" x14ac:dyDescent="0.25">
      <c r="A261" s="13" t="s">
        <v>363</v>
      </c>
      <c r="B261" s="12">
        <v>-230045.93</v>
      </c>
      <c r="C261" s="12">
        <v>-154.65</v>
      </c>
      <c r="D261" s="12">
        <f t="shared" ref="D261" si="187">B261+C261</f>
        <v>-230200.58</v>
      </c>
      <c r="E261" s="12">
        <v>-224630.86</v>
      </c>
      <c r="F261" s="12">
        <f t="shared" ref="F261" si="188">E261-D261</f>
        <v>5569.7200000000012</v>
      </c>
      <c r="G261" s="12">
        <f t="shared" ref="G261" si="189">G260+F261</f>
        <v>364251.84000000043</v>
      </c>
      <c r="H261" s="11">
        <v>-5.6600000000000001E-3</v>
      </c>
    </row>
    <row r="262" spans="1:8" x14ac:dyDescent="0.25">
      <c r="A262" s="13" t="s">
        <v>364</v>
      </c>
      <c r="B262" s="12">
        <v>-171137.31</v>
      </c>
      <c r="C262" s="12">
        <v>-117.74</v>
      </c>
      <c r="D262" s="12">
        <f t="shared" ref="D262" si="190">B262+C262</f>
        <v>-171255.05</v>
      </c>
      <c r="E262" s="12">
        <v>-149291.5</v>
      </c>
      <c r="F262" s="12">
        <f t="shared" ref="F262" si="191">E262-D262</f>
        <v>21963.549999999988</v>
      </c>
      <c r="G262" s="12">
        <f t="shared" ref="G262" si="192">G261+F262</f>
        <v>386215.39000000042</v>
      </c>
      <c r="H262" s="11">
        <v>-3.65E-3</v>
      </c>
    </row>
    <row r="263" spans="1:8" x14ac:dyDescent="0.25">
      <c r="A263" s="13" t="s">
        <v>365</v>
      </c>
      <c r="B263" s="12">
        <v>-227308.01</v>
      </c>
      <c r="C263" s="12">
        <v>-153.81</v>
      </c>
      <c r="D263" s="12">
        <f t="shared" ref="D263" si="193">B263+C263</f>
        <v>-227461.82</v>
      </c>
      <c r="E263" s="12">
        <v>-231772.28</v>
      </c>
      <c r="F263" s="12">
        <f t="shared" ref="F263" si="194">E263-D263</f>
        <v>-4310.4599999999919</v>
      </c>
      <c r="G263" s="12">
        <f t="shared" ref="G263" si="195">G262+F263</f>
        <v>381904.9300000004</v>
      </c>
      <c r="H263" s="11">
        <v>-4.9100000000000003E-3</v>
      </c>
    </row>
    <row r="264" spans="1:8" x14ac:dyDescent="0.25">
      <c r="A264" s="13" t="s">
        <v>366</v>
      </c>
      <c r="B264" s="12">
        <v>-210098.79</v>
      </c>
      <c r="C264" s="12">
        <v>-143.88999999999999</v>
      </c>
      <c r="D264" s="12">
        <f t="shared" ref="D264" si="196">B264+C264</f>
        <v>-210242.68000000002</v>
      </c>
      <c r="E264" s="12">
        <v>-228165.45</v>
      </c>
      <c r="F264" s="12">
        <f t="shared" ref="F264" si="197">E264-D264</f>
        <v>-17922.76999999999</v>
      </c>
      <c r="G264" s="12">
        <f t="shared" ref="G264:G269" si="198">G263+F264</f>
        <v>363982.16000000038</v>
      </c>
      <c r="H264" s="11">
        <v>-4.96E-3</v>
      </c>
    </row>
    <row r="265" spans="1:8" x14ac:dyDescent="0.25">
      <c r="A265" s="13" t="s">
        <v>367</v>
      </c>
      <c r="B265" s="12">
        <v>-244942.02</v>
      </c>
      <c r="C265" s="12">
        <v>-200.49</v>
      </c>
      <c r="D265" s="12">
        <f t="shared" ref="D265" si="199">B265+C265</f>
        <v>-245142.50999999998</v>
      </c>
      <c r="E265" s="12">
        <v>-273899.46000000002</v>
      </c>
      <c r="F265" s="12">
        <f t="shared" ref="F265" si="200">E265-D265</f>
        <v>-28756.950000000041</v>
      </c>
      <c r="G265" s="12">
        <f t="shared" si="198"/>
        <v>335225.21000000031</v>
      </c>
      <c r="H265" s="11">
        <v>-6.4700000000000001E-3</v>
      </c>
    </row>
    <row r="266" spans="1:8" x14ac:dyDescent="0.25">
      <c r="A266" s="13" t="s">
        <v>368</v>
      </c>
      <c r="B266" s="12">
        <v>-288404.81</v>
      </c>
      <c r="C266" s="12">
        <v>-380.07</v>
      </c>
      <c r="D266" s="12">
        <f t="shared" ref="D266" si="201">B266+C266</f>
        <v>-288784.88</v>
      </c>
      <c r="E266" s="12">
        <v>-239499.77</v>
      </c>
      <c r="F266" s="12">
        <f t="shared" ref="F266" si="202">E266-D266</f>
        <v>49285.110000000015</v>
      </c>
      <c r="G266" s="12">
        <f t="shared" si="198"/>
        <v>384510.3200000003</v>
      </c>
      <c r="H266" s="11">
        <v>-6.3499999999999997E-3</v>
      </c>
    </row>
    <row r="267" spans="1:8" x14ac:dyDescent="0.25">
      <c r="A267" s="13" t="s">
        <v>369</v>
      </c>
      <c r="B267" s="12">
        <v>-361274.44</v>
      </c>
      <c r="C267" s="12">
        <v>-442.87</v>
      </c>
      <c r="D267" s="12">
        <f t="shared" ref="D267" si="203">B267+C267</f>
        <v>-361717.31</v>
      </c>
      <c r="E267" s="12">
        <v>-342622.95</v>
      </c>
      <c r="F267" s="12">
        <f t="shared" ref="F267" si="204">E267-D267</f>
        <v>19094.359999999986</v>
      </c>
      <c r="G267" s="12">
        <f t="shared" si="198"/>
        <v>403604.68000000028</v>
      </c>
      <c r="H267" s="11">
        <v>-7.4900000000000001E-3</v>
      </c>
    </row>
    <row r="268" spans="1:8" x14ac:dyDescent="0.25">
      <c r="A268" s="13" t="s">
        <v>370</v>
      </c>
      <c r="B268" s="12">
        <v>-11060.74</v>
      </c>
      <c r="C268" s="12">
        <v>-13.91</v>
      </c>
      <c r="D268" s="12">
        <f t="shared" ref="D268" si="205">B268+C268</f>
        <v>-11074.65</v>
      </c>
      <c r="E268" s="12">
        <v>-10573.89</v>
      </c>
      <c r="F268" s="12">
        <f t="shared" ref="F268" si="206">E268-D268</f>
        <v>500.76000000000022</v>
      </c>
      <c r="G268" s="12">
        <f t="shared" si="198"/>
        <v>404105.44000000029</v>
      </c>
      <c r="H268" s="11">
        <v>-2.2000000000000001E-4</v>
      </c>
    </row>
    <row r="269" spans="1:8" x14ac:dyDescent="0.25">
      <c r="A269" s="13" t="s">
        <v>375</v>
      </c>
      <c r="B269" s="12">
        <v>-240895.11</v>
      </c>
      <c r="C269" s="12">
        <v>-250.2</v>
      </c>
      <c r="D269" s="12">
        <f t="shared" ref="D269" si="207">B269+C269</f>
        <v>-241145.31</v>
      </c>
      <c r="E269" s="12">
        <v>-242490.64</v>
      </c>
      <c r="F269" s="12">
        <f t="shared" ref="F269" si="208">E269-D269</f>
        <v>-1345.3300000000163</v>
      </c>
      <c r="G269" s="12">
        <f t="shared" si="198"/>
        <v>402760.11000000028</v>
      </c>
      <c r="H269" s="11">
        <v>-4.9100000000000003E-3</v>
      </c>
    </row>
    <row r="270" spans="1:8" x14ac:dyDescent="0.25">
      <c r="A270" s="13" t="s">
        <v>376</v>
      </c>
      <c r="B270" s="12">
        <v>-268823.73</v>
      </c>
      <c r="C270" s="12">
        <v>-350.57</v>
      </c>
      <c r="D270" s="12">
        <f t="shared" ref="D270" si="209">B270+C270</f>
        <v>-269174.3</v>
      </c>
      <c r="E270" s="12">
        <v>-326039.24</v>
      </c>
      <c r="F270" s="12">
        <f t="shared" ref="F270" si="210">E270-D270</f>
        <v>-56864.94</v>
      </c>
      <c r="G270" s="12">
        <f t="shared" ref="G270" si="211">G269+F270</f>
        <v>345895.17000000027</v>
      </c>
      <c r="H270" s="11">
        <v>-6.7499999999999999E-3</v>
      </c>
    </row>
    <row r="271" spans="1:8" x14ac:dyDescent="0.25">
      <c r="A271" s="13" t="s">
        <v>377</v>
      </c>
      <c r="B271" s="12">
        <v>-258955.51999999999</v>
      </c>
      <c r="C271" s="12">
        <v>-368.01</v>
      </c>
      <c r="D271" s="12">
        <f t="shared" ref="D271" si="212">B271+C271</f>
        <v>-259323.53</v>
      </c>
      <c r="E271" s="12">
        <v>-319155.33</v>
      </c>
      <c r="F271" s="12">
        <f t="shared" ref="F271" si="213">E271-D271</f>
        <v>-59831.800000000017</v>
      </c>
      <c r="G271" s="12">
        <f t="shared" ref="G271" si="214">G270+F271</f>
        <v>286063.37000000023</v>
      </c>
      <c r="H271" s="11">
        <v>-8.1499999999999993E-3</v>
      </c>
    </row>
    <row r="272" spans="1:8" x14ac:dyDescent="0.25">
      <c r="A272" s="13" t="s">
        <v>378</v>
      </c>
      <c r="B272" s="12">
        <v>-366945.2</v>
      </c>
      <c r="C272" s="12">
        <v>-352.15</v>
      </c>
      <c r="D272" s="12">
        <f t="shared" ref="D272" si="215">B272+C272</f>
        <v>-367297.35000000003</v>
      </c>
      <c r="E272" s="12">
        <v>-358345.94</v>
      </c>
      <c r="F272" s="12">
        <f t="shared" ref="F272" si="216">E272-D272</f>
        <v>8951.4100000000326</v>
      </c>
      <c r="G272" s="12">
        <f t="shared" ref="G272" si="217">G271+F272</f>
        <v>295014.78000000026</v>
      </c>
      <c r="H272" s="11">
        <v>-1.128E-2</v>
      </c>
    </row>
    <row r="273" spans="1:8" x14ac:dyDescent="0.25">
      <c r="A273" s="13" t="s">
        <v>379</v>
      </c>
      <c r="B273" s="12">
        <v>-476403.89</v>
      </c>
      <c r="C273" s="12">
        <v>-296.13</v>
      </c>
      <c r="D273" s="12">
        <f t="shared" ref="D273" si="218">B273+C273</f>
        <v>-476700.02</v>
      </c>
      <c r="E273" s="12">
        <v>-405274.8</v>
      </c>
      <c r="F273" s="12">
        <f t="shared" ref="F273" si="219">E273-D273</f>
        <v>71425.22000000003</v>
      </c>
      <c r="G273" s="12">
        <f t="shared" ref="G273" si="220">G272+F273</f>
        <v>366440.00000000029</v>
      </c>
      <c r="H273" s="11">
        <v>-1.2319999999999999E-2</v>
      </c>
    </row>
    <row r="274" spans="1:8" x14ac:dyDescent="0.25">
      <c r="A274" s="13" t="s">
        <v>380</v>
      </c>
      <c r="B274" s="12">
        <v>-354650.38</v>
      </c>
      <c r="C274" s="12">
        <v>-220.92</v>
      </c>
      <c r="D274" s="12">
        <f t="shared" ref="D274" si="221">B274+C274</f>
        <v>-354871.3</v>
      </c>
      <c r="E274" s="12">
        <v>-294838.59000000003</v>
      </c>
      <c r="F274" s="12">
        <f t="shared" ref="F274" si="222">E274-D274</f>
        <v>60032.709999999963</v>
      </c>
      <c r="G274" s="12">
        <f t="shared" ref="G274" si="223">G273+F274</f>
        <v>426472.71000000025</v>
      </c>
      <c r="H274" s="11">
        <v>-7.6E-3</v>
      </c>
    </row>
    <row r="275" spans="1:8" x14ac:dyDescent="0.25">
      <c r="A275" s="13" t="s">
        <v>381</v>
      </c>
      <c r="B275" s="12">
        <v>-216360.25</v>
      </c>
      <c r="C275" s="12">
        <v>-127.48</v>
      </c>
      <c r="D275" s="12">
        <f t="shared" ref="D275" si="224">B275+C275</f>
        <v>-216487.73</v>
      </c>
      <c r="E275" s="12">
        <v>-237400.78</v>
      </c>
      <c r="F275" s="12">
        <f t="shared" ref="F275" si="225">E275-D275</f>
        <v>-20913.049999999988</v>
      </c>
      <c r="G275" s="12">
        <f t="shared" ref="G275" si="226">G274+F275</f>
        <v>405559.66000000027</v>
      </c>
      <c r="H275" s="11">
        <v>-4.96E-3</v>
      </c>
    </row>
    <row r="276" spans="1:8" x14ac:dyDescent="0.25">
      <c r="A276" s="13" t="s">
        <v>382</v>
      </c>
      <c r="B276" s="12">
        <v>-131140.82</v>
      </c>
      <c r="C276" s="12">
        <v>-79.930000000000007</v>
      </c>
      <c r="D276" s="12">
        <f t="shared" ref="D276" si="227">B276+C276</f>
        <v>-131220.75</v>
      </c>
      <c r="E276" s="12">
        <v>-154938.29</v>
      </c>
      <c r="F276" s="12">
        <f t="shared" ref="F276" si="228">E276-D276</f>
        <v>-23717.540000000008</v>
      </c>
      <c r="G276" s="12">
        <f t="shared" ref="G276" si="229">G275+F276</f>
        <v>381842.12000000023</v>
      </c>
      <c r="H276" s="11">
        <v>-3.5400000000000002E-3</v>
      </c>
    </row>
    <row r="277" spans="1:8" x14ac:dyDescent="0.25">
      <c r="A277" s="13" t="s">
        <v>383</v>
      </c>
      <c r="B277" s="12">
        <v>-228867.24</v>
      </c>
      <c r="C277" s="12">
        <v>-204.69</v>
      </c>
      <c r="D277" s="12">
        <f t="shared" ref="D277" si="230">B277+C277</f>
        <v>-229071.93</v>
      </c>
      <c r="E277" s="12">
        <v>-243666.05</v>
      </c>
      <c r="F277" s="12">
        <f t="shared" ref="F277" si="231">E277-D277</f>
        <v>-14594.119999999995</v>
      </c>
      <c r="G277" s="12">
        <f t="shared" ref="G277" si="232">G276+F277</f>
        <v>367248.00000000023</v>
      </c>
      <c r="H277" s="11">
        <v>-6.6800000000000002E-3</v>
      </c>
    </row>
    <row r="278" spans="1:8" x14ac:dyDescent="0.25">
      <c r="A278" s="13" t="s">
        <v>384</v>
      </c>
      <c r="B278" s="12">
        <v>-349494.39</v>
      </c>
      <c r="C278" s="12">
        <v>-434.22</v>
      </c>
      <c r="D278" s="12">
        <f t="shared" ref="D278:D279" si="233">B278+C278</f>
        <v>-349928.61</v>
      </c>
      <c r="E278" s="12">
        <v>-292995.53999999998</v>
      </c>
      <c r="F278" s="12">
        <f t="shared" ref="F278:F279" si="234">E278-D278</f>
        <v>56933.070000000007</v>
      </c>
      <c r="G278" s="12">
        <f t="shared" ref="G278:G279" si="235">G277+F278</f>
        <v>424181.07000000024</v>
      </c>
      <c r="H278" s="11">
        <v>-8.2500000000000004E-3</v>
      </c>
    </row>
    <row r="279" spans="1:8" x14ac:dyDescent="0.25">
      <c r="A279" s="13" t="s">
        <v>385</v>
      </c>
      <c r="B279" s="12">
        <v>-320064.34000000003</v>
      </c>
      <c r="C279" s="12">
        <v>-458.16</v>
      </c>
      <c r="D279" s="12">
        <f t="shared" si="233"/>
        <v>-320522.5</v>
      </c>
      <c r="E279" s="12">
        <v>-244714.12</v>
      </c>
      <c r="F279" s="12">
        <f t="shared" si="234"/>
        <v>75808.38</v>
      </c>
      <c r="G279" s="12">
        <f t="shared" si="235"/>
        <v>499989.45000000024</v>
      </c>
      <c r="H279" s="11">
        <v>-5.7000000000000002E-3</v>
      </c>
    </row>
    <row r="280" spans="1:8" x14ac:dyDescent="0.25">
      <c r="A280" s="13" t="s">
        <v>386</v>
      </c>
      <c r="B280" s="12">
        <v>-247719.9</v>
      </c>
      <c r="C280" s="12">
        <v>-327.75</v>
      </c>
      <c r="D280" s="12">
        <f t="shared" ref="D280" si="236">B280+C280</f>
        <v>-248047.65</v>
      </c>
      <c r="E280" s="12">
        <v>-238453.93</v>
      </c>
      <c r="F280" s="12">
        <f t="shared" ref="F280" si="237">E280-D280</f>
        <v>9593.7200000000012</v>
      </c>
      <c r="G280" s="12">
        <f t="shared" ref="G280" si="238">G279+F280</f>
        <v>509583.17000000027</v>
      </c>
      <c r="H280" s="11">
        <v>-4.0899999999999999E-3</v>
      </c>
    </row>
    <row r="281" spans="1:8" x14ac:dyDescent="0.25">
      <c r="A281" s="13" t="s">
        <v>387</v>
      </c>
      <c r="B281" s="12">
        <v>-175776.96</v>
      </c>
      <c r="C281" s="12">
        <v>-257.32</v>
      </c>
      <c r="D281" s="12">
        <f t="shared" ref="D281:D282" si="239">B281+C281</f>
        <v>-176034.28</v>
      </c>
      <c r="E281" s="12">
        <v>-174255.62</v>
      </c>
      <c r="F281" s="12">
        <f t="shared" ref="F281:F282" si="240">E281-D281</f>
        <v>1778.6600000000035</v>
      </c>
      <c r="G281" s="12">
        <f t="shared" ref="G281:G282" si="241">G280+F281</f>
        <v>511361.83000000031</v>
      </c>
      <c r="H281" s="11">
        <v>-2.8300000000000001E-3</v>
      </c>
    </row>
    <row r="282" spans="1:8" x14ac:dyDescent="0.25">
      <c r="A282" s="13" t="s">
        <v>389</v>
      </c>
      <c r="B282" s="12">
        <v>-220912.32</v>
      </c>
      <c r="C282" s="12">
        <v>-287.72000000000003</v>
      </c>
      <c r="D282" s="12">
        <f t="shared" si="239"/>
        <v>-221200.04</v>
      </c>
      <c r="E282" s="12">
        <v>-291300.28000000003</v>
      </c>
      <c r="F282" s="12">
        <f t="shared" si="240"/>
        <v>-70100.24000000002</v>
      </c>
      <c r="G282" s="12">
        <f t="shared" si="241"/>
        <v>441261.59000000032</v>
      </c>
      <c r="H282" s="11">
        <v>-4.8399999999999997E-3</v>
      </c>
    </row>
    <row r="283" spans="1:8" x14ac:dyDescent="0.25">
      <c r="A283" s="13"/>
      <c r="B283" s="12"/>
      <c r="C283" s="12"/>
      <c r="D283" s="12"/>
      <c r="E283" s="12"/>
      <c r="F283" s="12"/>
      <c r="G283" s="12"/>
      <c r="H283" s="11">
        <v>2.2300000000000002E-3</v>
      </c>
    </row>
    <row r="284" spans="1:8" x14ac:dyDescent="0.25">
      <c r="A284" s="13"/>
      <c r="B284" s="12"/>
      <c r="C284" s="12"/>
      <c r="D284" s="12"/>
      <c r="E284" s="12"/>
      <c r="F284" s="12"/>
      <c r="G284" s="12"/>
      <c r="H284" s="11"/>
    </row>
    <row r="285" spans="1:8" x14ac:dyDescent="0.25">
      <c r="B285" s="12"/>
      <c r="C285" s="12"/>
      <c r="D285" s="12"/>
      <c r="E285" s="12"/>
      <c r="F285" s="12"/>
      <c r="G285" s="12"/>
      <c r="H285" s="11"/>
    </row>
    <row r="286" spans="1:8" x14ac:dyDescent="0.25">
      <c r="B286" s="12"/>
      <c r="C286" s="12"/>
      <c r="D286" s="12"/>
      <c r="E286" s="12"/>
      <c r="F286" s="12"/>
      <c r="G286" s="12"/>
      <c r="H286" s="11"/>
    </row>
    <row r="287" spans="1:8" x14ac:dyDescent="0.25">
      <c r="B287" s="12"/>
      <c r="C287" s="12"/>
      <c r="D287" s="12"/>
      <c r="E287" s="12"/>
      <c r="F287" s="12"/>
      <c r="G287" s="12"/>
      <c r="H287" s="11"/>
    </row>
    <row r="288" spans="1:8" x14ac:dyDescent="0.25">
      <c r="B288" s="12"/>
      <c r="C288" s="12"/>
      <c r="D288" s="12"/>
      <c r="E288" s="12"/>
      <c r="F288" s="12"/>
      <c r="G288" s="12"/>
      <c r="H288" s="11"/>
    </row>
    <row r="289" spans="2:8" x14ac:dyDescent="0.25">
      <c r="B289" s="12"/>
      <c r="C289" s="12"/>
      <c r="D289" s="12"/>
      <c r="E289" s="12"/>
      <c r="F289" s="12"/>
      <c r="G289" s="12"/>
      <c r="H289" s="11"/>
    </row>
    <row r="290" spans="2:8" x14ac:dyDescent="0.25">
      <c r="B290" s="12"/>
      <c r="C290" s="12"/>
      <c r="D290" s="12"/>
      <c r="E290" s="12"/>
      <c r="F290" s="12"/>
      <c r="G290" s="12"/>
      <c r="H290" s="11"/>
    </row>
    <row r="291" spans="2:8" x14ac:dyDescent="0.25">
      <c r="B291" s="12"/>
      <c r="C291" s="12"/>
      <c r="D291" s="12"/>
      <c r="E291" s="12"/>
      <c r="F291" s="12"/>
      <c r="G291" s="12"/>
      <c r="H291" s="11"/>
    </row>
    <row r="292" spans="2:8" x14ac:dyDescent="0.25">
      <c r="B292" s="12"/>
      <c r="C292" s="12"/>
      <c r="D292" s="12"/>
      <c r="E292" s="12"/>
      <c r="F292" s="12"/>
      <c r="G292" s="12"/>
      <c r="H292" s="11"/>
    </row>
    <row r="293" spans="2:8" x14ac:dyDescent="0.25">
      <c r="B293" s="12"/>
      <c r="C293" s="12"/>
      <c r="D293" s="12"/>
      <c r="E293" s="12"/>
      <c r="F293" s="12"/>
      <c r="G293" s="12"/>
      <c r="H293" s="11"/>
    </row>
    <row r="294" spans="2:8" x14ac:dyDescent="0.25">
      <c r="B294" s="12"/>
      <c r="C294" s="12"/>
      <c r="D294" s="12"/>
      <c r="E294" s="12"/>
      <c r="F294" s="12"/>
      <c r="G294" s="12"/>
      <c r="H294" s="11"/>
    </row>
    <row r="295" spans="2:8" x14ac:dyDescent="0.25">
      <c r="B295" s="12"/>
      <c r="C295" s="12"/>
      <c r="D295" s="12"/>
      <c r="E295" s="12"/>
      <c r="F295" s="12"/>
      <c r="G295" s="12"/>
      <c r="H295" s="11"/>
    </row>
    <row r="296" spans="2:8" x14ac:dyDescent="0.25">
      <c r="B296" s="12"/>
      <c r="C296" s="12"/>
      <c r="D296" s="12"/>
      <c r="E296" s="12"/>
      <c r="F296" s="12"/>
      <c r="G296" s="12"/>
      <c r="H296" s="11"/>
    </row>
    <row r="297" spans="2:8" x14ac:dyDescent="0.25">
      <c r="B297" s="12"/>
      <c r="C297" s="12"/>
      <c r="D297" s="12"/>
      <c r="E297" s="12"/>
      <c r="F297" s="12"/>
      <c r="G297" s="12"/>
      <c r="H297" s="11"/>
    </row>
    <row r="298" spans="2:8" x14ac:dyDescent="0.25">
      <c r="B298" s="12"/>
      <c r="C298" s="12"/>
      <c r="D298" s="12"/>
      <c r="E298" s="12"/>
      <c r="F298" s="12"/>
      <c r="G298" s="12"/>
      <c r="H298" s="11"/>
    </row>
    <row r="299" spans="2:8" x14ac:dyDescent="0.25">
      <c r="B299" s="12"/>
      <c r="C299" s="12"/>
      <c r="D299" s="12"/>
      <c r="E299" s="12"/>
      <c r="F299" s="12"/>
      <c r="G299" s="12"/>
      <c r="H299" s="11"/>
    </row>
    <row r="300" spans="2:8" x14ac:dyDescent="0.25">
      <c r="B300" s="12"/>
      <c r="C300" s="12"/>
      <c r="D300" s="12"/>
      <c r="E300" s="12"/>
      <c r="F300" s="12"/>
      <c r="G300" s="12"/>
      <c r="H300" s="11"/>
    </row>
    <row r="301" spans="2:8" x14ac:dyDescent="0.25">
      <c r="B301" s="12"/>
      <c r="C301" s="12"/>
      <c r="D301" s="12"/>
      <c r="E301" s="12"/>
      <c r="F301" s="12"/>
      <c r="G301" s="12"/>
      <c r="H301" s="11"/>
    </row>
    <row r="302" spans="2:8" x14ac:dyDescent="0.25">
      <c r="B302" s="12"/>
      <c r="C302" s="12"/>
      <c r="D302" s="12"/>
      <c r="E302" s="12"/>
      <c r="F302" s="12"/>
      <c r="G302" s="12"/>
      <c r="H302" s="11"/>
    </row>
    <row r="303" spans="2:8" x14ac:dyDescent="0.25">
      <c r="B303" s="12"/>
      <c r="C303" s="12"/>
      <c r="D303" s="12"/>
      <c r="E303" s="12"/>
      <c r="F303" s="12"/>
      <c r="G303" s="12"/>
      <c r="H303" s="11"/>
    </row>
    <row r="304" spans="2:8" x14ac:dyDescent="0.25">
      <c r="H304" s="10"/>
    </row>
    <row r="305" spans="8:8" x14ac:dyDescent="0.25">
      <c r="H305" s="10"/>
    </row>
    <row r="306" spans="8:8" x14ac:dyDescent="0.25">
      <c r="H306" s="10"/>
    </row>
    <row r="307" spans="8:8" x14ac:dyDescent="0.25">
      <c r="H307" s="10"/>
    </row>
    <row r="308" spans="8:8" x14ac:dyDescent="0.25">
      <c r="H308" s="10"/>
    </row>
    <row r="309" spans="8:8" x14ac:dyDescent="0.25">
      <c r="H309" s="10"/>
    </row>
    <row r="310" spans="8:8" x14ac:dyDescent="0.25">
      <c r="H310" s="10"/>
    </row>
    <row r="311" spans="8:8" x14ac:dyDescent="0.25">
      <c r="H311" s="10"/>
    </row>
    <row r="312" spans="8:8" x14ac:dyDescent="0.25">
      <c r="H312" s="10"/>
    </row>
    <row r="313" spans="8:8" x14ac:dyDescent="0.25">
      <c r="H313" s="10"/>
    </row>
    <row r="314" spans="8:8" x14ac:dyDescent="0.25">
      <c r="H314" s="10"/>
    </row>
    <row r="315" spans="8:8" x14ac:dyDescent="0.25">
      <c r="H315" s="10"/>
    </row>
    <row r="316" spans="8:8" x14ac:dyDescent="0.25">
      <c r="H316" s="10"/>
    </row>
    <row r="317" spans="8:8" x14ac:dyDescent="0.25">
      <c r="H317" s="10"/>
    </row>
    <row r="318" spans="8:8" x14ac:dyDescent="0.25">
      <c r="H318" s="10"/>
    </row>
    <row r="319" spans="8:8" x14ac:dyDescent="0.25">
      <c r="H319" s="10"/>
    </row>
    <row r="320" spans="8:8" x14ac:dyDescent="0.25">
      <c r="H320" s="10"/>
    </row>
    <row r="321" spans="8:8" x14ac:dyDescent="0.25">
      <c r="H321" s="10"/>
    </row>
    <row r="322" spans="8:8" x14ac:dyDescent="0.25">
      <c r="H322" s="10"/>
    </row>
    <row r="323" spans="8:8" x14ac:dyDescent="0.25">
      <c r="H323" s="10"/>
    </row>
    <row r="324" spans="8:8" x14ac:dyDescent="0.25">
      <c r="H324" s="10"/>
    </row>
    <row r="325" spans="8:8" x14ac:dyDescent="0.25">
      <c r="H325" s="10"/>
    </row>
    <row r="326" spans="8:8" x14ac:dyDescent="0.25">
      <c r="H326" s="10"/>
    </row>
    <row r="327" spans="8:8" x14ac:dyDescent="0.25">
      <c r="H327" s="10"/>
    </row>
    <row r="328" spans="8:8" x14ac:dyDescent="0.25">
      <c r="H328" s="10"/>
    </row>
    <row r="329" spans="8:8" x14ac:dyDescent="0.25">
      <c r="H329" s="10"/>
    </row>
    <row r="330" spans="8:8" x14ac:dyDescent="0.25">
      <c r="H330" s="10"/>
    </row>
    <row r="331" spans="8:8" x14ac:dyDescent="0.25">
      <c r="H331" s="10"/>
    </row>
    <row r="332" spans="8:8" x14ac:dyDescent="0.25">
      <c r="H332" s="10"/>
    </row>
  </sheetData>
  <pageMargins left="0.7" right="0.7" top="0.75" bottom="0.75" header="0.3" footer="0.3"/>
  <pageSetup scale="1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workbookViewId="0"/>
  </sheetViews>
  <sheetFormatPr defaultRowHeight="15" x14ac:dyDescent="0.25"/>
  <cols>
    <col min="1" max="1" width="4" customWidth="1"/>
    <col min="2" max="2" width="37.7109375" customWidth="1"/>
    <col min="3" max="3" width="13.5703125" customWidth="1"/>
    <col min="5" max="5" width="4.85546875" customWidth="1"/>
    <col min="6" max="6" width="39.85546875" customWidth="1"/>
    <col min="7" max="7" width="14.28515625" customWidth="1"/>
    <col min="8" max="8" width="1.7109375" customWidth="1"/>
  </cols>
  <sheetData>
    <row r="1" spans="1:8" x14ac:dyDescent="0.25">
      <c r="A1" s="15" t="s">
        <v>229</v>
      </c>
    </row>
    <row r="3" spans="1:8" ht="15.75" thickBot="1" x14ac:dyDescent="0.3">
      <c r="A3" s="16"/>
      <c r="B3" s="16" t="s">
        <v>230</v>
      </c>
      <c r="C3" s="16"/>
      <c r="D3" s="16"/>
      <c r="E3" s="16"/>
      <c r="F3" s="16" t="s">
        <v>231</v>
      </c>
      <c r="G3" s="16"/>
      <c r="H3" s="16"/>
    </row>
    <row r="4" spans="1:8" ht="15.75" thickTop="1" x14ac:dyDescent="0.25"/>
    <row r="5" spans="1:8" x14ac:dyDescent="0.25">
      <c r="A5" s="17" t="s">
        <v>232</v>
      </c>
      <c r="B5" s="17"/>
      <c r="C5" s="37" t="s">
        <v>388</v>
      </c>
      <c r="D5" s="17"/>
      <c r="E5" s="17" t="s">
        <v>233</v>
      </c>
      <c r="F5" s="17"/>
      <c r="G5" s="37" t="s">
        <v>390</v>
      </c>
      <c r="H5" s="17"/>
    </row>
    <row r="7" spans="1:8" x14ac:dyDescent="0.25">
      <c r="A7" s="14">
        <v>1</v>
      </c>
      <c r="B7" t="s">
        <v>234</v>
      </c>
      <c r="C7" s="2">
        <v>48098269</v>
      </c>
      <c r="E7" s="14">
        <v>13</v>
      </c>
      <c r="F7" t="s">
        <v>346</v>
      </c>
    </row>
    <row r="8" spans="1:8" ht="15.75" thickBot="1" x14ac:dyDescent="0.3">
      <c r="A8" s="14"/>
      <c r="C8" s="16"/>
      <c r="E8" s="14"/>
      <c r="F8" t="s">
        <v>235</v>
      </c>
      <c r="G8" s="18">
        <f>-253623+85201</f>
        <v>-168422</v>
      </c>
    </row>
    <row r="9" spans="1:8" ht="15.75" thickTop="1" x14ac:dyDescent="0.25">
      <c r="A9" s="14">
        <v>2</v>
      </c>
      <c r="B9" t="s">
        <v>236</v>
      </c>
      <c r="C9" s="2">
        <v>45658232</v>
      </c>
      <c r="E9" s="14"/>
      <c r="F9" t="s">
        <v>237</v>
      </c>
      <c r="G9" s="18">
        <f>C31</f>
        <v>-70100.24000000002</v>
      </c>
    </row>
    <row r="10" spans="1:8" x14ac:dyDescent="0.25">
      <c r="A10" s="14">
        <v>3</v>
      </c>
      <c r="B10" t="s">
        <v>238</v>
      </c>
      <c r="C10" s="19">
        <v>59445</v>
      </c>
      <c r="E10" s="14"/>
      <c r="F10" t="s">
        <v>239</v>
      </c>
      <c r="G10" s="17"/>
      <c r="H10" s="20"/>
    </row>
    <row r="11" spans="1:8" x14ac:dyDescent="0.25">
      <c r="A11" s="14">
        <v>4</v>
      </c>
      <c r="B11" t="s">
        <v>240</v>
      </c>
      <c r="C11" s="2">
        <f>C9+C10</f>
        <v>45717677</v>
      </c>
      <c r="E11" s="14"/>
    </row>
    <row r="12" spans="1:8" ht="15.75" thickBot="1" x14ac:dyDescent="0.3">
      <c r="A12" s="14"/>
      <c r="C12" s="16"/>
      <c r="E12" s="14"/>
      <c r="F12" t="s">
        <v>241</v>
      </c>
      <c r="G12" s="18">
        <f>G8+G9</f>
        <v>-238522.24000000002</v>
      </c>
    </row>
    <row r="13" spans="1:8" ht="15.75" thickTop="1" x14ac:dyDescent="0.25">
      <c r="A13" s="14">
        <v>5</v>
      </c>
      <c r="B13" t="s">
        <v>242</v>
      </c>
      <c r="E13" s="14"/>
    </row>
    <row r="14" spans="1:8" x14ac:dyDescent="0.25">
      <c r="A14" s="14"/>
      <c r="B14" t="s">
        <v>243</v>
      </c>
      <c r="C14" s="2">
        <f>C7-C11</f>
        <v>2380592</v>
      </c>
      <c r="E14" s="14">
        <v>14</v>
      </c>
      <c r="F14" t="s">
        <v>371</v>
      </c>
      <c r="G14" s="2">
        <v>40196179</v>
      </c>
    </row>
    <row r="15" spans="1:8" x14ac:dyDescent="0.25">
      <c r="A15" s="14"/>
      <c r="C15" s="2"/>
      <c r="E15" s="14"/>
      <c r="F15" t="s">
        <v>372</v>
      </c>
      <c r="G15" s="19">
        <v>551119</v>
      </c>
    </row>
    <row r="16" spans="1:8" x14ac:dyDescent="0.25">
      <c r="A16" s="14"/>
      <c r="C16" s="2"/>
      <c r="E16" s="14"/>
      <c r="F16" t="s">
        <v>373</v>
      </c>
      <c r="G16" s="2">
        <f>SUM(G14:G15)</f>
        <v>40747298</v>
      </c>
    </row>
    <row r="17" spans="1:8" ht="15.75" thickBot="1" x14ac:dyDescent="0.3">
      <c r="A17" s="21"/>
      <c r="B17" s="16"/>
      <c r="C17" s="16"/>
      <c r="E17" s="14">
        <v>15</v>
      </c>
      <c r="F17" t="s">
        <v>374</v>
      </c>
    </row>
    <row r="18" spans="1:8" ht="15.75" thickTop="1" x14ac:dyDescent="0.25">
      <c r="E18" s="14"/>
      <c r="F18" t="s">
        <v>246</v>
      </c>
      <c r="G18" s="22">
        <f>G8/G14</f>
        <v>-4.1900002485310856E-3</v>
      </c>
    </row>
    <row r="19" spans="1:8" x14ac:dyDescent="0.25">
      <c r="A19" s="17" t="s">
        <v>247</v>
      </c>
      <c r="B19" s="17"/>
      <c r="C19" s="17" t="str">
        <f>C5</f>
        <v>March 2021</v>
      </c>
    </row>
    <row r="20" spans="1:8" x14ac:dyDescent="0.25">
      <c r="E20" s="17" t="s">
        <v>248</v>
      </c>
      <c r="F20" s="17"/>
      <c r="G20" s="17"/>
      <c r="H20" s="17"/>
    </row>
    <row r="21" spans="1:8" x14ac:dyDescent="0.25">
      <c r="A21" s="14">
        <v>6</v>
      </c>
      <c r="B21" t="s">
        <v>249</v>
      </c>
      <c r="C21" s="11">
        <v>-4.8399999999999997E-3</v>
      </c>
    </row>
    <row r="22" spans="1:8" x14ac:dyDescent="0.25">
      <c r="A22" s="14">
        <v>7</v>
      </c>
      <c r="B22" t="s">
        <v>250</v>
      </c>
      <c r="C22" s="2">
        <f>88825228-19240043-23925547+59445</f>
        <v>45719083</v>
      </c>
      <c r="E22" s="14">
        <v>16</v>
      </c>
      <c r="F22" t="s">
        <v>251</v>
      </c>
      <c r="G22" s="7">
        <v>2.3E-2</v>
      </c>
    </row>
    <row r="23" spans="1:8" x14ac:dyDescent="0.25">
      <c r="A23" s="14">
        <v>8</v>
      </c>
      <c r="B23" t="s">
        <v>252</v>
      </c>
      <c r="C23" s="23">
        <v>-1406</v>
      </c>
      <c r="E23" s="14">
        <v>17</v>
      </c>
      <c r="F23" t="s">
        <v>253</v>
      </c>
      <c r="G23" t="str">
        <f>C5</f>
        <v>March 2021</v>
      </c>
    </row>
    <row r="24" spans="1:8" x14ac:dyDescent="0.25">
      <c r="A24" s="14">
        <v>9</v>
      </c>
      <c r="B24" t="s">
        <v>254</v>
      </c>
      <c r="C24" s="17"/>
      <c r="E24" s="14">
        <v>18</v>
      </c>
      <c r="F24" t="s">
        <v>255</v>
      </c>
    </row>
    <row r="25" spans="1:8" x14ac:dyDescent="0.25">
      <c r="A25" s="14"/>
      <c r="B25" t="s">
        <v>256</v>
      </c>
      <c r="C25" s="2">
        <f>C22+C23</f>
        <v>45717677</v>
      </c>
      <c r="F25" t="s">
        <v>257</v>
      </c>
      <c r="G25" s="7">
        <f>C14/C7</f>
        <v>4.9494338351344827E-2</v>
      </c>
    </row>
    <row r="26" spans="1:8" ht="15.75" thickBot="1" x14ac:dyDescent="0.3">
      <c r="A26" s="14"/>
      <c r="C26" s="16"/>
    </row>
    <row r="27" spans="1:8" ht="15.75" thickTop="1" x14ac:dyDescent="0.25">
      <c r="A27" s="14">
        <v>10</v>
      </c>
      <c r="B27" t="s">
        <v>258</v>
      </c>
      <c r="C27" s="18">
        <v>-291300.28000000003</v>
      </c>
      <c r="E27" s="17" t="s">
        <v>259</v>
      </c>
      <c r="F27" s="17"/>
      <c r="G27" s="17"/>
      <c r="H27" s="17"/>
    </row>
    <row r="28" spans="1:8" x14ac:dyDescent="0.25">
      <c r="A28" s="14">
        <v>11</v>
      </c>
      <c r="B28" t="s">
        <v>260</v>
      </c>
      <c r="C28" s="18"/>
      <c r="E28" s="14">
        <v>19</v>
      </c>
      <c r="F28" t="s">
        <v>261</v>
      </c>
    </row>
    <row r="29" spans="1:8" x14ac:dyDescent="0.25">
      <c r="A29" s="14"/>
      <c r="B29" t="s">
        <v>262</v>
      </c>
      <c r="C29" s="18">
        <v>-221200.04</v>
      </c>
      <c r="E29" s="14"/>
      <c r="F29" t="s">
        <v>263</v>
      </c>
      <c r="G29" s="7">
        <f>SUM(1-G22)</f>
        <v>0.97699999999999998</v>
      </c>
    </row>
    <row r="30" spans="1:8" x14ac:dyDescent="0.25">
      <c r="A30" s="14">
        <v>12</v>
      </c>
      <c r="B30" t="s">
        <v>264</v>
      </c>
      <c r="E30" s="14">
        <v>20</v>
      </c>
      <c r="F30" t="s">
        <v>265</v>
      </c>
      <c r="G30" s="22">
        <f>G12/G14</f>
        <v>-5.933953075490086E-3</v>
      </c>
    </row>
    <row r="31" spans="1:8" x14ac:dyDescent="0.25">
      <c r="A31" s="14"/>
      <c r="B31" t="s">
        <v>266</v>
      </c>
      <c r="C31" s="18">
        <f>C27-C29</f>
        <v>-70100.24000000002</v>
      </c>
      <c r="E31" s="14">
        <v>21</v>
      </c>
      <c r="F31" t="s">
        <v>267</v>
      </c>
      <c r="G31" s="22">
        <f>G30/G29</f>
        <v>-6.0736469554657996E-3</v>
      </c>
    </row>
    <row r="32" spans="1:8" ht="15.75" thickBot="1" x14ac:dyDescent="0.3">
      <c r="C32" s="16"/>
      <c r="E32" s="14">
        <v>22</v>
      </c>
      <c r="F32" t="s">
        <v>268</v>
      </c>
      <c r="G32" s="24">
        <f>G31*100</f>
        <v>-0.60736469554658001</v>
      </c>
      <c r="H32" t="s">
        <v>269</v>
      </c>
    </row>
    <row r="33" spans="1:8" ht="15.75" thickTop="1" x14ac:dyDescent="0.25">
      <c r="A33" s="17"/>
      <c r="B33" s="17"/>
      <c r="C33" s="17"/>
      <c r="D33" s="17"/>
      <c r="E33" s="17"/>
      <c r="F33" s="17"/>
      <c r="G33" s="17"/>
      <c r="H33" s="17"/>
    </row>
    <row r="35" spans="1:8" x14ac:dyDescent="0.25">
      <c r="A35" t="s">
        <v>394</v>
      </c>
    </row>
    <row r="36" spans="1:8" x14ac:dyDescent="0.25">
      <c r="A36" t="s">
        <v>391</v>
      </c>
    </row>
    <row r="37" spans="1:8" x14ac:dyDescent="0.25">
      <c r="A37" t="s">
        <v>270</v>
      </c>
      <c r="E37" t="s">
        <v>271</v>
      </c>
    </row>
    <row r="38" spans="1:8" x14ac:dyDescent="0.25">
      <c r="A38" t="s">
        <v>272</v>
      </c>
      <c r="E38" t="s">
        <v>273</v>
      </c>
    </row>
  </sheetData>
  <printOptions horizontalCentered="1"/>
  <pageMargins left="0.45" right="0.45" top="0.5" bottom="0.5" header="0" footer="0"/>
  <pageSetup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7"/>
  <sheetViews>
    <sheetView topLeftCell="A4" workbookViewId="0">
      <selection sqref="A1:E1"/>
    </sheetView>
  </sheetViews>
  <sheetFormatPr defaultRowHeight="15" x14ac:dyDescent="0.25"/>
  <cols>
    <col min="1" max="1" width="38.7109375" customWidth="1"/>
    <col min="2" max="2" width="17.140625" customWidth="1"/>
    <col min="3" max="3" width="16.5703125" customWidth="1"/>
    <col min="4" max="4" width="11.42578125" customWidth="1"/>
    <col min="5" max="5" width="17.28515625" customWidth="1"/>
  </cols>
  <sheetData>
    <row r="1" spans="1:6" x14ac:dyDescent="0.25">
      <c r="A1" s="38" t="s">
        <v>274</v>
      </c>
      <c r="B1" s="38"/>
      <c r="C1" s="38"/>
      <c r="D1" s="38"/>
      <c r="E1" s="38"/>
    </row>
    <row r="2" spans="1:6" x14ac:dyDescent="0.25">
      <c r="A2" s="38" t="s">
        <v>275</v>
      </c>
      <c r="B2" s="38"/>
      <c r="C2" s="38"/>
      <c r="D2" s="38"/>
      <c r="E2" s="38"/>
    </row>
    <row r="3" spans="1:6" x14ac:dyDescent="0.25">
      <c r="A3" s="38" t="s">
        <v>276</v>
      </c>
      <c r="B3" s="38"/>
      <c r="C3" s="38"/>
      <c r="D3" s="38"/>
      <c r="E3" s="38"/>
    </row>
    <row r="4" spans="1:6" x14ac:dyDescent="0.25">
      <c r="A4" s="25" t="s">
        <v>277</v>
      </c>
      <c r="B4" s="38" t="str">
        <f>Sheet3!C5</f>
        <v>March 2021</v>
      </c>
      <c r="C4" s="38"/>
    </row>
    <row r="6" spans="1:6" x14ac:dyDescent="0.25">
      <c r="B6" s="4" t="s">
        <v>278</v>
      </c>
      <c r="C6" s="4" t="s">
        <v>279</v>
      </c>
      <c r="D6" s="4" t="s">
        <v>280</v>
      </c>
      <c r="E6" s="4" t="s">
        <v>281</v>
      </c>
    </row>
    <row r="7" spans="1:6" x14ac:dyDescent="0.25">
      <c r="B7" s="4" t="s">
        <v>282</v>
      </c>
      <c r="C7" s="4" t="s">
        <v>8</v>
      </c>
      <c r="D7" s="4" t="s">
        <v>9</v>
      </c>
      <c r="E7" s="4" t="s">
        <v>8</v>
      </c>
    </row>
    <row r="8" spans="1:6" x14ac:dyDescent="0.25">
      <c r="B8" s="5" t="s">
        <v>13</v>
      </c>
      <c r="C8" s="5" t="s">
        <v>14</v>
      </c>
      <c r="D8" s="5" t="s">
        <v>15</v>
      </c>
      <c r="E8" s="5" t="s">
        <v>283</v>
      </c>
    </row>
    <row r="10" spans="1:6" x14ac:dyDescent="0.25">
      <c r="A10" t="s">
        <v>284</v>
      </c>
      <c r="B10" s="2">
        <v>548893547</v>
      </c>
      <c r="C10" s="2">
        <v>537398818</v>
      </c>
      <c r="D10" s="2">
        <v>564406</v>
      </c>
      <c r="E10" s="2">
        <v>10930323</v>
      </c>
    </row>
    <row r="11" spans="1:6" x14ac:dyDescent="0.25">
      <c r="A11" t="s">
        <v>285</v>
      </c>
      <c r="B11" s="2">
        <v>41173085</v>
      </c>
      <c r="C11" s="2">
        <v>40839679</v>
      </c>
      <c r="D11" s="2">
        <v>51936</v>
      </c>
      <c r="E11" s="2">
        <v>281470</v>
      </c>
    </row>
    <row r="12" spans="1:6" x14ac:dyDescent="0.25">
      <c r="A12" t="s">
        <v>286</v>
      </c>
      <c r="B12" s="2">
        <v>48098269</v>
      </c>
      <c r="C12" s="2">
        <v>45658232</v>
      </c>
      <c r="D12" s="2">
        <v>59445</v>
      </c>
      <c r="E12" s="2">
        <v>2380592</v>
      </c>
      <c r="F12" s="2"/>
    </row>
    <row r="13" spans="1:6" x14ac:dyDescent="0.25">
      <c r="A13" t="s">
        <v>287</v>
      </c>
      <c r="B13" s="2">
        <f>B10-B11+B12</f>
        <v>555818731</v>
      </c>
      <c r="C13" s="2">
        <f>C10-C11+C12</f>
        <v>542217371</v>
      </c>
      <c r="D13" s="2">
        <f>D10-D11+D12</f>
        <v>571915</v>
      </c>
      <c r="E13" s="2">
        <f>E10-E11+E12</f>
        <v>13029445</v>
      </c>
    </row>
    <row r="16" spans="1:6" x14ac:dyDescent="0.25">
      <c r="A16" t="s">
        <v>288</v>
      </c>
      <c r="B16" s="7">
        <f>E13/B13</f>
        <v>2.3441896203386495E-2</v>
      </c>
      <c r="C16" t="s">
        <v>289</v>
      </c>
    </row>
    <row r="17" spans="3:3" x14ac:dyDescent="0.25">
      <c r="C17" t="s">
        <v>290</v>
      </c>
    </row>
  </sheetData>
  <mergeCells count="4">
    <mergeCell ref="A1:E1"/>
    <mergeCell ref="A2:E2"/>
    <mergeCell ref="A3:E3"/>
    <mergeCell ref="B4:C4"/>
  </mergeCells>
  <pageMargins left="0.7" right="0.7" top="0.75" bottom="0.75" header="0.3" footer="0.3"/>
  <pageSetup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6"/>
  <sheetViews>
    <sheetView topLeftCell="A4" workbookViewId="0">
      <selection activeCell="G30" sqref="G30"/>
    </sheetView>
  </sheetViews>
  <sheetFormatPr defaultRowHeight="15" x14ac:dyDescent="0.25"/>
  <cols>
    <col min="1" max="1" width="3.85546875" customWidth="1"/>
    <col min="2" max="2" width="37" customWidth="1"/>
    <col min="3" max="3" width="16.140625" customWidth="1"/>
    <col min="5" max="5" width="4.28515625" customWidth="1"/>
    <col min="6" max="6" width="34.7109375" customWidth="1"/>
    <col min="7" max="7" width="15.28515625" customWidth="1"/>
    <col min="8" max="8" width="1.7109375" customWidth="1"/>
  </cols>
  <sheetData>
    <row r="1" spans="1:8" x14ac:dyDescent="0.25">
      <c r="A1" s="15" t="s">
        <v>229</v>
      </c>
    </row>
    <row r="3" spans="1:8" ht="15.75" thickBot="1" x14ac:dyDescent="0.3">
      <c r="A3" s="16" t="s">
        <v>317</v>
      </c>
      <c r="B3" s="16"/>
      <c r="C3" s="16"/>
      <c r="D3" s="16"/>
      <c r="E3" s="16"/>
      <c r="F3" s="16" t="s">
        <v>231</v>
      </c>
      <c r="G3" s="16"/>
      <c r="H3" s="16"/>
    </row>
    <row r="4" spans="1:8" ht="15.75" thickTop="1" x14ac:dyDescent="0.25"/>
    <row r="5" spans="1:8" x14ac:dyDescent="0.25">
      <c r="A5" t="s">
        <v>232</v>
      </c>
      <c r="C5" s="36" t="s">
        <v>390</v>
      </c>
      <c r="E5" t="s">
        <v>233</v>
      </c>
      <c r="G5" s="14" t="str">
        <f>C5</f>
        <v>April 2021</v>
      </c>
    </row>
    <row r="7" spans="1:8" x14ac:dyDescent="0.25">
      <c r="A7" s="14">
        <v>1</v>
      </c>
      <c r="B7" t="s">
        <v>234</v>
      </c>
      <c r="C7" s="2">
        <v>20334476</v>
      </c>
      <c r="E7" s="14">
        <v>13</v>
      </c>
      <c r="F7" t="s">
        <v>346</v>
      </c>
    </row>
    <row r="8" spans="1:8" x14ac:dyDescent="0.25">
      <c r="A8" s="14"/>
      <c r="C8" s="26" t="s">
        <v>291</v>
      </c>
      <c r="E8" s="14"/>
      <c r="F8" t="s">
        <v>235</v>
      </c>
      <c r="G8" s="18">
        <f>C25</f>
        <v>-85201</v>
      </c>
    </row>
    <row r="9" spans="1:8" x14ac:dyDescent="0.25">
      <c r="A9" s="14">
        <v>2</v>
      </c>
      <c r="B9" t="s">
        <v>236</v>
      </c>
      <c r="C9" s="2">
        <f>C7</f>
        <v>20334476</v>
      </c>
      <c r="E9" s="14"/>
      <c r="F9" t="s">
        <v>237</v>
      </c>
      <c r="G9" s="27">
        <v>0</v>
      </c>
    </row>
    <row r="10" spans="1:8" x14ac:dyDescent="0.25">
      <c r="A10" s="14">
        <v>3</v>
      </c>
      <c r="B10" t="s">
        <v>238</v>
      </c>
      <c r="E10" s="14"/>
      <c r="F10" t="s">
        <v>292</v>
      </c>
      <c r="G10" s="17"/>
      <c r="H10" s="20"/>
    </row>
    <row r="11" spans="1:8" x14ac:dyDescent="0.25">
      <c r="A11" s="14">
        <v>4</v>
      </c>
      <c r="B11" t="s">
        <v>240</v>
      </c>
      <c r="C11" s="2">
        <f>C7</f>
        <v>20334476</v>
      </c>
      <c r="E11" s="14"/>
    </row>
    <row r="12" spans="1:8" x14ac:dyDescent="0.25">
      <c r="A12" s="14"/>
      <c r="C12" s="26" t="s">
        <v>291</v>
      </c>
      <c r="E12" s="14"/>
      <c r="F12" t="s">
        <v>241</v>
      </c>
      <c r="G12" s="18">
        <f>G8+G9</f>
        <v>-85201</v>
      </c>
    </row>
    <row r="13" spans="1:8" x14ac:dyDescent="0.25">
      <c r="A13" s="14">
        <v>5</v>
      </c>
      <c r="B13" t="s">
        <v>242</v>
      </c>
      <c r="E13" s="14"/>
      <c r="G13" s="26" t="s">
        <v>291</v>
      </c>
    </row>
    <row r="14" spans="1:8" x14ac:dyDescent="0.25">
      <c r="A14" s="14"/>
      <c r="B14" t="s">
        <v>243</v>
      </c>
      <c r="C14" s="2">
        <f>C9-C11</f>
        <v>0</v>
      </c>
      <c r="E14" s="14">
        <v>14</v>
      </c>
      <c r="F14" t="s">
        <v>244</v>
      </c>
      <c r="G14" s="2">
        <f>C7</f>
        <v>20334476</v>
      </c>
    </row>
    <row r="15" spans="1:8" x14ac:dyDescent="0.25">
      <c r="A15" s="14"/>
      <c r="C15" s="26" t="s">
        <v>291</v>
      </c>
      <c r="E15" s="14">
        <v>15</v>
      </c>
      <c r="F15" t="s">
        <v>245</v>
      </c>
    </row>
    <row r="16" spans="1:8" x14ac:dyDescent="0.25">
      <c r="A16" s="26" t="s">
        <v>291</v>
      </c>
      <c r="B16" s="26" t="s">
        <v>293</v>
      </c>
      <c r="C16" s="26" t="s">
        <v>291</v>
      </c>
      <c r="E16" s="14"/>
      <c r="F16" t="s">
        <v>246</v>
      </c>
      <c r="G16" s="22">
        <f>C19</f>
        <v>-4.1900000000000001E-3</v>
      </c>
    </row>
    <row r="17" spans="1:8" x14ac:dyDescent="0.25">
      <c r="A17" s="14" t="s">
        <v>247</v>
      </c>
      <c r="C17" t="str">
        <f>C5</f>
        <v>April 2021</v>
      </c>
      <c r="E17" s="14"/>
    </row>
    <row r="18" spans="1:8" x14ac:dyDescent="0.25">
      <c r="A18" s="14"/>
      <c r="E18" s="28" t="s">
        <v>248</v>
      </c>
    </row>
    <row r="19" spans="1:8" x14ac:dyDescent="0.25">
      <c r="A19" s="14">
        <v>6</v>
      </c>
      <c r="B19" t="s">
        <v>249</v>
      </c>
      <c r="C19" s="22">
        <v>-4.1900000000000001E-3</v>
      </c>
      <c r="E19" s="14"/>
    </row>
    <row r="20" spans="1:8" x14ac:dyDescent="0.25">
      <c r="A20" s="14">
        <v>7</v>
      </c>
      <c r="B20" t="s">
        <v>250</v>
      </c>
      <c r="C20" s="2">
        <f>+C7</f>
        <v>20334476</v>
      </c>
      <c r="E20" s="14">
        <v>16</v>
      </c>
      <c r="F20" t="s">
        <v>251</v>
      </c>
      <c r="G20" s="29">
        <v>0</v>
      </c>
    </row>
    <row r="21" spans="1:8" x14ac:dyDescent="0.25">
      <c r="A21" s="14">
        <v>8</v>
      </c>
      <c r="B21" t="s">
        <v>252</v>
      </c>
      <c r="C21">
        <v>0</v>
      </c>
      <c r="E21" s="14">
        <v>17</v>
      </c>
      <c r="F21" t="s">
        <v>253</v>
      </c>
      <c r="G21" t="str">
        <f>C5</f>
        <v>April 2021</v>
      </c>
    </row>
    <row r="22" spans="1:8" x14ac:dyDescent="0.25">
      <c r="A22" s="14">
        <v>9</v>
      </c>
      <c r="B22" t="s">
        <v>254</v>
      </c>
      <c r="E22" s="14">
        <v>18</v>
      </c>
      <c r="F22" t="s">
        <v>255</v>
      </c>
    </row>
    <row r="23" spans="1:8" x14ac:dyDescent="0.25">
      <c r="A23" s="14"/>
      <c r="B23" t="s">
        <v>256</v>
      </c>
      <c r="C23" s="2">
        <f>C20+C21</f>
        <v>20334476</v>
      </c>
      <c r="E23" s="14"/>
      <c r="F23" t="s">
        <v>257</v>
      </c>
      <c r="G23" s="29">
        <v>0</v>
      </c>
    </row>
    <row r="24" spans="1:8" x14ac:dyDescent="0.25">
      <c r="A24" s="14"/>
      <c r="C24" s="26" t="s">
        <v>291</v>
      </c>
      <c r="E24" s="14"/>
    </row>
    <row r="25" spans="1:8" x14ac:dyDescent="0.25">
      <c r="A25" s="14">
        <v>10</v>
      </c>
      <c r="B25" t="s">
        <v>258</v>
      </c>
      <c r="C25" s="18">
        <f>ROUND(C23*C19,0)</f>
        <v>-85201</v>
      </c>
      <c r="E25" s="28" t="s">
        <v>259</v>
      </c>
    </row>
    <row r="26" spans="1:8" x14ac:dyDescent="0.25">
      <c r="A26" s="14">
        <v>11</v>
      </c>
      <c r="B26" t="s">
        <v>260</v>
      </c>
      <c r="E26" s="14">
        <v>19</v>
      </c>
      <c r="F26" t="s">
        <v>261</v>
      </c>
    </row>
    <row r="27" spans="1:8" x14ac:dyDescent="0.25">
      <c r="A27" s="14"/>
      <c r="B27" t="s">
        <v>262</v>
      </c>
      <c r="C27" s="18">
        <f>C25</f>
        <v>-85201</v>
      </c>
      <c r="E27" s="14"/>
      <c r="F27" t="s">
        <v>263</v>
      </c>
      <c r="G27" s="29">
        <v>1</v>
      </c>
    </row>
    <row r="28" spans="1:8" x14ac:dyDescent="0.25">
      <c r="A28" s="14">
        <v>12</v>
      </c>
      <c r="B28" t="s">
        <v>264</v>
      </c>
      <c r="E28" s="14">
        <v>20</v>
      </c>
      <c r="F28" t="s">
        <v>265</v>
      </c>
      <c r="G28" s="22">
        <f>G12/G14</f>
        <v>-4.1899776517477019E-3</v>
      </c>
    </row>
    <row r="29" spans="1:8" x14ac:dyDescent="0.25">
      <c r="A29" s="14"/>
      <c r="B29" t="s">
        <v>266</v>
      </c>
      <c r="C29" s="27">
        <f>C25-C27</f>
        <v>0</v>
      </c>
      <c r="E29" s="14">
        <v>21</v>
      </c>
      <c r="F29" t="s">
        <v>267</v>
      </c>
      <c r="G29" s="22">
        <f>G28/G27</f>
        <v>-4.1899776517477019E-3</v>
      </c>
    </row>
    <row r="30" spans="1:8" x14ac:dyDescent="0.25">
      <c r="A30" s="14"/>
      <c r="C30" s="26" t="s">
        <v>291</v>
      </c>
      <c r="E30" s="14">
        <v>22</v>
      </c>
      <c r="F30" t="s">
        <v>268</v>
      </c>
      <c r="G30" s="35">
        <f>G29*100</f>
        <v>-0.41899776517477016</v>
      </c>
      <c r="H30" t="s">
        <v>269</v>
      </c>
    </row>
    <row r="31" spans="1:8" x14ac:dyDescent="0.25">
      <c r="A31" s="30"/>
      <c r="B31" s="17"/>
      <c r="C31" s="17"/>
      <c r="D31" s="17"/>
      <c r="E31" s="30"/>
      <c r="F31" s="17"/>
      <c r="G31" s="17"/>
      <c r="H31" s="17"/>
    </row>
    <row r="32" spans="1:8" x14ac:dyDescent="0.25">
      <c r="A32" s="14"/>
      <c r="E32" s="14"/>
    </row>
    <row r="33" spans="1:5" x14ac:dyDescent="0.25">
      <c r="A33" t="s">
        <v>392</v>
      </c>
    </row>
    <row r="34" spans="1:5" x14ac:dyDescent="0.25">
      <c r="A34" t="str">
        <f>Sheet3!A36</f>
        <v>Issued on:  May 7, 2021</v>
      </c>
    </row>
    <row r="35" spans="1:5" x14ac:dyDescent="0.25">
      <c r="A35" t="s">
        <v>270</v>
      </c>
      <c r="E35" t="s">
        <v>271</v>
      </c>
    </row>
    <row r="36" spans="1:5" x14ac:dyDescent="0.25">
      <c r="A36" t="s">
        <v>272</v>
      </c>
      <c r="E36" t="s">
        <v>273</v>
      </c>
    </row>
  </sheetData>
  <pageMargins left="0.45" right="0.45" top="0.5" bottom="0.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5"/>
  <sheetViews>
    <sheetView topLeftCell="A4" workbookViewId="0">
      <selection activeCell="G29" sqref="G29"/>
    </sheetView>
  </sheetViews>
  <sheetFormatPr defaultRowHeight="15" x14ac:dyDescent="0.25"/>
  <cols>
    <col min="1" max="1" width="4.28515625" customWidth="1"/>
    <col min="2" max="2" width="35.28515625" customWidth="1"/>
    <col min="3" max="3" width="17.7109375" customWidth="1"/>
    <col min="4" max="4" width="10.42578125" customWidth="1"/>
    <col min="5" max="5" width="4.42578125" customWidth="1"/>
    <col min="6" max="6" width="33.140625" customWidth="1"/>
    <col min="7" max="7" width="16.7109375" customWidth="1"/>
    <col min="8" max="8" width="1.7109375" customWidth="1"/>
  </cols>
  <sheetData>
    <row r="1" spans="1:8" x14ac:dyDescent="0.25">
      <c r="A1" s="15" t="s">
        <v>229</v>
      </c>
    </row>
    <row r="3" spans="1:8" ht="15.75" thickBot="1" x14ac:dyDescent="0.3">
      <c r="A3" s="16" t="s">
        <v>318</v>
      </c>
      <c r="B3" s="16"/>
      <c r="C3" s="16"/>
      <c r="D3" s="16"/>
      <c r="E3" s="16"/>
      <c r="F3" s="16" t="s">
        <v>231</v>
      </c>
      <c r="G3" s="16"/>
      <c r="H3" s="16"/>
    </row>
    <row r="4" spans="1:8" ht="15.75" thickTop="1" x14ac:dyDescent="0.25"/>
    <row r="5" spans="1:8" x14ac:dyDescent="0.25">
      <c r="A5" t="s">
        <v>294</v>
      </c>
      <c r="C5" s="14" t="str">
        <f>Sheet5!C5</f>
        <v>April 2021</v>
      </c>
      <c r="E5" t="s">
        <v>233</v>
      </c>
      <c r="G5" s="14" t="str">
        <f>C5</f>
        <v>April 2021</v>
      </c>
    </row>
    <row r="7" spans="1:8" x14ac:dyDescent="0.25">
      <c r="A7">
        <v>1</v>
      </c>
      <c r="B7" t="s">
        <v>234</v>
      </c>
      <c r="C7" s="31">
        <v>147534.6</v>
      </c>
      <c r="E7">
        <v>13</v>
      </c>
      <c r="F7" t="s">
        <v>356</v>
      </c>
    </row>
    <row r="8" spans="1:8" x14ac:dyDescent="0.25">
      <c r="C8" s="26" t="s">
        <v>291</v>
      </c>
      <c r="F8" t="s">
        <v>235</v>
      </c>
      <c r="G8" s="18">
        <f>C25</f>
        <v>-68553</v>
      </c>
    </row>
    <row r="9" spans="1:8" x14ac:dyDescent="0.25">
      <c r="A9">
        <v>2</v>
      </c>
      <c r="B9" t="s">
        <v>236</v>
      </c>
      <c r="C9" s="31">
        <f>C7</f>
        <v>147534.6</v>
      </c>
      <c r="F9" t="s">
        <v>237</v>
      </c>
      <c r="G9" s="27">
        <v>0</v>
      </c>
    </row>
    <row r="10" spans="1:8" x14ac:dyDescent="0.25">
      <c r="A10">
        <v>3</v>
      </c>
      <c r="B10" t="s">
        <v>238</v>
      </c>
      <c r="F10" t="s">
        <v>292</v>
      </c>
      <c r="G10" s="17"/>
      <c r="H10" s="32"/>
    </row>
    <row r="11" spans="1:8" x14ac:dyDescent="0.25">
      <c r="A11">
        <v>4</v>
      </c>
      <c r="B11" t="s">
        <v>240</v>
      </c>
      <c r="C11" s="31">
        <f>C9+C10</f>
        <v>147534.6</v>
      </c>
    </row>
    <row r="12" spans="1:8" x14ac:dyDescent="0.25">
      <c r="C12" s="26" t="s">
        <v>291</v>
      </c>
      <c r="F12" t="s">
        <v>241</v>
      </c>
      <c r="G12" s="18">
        <f>G8+G9</f>
        <v>-68553</v>
      </c>
    </row>
    <row r="13" spans="1:8" x14ac:dyDescent="0.25">
      <c r="A13">
        <v>5</v>
      </c>
      <c r="B13" t="s">
        <v>242</v>
      </c>
      <c r="G13" s="26" t="s">
        <v>291</v>
      </c>
    </row>
    <row r="14" spans="1:8" x14ac:dyDescent="0.25">
      <c r="B14" t="s">
        <v>243</v>
      </c>
      <c r="C14" s="33">
        <f>C7-C11</f>
        <v>0</v>
      </c>
      <c r="E14">
        <v>14</v>
      </c>
      <c r="F14" t="s">
        <v>295</v>
      </c>
      <c r="G14" s="33">
        <f>C7</f>
        <v>147534.6</v>
      </c>
    </row>
    <row r="15" spans="1:8" x14ac:dyDescent="0.25">
      <c r="C15" s="26" t="s">
        <v>291</v>
      </c>
      <c r="E15">
        <v>15</v>
      </c>
      <c r="F15" t="s">
        <v>245</v>
      </c>
    </row>
    <row r="16" spans="1:8" x14ac:dyDescent="0.25">
      <c r="A16" s="26" t="s">
        <v>291</v>
      </c>
      <c r="B16" s="26" t="s">
        <v>293</v>
      </c>
      <c r="C16" s="26" t="s">
        <v>291</v>
      </c>
      <c r="F16" t="s">
        <v>296</v>
      </c>
      <c r="G16" s="34">
        <f>C19</f>
        <v>-0.40565000000000001</v>
      </c>
    </row>
    <row r="17" spans="1:8" x14ac:dyDescent="0.25">
      <c r="A17" t="s">
        <v>247</v>
      </c>
      <c r="C17" t="str">
        <f>C5</f>
        <v>April 2021</v>
      </c>
    </row>
    <row r="18" spans="1:8" x14ac:dyDescent="0.25">
      <c r="E18" t="s">
        <v>248</v>
      </c>
    </row>
    <row r="19" spans="1:8" x14ac:dyDescent="0.25">
      <c r="A19">
        <v>6</v>
      </c>
      <c r="B19" t="s">
        <v>249</v>
      </c>
      <c r="C19" s="34">
        <v>-0.40565000000000001</v>
      </c>
    </row>
    <row r="20" spans="1:8" x14ac:dyDescent="0.25">
      <c r="A20">
        <v>7</v>
      </c>
      <c r="B20" t="s">
        <v>250</v>
      </c>
      <c r="C20" s="31">
        <f>C7</f>
        <v>147534.6</v>
      </c>
      <c r="E20">
        <v>16</v>
      </c>
      <c r="F20" t="s">
        <v>251</v>
      </c>
      <c r="G20" s="29">
        <v>0</v>
      </c>
    </row>
    <row r="21" spans="1:8" x14ac:dyDescent="0.25">
      <c r="A21">
        <v>8</v>
      </c>
      <c r="B21" t="s">
        <v>297</v>
      </c>
      <c r="C21">
        <v>0</v>
      </c>
      <c r="E21">
        <v>17</v>
      </c>
      <c r="F21" t="s">
        <v>253</v>
      </c>
      <c r="G21" t="str">
        <f>C5</f>
        <v>April 2021</v>
      </c>
    </row>
    <row r="22" spans="1:8" x14ac:dyDescent="0.25">
      <c r="A22">
        <v>9</v>
      </c>
      <c r="B22" t="s">
        <v>298</v>
      </c>
      <c r="E22">
        <v>18</v>
      </c>
      <c r="F22" t="s">
        <v>255</v>
      </c>
    </row>
    <row r="23" spans="1:8" x14ac:dyDescent="0.25">
      <c r="B23" t="s">
        <v>256</v>
      </c>
      <c r="C23" s="31">
        <f>C20+C21</f>
        <v>147534.6</v>
      </c>
      <c r="F23" t="s">
        <v>257</v>
      </c>
      <c r="G23" s="29">
        <v>0</v>
      </c>
    </row>
    <row r="24" spans="1:8" x14ac:dyDescent="0.25">
      <c r="C24" s="26" t="s">
        <v>291</v>
      </c>
    </row>
    <row r="25" spans="1:8" x14ac:dyDescent="0.25">
      <c r="A25">
        <v>10</v>
      </c>
      <c r="B25" t="s">
        <v>258</v>
      </c>
      <c r="C25" s="18">
        <v>-68553</v>
      </c>
      <c r="E25" t="s">
        <v>259</v>
      </c>
    </row>
    <row r="26" spans="1:8" x14ac:dyDescent="0.25">
      <c r="A26">
        <v>11</v>
      </c>
      <c r="B26" t="s">
        <v>260</v>
      </c>
      <c r="E26">
        <v>19</v>
      </c>
      <c r="F26" t="s">
        <v>261</v>
      </c>
    </row>
    <row r="27" spans="1:8" x14ac:dyDescent="0.25">
      <c r="B27" t="s">
        <v>262</v>
      </c>
      <c r="C27" s="18">
        <f>C25</f>
        <v>-68553</v>
      </c>
      <c r="F27" t="s">
        <v>263</v>
      </c>
      <c r="G27" s="29">
        <v>1</v>
      </c>
    </row>
    <row r="28" spans="1:8" x14ac:dyDescent="0.25">
      <c r="A28">
        <v>12</v>
      </c>
      <c r="B28" t="s">
        <v>264</v>
      </c>
      <c r="E28">
        <v>20</v>
      </c>
      <c r="F28" t="s">
        <v>299</v>
      </c>
      <c r="G28" s="34">
        <f>G16</f>
        <v>-0.40565000000000001</v>
      </c>
    </row>
    <row r="29" spans="1:8" x14ac:dyDescent="0.25">
      <c r="B29" t="s">
        <v>266</v>
      </c>
      <c r="C29" s="27">
        <f>C25-C27</f>
        <v>0</v>
      </c>
      <c r="E29">
        <v>21</v>
      </c>
      <c r="F29" t="s">
        <v>300</v>
      </c>
      <c r="G29" s="34">
        <f>G28/G27</f>
        <v>-0.40565000000000001</v>
      </c>
    </row>
    <row r="30" spans="1:8" x14ac:dyDescent="0.25">
      <c r="C30" s="26" t="s">
        <v>291</v>
      </c>
      <c r="E30">
        <v>22</v>
      </c>
      <c r="F30" t="s">
        <v>301</v>
      </c>
      <c r="G30" s="35">
        <f>G29*100</f>
        <v>-40.564999999999998</v>
      </c>
      <c r="H30" t="s">
        <v>269</v>
      </c>
    </row>
    <row r="31" spans="1:8" x14ac:dyDescent="0.25">
      <c r="A31" s="17"/>
      <c r="B31" s="17"/>
      <c r="C31" s="17"/>
      <c r="D31" s="17"/>
      <c r="E31" s="17"/>
      <c r="F31" s="17"/>
      <c r="G31" s="17"/>
      <c r="H31" s="17"/>
    </row>
    <row r="32" spans="1:8" x14ac:dyDescent="0.25">
      <c r="A32" t="s">
        <v>393</v>
      </c>
    </row>
    <row r="33" spans="1:5" x14ac:dyDescent="0.25">
      <c r="A33" t="str">
        <f>Sheet5!A34</f>
        <v>Issued on:  May 7, 2021</v>
      </c>
    </row>
    <row r="34" spans="1:5" x14ac:dyDescent="0.25">
      <c r="A34" t="s">
        <v>270</v>
      </c>
      <c r="E34" t="s">
        <v>271</v>
      </c>
    </row>
    <row r="35" spans="1:5" x14ac:dyDescent="0.25">
      <c r="A35" t="s">
        <v>272</v>
      </c>
      <c r="E35" t="s">
        <v>273</v>
      </c>
    </row>
  </sheetData>
  <pageMargins left="0.45" right="0.45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Sheet1!Print_Titles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Hazelrigg</dc:creator>
  <cp:lastModifiedBy>Jennifer McRoberts</cp:lastModifiedBy>
  <cp:lastPrinted>2021-05-07T12:29:11Z</cp:lastPrinted>
  <dcterms:created xsi:type="dcterms:W3CDTF">2012-05-04T11:59:51Z</dcterms:created>
  <dcterms:modified xsi:type="dcterms:W3CDTF">2024-06-04T19:47:10Z</dcterms:modified>
</cp:coreProperties>
</file>