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S:\Alyssa Kurtz\FAC-FUEL ADJUSTMENT - PSC\2022\"/>
    </mc:Choice>
  </mc:AlternateContent>
  <xr:revisionPtr revIDLastSave="0" documentId="13_ncr:1_{946D4553-3992-485C-8E52-43FF8E4DFC8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PUT" sheetId="2" r:id="rId1"/>
    <sheet name="FAC1" sheetId="4" r:id="rId2"/>
    <sheet name="FAC2" sheetId="5" r:id="rId3"/>
    <sheet name="AVERAGE" sheetId="3" r:id="rId4"/>
  </sheets>
  <definedNames>
    <definedName name="_xlnm.Print_Area" localSheetId="3">AVERAGE!$A$1:$U$44</definedName>
    <definedName name="_xlnm.Print_Area" localSheetId="1">'FAC1'!$A$1:$G$51</definedName>
    <definedName name="_xlnm.Print_Area" localSheetId="2">'FAC2'!$A$1:$I$22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5" l="1"/>
  <c r="D21" i="5"/>
  <c r="D17" i="5"/>
  <c r="C8" i="2"/>
  <c r="M38" i="3"/>
  <c r="O38" i="3"/>
  <c r="U38" i="3" s="1"/>
  <c r="I38" i="3"/>
  <c r="Q38" i="3" s="1"/>
  <c r="S38" i="3" s="1"/>
  <c r="E38" i="3"/>
  <c r="S37" i="3"/>
  <c r="Q37" i="3"/>
  <c r="M37" i="3"/>
  <c r="O37" i="3"/>
  <c r="U37" i="3"/>
  <c r="I37" i="3"/>
  <c r="E37" i="3"/>
  <c r="S36" i="3"/>
  <c r="Q36" i="3"/>
  <c r="M36" i="3"/>
  <c r="O36" i="3"/>
  <c r="U36" i="3" s="1"/>
  <c r="I36" i="3"/>
  <c r="E36" i="3"/>
  <c r="M35" i="3" l="1"/>
  <c r="O35" i="3"/>
  <c r="U35" i="3" s="1"/>
  <c r="I35" i="3"/>
  <c r="E35" i="3"/>
  <c r="M34" i="3"/>
  <c r="Q35" i="3" l="1"/>
  <c r="S35" i="3" s="1"/>
  <c r="O34" i="3"/>
  <c r="U34" i="3"/>
  <c r="I34" i="3"/>
  <c r="E34" i="3"/>
  <c r="E33" i="3"/>
  <c r="M33" i="3"/>
  <c r="I33" i="3"/>
  <c r="Q33" i="3" s="1"/>
  <c r="S33" i="3" s="1"/>
  <c r="O33" i="3"/>
  <c r="U33" i="3" s="1"/>
  <c r="Q34" i="3" l="1"/>
  <c r="S34" i="3" s="1"/>
  <c r="M32" i="3"/>
  <c r="O32" i="3"/>
  <c r="U32" i="3" s="1"/>
  <c r="I32" i="3"/>
  <c r="E32" i="3"/>
  <c r="E31" i="3"/>
  <c r="Q31" i="3" s="1"/>
  <c r="S31" i="3" s="1"/>
  <c r="M31" i="3"/>
  <c r="I31" i="3"/>
  <c r="O31" i="3"/>
  <c r="U31" i="3" s="1"/>
  <c r="Q32" i="3" l="1"/>
  <c r="S32" i="3" s="1"/>
  <c r="M30" i="3"/>
  <c r="I30" i="3"/>
  <c r="Q30" i="3" s="1"/>
  <c r="S30" i="3" s="1"/>
  <c r="E30" i="3"/>
  <c r="E29" i="3"/>
  <c r="O30" i="3"/>
  <c r="U30" i="3" s="1"/>
  <c r="M29" i="3"/>
  <c r="I29" i="3"/>
  <c r="O29" i="3"/>
  <c r="U29" i="3" s="1"/>
  <c r="E28" i="3"/>
  <c r="B21" i="5"/>
  <c r="F17" i="5"/>
  <c r="M28" i="3"/>
  <c r="O28" i="3"/>
  <c r="U28" i="3" s="1"/>
  <c r="I28" i="3"/>
  <c r="E27" i="3"/>
  <c r="Q28" i="3" l="1"/>
  <c r="S28" i="3" s="1"/>
  <c r="Q29" i="3"/>
  <c r="S29" i="3" s="1"/>
  <c r="E26" i="3"/>
  <c r="I16" i="3"/>
  <c r="O27" i="3"/>
  <c r="M27" i="3" l="1"/>
  <c r="I27" i="3"/>
  <c r="O9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Q27" i="3" l="1"/>
  <c r="B11" i="4"/>
  <c r="E24" i="3"/>
  <c r="I24" i="3"/>
  <c r="U24" i="3"/>
  <c r="B30" i="4"/>
  <c r="U12" i="3"/>
  <c r="U13" i="3"/>
  <c r="U14" i="3"/>
  <c r="U15" i="3"/>
  <c r="U16" i="3"/>
  <c r="U17" i="3"/>
  <c r="U18" i="3"/>
  <c r="U19" i="3"/>
  <c r="U20" i="3"/>
  <c r="U21" i="3"/>
  <c r="U22" i="3"/>
  <c r="U23" i="3"/>
  <c r="U25" i="3"/>
  <c r="U26" i="3"/>
  <c r="U27" i="3"/>
  <c r="Q8" i="3"/>
  <c r="E8" i="3"/>
  <c r="Q24" i="3" l="1"/>
  <c r="S24" i="3" s="1"/>
  <c r="S27" i="3"/>
  <c r="B12" i="4"/>
  <c r="I26" i="3"/>
  <c r="Q26" i="3" s="1"/>
  <c r="S26" i="3" s="1"/>
  <c r="I25" i="3" l="1"/>
  <c r="I23" i="3" l="1"/>
  <c r="I22" i="3" l="1"/>
  <c r="I21" i="3" l="1"/>
  <c r="I20" i="3" l="1"/>
  <c r="I19" i="3" l="1"/>
  <c r="E25" i="3" l="1"/>
  <c r="Q25" i="3" s="1"/>
  <c r="S25" i="3" s="1"/>
  <c r="I18" i="3" l="1"/>
  <c r="I17" i="3" l="1"/>
  <c r="I15" i="3" l="1"/>
  <c r="I14" i="3" l="1"/>
  <c r="I13" i="3" l="1"/>
  <c r="E23" i="3" l="1"/>
  <c r="Q23" i="3" s="1"/>
  <c r="S23" i="3" s="1"/>
  <c r="I12" i="3" l="1"/>
  <c r="I11" i="3" l="1"/>
  <c r="E22" i="3" l="1"/>
  <c r="Q22" i="3" s="1"/>
  <c r="S22" i="3" s="1"/>
  <c r="E21" i="3"/>
  <c r="Q21" i="3" s="1"/>
  <c r="S21" i="3" s="1"/>
  <c r="E20" i="3"/>
  <c r="Q20" i="3" s="1"/>
  <c r="S20" i="3" s="1"/>
  <c r="E19" i="3"/>
  <c r="Q19" i="3" s="1"/>
  <c r="S19" i="3" s="1"/>
  <c r="E18" i="3"/>
  <c r="Q18" i="3" s="1"/>
  <c r="S18" i="3" s="1"/>
  <c r="E17" i="3"/>
  <c r="Q17" i="3" s="1"/>
  <c r="S17" i="3" s="1"/>
  <c r="E16" i="3"/>
  <c r="Q16" i="3" s="1"/>
  <c r="S16" i="3" s="1"/>
  <c r="E15" i="3"/>
  <c r="Q15" i="3" s="1"/>
  <c r="S15" i="3" s="1"/>
  <c r="E14" i="3"/>
  <c r="Q14" i="3" s="1"/>
  <c r="S14" i="3" s="1"/>
  <c r="E13" i="3"/>
  <c r="Q13" i="3" s="1"/>
  <c r="S13" i="3" s="1"/>
  <c r="E12" i="3"/>
  <c r="Q12" i="3" s="1"/>
  <c r="S12" i="3" s="1"/>
  <c r="E11" i="3"/>
  <c r="U11" i="3" l="1"/>
  <c r="E10" i="3"/>
  <c r="I10" i="3"/>
  <c r="U10" i="3" l="1"/>
  <c r="E9" i="3"/>
  <c r="I9" i="3"/>
  <c r="U9" i="3" l="1"/>
  <c r="I8" i="3"/>
  <c r="U8" i="3" l="1"/>
  <c r="Q11" i="3" l="1"/>
  <c r="S11" i="3" s="1"/>
  <c r="Q10" i="3" l="1"/>
  <c r="S10" i="3" s="1"/>
  <c r="Q9" i="3" l="1"/>
  <c r="S9" i="3" s="1"/>
  <c r="S8" i="3" l="1"/>
  <c r="F18" i="4" l="1"/>
  <c r="B9" i="4"/>
  <c r="F10" i="4" l="1"/>
  <c r="F21" i="4" s="1"/>
  <c r="B41" i="4"/>
  <c r="B28" i="4"/>
  <c r="B33" i="4" s="1"/>
  <c r="B22" i="4"/>
  <c r="B14" i="4"/>
  <c r="B21" i="4" s="1"/>
  <c r="F26" i="4"/>
  <c r="B20" i="4"/>
  <c r="F7" i="4"/>
  <c r="B7" i="4"/>
  <c r="D8" i="5"/>
  <c r="B17" i="5" l="1"/>
  <c r="B17" i="4"/>
  <c r="F28" i="4" s="1"/>
  <c r="B24" i="4"/>
  <c r="F12" i="4"/>
  <c r="F16" i="4" l="1"/>
  <c r="F35" i="4" s="1"/>
  <c r="F21" i="5" l="1"/>
  <c r="F25" i="4" s="1"/>
  <c r="F33" i="4" s="1"/>
  <c r="F36" i="4" l="1"/>
  <c r="B39" i="4" l="1"/>
  <c r="F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Alyssa Kurtz</author>
  </authors>
  <commentList>
    <comment ref="C6" authorId="0" shapeId="0" xr:uid="{5EBD378B-8C09-4500-9292-5959B413919B}">
      <text>
        <r>
          <rPr>
            <b/>
            <sz val="9"/>
            <color indexed="81"/>
            <rFont val="Tahoma"/>
            <charset val="1"/>
          </rPr>
          <t>Alyssa Kurtz:</t>
        </r>
        <r>
          <rPr>
            <sz val="9"/>
            <color indexed="81"/>
            <rFont val="Tahoma"/>
            <charset val="1"/>
          </rPr>
          <t xml:space="preserve">
Look at that months Powerbill for Actual KWH
</t>
        </r>
      </text>
    </comment>
    <comment ref="G6" authorId="0" shapeId="0" xr:uid="{61C9FDBC-D66F-4ED9-8B65-7097BEF15731}">
      <text>
        <r>
          <rPr>
            <b/>
            <sz val="9"/>
            <color indexed="81"/>
            <rFont val="Tahoma"/>
            <charset val="1"/>
          </rPr>
          <t>Alyssa Kurtz:</t>
        </r>
        <r>
          <rPr>
            <sz val="9"/>
            <color indexed="81"/>
            <rFont val="Tahoma"/>
            <charset val="1"/>
          </rPr>
          <t xml:space="preserve">
Look at Unbilled Revenue report KWH Billed for the next mth
</t>
        </r>
      </text>
    </comment>
  </commentList>
</comments>
</file>

<file path=xl/sharedStrings.xml><?xml version="1.0" encoding="utf-8"?>
<sst xmlns="http://schemas.openxmlformats.org/spreadsheetml/2006/main" count="140" uniqueCount="126">
  <si>
    <t>Last FAC Rate Billed Consumers</t>
  </si>
  <si>
    <t>Gross KWH billed at rate above</t>
  </si>
  <si>
    <t>Adjustments to billing (KWH) + or -</t>
  </si>
  <si>
    <t>FAC Revenue (Refund) Resulting from last FAC rate</t>
  </si>
  <si>
    <t>Fuel Charge (Credit) used to compute last FAC rate</t>
  </si>
  <si>
    <t>Fuel Adj Charge (Credit) billed by EKPC</t>
  </si>
  <si>
    <t>Note:</t>
  </si>
  <si>
    <t xml:space="preserve">    Note:  Print FAC Report Page 1 (FAC1)</t>
  </si>
  <si>
    <t xml:space="preserve">                Print FAC Report Page 2 (FAC2)</t>
  </si>
  <si>
    <t>MOVING AVERAGE LINE LOSS FOR PAST 12 MONTHS</t>
  </si>
  <si>
    <t>KWH</t>
  </si>
  <si>
    <t>KWH SOLD</t>
  </si>
  <si>
    <t>KWH LOSS</t>
  </si>
  <si>
    <t>PURCHASED</t>
  </si>
  <si>
    <t>12 MONTH</t>
  </si>
  <si>
    <t>%</t>
  </si>
  <si>
    <t xml:space="preserve">  MONTH OF</t>
  </si>
  <si>
    <t>LINE LOSS</t>
  </si>
  <si>
    <t>ACTUAL USE</t>
  </si>
  <si>
    <t>SOLD</t>
  </si>
  <si>
    <t>TOTAL</t>
  </si>
  <si>
    <t>LOSSES</t>
  </si>
  <si>
    <t xml:space="preserve">                                   MONTHLY FUEL ADJUSTMENT CLAUSE (FAC) REPORT</t>
  </si>
  <si>
    <t>Appendix A</t>
  </si>
  <si>
    <t xml:space="preserve">  13.  Fuel Adjustment Charge (Credit):</t>
  </si>
  <si>
    <t>=</t>
  </si>
  <si>
    <t xml:space="preserve">         A.  Billed by Supplier</t>
  </si>
  <si>
    <t xml:space="preserve">   2.  Sales (Ultimate Consumer)</t>
  </si>
  <si>
    <t xml:space="preserve">         B.  (Over) Under Recovery (L12)</t>
  </si>
  <si>
    <t xml:space="preserve">   3.  Company Use</t>
  </si>
  <si>
    <t xml:space="preserve">         C.  Unrecoverable - Schedule 2</t>
  </si>
  <si>
    <t xml:space="preserve">   4.  Total Sales (L2+L3)</t>
  </si>
  <si>
    <t xml:space="preserve">         D.  Recoverable Fuel Cost </t>
  </si>
  <si>
    <t xml:space="preserve">   5.  Line Loss &amp; Unaccounted for</t>
  </si>
  <si>
    <t xml:space="preserve">  15.  Supplier's FAC:</t>
  </si>
  <si>
    <t xml:space="preserve">   6.  Last FAC Rate Billed Consumers</t>
  </si>
  <si>
    <t xml:space="preserve">  16.  Last 12 Months Actual (%)</t>
  </si>
  <si>
    <t xml:space="preserve">   7.  Gross KWH Billed at the Rate on L6</t>
  </si>
  <si>
    <t xml:space="preserve">  17.  Last Month Used to Compute L16</t>
  </si>
  <si>
    <t xml:space="preserve">   8.  Adjustments to Billing (KWH) </t>
  </si>
  <si>
    <t xml:space="preserve">  18.  Line Loss for Month on L17 (%)</t>
  </si>
  <si>
    <t xml:space="preserve">   9.  Net KWH Billed at the Rate</t>
  </si>
  <si>
    <t xml:space="preserve">        on L6 (L7 +- L8)</t>
  </si>
  <si>
    <t>Calculation of FAC Billed Consumers</t>
  </si>
  <si>
    <t xml:space="preserve">  10.  Fuel Charge (Credit) Used to</t>
  </si>
  <si>
    <t xml:space="preserve">  19.  Sales as a Percent of Purchases</t>
  </si>
  <si>
    <t xml:space="preserve">         compute L6</t>
  </si>
  <si>
    <t xml:space="preserve">          (100% less percentage on L16)</t>
  </si>
  <si>
    <t xml:space="preserve">  11.  FAC Revenue (Refund) Resulting</t>
  </si>
  <si>
    <t xml:space="preserve">  20.  Recovery Rate $ per KWH</t>
  </si>
  <si>
    <t xml:space="preserve">          from L6 (net of billing adj.)</t>
  </si>
  <si>
    <t xml:space="preserve">  21.  FAC $ per KWH (L20  /  L19)</t>
  </si>
  <si>
    <t xml:space="preserve">  12.  Total (Over) or Under</t>
  </si>
  <si>
    <t xml:space="preserve">           Recovery (L10 less L11)</t>
  </si>
  <si>
    <t xml:space="preserve">                 SCHEDULE 1</t>
  </si>
  <si>
    <t xml:space="preserve">                  TWELVE MONTH ACTUAL LINE LOSS</t>
  </si>
  <si>
    <t xml:space="preserve">  FOR FUEL ADJUSTMENT CHARGE COMPUTATION</t>
  </si>
  <si>
    <t>(a)</t>
  </si>
  <si>
    <t>(b)</t>
  </si>
  <si>
    <t xml:space="preserve">         (c)</t>
  </si>
  <si>
    <t>(d)</t>
  </si>
  <si>
    <t>KWH PURCHASED</t>
  </si>
  <si>
    <t>OFFICE USE</t>
  </si>
  <si>
    <t>KWH LOSSES</t>
  </si>
  <si>
    <t>Previous twelve months total -</t>
  </si>
  <si>
    <t>Less: Prior year-current month total -</t>
  </si>
  <si>
    <t>Plus: Current year-current month total -</t>
  </si>
  <si>
    <t>Most recent twelve month total -</t>
  </si>
  <si>
    <t xml:space="preserve">          /       (a)</t>
  </si>
  <si>
    <t xml:space="preserve">    Enter on line 16 of the current</t>
  </si>
  <si>
    <t xml:space="preserve">    month's (FAC) Report</t>
  </si>
  <si>
    <t>Line 22 reflects a Fuel Adjustment Charge (Credit) of:</t>
  </si>
  <si>
    <t xml:space="preserve">                            </t>
  </si>
  <si>
    <t xml:space="preserve">Disposition of Energy (KWH)                    Month of: </t>
  </si>
  <si>
    <t>per  KWH  to  be  applied  to  bills  rendered  on  and  after:</t>
  </si>
  <si>
    <t>POWER SUPPLIER:   EAST KENTUCKY POWER  COOPERATIVE</t>
  </si>
  <si>
    <t xml:space="preserve">                                                      Issued on:</t>
  </si>
  <si>
    <t>12 MO</t>
  </si>
  <si>
    <t>THIS MO</t>
  </si>
  <si>
    <t xml:space="preserve">       FOR</t>
  </si>
  <si>
    <t xml:space="preserve">    Print Moving Average Worksheet </t>
  </si>
  <si>
    <t>(Last month.)</t>
  </si>
  <si>
    <t>(From Latest Power Bill)</t>
  </si>
  <si>
    <t>Purchased Power                                    Month of:</t>
  </si>
  <si>
    <t>(CAUTION-USE FUEL NOT SURCHARGE)</t>
  </si>
  <si>
    <r>
      <t>(</t>
    </r>
    <r>
      <rPr>
        <b/>
        <i/>
        <u/>
        <sz val="10"/>
        <color indexed="14"/>
        <rFont val="Arial Black"/>
        <family val="2"/>
      </rPr>
      <t>MONTH BEFORE LAST</t>
    </r>
    <r>
      <rPr>
        <b/>
        <sz val="10"/>
        <color indexed="53"/>
        <rFont val="Arial Black"/>
        <family val="2"/>
      </rPr>
      <t xml:space="preserve"> </t>
    </r>
    <r>
      <rPr>
        <b/>
        <sz val="10"/>
        <color indexed="53"/>
        <rFont val="Arial"/>
        <family val="2"/>
      </rPr>
      <t>FAC Report - Line 21) (Last rate used)</t>
    </r>
  </si>
  <si>
    <r>
      <t>(</t>
    </r>
    <r>
      <rPr>
        <b/>
        <i/>
        <u/>
        <sz val="10"/>
        <color indexed="14"/>
        <rFont val="Arial Black"/>
        <family val="2"/>
      </rPr>
      <t xml:space="preserve">MONTH BEFORE LAST </t>
    </r>
    <r>
      <rPr>
        <b/>
        <sz val="10"/>
        <color indexed="53"/>
        <rFont val="Arial"/>
        <family val="2"/>
      </rPr>
      <t>FAC Report - Line 13D)</t>
    </r>
  </si>
  <si>
    <t>First Day of Next Billing Month (e.g. February 1, 2012)</t>
  </si>
  <si>
    <t>Month of Current Bill (e.g. January 2012)</t>
  </si>
  <si>
    <t>Month prior to this bill (e.g. December 2011)</t>
  </si>
  <si>
    <t xml:space="preserve">   1.  Total Purchases:</t>
  </si>
  <si>
    <t xml:space="preserve">  14.  Number of KWH Purchased:</t>
  </si>
  <si>
    <t xml:space="preserve">          (L13D  /  L14A)</t>
  </si>
  <si>
    <t xml:space="preserve">          $ per KWH  (L13A  /  L14A)</t>
  </si>
  <si>
    <t xml:space="preserve">                (L13  -  A+B-C)</t>
  </si>
  <si>
    <t xml:space="preserve">  22.  FAC  cents per KWH (L21 x 100)</t>
  </si>
  <si>
    <t>(Line 14A - Last Month FAC Report)</t>
  </si>
  <si>
    <t>KWH Purchased Wholesale (Previous Month)</t>
  </si>
  <si>
    <t xml:space="preserve">        (L1C less L4)</t>
  </si>
  <si>
    <t xml:space="preserve">          (L5 divided by L1C)</t>
  </si>
  <si>
    <t>KWH purchased (actual KWH)</t>
  </si>
  <si>
    <t>(From Latest Power Bill - Actual KWH on Stats Report)</t>
  </si>
  <si>
    <t>Line Loss</t>
  </si>
  <si>
    <t>(Over) Under Recovery:</t>
  </si>
  <si>
    <t xml:space="preserve">Issued by:           </t>
  </si>
  <si>
    <t>Title:  Vice President Finance &amp; Adminstration</t>
  </si>
  <si>
    <t>Address:  P. O. Box 87, Danville, KY  40423-0087</t>
  </si>
  <si>
    <t>Telephone:  859-236-4561</t>
  </si>
  <si>
    <t>Company Use</t>
  </si>
  <si>
    <t>Own</t>
  </si>
  <si>
    <t>Use</t>
  </si>
  <si>
    <t>COMPANY:  INTER-COUNTY ENERGY COOPERATIVE CORPORATION</t>
  </si>
  <si>
    <t>INTER-COUNTY ENERGY COOPERATIVE</t>
  </si>
  <si>
    <t>MOVING TOTAL</t>
  </si>
  <si>
    <t>MOVING</t>
  </si>
  <si>
    <t>OWN USE</t>
  </si>
  <si>
    <t xml:space="preserve">MOVING </t>
  </si>
  <si>
    <t>(4th Day of Next Month)</t>
  </si>
  <si>
    <t>Page 1 of 2</t>
  </si>
  <si>
    <t>PAGE 2 OF 2</t>
  </si>
  <si>
    <t>APPENDIX A</t>
  </si>
  <si>
    <t>(Billling Reg. Grand  - Net Fuel, current bill month)</t>
  </si>
  <si>
    <t>(KWH) Class Grand Totals - Gross from current Billing system</t>
  </si>
  <si>
    <t>(KWH) Class Grand Totals - Adj from Billing (ATRB/Tran50)</t>
  </si>
  <si>
    <t>July 2022</t>
  </si>
  <si>
    <t>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</si>
</sst>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"/>
    <numFmt numFmtId="166" formatCode="&quot;$&quot;#,##0.00000"/>
    <numFmt numFmtId="167" formatCode="0.0%"/>
    <numFmt numFmtId="168" formatCode="mmmm\ d\,\ yyyy"/>
    <numFmt numFmtId="169" formatCode="#,##0.000"/>
    <numFmt numFmtId="170" formatCode="[$-409]mmmm\-yy;@"/>
    <numFmt numFmtId="171" formatCode="_(* #,##0_);_(* \(#,##0\);_(* &quot;-&quot;??_);_(@_)"/>
    <numFmt numFmtId="172" formatCode="_(&quot;$&quot;* #,##0.00000_);_(&quot;$&quot;* \(#,##0.00000\);_(&quot;$&quot;* &quot;-&quot;??_);_(@_)"/>
  </numFmts>
  <fonts count="21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7"/>
      <name val="Arial"/>
      <family val="2"/>
    </font>
    <font>
      <b/>
      <i/>
      <u/>
      <sz val="10"/>
      <color indexed="14"/>
      <name val="Arial Black"/>
      <family val="2"/>
    </font>
    <font>
      <b/>
      <sz val="10"/>
      <color indexed="53"/>
      <name val="Arial Black"/>
      <family val="2"/>
    </font>
    <font>
      <b/>
      <i/>
      <sz val="10"/>
      <color rgb="FF0070C0"/>
      <name val="Arial"/>
      <family val="2"/>
    </font>
    <font>
      <b/>
      <sz val="10"/>
      <color rgb="FF0070C0"/>
      <name val="Arial"/>
      <family val="2"/>
    </font>
    <font>
      <sz val="12"/>
      <color rgb="FF0070C0"/>
      <name val="Arial"/>
      <family val="2"/>
    </font>
    <font>
      <i/>
      <sz val="14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fill"/>
    </xf>
    <xf numFmtId="164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fill"/>
    </xf>
    <xf numFmtId="0" fontId="4" fillId="0" borderId="1" xfId="0" applyFont="1" applyBorder="1"/>
    <xf numFmtId="165" fontId="4" fillId="0" borderId="0" xfId="0" applyNumberFormat="1" applyFont="1" applyAlignment="1">
      <alignment horizont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0" fontId="4" fillId="0" borderId="0" xfId="0" applyFont="1" applyAlignment="1">
      <alignment horizontal="left"/>
    </xf>
    <xf numFmtId="168" fontId="4" fillId="0" borderId="3" xfId="0" applyNumberFormat="1" applyFont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2" fillId="0" borderId="0" xfId="0" applyNumberFormat="1" applyFont="1"/>
    <xf numFmtId="3" fontId="2" fillId="0" borderId="2" xfId="0" applyNumberFormat="1" applyFont="1" applyBorder="1"/>
    <xf numFmtId="0" fontId="2" fillId="0" borderId="0" xfId="0" applyFont="1" applyAlignment="1">
      <alignment horizontal="fill"/>
    </xf>
    <xf numFmtId="0" fontId="2" fillId="0" borderId="0" xfId="0" applyFont="1" applyAlignment="1">
      <alignment horizontal="right"/>
    </xf>
    <xf numFmtId="3" fontId="5" fillId="0" borderId="0" xfId="0" applyNumberFormat="1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0" fontId="6" fillId="0" borderId="0" xfId="0" applyFont="1"/>
    <xf numFmtId="22" fontId="6" fillId="0" borderId="0" xfId="0" applyNumberFormat="1" applyFont="1"/>
    <xf numFmtId="3" fontId="7" fillId="0" borderId="4" xfId="0" applyNumberFormat="1" applyFont="1" applyBorder="1"/>
    <xf numFmtId="168" fontId="7" fillId="0" borderId="4" xfId="0" applyNumberFormat="1" applyFont="1" applyBorder="1"/>
    <xf numFmtId="0" fontId="7" fillId="0" borderId="4" xfId="0" applyFont="1" applyBorder="1"/>
    <xf numFmtId="164" fontId="7" fillId="0" borderId="4" xfId="0" applyNumberFormat="1" applyFont="1" applyBorder="1"/>
    <xf numFmtId="3" fontId="7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15" fillId="0" borderId="0" xfId="0" applyFont="1"/>
    <xf numFmtId="49" fontId="7" fillId="0" borderId="4" xfId="0" quotePrefix="1" applyNumberFormat="1" applyFont="1" applyBorder="1" applyAlignment="1">
      <alignment horizontal="right"/>
    </xf>
    <xf numFmtId="0" fontId="4" fillId="0" borderId="4" xfId="0" applyFont="1" applyBorder="1" applyAlignment="1">
      <alignment horizontal="fill"/>
    </xf>
    <xf numFmtId="167" fontId="4" fillId="0" borderId="0" xfId="0" applyNumberFormat="1" applyFont="1"/>
    <xf numFmtId="169" fontId="4" fillId="0" borderId="0" xfId="0" applyNumberFormat="1" applyFont="1"/>
    <xf numFmtId="171" fontId="0" fillId="0" borderId="0" xfId="1" applyNumberFormat="1" applyFont="1" applyAlignment="1"/>
    <xf numFmtId="170" fontId="0" fillId="0" borderId="0" xfId="0" quotePrefix="1" applyNumberFormat="1" applyAlignment="1">
      <alignment horizontal="left"/>
    </xf>
    <xf numFmtId="0" fontId="17" fillId="0" borderId="0" xfId="0" applyFont="1"/>
    <xf numFmtId="0" fontId="4" fillId="0" borderId="3" xfId="0" applyFont="1" applyBorder="1"/>
    <xf numFmtId="172" fontId="4" fillId="0" borderId="0" xfId="2" applyNumberFormat="1" applyFont="1" applyAlignment="1">
      <alignment horizontal="center"/>
    </xf>
    <xf numFmtId="168" fontId="4" fillId="0" borderId="0" xfId="0" applyNumberFormat="1" applyFont="1" applyAlignment="1">
      <alignment horizontal="left"/>
    </xf>
    <xf numFmtId="168" fontId="4" fillId="0" borderId="5" xfId="0" applyNumberFormat="1" applyFont="1" applyBorder="1" applyAlignment="1">
      <alignment horizontal="left"/>
    </xf>
    <xf numFmtId="3" fontId="0" fillId="0" borderId="0" xfId="0" applyNumberFormat="1"/>
    <xf numFmtId="10" fontId="4" fillId="0" borderId="0" xfId="0" applyNumberFormat="1" applyFont="1"/>
    <xf numFmtId="10" fontId="5" fillId="0" borderId="0" xfId="0" applyNumberFormat="1" applyFont="1"/>
    <xf numFmtId="10" fontId="1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workbookViewId="0">
      <selection activeCell="C9" sqref="C9"/>
    </sheetView>
  </sheetViews>
  <sheetFormatPr defaultRowHeight="15" x14ac:dyDescent="0.2"/>
  <cols>
    <col min="1" max="1" width="37.6640625" style="42" customWidth="1"/>
    <col min="2" max="2" width="2.77734375" customWidth="1"/>
    <col min="3" max="3" width="13.77734375" customWidth="1"/>
    <col min="4" max="4" width="2.77734375" customWidth="1"/>
    <col min="5" max="5" width="10" bestFit="1" customWidth="1"/>
    <col min="7" max="7" width="9.88671875" bestFit="1" customWidth="1"/>
  </cols>
  <sheetData>
    <row r="1" spans="1:25" x14ac:dyDescent="0.2">
      <c r="A1" s="40"/>
      <c r="B1" s="33"/>
      <c r="C1" s="3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41"/>
      <c r="B2" s="33"/>
      <c r="C2" s="3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thickBot="1" x14ac:dyDescent="0.25">
      <c r="A3" s="41" t="s">
        <v>97</v>
      </c>
      <c r="B3" s="33"/>
      <c r="C3" s="35">
        <v>48557247</v>
      </c>
      <c r="D3" s="1"/>
      <c r="E3" s="43" t="s">
        <v>96</v>
      </c>
      <c r="F3" s="43"/>
      <c r="G3" s="43"/>
      <c r="H3" s="44"/>
      <c r="I3" s="44"/>
      <c r="J3" s="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thickBot="1" x14ac:dyDescent="0.25">
      <c r="A4" s="41" t="s">
        <v>87</v>
      </c>
      <c r="B4" s="33"/>
      <c r="C4" s="36">
        <v>44838</v>
      </c>
      <c r="D4" s="1"/>
      <c r="E4" s="43" t="s">
        <v>117</v>
      </c>
      <c r="F4" s="43"/>
      <c r="G4" s="43"/>
      <c r="H4" s="44"/>
      <c r="I4" s="44"/>
      <c r="J4" s="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thickBot="1" x14ac:dyDescent="0.25">
      <c r="A5" s="41" t="s">
        <v>88</v>
      </c>
      <c r="B5" s="33"/>
      <c r="C5" s="47" t="s">
        <v>125</v>
      </c>
      <c r="D5" s="1"/>
      <c r="E5" s="43" t="s">
        <v>81</v>
      </c>
      <c r="F5" s="43"/>
      <c r="G5" s="43"/>
      <c r="H5" s="44"/>
      <c r="I5" s="44"/>
      <c r="J5" s="4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thickBot="1" x14ac:dyDescent="0.25">
      <c r="A6" s="41" t="s">
        <v>89</v>
      </c>
      <c r="B6" s="33"/>
      <c r="C6" s="47" t="s">
        <v>124</v>
      </c>
      <c r="D6" s="1"/>
      <c r="E6" s="43"/>
      <c r="F6" s="43"/>
      <c r="G6" s="43"/>
      <c r="H6" s="44"/>
      <c r="I6" s="44"/>
      <c r="J6" s="4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thickBot="1" x14ac:dyDescent="0.35">
      <c r="A7" s="41" t="s">
        <v>0</v>
      </c>
      <c r="B7" s="33"/>
      <c r="C7" s="37">
        <v>9.4699999999999993E-3</v>
      </c>
      <c r="D7" s="1"/>
      <c r="E7" s="43" t="s">
        <v>85</v>
      </c>
      <c r="F7" s="43"/>
      <c r="G7" s="43"/>
      <c r="H7" s="44"/>
      <c r="I7" s="44"/>
      <c r="J7" s="4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thickBot="1" x14ac:dyDescent="0.25">
      <c r="A8" s="41" t="s">
        <v>1</v>
      </c>
      <c r="B8" s="33"/>
      <c r="C8" s="35">
        <f>45112857</f>
        <v>45112857</v>
      </c>
      <c r="D8" s="1"/>
      <c r="E8" s="43" t="s">
        <v>122</v>
      </c>
      <c r="F8" s="43"/>
      <c r="G8" s="43"/>
      <c r="H8" s="44"/>
      <c r="I8" s="44"/>
      <c r="J8" s="4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thickBot="1" x14ac:dyDescent="0.25">
      <c r="A9" s="41" t="s">
        <v>108</v>
      </c>
      <c r="B9" s="33"/>
      <c r="C9" s="35">
        <v>47992</v>
      </c>
      <c r="D9" s="1"/>
      <c r="E9" s="43"/>
      <c r="F9" s="43"/>
      <c r="G9" s="43"/>
      <c r="H9" s="44"/>
      <c r="I9" s="44"/>
      <c r="J9" s="4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thickBot="1" x14ac:dyDescent="0.25">
      <c r="A10" s="41" t="s">
        <v>2</v>
      </c>
      <c r="B10" s="33"/>
      <c r="C10" s="35">
        <v>-231</v>
      </c>
      <c r="D10" s="1"/>
      <c r="E10" s="43" t="s">
        <v>123</v>
      </c>
      <c r="F10" s="43"/>
      <c r="G10" s="43"/>
      <c r="H10" s="44"/>
      <c r="I10" s="44"/>
      <c r="J10" s="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thickBot="1" x14ac:dyDescent="0.25">
      <c r="A11" s="41" t="s">
        <v>3</v>
      </c>
      <c r="B11" s="33"/>
      <c r="C11" s="38">
        <v>521995.09</v>
      </c>
      <c r="D11" s="1"/>
      <c r="E11" s="43" t="s">
        <v>121</v>
      </c>
      <c r="F11" s="43"/>
      <c r="G11" s="43"/>
      <c r="H11" s="44"/>
      <c r="I11" s="44"/>
      <c r="J11" s="4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thickBot="1" x14ac:dyDescent="0.35">
      <c r="A12" s="41" t="s">
        <v>4</v>
      </c>
      <c r="B12" s="33"/>
      <c r="C12" s="38">
        <v>440365.68</v>
      </c>
      <c r="D12" s="1"/>
      <c r="E12" s="43" t="s">
        <v>86</v>
      </c>
      <c r="F12" s="43"/>
      <c r="G12" s="43"/>
      <c r="H12" s="44"/>
      <c r="I12" s="44"/>
      <c r="J12" s="4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thickBot="1" x14ac:dyDescent="0.25">
      <c r="A13" s="41" t="s">
        <v>5</v>
      </c>
      <c r="B13" s="33"/>
      <c r="C13" s="38">
        <v>688423</v>
      </c>
      <c r="D13" s="1"/>
      <c r="E13" s="43" t="s">
        <v>82</v>
      </c>
      <c r="F13" s="43"/>
      <c r="G13" s="45" t="s">
        <v>84</v>
      </c>
      <c r="H13" s="44"/>
      <c r="I13" s="44"/>
      <c r="J13" s="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thickBot="1" x14ac:dyDescent="0.25">
      <c r="A14" s="41" t="s">
        <v>100</v>
      </c>
      <c r="B14" s="33"/>
      <c r="C14" s="35">
        <v>46327169</v>
      </c>
      <c r="D14" s="1"/>
      <c r="E14" s="43" t="s">
        <v>101</v>
      </c>
      <c r="F14" s="43"/>
      <c r="G14" s="43"/>
      <c r="H14" s="44"/>
      <c r="I14" s="44"/>
      <c r="J14" s="4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B15" s="1"/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41" t="s">
        <v>6</v>
      </c>
      <c r="B16" s="33"/>
      <c r="C16" s="3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41"/>
      <c r="B17" s="33"/>
      <c r="C17" s="39"/>
      <c r="D17" s="1"/>
      <c r="E17" s="1"/>
      <c r="F17" s="1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B18" s="1"/>
      <c r="C18" s="3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41" t="s">
        <v>80</v>
      </c>
      <c r="B19" s="33"/>
      <c r="C19" s="3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B20" s="1"/>
      <c r="C20" s="3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41"/>
      <c r="B21" s="33"/>
      <c r="C21" s="3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B22" s="1"/>
      <c r="C22" s="3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41" t="s">
        <v>7</v>
      </c>
      <c r="B23" s="33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1" t="s">
        <v>8</v>
      </c>
      <c r="B24" s="33"/>
      <c r="C24" s="3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</sheetData>
  <phoneticPr fontId="0" type="noConversion"/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topLeftCell="A5" zoomScale="75" zoomScaleNormal="75" workbookViewId="0">
      <selection activeCell="F25" sqref="F25"/>
    </sheetView>
  </sheetViews>
  <sheetFormatPr defaultRowHeight="18" x14ac:dyDescent="0.25"/>
  <cols>
    <col min="1" max="1" width="56.5546875" style="6" customWidth="1"/>
    <col min="2" max="2" width="19.5546875" style="6" bestFit="1" customWidth="1"/>
    <col min="3" max="3" width="1.44140625" style="6" customWidth="1"/>
    <col min="4" max="4" width="12.5546875" style="6" customWidth="1"/>
    <col min="5" max="5" width="46.6640625" style="6" customWidth="1"/>
    <col min="6" max="6" width="20.77734375" style="6" bestFit="1" customWidth="1"/>
    <col min="7" max="7" width="2" style="6" bestFit="1" customWidth="1"/>
    <col min="8" max="12" width="8.88671875" style="6"/>
    <col min="13" max="13" width="10.77734375" style="6" bestFit="1" customWidth="1"/>
    <col min="14" max="14" width="15.21875" style="6" bestFit="1" customWidth="1"/>
    <col min="15" max="16384" width="8.88671875" style="6"/>
  </cols>
  <sheetData>
    <row r="1" spans="1:6" x14ac:dyDescent="0.25">
      <c r="A1" s="5" t="s">
        <v>22</v>
      </c>
      <c r="E1" s="53"/>
      <c r="F1" s="11" t="s">
        <v>23</v>
      </c>
    </row>
    <row r="2" spans="1:6" ht="18.75" x14ac:dyDescent="0.3">
      <c r="E2" s="46"/>
      <c r="F2" s="11" t="s">
        <v>118</v>
      </c>
    </row>
    <row r="4" spans="1:6" x14ac:dyDescent="0.25">
      <c r="A4" s="6" t="s">
        <v>111</v>
      </c>
      <c r="E4" s="6" t="s">
        <v>75</v>
      </c>
    </row>
    <row r="5" spans="1:6" ht="18.75" thickBot="1" x14ac:dyDescent="0.3">
      <c r="A5" s="48"/>
      <c r="B5" s="48"/>
      <c r="C5" s="48"/>
      <c r="D5" s="48"/>
      <c r="E5" s="48"/>
      <c r="F5" s="48"/>
    </row>
    <row r="7" spans="1:6" x14ac:dyDescent="0.25">
      <c r="A7" s="6" t="s">
        <v>73</v>
      </c>
      <c r="B7" s="31" t="str">
        <f>INPUT!C6</f>
        <v>July 2022</v>
      </c>
      <c r="E7" s="6" t="s">
        <v>83</v>
      </c>
      <c r="F7" s="31" t="str">
        <f>INPUT!C5</f>
        <v>August 2022</v>
      </c>
    </row>
    <row r="9" spans="1:6" x14ac:dyDescent="0.25">
      <c r="A9" s="6" t="s">
        <v>90</v>
      </c>
      <c r="B9" s="7">
        <f>INPUT!C3</f>
        <v>48557247</v>
      </c>
      <c r="C9" s="7"/>
      <c r="E9" s="6" t="s">
        <v>24</v>
      </c>
    </row>
    <row r="10" spans="1:6" ht="18.75" thickBot="1" x14ac:dyDescent="0.3">
      <c r="B10" s="7"/>
      <c r="C10" s="7"/>
      <c r="E10" s="6" t="s">
        <v>26</v>
      </c>
      <c r="F10" s="15">
        <f>+INPUT!C13</f>
        <v>688423</v>
      </c>
    </row>
    <row r="11" spans="1:6" ht="18.75" thickTop="1" x14ac:dyDescent="0.25">
      <c r="A11" s="6" t="s">
        <v>27</v>
      </c>
      <c r="B11" s="7">
        <f>INPUT!C8</f>
        <v>45112857</v>
      </c>
      <c r="C11" s="7"/>
      <c r="F11" s="8"/>
    </row>
    <row r="12" spans="1:6" x14ac:dyDescent="0.25">
      <c r="A12" s="6" t="s">
        <v>29</v>
      </c>
      <c r="B12" s="18">
        <f>INPUT!C9</f>
        <v>47992</v>
      </c>
      <c r="C12" s="7"/>
      <c r="E12" s="6" t="s">
        <v>28</v>
      </c>
      <c r="F12" s="9">
        <f>B33</f>
        <v>-81629.410000000033</v>
      </c>
    </row>
    <row r="13" spans="1:6" x14ac:dyDescent="0.25">
      <c r="B13" s="12"/>
      <c r="C13" s="7"/>
      <c r="E13" s="6" t="s">
        <v>30</v>
      </c>
      <c r="F13" s="54"/>
    </row>
    <row r="14" spans="1:6" ht="18.75" thickBot="1" x14ac:dyDescent="0.3">
      <c r="A14" s="6" t="s">
        <v>31</v>
      </c>
      <c r="B14" s="17">
        <f>B11+B12</f>
        <v>45160849</v>
      </c>
      <c r="C14" s="7"/>
      <c r="F14" s="8"/>
    </row>
    <row r="15" spans="1:6" ht="18.75" thickTop="1" x14ac:dyDescent="0.25">
      <c r="B15" s="7"/>
      <c r="C15" s="8"/>
      <c r="E15" s="6" t="s">
        <v>32</v>
      </c>
    </row>
    <row r="16" spans="1:6" ht="18.75" thickBot="1" x14ac:dyDescent="0.3">
      <c r="A16" s="6" t="s">
        <v>33</v>
      </c>
      <c r="E16" s="6" t="s">
        <v>94</v>
      </c>
      <c r="F16" s="15">
        <f>SUM(F10:F14)</f>
        <v>606793.59</v>
      </c>
    </row>
    <row r="17" spans="1:6" ht="19.5" thickTop="1" thickBot="1" x14ac:dyDescent="0.3">
      <c r="A17" s="6" t="s">
        <v>98</v>
      </c>
      <c r="B17" s="17">
        <f>B9-B14</f>
        <v>3396398</v>
      </c>
      <c r="C17" s="7"/>
    </row>
    <row r="18" spans="1:6" ht="18.75" thickTop="1" x14ac:dyDescent="0.25">
      <c r="B18" s="7"/>
      <c r="E18" s="6" t="s">
        <v>91</v>
      </c>
      <c r="F18" s="7">
        <f>INPUT!C14</f>
        <v>46327169</v>
      </c>
    </row>
    <row r="19" spans="1:6" x14ac:dyDescent="0.25">
      <c r="A19" s="6" t="s">
        <v>103</v>
      </c>
      <c r="B19" s="8"/>
      <c r="C19" s="8"/>
    </row>
    <row r="20" spans="1:6" x14ac:dyDescent="0.25">
      <c r="A20" s="6" t="s">
        <v>35</v>
      </c>
      <c r="B20" s="10">
        <f>INPUT!C7</f>
        <v>9.4699999999999993E-3</v>
      </c>
      <c r="C20" s="7"/>
      <c r="E20" s="6" t="s">
        <v>34</v>
      </c>
    </row>
    <row r="21" spans="1:6" x14ac:dyDescent="0.25">
      <c r="A21" s="6" t="s">
        <v>37</v>
      </c>
      <c r="B21" s="7">
        <f>B14</f>
        <v>45160849</v>
      </c>
      <c r="C21" s="7"/>
      <c r="E21" s="6" t="s">
        <v>93</v>
      </c>
      <c r="F21" s="10">
        <f>F10/F18</f>
        <v>1.4860027384794439E-2</v>
      </c>
    </row>
    <row r="22" spans="1:6" x14ac:dyDescent="0.25">
      <c r="A22" s="6" t="s">
        <v>39</v>
      </c>
      <c r="B22" s="18">
        <f>INPUT!C10</f>
        <v>-231</v>
      </c>
      <c r="C22" s="8"/>
      <c r="F22" s="10"/>
    </row>
    <row r="23" spans="1:6" x14ac:dyDescent="0.25">
      <c r="A23" s="6" t="s">
        <v>41</v>
      </c>
      <c r="B23" s="8"/>
      <c r="E23" s="6" t="s">
        <v>102</v>
      </c>
      <c r="F23" s="10"/>
    </row>
    <row r="24" spans="1:6" ht="18.75" thickBot="1" x14ac:dyDescent="0.3">
      <c r="A24" s="6" t="s">
        <v>42</v>
      </c>
      <c r="B24" s="17">
        <f>B21+B22</f>
        <v>45160618</v>
      </c>
      <c r="C24" s="7"/>
    </row>
    <row r="25" spans="1:6" ht="18.75" thickTop="1" x14ac:dyDescent="0.25">
      <c r="B25" s="12"/>
      <c r="C25" s="8"/>
      <c r="E25" s="6" t="s">
        <v>36</v>
      </c>
      <c r="F25" s="59">
        <f>'FAC2'!F21</f>
        <v>3.2861086014524914E-2</v>
      </c>
    </row>
    <row r="26" spans="1:6" x14ac:dyDescent="0.25">
      <c r="E26" s="6" t="s">
        <v>38</v>
      </c>
      <c r="F26" s="32" t="str">
        <f>INPUT!C6</f>
        <v>July 2022</v>
      </c>
    </row>
    <row r="27" spans="1:6" x14ac:dyDescent="0.25">
      <c r="A27" s="6" t="s">
        <v>44</v>
      </c>
      <c r="C27" s="10"/>
      <c r="E27" s="6" t="s">
        <v>40</v>
      </c>
    </row>
    <row r="28" spans="1:6" x14ac:dyDescent="0.25">
      <c r="A28" s="6" t="s">
        <v>46</v>
      </c>
      <c r="B28" s="9">
        <f>INPUT!C12</f>
        <v>440365.68</v>
      </c>
      <c r="C28" s="7"/>
      <c r="D28" s="7"/>
      <c r="E28" s="6" t="s">
        <v>99</v>
      </c>
      <c r="F28" s="59">
        <f>B17/B9</f>
        <v>6.9946263633932956E-2</v>
      </c>
    </row>
    <row r="29" spans="1:6" x14ac:dyDescent="0.25">
      <c r="A29" s="6" t="s">
        <v>48</v>
      </c>
      <c r="C29" s="7"/>
      <c r="D29" s="7"/>
    </row>
    <row r="30" spans="1:6" x14ac:dyDescent="0.25">
      <c r="A30" s="6" t="s">
        <v>50</v>
      </c>
      <c r="B30" s="16">
        <f>INPUT!C11</f>
        <v>521995.09</v>
      </c>
      <c r="C30" s="8"/>
      <c r="E30" s="6" t="s">
        <v>43</v>
      </c>
    </row>
    <row r="31" spans="1:6" x14ac:dyDescent="0.25">
      <c r="B31" s="8"/>
      <c r="C31" s="7"/>
      <c r="D31" s="7"/>
    </row>
    <row r="32" spans="1:6" x14ac:dyDescent="0.25">
      <c r="A32" s="6" t="s">
        <v>52</v>
      </c>
      <c r="C32" s="12"/>
      <c r="D32" s="7"/>
      <c r="E32" s="6" t="s">
        <v>45</v>
      </c>
    </row>
    <row r="33" spans="1:7" ht="18.75" thickBot="1" x14ac:dyDescent="0.3">
      <c r="A33" s="6" t="s">
        <v>53</v>
      </c>
      <c r="B33" s="15">
        <f>B28-B30</f>
        <v>-81629.410000000033</v>
      </c>
      <c r="C33" s="7"/>
      <c r="D33" s="7"/>
      <c r="E33" s="6" t="s">
        <v>47</v>
      </c>
      <c r="F33" s="49">
        <f>1-F25</f>
        <v>0.96713891398547513</v>
      </c>
    </row>
    <row r="34" spans="1:7" ht="18.75" thickTop="1" x14ac:dyDescent="0.25">
      <c r="E34" s="6" t="s">
        <v>49</v>
      </c>
    </row>
    <row r="35" spans="1:7" x14ac:dyDescent="0.25">
      <c r="C35" s="9"/>
      <c r="E35" s="6" t="s">
        <v>92</v>
      </c>
      <c r="F35" s="10">
        <f>F16/F18</f>
        <v>1.3098007132704353E-2</v>
      </c>
    </row>
    <row r="36" spans="1:7" x14ac:dyDescent="0.25">
      <c r="E36" s="6" t="s">
        <v>51</v>
      </c>
      <c r="F36" s="10">
        <f>F35/F33</f>
        <v>1.3543046343496694E-2</v>
      </c>
    </row>
    <row r="37" spans="1:7" x14ac:dyDescent="0.25">
      <c r="C37" s="9"/>
      <c r="E37" s="6" t="s">
        <v>95</v>
      </c>
      <c r="F37" s="50">
        <f>F36*100</f>
        <v>1.3543046343496694</v>
      </c>
    </row>
    <row r="38" spans="1:7" x14ac:dyDescent="0.25">
      <c r="B38" s="8"/>
      <c r="C38" s="8"/>
      <c r="G38" s="5"/>
    </row>
    <row r="39" spans="1:7" x14ac:dyDescent="0.25">
      <c r="A39" s="6" t="s">
        <v>71</v>
      </c>
      <c r="B39" s="55">
        <f>F36</f>
        <v>1.3543046343496694E-2</v>
      </c>
    </row>
    <row r="40" spans="1:7" x14ac:dyDescent="0.25">
      <c r="C40" s="8"/>
    </row>
    <row r="41" spans="1:7" x14ac:dyDescent="0.25">
      <c r="A41" s="19" t="s">
        <v>74</v>
      </c>
      <c r="B41" s="20">
        <f>INPUT!C4</f>
        <v>44838</v>
      </c>
      <c r="C41" s="14"/>
    </row>
    <row r="42" spans="1:7" x14ac:dyDescent="0.25">
      <c r="A42" s="19" t="s">
        <v>76</v>
      </c>
      <c r="B42" s="57">
        <v>44813</v>
      </c>
      <c r="C42" s="14"/>
      <c r="E42" s="19"/>
    </row>
    <row r="43" spans="1:7" x14ac:dyDescent="0.25">
      <c r="A43" s="19"/>
      <c r="B43" s="56"/>
      <c r="C43" s="14"/>
      <c r="E43" s="19"/>
    </row>
    <row r="44" spans="1:7" x14ac:dyDescent="0.25">
      <c r="A44" s="6" t="s">
        <v>72</v>
      </c>
    </row>
    <row r="45" spans="1:7" x14ac:dyDescent="0.25">
      <c r="A45" s="13" t="s">
        <v>104</v>
      </c>
    </row>
    <row r="46" spans="1:7" x14ac:dyDescent="0.25">
      <c r="A46" s="6" t="s">
        <v>105</v>
      </c>
    </row>
    <row r="47" spans="1:7" x14ac:dyDescent="0.25">
      <c r="A47" s="6" t="s">
        <v>106</v>
      </c>
    </row>
    <row r="48" spans="1:7" x14ac:dyDescent="0.25">
      <c r="A48" s="6" t="s">
        <v>107</v>
      </c>
    </row>
  </sheetData>
  <phoneticPr fontId="0" type="noConversion"/>
  <pageMargins left="0.59" right="0.59" top="0.42" bottom="0.43" header="0.38" footer="0.33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2"/>
  <sheetViews>
    <sheetView tabSelected="1" workbookViewId="0">
      <selection activeCell="H17" sqref="H17"/>
    </sheetView>
  </sheetViews>
  <sheetFormatPr defaultRowHeight="15" x14ac:dyDescent="0.2"/>
  <cols>
    <col min="1" max="1" width="34" customWidth="1"/>
    <col min="2" max="2" width="11.6640625" customWidth="1"/>
    <col min="3" max="3" width="8.44140625" customWidth="1"/>
    <col min="4" max="4" width="12.21875" customWidth="1"/>
    <col min="5" max="5" width="4.77734375" customWidth="1"/>
    <col min="6" max="6" width="11.77734375" bestFit="1" customWidth="1"/>
    <col min="7" max="7" width="5.6640625" customWidth="1"/>
    <col min="8" max="8" width="13.21875" bestFit="1" customWidth="1"/>
    <col min="9" max="9" width="12.21875" customWidth="1"/>
    <col min="10" max="10" width="5.6640625" customWidth="1"/>
  </cols>
  <sheetData>
    <row r="1" spans="1:9" ht="15.75" x14ac:dyDescent="0.25">
      <c r="A1" s="4"/>
      <c r="B1" s="4"/>
      <c r="C1" s="4"/>
      <c r="D1" s="4"/>
      <c r="E1" s="4"/>
      <c r="F1" s="4"/>
      <c r="G1" s="4"/>
      <c r="H1" s="4" t="s">
        <v>120</v>
      </c>
      <c r="I1" s="4"/>
    </row>
    <row r="2" spans="1:9" ht="15.75" x14ac:dyDescent="0.25">
      <c r="A2" s="4"/>
      <c r="B2" s="4"/>
      <c r="C2" s="4"/>
      <c r="D2" s="4"/>
      <c r="E2" s="4"/>
      <c r="F2" s="4"/>
      <c r="G2" s="4"/>
      <c r="H2" s="4" t="s">
        <v>119</v>
      </c>
      <c r="I2" s="4"/>
    </row>
    <row r="3" spans="1:9" ht="15.75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5.75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.75" x14ac:dyDescent="0.25">
      <c r="A5" s="4"/>
      <c r="B5" s="4"/>
      <c r="C5" s="4" t="s">
        <v>54</v>
      </c>
      <c r="D5" s="4"/>
      <c r="E5" s="4"/>
      <c r="F5" s="4"/>
      <c r="G5" s="4"/>
      <c r="H5" s="4"/>
      <c r="I5" s="4"/>
    </row>
    <row r="6" spans="1:9" ht="15.75" x14ac:dyDescent="0.25">
      <c r="A6" s="4"/>
      <c r="B6" s="4" t="s">
        <v>55</v>
      </c>
      <c r="C6" s="4"/>
      <c r="D6" s="4"/>
      <c r="E6" s="4"/>
      <c r="F6" s="4"/>
      <c r="G6" s="4"/>
      <c r="H6" s="4"/>
      <c r="I6" s="4"/>
    </row>
    <row r="7" spans="1:9" ht="15.75" x14ac:dyDescent="0.25">
      <c r="A7" s="4"/>
      <c r="B7" s="4" t="s">
        <v>56</v>
      </c>
      <c r="C7" s="4"/>
      <c r="D7" s="4"/>
      <c r="E7" s="4"/>
      <c r="F7" s="4"/>
      <c r="G7" s="4"/>
      <c r="H7" s="4"/>
      <c r="I7" s="4"/>
    </row>
    <row r="8" spans="1:9" ht="15.75" x14ac:dyDescent="0.25">
      <c r="A8" s="4"/>
      <c r="B8" s="4"/>
      <c r="C8" s="4" t="s">
        <v>79</v>
      </c>
      <c r="D8" s="21" t="str">
        <f>INPUT!C5</f>
        <v>August 2022</v>
      </c>
      <c r="E8" s="4"/>
      <c r="F8" s="4"/>
      <c r="G8" s="4"/>
      <c r="H8" s="4"/>
      <c r="I8" s="4"/>
    </row>
    <row r="9" spans="1:9" ht="15.75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15.75" x14ac:dyDescent="0.25">
      <c r="A10" s="4"/>
      <c r="B10" s="22" t="s">
        <v>57</v>
      </c>
      <c r="C10" s="4"/>
      <c r="D10" s="22" t="s">
        <v>58</v>
      </c>
      <c r="E10" s="4"/>
      <c r="F10" s="4" t="s">
        <v>59</v>
      </c>
      <c r="G10" s="4"/>
      <c r="H10" s="22" t="s">
        <v>60</v>
      </c>
      <c r="I10" s="4"/>
    </row>
    <row r="11" spans="1:9" ht="15.75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5.75" x14ac:dyDescent="0.25">
      <c r="A12" s="4"/>
      <c r="B12" s="21" t="s">
        <v>61</v>
      </c>
      <c r="C12" s="4"/>
      <c r="D12" s="23" t="s">
        <v>11</v>
      </c>
      <c r="E12" s="4"/>
      <c r="F12" s="21" t="s">
        <v>62</v>
      </c>
      <c r="G12" s="4"/>
      <c r="H12" s="21" t="s">
        <v>63</v>
      </c>
      <c r="I12" s="4"/>
    </row>
    <row r="13" spans="1:9" ht="15.75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15.75" x14ac:dyDescent="0.25">
      <c r="A14" s="4" t="s">
        <v>64</v>
      </c>
      <c r="B14" s="24">
        <v>561395555</v>
      </c>
      <c r="C14" s="4"/>
      <c r="D14" s="24">
        <v>536649355</v>
      </c>
      <c r="E14" s="4"/>
      <c r="F14" s="24">
        <v>522897</v>
      </c>
      <c r="G14" s="4"/>
      <c r="H14" s="24">
        <v>24223303</v>
      </c>
      <c r="I14" s="4"/>
    </row>
    <row r="15" spans="1:9" ht="15.75" x14ac:dyDescent="0.25">
      <c r="A15" s="4" t="s">
        <v>65</v>
      </c>
      <c r="B15" s="24">
        <v>42884751</v>
      </c>
      <c r="C15" s="4"/>
      <c r="D15" s="24">
        <v>33851118</v>
      </c>
      <c r="E15" s="4"/>
      <c r="F15" s="24">
        <v>48404</v>
      </c>
      <c r="G15" s="4"/>
      <c r="H15" s="24">
        <v>8985229</v>
      </c>
      <c r="I15" s="4"/>
    </row>
    <row r="16" spans="1:9" ht="15.75" x14ac:dyDescent="0.25">
      <c r="A16" s="4" t="s">
        <v>66</v>
      </c>
      <c r="B16" s="24">
        <v>48557247</v>
      </c>
      <c r="C16" s="4"/>
      <c r="D16" s="24">
        <v>45112857</v>
      </c>
      <c r="E16" s="4"/>
      <c r="F16" s="24">
        <v>47992</v>
      </c>
      <c r="G16" s="4"/>
      <c r="H16" s="24">
        <v>3396398</v>
      </c>
      <c r="I16" s="4"/>
    </row>
    <row r="17" spans="1:9" ht="16.5" thickBot="1" x14ac:dyDescent="0.3">
      <c r="A17" s="4" t="s">
        <v>67</v>
      </c>
      <c r="B17" s="25">
        <f>B14-B15+B16</f>
        <v>567068051</v>
      </c>
      <c r="C17" s="4"/>
      <c r="D17" s="25">
        <f>D14-D15+D16</f>
        <v>547911094</v>
      </c>
      <c r="E17" s="4"/>
      <c r="F17" s="25">
        <f>F14-F15+F16</f>
        <v>522485</v>
      </c>
      <c r="G17" s="4"/>
      <c r="H17" s="25">
        <f>H14-H15+H16</f>
        <v>18634472</v>
      </c>
      <c r="I17" s="4"/>
    </row>
    <row r="18" spans="1:9" ht="16.5" thickTop="1" x14ac:dyDescent="0.25">
      <c r="A18" s="4"/>
      <c r="B18" s="26"/>
      <c r="C18" s="4"/>
      <c r="D18" s="26"/>
      <c r="E18" s="4"/>
      <c r="F18" s="4"/>
      <c r="G18" s="4"/>
      <c r="H18" s="26"/>
      <c r="I18" s="4"/>
    </row>
    <row r="19" spans="1:9" ht="15.75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15.75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15.75" x14ac:dyDescent="0.25">
      <c r="A21" s="27" t="s">
        <v>60</v>
      </c>
      <c r="B21" s="28">
        <f>H17</f>
        <v>18634472</v>
      </c>
      <c r="C21" s="4" t="s">
        <v>68</v>
      </c>
      <c r="D21" s="28">
        <f>B17</f>
        <v>567068051</v>
      </c>
      <c r="E21" s="22" t="s">
        <v>25</v>
      </c>
      <c r="F21" s="60">
        <f>H17/B17</f>
        <v>3.2861086014524914E-2</v>
      </c>
      <c r="G21" s="4" t="s">
        <v>69</v>
      </c>
    </row>
    <row r="22" spans="1:9" ht="15.75" x14ac:dyDescent="0.25">
      <c r="A22" s="4"/>
      <c r="B22" s="4"/>
      <c r="C22" s="4"/>
      <c r="D22" s="4"/>
      <c r="E22" s="4"/>
      <c r="F22" s="4"/>
      <c r="G22" s="4" t="s">
        <v>70</v>
      </c>
    </row>
  </sheetData>
  <phoneticPr fontId="0" type="noConversion"/>
  <pageMargins left="0.51" right="0.53" top="1" bottom="1" header="0.5" footer="0.5"/>
  <pageSetup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2"/>
  <sheetViews>
    <sheetView zoomScale="75" zoomScaleNormal="75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RowHeight="15" x14ac:dyDescent="0.2"/>
  <cols>
    <col min="1" max="1" width="16.88671875" customWidth="1"/>
    <col min="2" max="2" width="2.77734375" customWidth="1"/>
    <col min="3" max="3" width="15.109375" bestFit="1" customWidth="1"/>
    <col min="4" max="4" width="2.77734375" customWidth="1"/>
    <col min="5" max="5" width="14.88671875" bestFit="1" customWidth="1"/>
    <col min="6" max="6" width="2.77734375" customWidth="1"/>
    <col min="7" max="7" width="13" customWidth="1"/>
    <col min="8" max="8" width="2.77734375" customWidth="1"/>
    <col min="9" max="9" width="11.21875" bestFit="1" customWidth="1"/>
    <col min="10" max="10" width="2.77734375" customWidth="1"/>
    <col min="11" max="11" width="10.21875" bestFit="1" customWidth="1"/>
    <col min="12" max="12" width="2.77734375" customWidth="1"/>
    <col min="13" max="13" width="11.21875" bestFit="1" customWidth="1"/>
    <col min="14" max="14" width="2.77734375" customWidth="1"/>
    <col min="15" max="15" width="11.77734375" bestFit="1" customWidth="1"/>
    <col min="16" max="16" width="2.77734375" customWidth="1"/>
    <col min="17" max="17" width="10.77734375" customWidth="1"/>
    <col min="18" max="18" width="2.77734375" customWidth="1"/>
    <col min="19" max="19" width="10.21875" bestFit="1" customWidth="1"/>
    <col min="20" max="20" width="2.77734375" customWidth="1"/>
    <col min="21" max="21" width="10.21875" bestFit="1" customWidth="1"/>
  </cols>
  <sheetData>
    <row r="1" spans="1:21" x14ac:dyDescent="0.2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3" t="s">
        <v>10</v>
      </c>
      <c r="F4" s="1"/>
      <c r="G4" s="1"/>
      <c r="H4" s="1"/>
      <c r="I4" s="3" t="s">
        <v>11</v>
      </c>
      <c r="J4" s="3"/>
      <c r="K4" s="1"/>
      <c r="L4" s="1"/>
      <c r="M4" s="1" t="s">
        <v>115</v>
      </c>
      <c r="N4" s="1"/>
      <c r="O4" s="1"/>
      <c r="P4" s="1"/>
      <c r="Q4" s="1" t="s">
        <v>12</v>
      </c>
      <c r="R4" s="1"/>
      <c r="S4" s="1"/>
      <c r="T4" s="1"/>
      <c r="U4" s="1"/>
    </row>
    <row r="5" spans="1:21" x14ac:dyDescent="0.2">
      <c r="A5" s="1"/>
      <c r="B5" s="1"/>
      <c r="C5" s="1"/>
      <c r="D5" s="1"/>
      <c r="E5" s="3" t="s">
        <v>13</v>
      </c>
      <c r="F5" s="1"/>
      <c r="G5" s="1"/>
      <c r="H5" s="1"/>
      <c r="I5" s="3" t="s">
        <v>14</v>
      </c>
      <c r="J5" s="3"/>
      <c r="K5" s="1"/>
      <c r="L5" s="1"/>
      <c r="M5" s="3" t="s">
        <v>14</v>
      </c>
      <c r="N5" s="1"/>
      <c r="O5" s="1"/>
      <c r="P5" s="1"/>
      <c r="Q5" s="1" t="s">
        <v>14</v>
      </c>
      <c r="R5" s="1"/>
      <c r="S5" s="3" t="s">
        <v>15</v>
      </c>
      <c r="T5" s="1"/>
      <c r="U5" s="3" t="s">
        <v>15</v>
      </c>
    </row>
    <row r="6" spans="1:21" x14ac:dyDescent="0.2">
      <c r="A6" s="1" t="s">
        <v>16</v>
      </c>
      <c r="B6" s="1"/>
      <c r="C6" s="3" t="s">
        <v>10</v>
      </c>
      <c r="D6" s="1"/>
      <c r="E6" s="3" t="s">
        <v>14</v>
      </c>
      <c r="F6" s="1"/>
      <c r="G6" s="3" t="s">
        <v>10</v>
      </c>
      <c r="H6" s="1"/>
      <c r="I6" s="3" t="s">
        <v>114</v>
      </c>
      <c r="J6" s="3"/>
      <c r="K6" s="3" t="s">
        <v>109</v>
      </c>
      <c r="L6" s="1"/>
      <c r="M6" s="3" t="s">
        <v>116</v>
      </c>
      <c r="N6" s="1"/>
      <c r="O6" s="3" t="s">
        <v>10</v>
      </c>
      <c r="P6" s="1"/>
      <c r="Q6" s="3" t="s">
        <v>114</v>
      </c>
      <c r="R6" s="1"/>
      <c r="S6" s="3" t="s">
        <v>17</v>
      </c>
      <c r="T6" s="1"/>
      <c r="U6" s="3" t="s">
        <v>17</v>
      </c>
    </row>
    <row r="7" spans="1:21" ht="15.75" thickBot="1" x14ac:dyDescent="0.25">
      <c r="A7" s="29" t="s">
        <v>18</v>
      </c>
      <c r="B7" s="29"/>
      <c r="C7" s="29" t="s">
        <v>13</v>
      </c>
      <c r="D7" s="29"/>
      <c r="E7" s="29" t="s">
        <v>113</v>
      </c>
      <c r="F7" s="29"/>
      <c r="G7" s="30" t="s">
        <v>19</v>
      </c>
      <c r="H7" s="29"/>
      <c r="I7" s="30" t="s">
        <v>20</v>
      </c>
      <c r="J7" s="30"/>
      <c r="K7" s="30" t="s">
        <v>110</v>
      </c>
      <c r="L7" s="29"/>
      <c r="M7" s="30" t="s">
        <v>20</v>
      </c>
      <c r="N7" s="29"/>
      <c r="O7" s="30" t="s">
        <v>21</v>
      </c>
      <c r="P7" s="29"/>
      <c r="Q7" s="30" t="s">
        <v>20</v>
      </c>
      <c r="R7" s="29"/>
      <c r="S7" s="30" t="s">
        <v>77</v>
      </c>
      <c r="T7" s="29"/>
      <c r="U7" s="30" t="s">
        <v>78</v>
      </c>
    </row>
    <row r="8" spans="1:21" hidden="1" x14ac:dyDescent="0.2">
      <c r="A8" s="52">
        <v>43831</v>
      </c>
      <c r="C8" s="58">
        <v>48891916</v>
      </c>
      <c r="E8" s="2">
        <f>IF(G8="","",SUM(C8:C8))</f>
        <v>48891916</v>
      </c>
      <c r="G8" s="58">
        <v>45435909</v>
      </c>
      <c r="I8" s="2">
        <f>IF(G8="","",SUM(G8:G8))</f>
        <v>45435909</v>
      </c>
      <c r="J8" s="2"/>
      <c r="K8" s="58">
        <v>47115</v>
      </c>
      <c r="M8" s="2"/>
      <c r="O8" s="2"/>
      <c r="Q8" s="2">
        <f>IF(G8="","",SUM(O8:O8))</f>
        <v>0</v>
      </c>
      <c r="S8" s="61">
        <f>IF(G8="","",+Q8/E8)</f>
        <v>0</v>
      </c>
      <c r="U8" s="61">
        <f>IF(G8="","",+O8/C8)</f>
        <v>0</v>
      </c>
    </row>
    <row r="9" spans="1:21" hidden="1" x14ac:dyDescent="0.2">
      <c r="A9" s="52">
        <v>43862</v>
      </c>
      <c r="C9" s="58">
        <v>47827273</v>
      </c>
      <c r="E9" s="2">
        <f>IF(G9="","",SUM(C8:C9))</f>
        <v>96719189</v>
      </c>
      <c r="G9" s="58">
        <v>36025112</v>
      </c>
      <c r="I9" s="2">
        <f>IF(G9="","",SUM(G8:G9))</f>
        <v>81461021</v>
      </c>
      <c r="J9" s="2"/>
      <c r="K9" s="58">
        <v>42087</v>
      </c>
      <c r="M9" s="2"/>
      <c r="O9" s="2">
        <f>IF(G9="","",+C9-G9-K9)</f>
        <v>11760074</v>
      </c>
      <c r="Q9" s="2">
        <f>IF(G9="","",SUM(O8:O9))</f>
        <v>11760074</v>
      </c>
      <c r="S9" s="61">
        <f>IF(G9="","",+Q9/E9)</f>
        <v>0.12158987395975787</v>
      </c>
      <c r="U9" s="61">
        <f>IF(G9="","",+O9/C9)</f>
        <v>0.245886358605476</v>
      </c>
    </row>
    <row r="10" spans="1:21" hidden="1" x14ac:dyDescent="0.2">
      <c r="A10" s="52">
        <v>43891</v>
      </c>
      <c r="C10" s="58">
        <v>37921170</v>
      </c>
      <c r="E10" s="2">
        <f>IF(G10="","",SUM(C8:C10))</f>
        <v>134640359</v>
      </c>
      <c r="G10" s="58">
        <v>31762535</v>
      </c>
      <c r="I10" s="2">
        <f>IF(G10="","",SUM(G8:G10))</f>
        <v>113223556</v>
      </c>
      <c r="J10" s="2"/>
      <c r="K10" s="58">
        <v>36370</v>
      </c>
      <c r="M10" s="2"/>
      <c r="O10" s="2">
        <f t="shared" ref="O10:O26" si="0">IF(G10="","",+C10-G10-K10)</f>
        <v>6122265</v>
      </c>
      <c r="Q10" s="2">
        <f>IF(G10="","",SUM(O8:O10))</f>
        <v>17882339</v>
      </c>
      <c r="S10" s="61">
        <f>IF(G10="","",+Q10/E10)</f>
        <v>0.13281559209152138</v>
      </c>
      <c r="U10" s="61">
        <f>IF(G10="","",+O10/C10)</f>
        <v>0.16144715471595417</v>
      </c>
    </row>
    <row r="11" spans="1:21" hidden="1" x14ac:dyDescent="0.2">
      <c r="A11" s="52">
        <v>43941</v>
      </c>
      <c r="C11" s="58">
        <v>33434247</v>
      </c>
      <c r="D11" s="51"/>
      <c r="E11" s="2">
        <f>IF(G11="","",SUM(C8:C11))</f>
        <v>168074606</v>
      </c>
      <c r="F11" s="51"/>
      <c r="G11" s="58">
        <v>31559783</v>
      </c>
      <c r="H11" s="51"/>
      <c r="I11" s="2">
        <f>IF(G11="","",SUM(G8:G11))</f>
        <v>144783339</v>
      </c>
      <c r="J11" s="2"/>
      <c r="K11" s="58">
        <v>38212</v>
      </c>
      <c r="L11" s="51"/>
      <c r="M11" s="2"/>
      <c r="N11" s="51"/>
      <c r="O11" s="2">
        <f t="shared" si="0"/>
        <v>1836252</v>
      </c>
      <c r="P11" s="51"/>
      <c r="Q11" s="2">
        <f>IF(G11="","",SUM(O8:O11))</f>
        <v>19718591</v>
      </c>
      <c r="S11" s="61">
        <f>IF(G11="","",+Q11/E11)</f>
        <v>0.11732046541284172</v>
      </c>
      <c r="U11" s="61">
        <f>IF(G11="","",+O11/C11)</f>
        <v>5.4921290735215303E-2</v>
      </c>
    </row>
    <row r="12" spans="1:21" hidden="1" x14ac:dyDescent="0.2">
      <c r="A12" s="52">
        <v>43952</v>
      </c>
      <c r="C12" s="58">
        <v>33220824</v>
      </c>
      <c r="E12" s="2">
        <f>IF(G12="","",SUM(C8:C12))</f>
        <v>201295430</v>
      </c>
      <c r="G12" s="58">
        <v>34844816</v>
      </c>
      <c r="I12" s="2">
        <f>IF(G12="","",SUM(G8:G12))</f>
        <v>179628155</v>
      </c>
      <c r="J12" s="2"/>
      <c r="K12" s="58">
        <v>42222</v>
      </c>
      <c r="M12" s="2">
        <f t="shared" ref="M12:M26" si="1">IF(K12="","",SUM(K1:K12))</f>
        <v>206006</v>
      </c>
      <c r="O12" s="2">
        <f t="shared" si="0"/>
        <v>-1666214</v>
      </c>
      <c r="Q12" s="2">
        <f t="shared" ref="Q12:Q26" si="2">IF(I12="","",+E12-I12-M12)</f>
        <v>21461269</v>
      </c>
      <c r="S12" s="61">
        <f t="shared" ref="S12:S30" si="3">Q12/E12</f>
        <v>0.10661577860957897</v>
      </c>
      <c r="U12" s="61">
        <f t="shared" ref="U12:U38" si="4">O12/C12</f>
        <v>-5.0155709563375069E-2</v>
      </c>
    </row>
    <row r="13" spans="1:21" hidden="1" x14ac:dyDescent="0.2">
      <c r="A13" s="52">
        <v>43983</v>
      </c>
      <c r="C13" s="58">
        <v>36678754</v>
      </c>
      <c r="E13" s="2">
        <f>IF(G13="","",SUM(C8:C13))</f>
        <v>237974184</v>
      </c>
      <c r="G13" s="58">
        <v>43362742</v>
      </c>
      <c r="I13" s="2">
        <f>IF(G13="","",SUM(G8:G13))</f>
        <v>222990897</v>
      </c>
      <c r="J13" s="2"/>
      <c r="K13" s="58">
        <v>45809</v>
      </c>
      <c r="M13" s="2">
        <f t="shared" si="1"/>
        <v>251815</v>
      </c>
      <c r="O13" s="2">
        <f t="shared" si="0"/>
        <v>-6729797</v>
      </c>
      <c r="Q13" s="2">
        <f t="shared" si="2"/>
        <v>14731472</v>
      </c>
      <c r="S13" s="61">
        <f t="shared" si="3"/>
        <v>6.1903655902440242E-2</v>
      </c>
      <c r="U13" s="61">
        <f t="shared" si="4"/>
        <v>-0.18347943335261607</v>
      </c>
    </row>
    <row r="14" spans="1:21" hidden="1" x14ac:dyDescent="0.2">
      <c r="A14" s="52">
        <v>44013</v>
      </c>
      <c r="C14" s="58">
        <v>45644992</v>
      </c>
      <c r="E14" s="2">
        <f>IF(G14="","",SUM(C8:C14))</f>
        <v>283619176</v>
      </c>
      <c r="G14" s="58">
        <v>38194437</v>
      </c>
      <c r="I14" s="2">
        <f>IF(G14="","",SUM(G8:G14))</f>
        <v>261185334</v>
      </c>
      <c r="J14" s="2"/>
      <c r="K14" s="58">
        <v>42366</v>
      </c>
      <c r="M14" s="2">
        <f t="shared" si="1"/>
        <v>294181</v>
      </c>
      <c r="O14" s="2">
        <f t="shared" si="0"/>
        <v>7408189</v>
      </c>
      <c r="Q14" s="2">
        <f t="shared" si="2"/>
        <v>22139661</v>
      </c>
      <c r="S14" s="61">
        <f t="shared" si="3"/>
        <v>7.8061227425609614E-2</v>
      </c>
      <c r="U14" s="61">
        <f t="shared" si="4"/>
        <v>0.16230014894076442</v>
      </c>
    </row>
    <row r="15" spans="1:21" hidden="1" x14ac:dyDescent="0.2">
      <c r="A15" s="52">
        <v>44044</v>
      </c>
      <c r="C15" s="58">
        <v>40204670</v>
      </c>
      <c r="E15" s="2">
        <f>IF(G15="","",SUM(C8:C15))</f>
        <v>323823846</v>
      </c>
      <c r="G15" s="58">
        <v>37640051</v>
      </c>
      <c r="I15" s="2">
        <f>IF(G15="","",SUM(G8:G15))</f>
        <v>298825385</v>
      </c>
      <c r="J15" s="2"/>
      <c r="K15" s="58">
        <v>38962</v>
      </c>
      <c r="M15" s="2">
        <f t="shared" si="1"/>
        <v>333143</v>
      </c>
      <c r="O15" s="2">
        <f t="shared" si="0"/>
        <v>2525657</v>
      </c>
      <c r="Q15" s="2">
        <f t="shared" si="2"/>
        <v>24665318</v>
      </c>
      <c r="S15" s="61">
        <f t="shared" si="3"/>
        <v>7.6168936613766239E-2</v>
      </c>
      <c r="U15" s="61">
        <f t="shared" si="4"/>
        <v>6.281999081201263E-2</v>
      </c>
    </row>
    <row r="16" spans="1:21" hidden="1" x14ac:dyDescent="0.2">
      <c r="A16" s="52">
        <v>44075</v>
      </c>
      <c r="C16" s="58">
        <v>32725321</v>
      </c>
      <c r="E16" s="2">
        <f>IF(G16="","",SUM(C8:C16))</f>
        <v>356549167</v>
      </c>
      <c r="G16" s="58">
        <v>28882792</v>
      </c>
      <c r="I16" s="2">
        <f>IF(G16="","",SUM(G8:G16))</f>
        <v>327708177</v>
      </c>
      <c r="J16" s="2"/>
      <c r="K16" s="58">
        <v>37657</v>
      </c>
      <c r="M16" s="2">
        <f t="shared" si="1"/>
        <v>370800</v>
      </c>
      <c r="O16" s="2">
        <f t="shared" si="0"/>
        <v>3804872</v>
      </c>
      <c r="Q16" s="2">
        <f t="shared" si="2"/>
        <v>28470190</v>
      </c>
      <c r="S16" s="61">
        <f t="shared" si="3"/>
        <v>7.984926802535483E-2</v>
      </c>
      <c r="U16" s="61">
        <f t="shared" si="4"/>
        <v>0.1162669114842296</v>
      </c>
    </row>
    <row r="17" spans="1:21" hidden="1" x14ac:dyDescent="0.2">
      <c r="A17" s="52">
        <v>44105</v>
      </c>
      <c r="C17" s="58">
        <v>30764630</v>
      </c>
      <c r="E17" s="2">
        <f>IF(G17="","",SUM(C8:C17))</f>
        <v>387313797</v>
      </c>
      <c r="G17" s="58">
        <v>30899872</v>
      </c>
      <c r="I17" s="2">
        <f>IF(G17="","",SUM(G8:G17))</f>
        <v>358608049</v>
      </c>
      <c r="J17" s="2"/>
      <c r="K17" s="58">
        <v>36570</v>
      </c>
      <c r="M17" s="2">
        <f t="shared" si="1"/>
        <v>407370</v>
      </c>
      <c r="O17" s="2">
        <f t="shared" si="0"/>
        <v>-171812</v>
      </c>
      <c r="Q17" s="2">
        <f t="shared" si="2"/>
        <v>28298378</v>
      </c>
      <c r="S17" s="61">
        <f t="shared" si="3"/>
        <v>7.3063180860556853E-2</v>
      </c>
      <c r="U17" s="61">
        <f t="shared" si="4"/>
        <v>-5.5847250560140003E-3</v>
      </c>
    </row>
    <row r="18" spans="1:21" hidden="1" x14ac:dyDescent="0.2">
      <c r="A18" s="52">
        <v>44136</v>
      </c>
      <c r="C18" s="58">
        <v>36898834</v>
      </c>
      <c r="E18" s="2">
        <f>IF(G18="","",SUM(C8:C18))</f>
        <v>424212631</v>
      </c>
      <c r="G18" s="58">
        <v>39795636</v>
      </c>
      <c r="I18" s="2">
        <f>IF(G18="","",SUM(G8:G18))</f>
        <v>398403685</v>
      </c>
      <c r="J18" s="2"/>
      <c r="K18" s="58">
        <v>44818</v>
      </c>
      <c r="M18" s="2">
        <f t="shared" si="1"/>
        <v>452188</v>
      </c>
      <c r="O18" s="2">
        <f t="shared" si="0"/>
        <v>-2941620</v>
      </c>
      <c r="Q18" s="2">
        <f t="shared" si="2"/>
        <v>25356758</v>
      </c>
      <c r="S18" s="61">
        <f t="shared" si="3"/>
        <v>5.9773698723270687E-2</v>
      </c>
      <c r="U18" s="61">
        <f t="shared" si="4"/>
        <v>-7.9721218291071205E-2</v>
      </c>
    </row>
    <row r="19" spans="1:21" hidden="1" x14ac:dyDescent="0.2">
      <c r="A19" s="52">
        <v>44166</v>
      </c>
      <c r="C19" s="58">
        <v>54567788</v>
      </c>
      <c r="E19" s="2">
        <f t="shared" ref="E19:E24" si="5">IF(G19="","",SUM(C8:C19))</f>
        <v>478780419</v>
      </c>
      <c r="G19" s="58">
        <v>52681932</v>
      </c>
      <c r="I19" s="2">
        <f t="shared" ref="I19:I24" si="6">IF(G19="","",SUM(G8:G19))</f>
        <v>451085617</v>
      </c>
      <c r="J19" s="2"/>
      <c r="K19" s="58">
        <v>44525</v>
      </c>
      <c r="M19" s="2">
        <f t="shared" si="1"/>
        <v>496713</v>
      </c>
      <c r="O19" s="2">
        <f t="shared" si="0"/>
        <v>1841331</v>
      </c>
      <c r="Q19" s="2">
        <f t="shared" si="2"/>
        <v>27198089</v>
      </c>
      <c r="S19" s="61">
        <f t="shared" si="3"/>
        <v>5.6807020338899866E-2</v>
      </c>
      <c r="U19" s="61">
        <f t="shared" si="4"/>
        <v>3.3743918664982352E-2</v>
      </c>
    </row>
    <row r="20" spans="1:21" hidden="1" x14ac:dyDescent="0.2">
      <c r="A20" s="52">
        <v>44197</v>
      </c>
      <c r="C20" s="58">
        <v>57194370</v>
      </c>
      <c r="E20" s="2">
        <f t="shared" si="5"/>
        <v>487082873</v>
      </c>
      <c r="G20" s="58">
        <v>57700499</v>
      </c>
      <c r="I20" s="2">
        <f t="shared" si="6"/>
        <v>463350207</v>
      </c>
      <c r="J20" s="2"/>
      <c r="K20" s="58">
        <v>47523</v>
      </c>
      <c r="M20" s="2">
        <f t="shared" si="1"/>
        <v>497121</v>
      </c>
      <c r="O20" s="2">
        <f t="shared" si="0"/>
        <v>-553652</v>
      </c>
      <c r="Q20" s="2">
        <f t="shared" si="2"/>
        <v>23235545</v>
      </c>
      <c r="S20" s="61">
        <f t="shared" si="3"/>
        <v>4.7703473655087848E-2</v>
      </c>
      <c r="U20" s="61">
        <f t="shared" si="4"/>
        <v>-9.6801835565283791E-3</v>
      </c>
    </row>
    <row r="21" spans="1:21" hidden="1" x14ac:dyDescent="0.2">
      <c r="A21" s="52">
        <v>44228</v>
      </c>
      <c r="C21" s="58">
        <v>57131535</v>
      </c>
      <c r="E21" s="2">
        <f t="shared" si="5"/>
        <v>496387135</v>
      </c>
      <c r="G21" s="58">
        <v>53061915</v>
      </c>
      <c r="I21" s="2">
        <f t="shared" si="6"/>
        <v>480387010</v>
      </c>
      <c r="J21" s="2"/>
      <c r="K21" s="58">
        <v>43250</v>
      </c>
      <c r="M21" s="2">
        <f t="shared" si="1"/>
        <v>498284</v>
      </c>
      <c r="O21" s="2">
        <f t="shared" si="0"/>
        <v>4026370</v>
      </c>
      <c r="Q21" s="2">
        <f t="shared" si="2"/>
        <v>15501841</v>
      </c>
      <c r="S21" s="61">
        <f t="shared" si="3"/>
        <v>3.1229336755474131E-2</v>
      </c>
      <c r="U21" s="61">
        <f t="shared" si="4"/>
        <v>7.0475438827260636E-2</v>
      </c>
    </row>
    <row r="22" spans="1:21" hidden="1" x14ac:dyDescent="0.2">
      <c r="A22" s="52">
        <v>44256</v>
      </c>
      <c r="C22" s="58">
        <v>39299847</v>
      </c>
      <c r="E22" s="2">
        <f t="shared" si="5"/>
        <v>497765812</v>
      </c>
      <c r="G22" s="58">
        <v>36043882</v>
      </c>
      <c r="I22" s="2">
        <f t="shared" si="6"/>
        <v>484668357</v>
      </c>
      <c r="J22" s="2"/>
      <c r="K22" s="58">
        <v>34711</v>
      </c>
      <c r="M22" s="2">
        <f t="shared" si="1"/>
        <v>496625</v>
      </c>
      <c r="O22" s="2">
        <f t="shared" si="0"/>
        <v>3221254</v>
      </c>
      <c r="Q22" s="2">
        <f t="shared" si="2"/>
        <v>12600830</v>
      </c>
      <c r="S22" s="61">
        <f t="shared" si="3"/>
        <v>2.5314775937243357E-2</v>
      </c>
      <c r="U22" s="61">
        <f t="shared" si="4"/>
        <v>8.1966069740678632E-2</v>
      </c>
    </row>
    <row r="23" spans="1:21" hidden="1" x14ac:dyDescent="0.2">
      <c r="A23" s="52">
        <v>44287</v>
      </c>
      <c r="C23" s="58">
        <v>33601632</v>
      </c>
      <c r="E23" s="2">
        <f t="shared" si="5"/>
        <v>497933197</v>
      </c>
      <c r="G23" s="58">
        <v>32123151</v>
      </c>
      <c r="I23" s="2">
        <f t="shared" si="6"/>
        <v>485231725</v>
      </c>
      <c r="J23" s="2"/>
      <c r="K23" s="58">
        <v>37942</v>
      </c>
      <c r="M23" s="2">
        <f t="shared" si="1"/>
        <v>496355</v>
      </c>
      <c r="O23" s="2">
        <f t="shared" si="0"/>
        <v>1440539</v>
      </c>
      <c r="Q23" s="2">
        <f t="shared" si="2"/>
        <v>12205117</v>
      </c>
      <c r="S23" s="61">
        <f t="shared" si="3"/>
        <v>2.4511555111277308E-2</v>
      </c>
      <c r="U23" s="61">
        <f t="shared" si="4"/>
        <v>4.2871102213130598E-2</v>
      </c>
    </row>
    <row r="24" spans="1:21" hidden="1" x14ac:dyDescent="0.2">
      <c r="A24" s="52">
        <v>44317</v>
      </c>
      <c r="C24" s="58">
        <v>32441499</v>
      </c>
      <c r="E24" s="2">
        <f t="shared" si="5"/>
        <v>497153872</v>
      </c>
      <c r="G24" s="58">
        <v>36207108</v>
      </c>
      <c r="I24" s="2">
        <f t="shared" si="6"/>
        <v>486594017</v>
      </c>
      <c r="J24" s="2"/>
      <c r="K24" s="58">
        <v>41865</v>
      </c>
      <c r="M24" s="2">
        <f t="shared" si="1"/>
        <v>495998</v>
      </c>
      <c r="O24" s="2">
        <f t="shared" si="0"/>
        <v>-3807474</v>
      </c>
      <c r="Q24" s="2">
        <f t="shared" si="2"/>
        <v>10063857</v>
      </c>
      <c r="S24" s="61">
        <f t="shared" si="3"/>
        <v>2.0242942008103278E-2</v>
      </c>
      <c r="U24" s="61">
        <f t="shared" si="4"/>
        <v>-0.11736430551498252</v>
      </c>
    </row>
    <row r="25" spans="1:21" x14ac:dyDescent="0.2">
      <c r="A25" s="52">
        <v>44348</v>
      </c>
      <c r="C25" s="58">
        <v>37864776</v>
      </c>
      <c r="E25" s="2">
        <f t="shared" ref="E25:E30" si="7">IF(G25="","",SUM(C14:C25))</f>
        <v>498339894</v>
      </c>
      <c r="G25" s="58">
        <v>35434924</v>
      </c>
      <c r="I25" s="2">
        <f t="shared" ref="I25:I32" si="8">IF(G25="","",SUM(G14:G25))</f>
        <v>478666199</v>
      </c>
      <c r="J25" s="2"/>
      <c r="K25" s="58">
        <v>44818</v>
      </c>
      <c r="M25" s="2">
        <f t="shared" si="1"/>
        <v>495007</v>
      </c>
      <c r="O25" s="2">
        <f t="shared" si="0"/>
        <v>2385034</v>
      </c>
      <c r="Q25" s="2">
        <f t="shared" si="2"/>
        <v>19178688</v>
      </c>
      <c r="S25" s="61">
        <f t="shared" si="3"/>
        <v>3.8485154873031294E-2</v>
      </c>
      <c r="U25" s="61">
        <f t="shared" si="4"/>
        <v>6.2988197791002384E-2</v>
      </c>
    </row>
    <row r="26" spans="1:21" x14ac:dyDescent="0.2">
      <c r="A26" s="52">
        <v>44379</v>
      </c>
      <c r="C26" s="58">
        <v>42884751</v>
      </c>
      <c r="E26" s="2">
        <f t="shared" si="7"/>
        <v>495579653</v>
      </c>
      <c r="G26" s="58">
        <v>33851118</v>
      </c>
      <c r="I26" s="2">
        <f t="shared" si="8"/>
        <v>474322880</v>
      </c>
      <c r="J26" s="2"/>
      <c r="K26" s="58">
        <v>48404</v>
      </c>
      <c r="M26" s="2">
        <f t="shared" si="1"/>
        <v>501045</v>
      </c>
      <c r="O26" s="2">
        <f t="shared" si="0"/>
        <v>8985229</v>
      </c>
      <c r="Q26" s="2">
        <f t="shared" si="2"/>
        <v>20755728</v>
      </c>
      <c r="S26" s="61">
        <f t="shared" si="3"/>
        <v>4.1881719465992687E-2</v>
      </c>
      <c r="U26" s="61">
        <f t="shared" si="4"/>
        <v>0.209520372404634</v>
      </c>
    </row>
    <row r="27" spans="1:21" x14ac:dyDescent="0.2">
      <c r="A27" s="52">
        <v>44409</v>
      </c>
      <c r="C27" s="58">
        <v>42888566</v>
      </c>
      <c r="E27" s="2">
        <f t="shared" si="7"/>
        <v>498263549</v>
      </c>
      <c r="G27" s="58">
        <v>39730206</v>
      </c>
      <c r="I27" s="2">
        <f t="shared" si="8"/>
        <v>476413035</v>
      </c>
      <c r="J27" s="2"/>
      <c r="K27" s="58">
        <v>37942</v>
      </c>
      <c r="M27" s="2">
        <f t="shared" ref="M27:M32" si="9">IF(K27="","",SUM(K16:K27))</f>
        <v>500025</v>
      </c>
      <c r="O27" s="2">
        <f t="shared" ref="O27:O38" si="10">IF(G27="","",+C27-G27-K27)</f>
        <v>3120418</v>
      </c>
      <c r="Q27" s="2">
        <f t="shared" ref="Q27:Q32" si="11">IF(I27="","",+E27-I27-M27)</f>
        <v>21350489</v>
      </c>
      <c r="S27" s="61">
        <f t="shared" si="3"/>
        <v>4.2849791125298631E-2</v>
      </c>
      <c r="U27" s="61">
        <f t="shared" si="4"/>
        <v>7.2756407850054952E-2</v>
      </c>
    </row>
    <row r="28" spans="1:21" x14ac:dyDescent="0.2">
      <c r="A28" s="52">
        <v>44441</v>
      </c>
      <c r="C28" s="58">
        <v>35120907</v>
      </c>
      <c r="E28" s="2">
        <f t="shared" si="7"/>
        <v>500659135</v>
      </c>
      <c r="G28" s="58">
        <v>32738033</v>
      </c>
      <c r="I28" s="2">
        <f t="shared" si="8"/>
        <v>480268276</v>
      </c>
      <c r="K28" s="58">
        <v>40428</v>
      </c>
      <c r="M28" s="2">
        <f t="shared" si="9"/>
        <v>502796</v>
      </c>
      <c r="O28" s="2">
        <f t="shared" si="10"/>
        <v>2342446</v>
      </c>
      <c r="Q28" s="2">
        <f t="shared" si="11"/>
        <v>19888063</v>
      </c>
      <c r="S28" s="61">
        <f t="shared" si="3"/>
        <v>3.9723759359748825E-2</v>
      </c>
      <c r="U28" s="61">
        <f t="shared" si="4"/>
        <v>6.6696626029618192E-2</v>
      </c>
    </row>
    <row r="29" spans="1:21" x14ac:dyDescent="0.2">
      <c r="A29" s="52">
        <v>44471</v>
      </c>
      <c r="C29" s="58">
        <v>36933119</v>
      </c>
      <c r="E29" s="2">
        <f t="shared" si="7"/>
        <v>506827624</v>
      </c>
      <c r="G29" s="58">
        <v>39421019</v>
      </c>
      <c r="I29" s="2">
        <f t="shared" si="8"/>
        <v>488789423</v>
      </c>
      <c r="K29" s="58">
        <v>40295</v>
      </c>
      <c r="M29" s="2">
        <f t="shared" si="9"/>
        <v>506521</v>
      </c>
      <c r="O29" s="2">
        <f t="shared" si="10"/>
        <v>-2528195</v>
      </c>
      <c r="Q29" s="2">
        <f t="shared" si="11"/>
        <v>17531680</v>
      </c>
      <c r="S29" s="61">
        <f t="shared" si="3"/>
        <v>3.4591011163985018E-2</v>
      </c>
      <c r="U29" s="61">
        <f t="shared" si="4"/>
        <v>-6.8453330464724627E-2</v>
      </c>
    </row>
    <row r="30" spans="1:21" x14ac:dyDescent="0.2">
      <c r="A30" s="52">
        <v>44502</v>
      </c>
      <c r="C30" s="58">
        <v>48545981</v>
      </c>
      <c r="E30" s="2">
        <f t="shared" si="7"/>
        <v>518474771</v>
      </c>
      <c r="G30" s="58">
        <v>48146706</v>
      </c>
      <c r="I30" s="2">
        <f t="shared" si="8"/>
        <v>497140493</v>
      </c>
      <c r="K30" s="58">
        <v>41600</v>
      </c>
      <c r="M30" s="2">
        <f t="shared" si="9"/>
        <v>503303</v>
      </c>
      <c r="O30" s="2">
        <f t="shared" si="10"/>
        <v>357675</v>
      </c>
      <c r="Q30" s="2">
        <f t="shared" si="11"/>
        <v>20830975</v>
      </c>
      <c r="S30" s="61">
        <f t="shared" si="3"/>
        <v>4.0177412991229233E-2</v>
      </c>
      <c r="U30" s="61">
        <f t="shared" si="4"/>
        <v>7.3677571784984634E-3</v>
      </c>
    </row>
    <row r="31" spans="1:21" x14ac:dyDescent="0.2">
      <c r="A31" s="52">
        <v>44561</v>
      </c>
      <c r="C31" s="58">
        <v>48594381</v>
      </c>
      <c r="E31" s="2">
        <f t="shared" ref="E31:E38" si="12">IF(G31="","",SUM(C20:C31))</f>
        <v>512501364</v>
      </c>
      <c r="G31" s="58">
        <v>51784873</v>
      </c>
      <c r="I31" s="2">
        <f t="shared" si="8"/>
        <v>496243434</v>
      </c>
      <c r="K31" s="58">
        <v>50472</v>
      </c>
      <c r="M31" s="2">
        <f t="shared" si="9"/>
        <v>509250</v>
      </c>
      <c r="O31" s="2">
        <f t="shared" si="10"/>
        <v>-3240964</v>
      </c>
      <c r="Q31" s="2">
        <f t="shared" si="11"/>
        <v>15748680</v>
      </c>
      <c r="S31" s="61">
        <f t="shared" ref="S31:S38" si="13">Q31/E31</f>
        <v>3.0729049923074937E-2</v>
      </c>
      <c r="U31" s="61">
        <f t="shared" si="4"/>
        <v>-6.6694213061382554E-2</v>
      </c>
    </row>
    <row r="32" spans="1:21" x14ac:dyDescent="0.2">
      <c r="A32" s="52">
        <v>44592</v>
      </c>
      <c r="C32" s="58">
        <v>71102450</v>
      </c>
      <c r="E32" s="2">
        <f t="shared" si="12"/>
        <v>526409444</v>
      </c>
      <c r="G32" s="58">
        <v>66784071</v>
      </c>
      <c r="I32" s="2">
        <f t="shared" si="8"/>
        <v>505327006</v>
      </c>
      <c r="K32" s="58">
        <v>43414</v>
      </c>
      <c r="M32" s="2">
        <f t="shared" si="9"/>
        <v>505141</v>
      </c>
      <c r="O32" s="2">
        <f t="shared" si="10"/>
        <v>4274965</v>
      </c>
      <c r="Q32" s="2">
        <f t="shared" si="11"/>
        <v>20577297</v>
      </c>
      <c r="S32" s="61">
        <f t="shared" si="13"/>
        <v>3.9089908500957671E-2</v>
      </c>
      <c r="U32" s="61">
        <f t="shared" si="4"/>
        <v>6.0124018230032862E-2</v>
      </c>
    </row>
    <row r="33" spans="1:21" x14ac:dyDescent="0.2">
      <c r="A33" s="52">
        <v>44593</v>
      </c>
      <c r="C33" s="58">
        <v>55964234</v>
      </c>
      <c r="E33" s="2">
        <f t="shared" si="12"/>
        <v>525242143</v>
      </c>
      <c r="G33" s="58">
        <v>49052248</v>
      </c>
      <c r="I33" s="2">
        <f t="shared" ref="I33:I38" si="14">IF(G33="","",SUM(G22:G33))</f>
        <v>501317339</v>
      </c>
      <c r="K33" s="58">
        <v>42358</v>
      </c>
      <c r="M33" s="2">
        <f t="shared" ref="M33:M38" si="15">IF(K33="","",SUM(K22:K33))</f>
        <v>504249</v>
      </c>
      <c r="O33" s="2">
        <f t="shared" si="10"/>
        <v>6869628</v>
      </c>
      <c r="Q33" s="2">
        <f t="shared" ref="Q33:Q38" si="16">IF(I33="","",+E33-I33-M33)</f>
        <v>23420555</v>
      </c>
      <c r="S33" s="61">
        <f t="shared" si="13"/>
        <v>4.4590014933359984E-2</v>
      </c>
      <c r="U33" s="61">
        <f t="shared" si="4"/>
        <v>0.12275032657464766</v>
      </c>
    </row>
    <row r="34" spans="1:21" x14ac:dyDescent="0.2">
      <c r="A34" s="52">
        <v>44621</v>
      </c>
      <c r="C34" s="58">
        <v>49107963</v>
      </c>
      <c r="E34" s="2">
        <f t="shared" si="12"/>
        <v>535050259</v>
      </c>
      <c r="G34" s="58">
        <v>46294080</v>
      </c>
      <c r="I34" s="2">
        <f t="shared" si="14"/>
        <v>511567537</v>
      </c>
      <c r="K34" s="58">
        <v>40115</v>
      </c>
      <c r="M34" s="2">
        <f t="shared" si="15"/>
        <v>509653</v>
      </c>
      <c r="O34" s="2">
        <f t="shared" si="10"/>
        <v>2773768</v>
      </c>
      <c r="Q34" s="2">
        <f t="shared" si="16"/>
        <v>22973069</v>
      </c>
      <c r="S34" s="61">
        <f t="shared" si="13"/>
        <v>4.2936282365204873E-2</v>
      </c>
      <c r="U34" s="61">
        <f t="shared" si="4"/>
        <v>5.6483059580378032E-2</v>
      </c>
    </row>
    <row r="35" spans="1:21" x14ac:dyDescent="0.2">
      <c r="A35" s="52">
        <v>44653</v>
      </c>
      <c r="C35" s="58">
        <v>41823478</v>
      </c>
      <c r="E35" s="2">
        <f t="shared" si="12"/>
        <v>543272105</v>
      </c>
      <c r="G35" s="58">
        <v>38558126</v>
      </c>
      <c r="I35" s="2">
        <f t="shared" si="14"/>
        <v>518002512</v>
      </c>
      <c r="K35" s="58">
        <v>43452</v>
      </c>
      <c r="M35" s="2">
        <f t="shared" si="15"/>
        <v>515163</v>
      </c>
      <c r="O35" s="2">
        <f t="shared" si="10"/>
        <v>3221900</v>
      </c>
      <c r="Q35" s="2">
        <f t="shared" si="16"/>
        <v>24754430</v>
      </c>
      <c r="S35" s="61">
        <f t="shared" si="13"/>
        <v>4.5565435390797396E-2</v>
      </c>
      <c r="U35" s="61">
        <f t="shared" si="4"/>
        <v>7.7035678381410552E-2</v>
      </c>
    </row>
    <row r="36" spans="1:21" x14ac:dyDescent="0.2">
      <c r="A36" s="52">
        <v>44682</v>
      </c>
      <c r="C36" s="58">
        <v>39522698</v>
      </c>
      <c r="E36" s="2">
        <f t="shared" si="12"/>
        <v>550353304</v>
      </c>
      <c r="G36" s="58">
        <v>40867528</v>
      </c>
      <c r="I36" s="2">
        <f t="shared" si="14"/>
        <v>522662932</v>
      </c>
      <c r="K36" s="58">
        <v>47843</v>
      </c>
      <c r="M36" s="2">
        <f t="shared" si="15"/>
        <v>521141</v>
      </c>
      <c r="O36" s="2">
        <f t="shared" si="10"/>
        <v>-1392673</v>
      </c>
      <c r="Q36" s="2">
        <f t="shared" si="16"/>
        <v>27169231</v>
      </c>
      <c r="S36" s="61">
        <f t="shared" si="13"/>
        <v>4.9366889964196525E-2</v>
      </c>
      <c r="U36" s="61">
        <f t="shared" si="4"/>
        <v>-3.5237295793925809E-2</v>
      </c>
    </row>
    <row r="37" spans="1:21" x14ac:dyDescent="0.2">
      <c r="A37" s="52">
        <v>44713</v>
      </c>
      <c r="C37" s="58">
        <v>48907027</v>
      </c>
      <c r="E37" s="2">
        <f t="shared" si="12"/>
        <v>561395555</v>
      </c>
      <c r="G37" s="58">
        <v>49421347</v>
      </c>
      <c r="I37" s="2">
        <f t="shared" si="14"/>
        <v>536649355</v>
      </c>
      <c r="K37" s="58">
        <v>46574</v>
      </c>
      <c r="M37" s="2">
        <f t="shared" si="15"/>
        <v>522897</v>
      </c>
      <c r="O37" s="2">
        <f t="shared" si="10"/>
        <v>-560894</v>
      </c>
      <c r="Q37" s="2">
        <f t="shared" si="16"/>
        <v>24223303</v>
      </c>
      <c r="S37" s="61">
        <f t="shared" si="13"/>
        <v>4.314836978002079E-2</v>
      </c>
      <c r="U37" s="61">
        <f t="shared" si="4"/>
        <v>-1.1468576897957833E-2</v>
      </c>
    </row>
    <row r="38" spans="1:21" x14ac:dyDescent="0.2">
      <c r="A38" s="52">
        <v>44743</v>
      </c>
      <c r="C38" s="58">
        <v>48557247</v>
      </c>
      <c r="E38" s="2">
        <f t="shared" si="12"/>
        <v>567068051</v>
      </c>
      <c r="G38" s="58">
        <v>45112857</v>
      </c>
      <c r="I38" s="2">
        <f t="shared" si="14"/>
        <v>547911094</v>
      </c>
      <c r="K38" s="58">
        <v>47992</v>
      </c>
      <c r="M38" s="2">
        <f t="shared" si="15"/>
        <v>522485</v>
      </c>
      <c r="O38" s="2">
        <f t="shared" si="10"/>
        <v>3396398</v>
      </c>
      <c r="Q38" s="2">
        <f t="shared" si="16"/>
        <v>18634472</v>
      </c>
      <c r="S38" s="61">
        <f t="shared" si="13"/>
        <v>3.2861086014524914E-2</v>
      </c>
      <c r="U38" s="61">
        <f t="shared" si="4"/>
        <v>6.9946263633932956E-2</v>
      </c>
    </row>
    <row r="39" spans="1:21" x14ac:dyDescent="0.2">
      <c r="A39" s="52"/>
    </row>
    <row r="40" spans="1:21" x14ac:dyDescent="0.2">
      <c r="A40" s="52"/>
    </row>
    <row r="41" spans="1:21" x14ac:dyDescent="0.2">
      <c r="A41" s="52"/>
    </row>
    <row r="42" spans="1:21" x14ac:dyDescent="0.2">
      <c r="A42" s="52"/>
    </row>
  </sheetData>
  <phoneticPr fontId="0" type="noConversion"/>
  <pageMargins left="0.75" right="0.72" top="0.5" bottom="0.21" header="0.5" footer="0.21"/>
  <pageSetup scale="62" orientation="landscape" r:id="rId1"/>
  <headerFooter alignWithMargins="0">
    <oddFooter>&amp;L&amp;"Arial,Bold"&amp;9&amp;D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FAC1</vt:lpstr>
      <vt:lpstr>FAC2</vt:lpstr>
      <vt:lpstr>AVERAGE</vt:lpstr>
      <vt:lpstr>AVERAGE!Print_Area</vt:lpstr>
      <vt:lpstr>'FAC1'!Print_Area</vt:lpstr>
      <vt:lpstr>'FAC2'!Print_Area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Wayne Davis</dc:creator>
  <cp:lastModifiedBy>Alyssa Kurtz</cp:lastModifiedBy>
  <cp:lastPrinted>2022-09-09T18:27:14Z</cp:lastPrinted>
  <dcterms:created xsi:type="dcterms:W3CDTF">1999-04-07T18:37:46Z</dcterms:created>
  <dcterms:modified xsi:type="dcterms:W3CDTF">2024-06-12T19:05:13Z</dcterms:modified>
</cp:coreProperties>
</file>