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dwards\Desktop\"/>
    </mc:Choice>
  </mc:AlternateContent>
  <xr:revisionPtr revIDLastSave="0" documentId="8_{5CB0D29D-BA21-4B2F-A818-8AA2DCDBBC5D}" xr6:coauthVersionLast="36" xr6:coauthVersionMax="36" xr10:uidLastSave="{00000000-0000-0000-0000-000000000000}"/>
  <bookViews>
    <workbookView xWindow="0" yWindow="0" windowWidth="24720" windowHeight="10905" firstSheet="10" activeTab="24" xr2:uid="{7D683D04-3DC1-4013-BF76-65927E46C03F}"/>
  </bookViews>
  <sheets>
    <sheet name="DATA" sheetId="44" r:id="rId1"/>
    <sheet name="NOV20" sheetId="20" r:id="rId2"/>
    <sheet name="DEC20" sheetId="21" r:id="rId3"/>
    <sheet name="JAN21" sheetId="22" r:id="rId4"/>
    <sheet name="FEB21" sheetId="23" r:id="rId5"/>
    <sheet name="MAR21" sheetId="24" r:id="rId6"/>
    <sheet name="APR21" sheetId="25" r:id="rId7"/>
    <sheet name="MAY21" sheetId="26" r:id="rId8"/>
    <sheet name="JUN21" sheetId="27" r:id="rId9"/>
    <sheet name="JUL21" sheetId="28" r:id="rId10"/>
    <sheet name="AUG21" sheetId="29" r:id="rId11"/>
    <sheet name="SEP21" sheetId="30" r:id="rId12"/>
    <sheet name="OCT21" sheetId="31" r:id="rId13"/>
    <sheet name="NOV21" sheetId="32" r:id="rId14"/>
    <sheet name="DEC21" sheetId="33" r:id="rId15"/>
    <sheet name="JAN22" sheetId="34" r:id="rId16"/>
    <sheet name="FEB22" sheetId="35" r:id="rId17"/>
    <sheet name="MAR22" sheetId="36" r:id="rId18"/>
    <sheet name="APR22" sheetId="37" r:id="rId19"/>
    <sheet name="MAY22" sheetId="38" r:id="rId20"/>
    <sheet name="JUN22" sheetId="39" r:id="rId21"/>
    <sheet name="JUL22" sheetId="40" r:id="rId22"/>
    <sheet name="AUG22" sheetId="41" r:id="rId23"/>
    <sheet name="SEP22" sheetId="42" r:id="rId24"/>
    <sheet name="OCT22" sheetId="43" r:id="rId25"/>
  </sheets>
  <externalReferences>
    <externalReference r:id="rId26"/>
  </externalReferences>
  <definedNames>
    <definedName name="_xlnm.Print_Area" localSheetId="6">'APR21'!$A$1:$L$70</definedName>
    <definedName name="_xlnm.Print_Area" localSheetId="18">'APR22'!$A$1:$L$70</definedName>
    <definedName name="_xlnm.Print_Area" localSheetId="10">'AUG21'!$A$1:$L$70</definedName>
    <definedName name="_xlnm.Print_Area" localSheetId="22">'AUG22'!$A$1:$L$70</definedName>
    <definedName name="_xlnm.Print_Area" localSheetId="2">'DEC20'!$A$1:$L$70</definedName>
    <definedName name="_xlnm.Print_Area" localSheetId="14">'DEC21'!$A$1:$L$70</definedName>
    <definedName name="_xlnm.Print_Area" localSheetId="4">'FEB21'!$A$1:$L$70</definedName>
    <definedName name="_xlnm.Print_Area" localSheetId="16">'FEB22'!$A$1:$L$70</definedName>
    <definedName name="_xlnm.Print_Area" localSheetId="3">'JAN21'!$A$1:$L$70</definedName>
    <definedName name="_xlnm.Print_Area" localSheetId="15">'JAN22'!$A$1:$L$70</definedName>
    <definedName name="_xlnm.Print_Area" localSheetId="9">'JUL21'!$A$1:$L$70</definedName>
    <definedName name="_xlnm.Print_Area" localSheetId="21">'JUL22'!$A$1:$L$70</definedName>
    <definedName name="_xlnm.Print_Area" localSheetId="8">'JUN21'!$A$1:$L$70</definedName>
    <definedName name="_xlnm.Print_Area" localSheetId="20">'JUN22'!$A$1:$L$70</definedName>
    <definedName name="_xlnm.Print_Area" localSheetId="5">'MAR21'!$A$1:$L$70</definedName>
    <definedName name="_xlnm.Print_Area" localSheetId="17">'MAR22'!$A$1:$L$70</definedName>
    <definedName name="_xlnm.Print_Area" localSheetId="7">'MAY21'!$A$1:$L$70</definedName>
    <definedName name="_xlnm.Print_Area" localSheetId="19">'MAY22'!$A$1:$L$70</definedName>
    <definedName name="_xlnm.Print_Area" localSheetId="1">'NOV20'!$A$1:$L$70</definedName>
    <definedName name="_xlnm.Print_Area" localSheetId="13">'NOV21'!$A$1:$L$70</definedName>
    <definedName name="_xlnm.Print_Area" localSheetId="12">'OCT21'!$A$1:$L$70</definedName>
    <definedName name="_xlnm.Print_Area" localSheetId="24">'OCT22'!$A$1:$L$70</definedName>
    <definedName name="_xlnm.Print_Area" localSheetId="11">'SEP21'!$A$1:$L$70</definedName>
    <definedName name="_xlnm.Print_Area" localSheetId="23">'SEP22'!$A$1:$L$70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44" l="1"/>
  <c r="S34" i="44" s="1"/>
  <c r="S36" i="44" s="1"/>
  <c r="T25" i="44" l="1"/>
  <c r="T24" i="44"/>
  <c r="T23" i="44"/>
  <c r="T22" i="44"/>
  <c r="T21" i="44"/>
  <c r="T20" i="44"/>
  <c r="T19" i="44"/>
  <c r="T18" i="44"/>
  <c r="T16" i="44"/>
  <c r="T17" i="44"/>
  <c r="T15" i="44"/>
  <c r="T14" i="44"/>
  <c r="T13" i="44"/>
  <c r="T12" i="44"/>
  <c r="T11" i="44"/>
  <c r="T10" i="44"/>
  <c r="T9" i="44"/>
  <c r="T8" i="44"/>
  <c r="T7" i="44"/>
  <c r="T6" i="44"/>
  <c r="T5" i="44"/>
  <c r="T4" i="44"/>
  <c r="T3" i="44"/>
  <c r="U3" i="44"/>
  <c r="U2" i="44"/>
  <c r="T2" i="44"/>
  <c r="D27" i="44"/>
  <c r="O27" i="44"/>
  <c r="L27" i="44"/>
  <c r="M27" i="44"/>
  <c r="N27" i="44"/>
  <c r="K27" i="44"/>
  <c r="R3" i="44"/>
  <c r="R4" i="44"/>
  <c r="R5" i="44"/>
  <c r="R6" i="44"/>
  <c r="R7" i="44"/>
  <c r="R8" i="44"/>
  <c r="R9" i="44"/>
  <c r="R10" i="44"/>
  <c r="R11" i="44"/>
  <c r="R12" i="44"/>
  <c r="R13" i="44"/>
  <c r="R14" i="44"/>
  <c r="R15" i="44"/>
  <c r="R16" i="44"/>
  <c r="R17" i="44"/>
  <c r="R18" i="44"/>
  <c r="R19" i="44"/>
  <c r="R20" i="44"/>
  <c r="R21" i="44"/>
  <c r="R22" i="44"/>
  <c r="R23" i="44"/>
  <c r="R24" i="44"/>
  <c r="R25" i="44"/>
  <c r="O3" i="44"/>
  <c r="O4" i="44"/>
  <c r="O5" i="44"/>
  <c r="O6" i="44"/>
  <c r="O7" i="44"/>
  <c r="O8" i="44"/>
  <c r="O9" i="44"/>
  <c r="O10" i="44"/>
  <c r="O11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" i="44"/>
  <c r="L3" i="44"/>
  <c r="M3" i="44"/>
  <c r="N3" i="44"/>
  <c r="L4" i="44"/>
  <c r="M4" i="44"/>
  <c r="N4" i="44"/>
  <c r="L5" i="44"/>
  <c r="M5" i="44"/>
  <c r="N5" i="44"/>
  <c r="L6" i="44"/>
  <c r="M6" i="44"/>
  <c r="N6" i="44"/>
  <c r="L7" i="44"/>
  <c r="M7" i="44"/>
  <c r="N7" i="44"/>
  <c r="L8" i="44"/>
  <c r="M8" i="44"/>
  <c r="N8" i="44"/>
  <c r="L9" i="44"/>
  <c r="M9" i="44"/>
  <c r="N9" i="44"/>
  <c r="L10" i="44"/>
  <c r="M10" i="44"/>
  <c r="N10" i="44"/>
  <c r="L11" i="44"/>
  <c r="M11" i="44"/>
  <c r="N11" i="44"/>
  <c r="L12" i="44"/>
  <c r="M12" i="44"/>
  <c r="N12" i="44"/>
  <c r="L13" i="44"/>
  <c r="M13" i="44"/>
  <c r="N13" i="44"/>
  <c r="L14" i="44"/>
  <c r="M14" i="44"/>
  <c r="N14" i="44"/>
  <c r="L15" i="44"/>
  <c r="M15" i="44"/>
  <c r="N15" i="44"/>
  <c r="L16" i="44"/>
  <c r="M16" i="44"/>
  <c r="N16" i="44"/>
  <c r="L17" i="44"/>
  <c r="M17" i="44"/>
  <c r="N17" i="44"/>
  <c r="L18" i="44"/>
  <c r="M18" i="44"/>
  <c r="N18" i="44"/>
  <c r="L19" i="44"/>
  <c r="M19" i="44"/>
  <c r="N19" i="44"/>
  <c r="L20" i="44"/>
  <c r="M20" i="44"/>
  <c r="N20" i="44"/>
  <c r="L21" i="44"/>
  <c r="M21" i="44"/>
  <c r="N21" i="44"/>
  <c r="L22" i="44"/>
  <c r="M22" i="44"/>
  <c r="N22" i="44"/>
  <c r="L23" i="44"/>
  <c r="M23" i="44"/>
  <c r="N23" i="44"/>
  <c r="L24" i="44"/>
  <c r="M24" i="44"/>
  <c r="N24" i="44"/>
  <c r="L25" i="44"/>
  <c r="M25" i="44"/>
  <c r="N25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7" i="44"/>
  <c r="K6" i="44"/>
  <c r="K5" i="44"/>
  <c r="K4" i="44"/>
  <c r="K3" i="44"/>
  <c r="N2" i="44"/>
  <c r="L2" i="44"/>
  <c r="M2" i="44"/>
  <c r="K2" i="44"/>
  <c r="E30" i="43"/>
  <c r="E24" i="43"/>
  <c r="E12" i="43"/>
  <c r="E14" i="43" s="1"/>
  <c r="E17" i="43" s="1"/>
  <c r="L23" i="43" s="1"/>
  <c r="E10" i="43"/>
  <c r="L9" i="43"/>
  <c r="E8" i="43"/>
  <c r="E30" i="42"/>
  <c r="E24" i="42"/>
  <c r="E12" i="42"/>
  <c r="E10" i="42"/>
  <c r="L9" i="42"/>
  <c r="E8" i="42"/>
  <c r="L15" i="42" s="1"/>
  <c r="E30" i="41"/>
  <c r="E24" i="41"/>
  <c r="E23" i="41" s="1"/>
  <c r="E26" i="41" s="1"/>
  <c r="E12" i="41"/>
  <c r="E10" i="41"/>
  <c r="L9" i="41"/>
  <c r="E8" i="41"/>
  <c r="E30" i="40"/>
  <c r="E24" i="40"/>
  <c r="E12" i="40"/>
  <c r="E10" i="40"/>
  <c r="L9" i="40"/>
  <c r="E8" i="40"/>
  <c r="L15" i="40" s="1"/>
  <c r="E30" i="39"/>
  <c r="E24" i="39"/>
  <c r="E12" i="39"/>
  <c r="E10" i="39"/>
  <c r="L9" i="39"/>
  <c r="E8" i="39"/>
  <c r="E30" i="38"/>
  <c r="E24" i="38"/>
  <c r="E12" i="38"/>
  <c r="E10" i="38"/>
  <c r="L9" i="38"/>
  <c r="E8" i="38"/>
  <c r="L21" i="43"/>
  <c r="E19" i="43"/>
  <c r="L15" i="43"/>
  <c r="L17" i="43" s="1"/>
  <c r="L21" i="42"/>
  <c r="E19" i="42"/>
  <c r="L21" i="41"/>
  <c r="E19" i="41"/>
  <c r="L15" i="41"/>
  <c r="L17" i="41" s="1"/>
  <c r="L21" i="40"/>
  <c r="E19" i="40"/>
  <c r="L21" i="39"/>
  <c r="E19" i="39"/>
  <c r="L15" i="39"/>
  <c r="L21" i="38"/>
  <c r="E19" i="38"/>
  <c r="E14" i="38"/>
  <c r="E23" i="38"/>
  <c r="E26" i="38" s="1"/>
  <c r="E30" i="37"/>
  <c r="E24" i="37"/>
  <c r="E12" i="37"/>
  <c r="E10" i="37"/>
  <c r="E14" i="37" s="1"/>
  <c r="E17" i="37" s="1"/>
  <c r="L23" i="37" s="1"/>
  <c r="L9" i="37"/>
  <c r="E8" i="37"/>
  <c r="L15" i="37" s="1"/>
  <c r="L17" i="37" s="1"/>
  <c r="E30" i="36"/>
  <c r="E24" i="36"/>
  <c r="E12" i="36"/>
  <c r="E10" i="36"/>
  <c r="E14" i="36" s="1"/>
  <c r="E17" i="36" s="1"/>
  <c r="L23" i="36" s="1"/>
  <c r="L9" i="36"/>
  <c r="E8" i="36"/>
  <c r="L15" i="36" s="1"/>
  <c r="E30" i="35"/>
  <c r="E24" i="35"/>
  <c r="E12" i="35"/>
  <c r="E10" i="35"/>
  <c r="E14" i="35" s="1"/>
  <c r="L9" i="35"/>
  <c r="E8" i="35"/>
  <c r="E30" i="34"/>
  <c r="E24" i="34"/>
  <c r="E12" i="34"/>
  <c r="E14" i="34" s="1"/>
  <c r="E17" i="34" s="1"/>
  <c r="L23" i="34" s="1"/>
  <c r="E10" i="34"/>
  <c r="L9" i="34"/>
  <c r="E8" i="34"/>
  <c r="E30" i="33"/>
  <c r="E24" i="33"/>
  <c r="E12" i="33"/>
  <c r="E10" i="33"/>
  <c r="E23" i="33" s="1"/>
  <c r="E26" i="33" s="1"/>
  <c r="L9" i="33"/>
  <c r="E8" i="33"/>
  <c r="L15" i="33" s="1"/>
  <c r="E30" i="32"/>
  <c r="E24" i="32"/>
  <c r="E12" i="32"/>
  <c r="E10" i="32"/>
  <c r="E14" i="32" s="1"/>
  <c r="E17" i="32" s="1"/>
  <c r="L23" i="32" s="1"/>
  <c r="L9" i="32"/>
  <c r="E8" i="32"/>
  <c r="L15" i="32" s="1"/>
  <c r="E30" i="31"/>
  <c r="E24" i="31"/>
  <c r="E12" i="31"/>
  <c r="E10" i="31"/>
  <c r="E14" i="31" s="1"/>
  <c r="E17" i="31" s="1"/>
  <c r="L23" i="31" s="1"/>
  <c r="L9" i="31"/>
  <c r="E8" i="31"/>
  <c r="L21" i="37"/>
  <c r="E19" i="37"/>
  <c r="L21" i="36"/>
  <c r="E19" i="36"/>
  <c r="L21" i="35"/>
  <c r="E19" i="35"/>
  <c r="L21" i="34"/>
  <c r="E19" i="34"/>
  <c r="L15" i="34"/>
  <c r="L17" i="34" s="1"/>
  <c r="L21" i="33"/>
  <c r="E19" i="33"/>
  <c r="L21" i="32"/>
  <c r="E19" i="32"/>
  <c r="L21" i="31"/>
  <c r="E19" i="31"/>
  <c r="L15" i="31"/>
  <c r="E30" i="30"/>
  <c r="E24" i="30"/>
  <c r="E12" i="30"/>
  <c r="E10" i="30"/>
  <c r="L9" i="30"/>
  <c r="L17" i="30" s="1"/>
  <c r="E8" i="30"/>
  <c r="L15" i="30" s="1"/>
  <c r="E30" i="29"/>
  <c r="E24" i="29"/>
  <c r="E12" i="29"/>
  <c r="E10" i="29"/>
  <c r="E14" i="29" s="1"/>
  <c r="E17" i="29" s="1"/>
  <c r="L23" i="29" s="1"/>
  <c r="L9" i="29"/>
  <c r="E8" i="29"/>
  <c r="E30" i="28"/>
  <c r="E24" i="28"/>
  <c r="E12" i="28"/>
  <c r="E14" i="28" s="1"/>
  <c r="E17" i="28" s="1"/>
  <c r="L23" i="28" s="1"/>
  <c r="E10" i="28"/>
  <c r="L9" i="28"/>
  <c r="E8" i="28"/>
  <c r="E30" i="27"/>
  <c r="E24" i="27"/>
  <c r="E12" i="27"/>
  <c r="E10" i="27"/>
  <c r="E14" i="27" s="1"/>
  <c r="L9" i="27"/>
  <c r="E8" i="27"/>
  <c r="E30" i="26"/>
  <c r="E24" i="26"/>
  <c r="E12" i="26"/>
  <c r="E10" i="26"/>
  <c r="L9" i="26"/>
  <c r="E8" i="26"/>
  <c r="L15" i="26" s="1"/>
  <c r="E30" i="25"/>
  <c r="E24" i="25"/>
  <c r="E12" i="25"/>
  <c r="E10" i="25"/>
  <c r="L9" i="25"/>
  <c r="E8" i="25"/>
  <c r="L15" i="25" s="1"/>
  <c r="E30" i="24"/>
  <c r="E24" i="24"/>
  <c r="E12" i="24"/>
  <c r="E10" i="24"/>
  <c r="L9" i="24"/>
  <c r="E8" i="24"/>
  <c r="L15" i="24" s="1"/>
  <c r="L21" i="30"/>
  <c r="E19" i="30"/>
  <c r="E14" i="30"/>
  <c r="E23" i="30"/>
  <c r="E26" i="30" s="1"/>
  <c r="L21" i="29"/>
  <c r="E19" i="29"/>
  <c r="L15" i="29"/>
  <c r="L17" i="29" s="1"/>
  <c r="L21" i="28"/>
  <c r="E19" i="28"/>
  <c r="L15" i="28"/>
  <c r="L21" i="27"/>
  <c r="E19" i="27"/>
  <c r="L21" i="26"/>
  <c r="E19" i="26"/>
  <c r="L21" i="25"/>
  <c r="E19" i="25"/>
  <c r="L21" i="24"/>
  <c r="E19" i="24"/>
  <c r="E30" i="23"/>
  <c r="E30" i="22"/>
  <c r="E12" i="23"/>
  <c r="E10" i="23"/>
  <c r="L9" i="23"/>
  <c r="E8" i="23"/>
  <c r="E24" i="23"/>
  <c r="L21" i="23"/>
  <c r="E19" i="23"/>
  <c r="L15" i="23"/>
  <c r="E12" i="22"/>
  <c r="E10" i="22"/>
  <c r="L9" i="22"/>
  <c r="E8" i="22"/>
  <c r="L15" i="22" s="1"/>
  <c r="E24" i="22"/>
  <c r="L21" i="22"/>
  <c r="E19" i="22"/>
  <c r="E30" i="21"/>
  <c r="E24" i="21"/>
  <c r="E12" i="21"/>
  <c r="E10" i="21"/>
  <c r="L9" i="21"/>
  <c r="E8" i="21"/>
  <c r="L9" i="20"/>
  <c r="E30" i="20"/>
  <c r="E24" i="20"/>
  <c r="E12" i="20"/>
  <c r="E10" i="20"/>
  <c r="E8" i="20"/>
  <c r="L21" i="20"/>
  <c r="E19" i="20"/>
  <c r="L21" i="21"/>
  <c r="E19" i="21"/>
  <c r="L15" i="21"/>
  <c r="L17" i="21" s="1"/>
  <c r="E14" i="21"/>
  <c r="E17" i="21" s="1"/>
  <c r="L23" i="21" s="1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E4" i="44"/>
  <c r="E3" i="44"/>
  <c r="E2" i="44"/>
  <c r="U4" i="44" l="1"/>
  <c r="U5" i="44" s="1"/>
  <c r="U6" i="44" s="1"/>
  <c r="U7" i="44" s="1"/>
  <c r="U8" i="44" s="1"/>
  <c r="U9" i="44" s="1"/>
  <c r="U10" i="44" s="1"/>
  <c r="U11" i="44" s="1"/>
  <c r="U12" i="44" s="1"/>
  <c r="U13" i="44" s="1"/>
  <c r="U14" i="44" s="1"/>
  <c r="U15" i="44" s="1"/>
  <c r="U16" i="44" s="1"/>
  <c r="U17" i="44" s="1"/>
  <c r="U18" i="44" s="1"/>
  <c r="U19" i="44" s="1"/>
  <c r="U20" i="44" s="1"/>
  <c r="U21" i="44" s="1"/>
  <c r="U22" i="44" s="1"/>
  <c r="U23" i="44" s="1"/>
  <c r="U24" i="44" s="1"/>
  <c r="U25" i="44" s="1"/>
  <c r="R2" i="44"/>
  <c r="L17" i="22"/>
  <c r="L17" i="32"/>
  <c r="E23" i="25"/>
  <c r="E26" i="25" s="1"/>
  <c r="E14" i="40"/>
  <c r="E17" i="40" s="1"/>
  <c r="L23" i="40" s="1"/>
  <c r="E14" i="42"/>
  <c r="E17" i="42" s="1"/>
  <c r="L23" i="42" s="1"/>
  <c r="L17" i="42"/>
  <c r="L17" i="24"/>
  <c r="L17" i="26"/>
  <c r="L17" i="31"/>
  <c r="L17" i="40"/>
  <c r="L17" i="28"/>
  <c r="E14" i="23"/>
  <c r="E17" i="23" s="1"/>
  <c r="L23" i="23" s="1"/>
  <c r="E14" i="24"/>
  <c r="E17" i="24" s="1"/>
  <c r="L23" i="24" s="1"/>
  <c r="E14" i="26"/>
  <c r="E17" i="26" s="1"/>
  <c r="L23" i="26" s="1"/>
  <c r="L17" i="39"/>
  <c r="E14" i="39"/>
  <c r="E17" i="39" s="1"/>
  <c r="L23" i="39" s="1"/>
  <c r="E14" i="41"/>
  <c r="E17" i="41" s="1"/>
  <c r="L23" i="41" s="1"/>
  <c r="E23" i="27"/>
  <c r="E26" i="27" s="1"/>
  <c r="E14" i="25"/>
  <c r="E17" i="25" s="1"/>
  <c r="L23" i="25" s="1"/>
  <c r="E14" i="22"/>
  <c r="E17" i="22" s="1"/>
  <c r="L23" i="22" s="1"/>
  <c r="E17" i="38"/>
  <c r="L23" i="38" s="1"/>
  <c r="E23" i="32"/>
  <c r="E26" i="32" s="1"/>
  <c r="E23" i="34"/>
  <c r="E26" i="34" s="1"/>
  <c r="E23" i="36"/>
  <c r="E26" i="36" s="1"/>
  <c r="E23" i="43"/>
  <c r="E26" i="43" s="1"/>
  <c r="E23" i="42"/>
  <c r="E26" i="42" s="1"/>
  <c r="E23" i="40"/>
  <c r="E26" i="40" s="1"/>
  <c r="E23" i="39"/>
  <c r="E26" i="39" s="1"/>
  <c r="L15" i="38"/>
  <c r="L17" i="38" s="1"/>
  <c r="E23" i="37"/>
  <c r="E26" i="37" s="1"/>
  <c r="L17" i="36"/>
  <c r="E17" i="35"/>
  <c r="L23" i="35" s="1"/>
  <c r="L17" i="35"/>
  <c r="E23" i="35"/>
  <c r="E26" i="35" s="1"/>
  <c r="L15" i="35"/>
  <c r="L17" i="33"/>
  <c r="E14" i="33"/>
  <c r="E17" i="33" s="1"/>
  <c r="L23" i="33" s="1"/>
  <c r="E23" i="31"/>
  <c r="E26" i="31" s="1"/>
  <c r="E17" i="30"/>
  <c r="L23" i="30" s="1"/>
  <c r="E23" i="29"/>
  <c r="E26" i="29" s="1"/>
  <c r="E23" i="28"/>
  <c r="E26" i="28" s="1"/>
  <c r="E17" i="27"/>
  <c r="L23" i="27" s="1"/>
  <c r="L15" i="27"/>
  <c r="L17" i="27" s="1"/>
  <c r="E23" i="26"/>
  <c r="E26" i="26" s="1"/>
  <c r="L17" i="25"/>
  <c r="E23" i="24"/>
  <c r="E26" i="24" s="1"/>
  <c r="L17" i="23"/>
  <c r="E23" i="23"/>
  <c r="E26" i="23" s="1"/>
  <c r="E23" i="22"/>
  <c r="E26" i="22" s="1"/>
  <c r="E14" i="20"/>
  <c r="E17" i="20" s="1"/>
  <c r="L23" i="20" s="1"/>
  <c r="E23" i="20"/>
  <c r="E26" i="20" s="1"/>
  <c r="L15" i="20"/>
  <c r="L17" i="20" s="1"/>
  <c r="E23" i="21"/>
  <c r="E26" i="21" s="1"/>
  <c r="J62" i="43"/>
  <c r="I62" i="43"/>
  <c r="H62" i="43"/>
  <c r="L6" i="43"/>
  <c r="J62" i="42"/>
  <c r="I62" i="42"/>
  <c r="H62" i="42"/>
  <c r="L6" i="42"/>
  <c r="J62" i="41"/>
  <c r="I62" i="41"/>
  <c r="H62" i="41"/>
  <c r="L6" i="41"/>
  <c r="J62" i="40"/>
  <c r="I62" i="40"/>
  <c r="H62" i="40"/>
  <c r="L6" i="40"/>
  <c r="I60" i="39"/>
  <c r="J62" i="39"/>
  <c r="I62" i="39"/>
  <c r="H62" i="39"/>
  <c r="L6" i="39"/>
  <c r="J62" i="38"/>
  <c r="I62" i="38"/>
  <c r="H62" i="38"/>
  <c r="L6" i="38"/>
  <c r="J62" i="37"/>
  <c r="I62" i="37"/>
  <c r="H62" i="37"/>
  <c r="L6" i="37"/>
  <c r="J62" i="36"/>
  <c r="I62" i="36"/>
  <c r="H62" i="36"/>
  <c r="L6" i="36"/>
  <c r="J62" i="35"/>
  <c r="I62" i="35"/>
  <c r="H62" i="35"/>
  <c r="L6" i="35"/>
  <c r="J62" i="34"/>
  <c r="I62" i="34"/>
  <c r="H62" i="34"/>
  <c r="L6" i="34"/>
  <c r="J62" i="33"/>
  <c r="I62" i="33"/>
  <c r="H62" i="33"/>
  <c r="L6" i="33"/>
  <c r="J62" i="32"/>
  <c r="I62" i="32"/>
  <c r="H62" i="32"/>
  <c r="L6" i="32"/>
  <c r="J62" i="31"/>
  <c r="J60" i="43" s="1"/>
  <c r="I62" i="31"/>
  <c r="I60" i="43" s="1"/>
  <c r="H62" i="31"/>
  <c r="H60" i="43" s="1"/>
  <c r="L6" i="31"/>
  <c r="J62" i="30"/>
  <c r="J60" i="42" s="1"/>
  <c r="I62" i="30"/>
  <c r="I60" i="42" s="1"/>
  <c r="H62" i="30"/>
  <c r="H60" i="42" s="1"/>
  <c r="L6" i="30"/>
  <c r="J62" i="29"/>
  <c r="J60" i="41" s="1"/>
  <c r="I62" i="29"/>
  <c r="I60" i="41" s="1"/>
  <c r="H62" i="29"/>
  <c r="H60" i="41" s="1"/>
  <c r="L6" i="29"/>
  <c r="J62" i="28"/>
  <c r="J60" i="40" s="1"/>
  <c r="I62" i="28"/>
  <c r="I60" i="40" s="1"/>
  <c r="H62" i="28"/>
  <c r="H60" i="40" s="1"/>
  <c r="L6" i="28"/>
  <c r="J62" i="27"/>
  <c r="J60" i="39" s="1"/>
  <c r="I62" i="27"/>
  <c r="H62" i="27"/>
  <c r="H60" i="39" s="1"/>
  <c r="L6" i="27"/>
  <c r="J62" i="26"/>
  <c r="J60" i="38" s="1"/>
  <c r="I62" i="26"/>
  <c r="I60" i="38" s="1"/>
  <c r="H62" i="26"/>
  <c r="H60" i="38" s="1"/>
  <c r="L6" i="26"/>
  <c r="J62" i="25"/>
  <c r="J60" i="37" s="1"/>
  <c r="I62" i="25"/>
  <c r="I60" i="37" s="1"/>
  <c r="H62" i="25"/>
  <c r="H60" i="37" s="1"/>
  <c r="L6" i="25"/>
  <c r="J62" i="24"/>
  <c r="J60" i="36" s="1"/>
  <c r="I62" i="24"/>
  <c r="I60" i="36" s="1"/>
  <c r="H62" i="24"/>
  <c r="H60" i="36" s="1"/>
  <c r="L6" i="24"/>
  <c r="J62" i="23"/>
  <c r="J60" i="35" s="1"/>
  <c r="I62" i="23"/>
  <c r="I60" i="35" s="1"/>
  <c r="H62" i="23"/>
  <c r="H60" i="35" s="1"/>
  <c r="L6" i="23"/>
  <c r="J62" i="22" l="1"/>
  <c r="J60" i="34" s="1"/>
  <c r="I62" i="22"/>
  <c r="I60" i="34" s="1"/>
  <c r="H62" i="22"/>
  <c r="H60" i="34" s="1"/>
  <c r="L6" i="22"/>
  <c r="J62" i="21"/>
  <c r="J60" i="33" s="1"/>
  <c r="I62" i="21"/>
  <c r="I60" i="33" s="1"/>
  <c r="H62" i="21"/>
  <c r="H60" i="33" s="1"/>
  <c r="J62" i="20"/>
  <c r="J60" i="32" s="1"/>
  <c r="I62" i="20"/>
  <c r="I60" i="32" s="1"/>
  <c r="H62" i="20"/>
  <c r="H60" i="32" s="1"/>
  <c r="L6" i="21"/>
  <c r="J64" i="20" l="1"/>
  <c r="J58" i="21" s="1"/>
  <c r="J64" i="21" s="1"/>
  <c r="J58" i="22" s="1"/>
  <c r="J64" i="22" s="1"/>
  <c r="J58" i="23" s="1"/>
  <c r="J64" i="23" s="1"/>
  <c r="J58" i="24" s="1"/>
  <c r="J64" i="24" s="1"/>
  <c r="J58" i="25" s="1"/>
  <c r="J64" i="25" s="1"/>
  <c r="J58" i="26" s="1"/>
  <c r="J64" i="26" s="1"/>
  <c r="J58" i="27" s="1"/>
  <c r="J64" i="27" s="1"/>
  <c r="J58" i="28" s="1"/>
  <c r="J64" i="28" s="1"/>
  <c r="J58" i="29" s="1"/>
  <c r="J64" i="29" s="1"/>
  <c r="J58" i="30" s="1"/>
  <c r="J64" i="30" s="1"/>
  <c r="J58" i="31" s="1"/>
  <c r="J64" i="31" s="1"/>
  <c r="J58" i="32" s="1"/>
  <c r="J64" i="32" s="1"/>
  <c r="J58" i="33" s="1"/>
  <c r="J64" i="33" s="1"/>
  <c r="J58" i="34" s="1"/>
  <c r="J64" i="34" s="1"/>
  <c r="J58" i="35" s="1"/>
  <c r="J64" i="35" s="1"/>
  <c r="J58" i="36" s="1"/>
  <c r="J64" i="36" s="1"/>
  <c r="J58" i="37" s="1"/>
  <c r="J64" i="37" s="1"/>
  <c r="J58" i="38" s="1"/>
  <c r="J64" i="38" s="1"/>
  <c r="J58" i="39" s="1"/>
  <c r="J64" i="39" s="1"/>
  <c r="J58" i="40" s="1"/>
  <c r="J64" i="40" s="1"/>
  <c r="J58" i="41" s="1"/>
  <c r="J64" i="41" s="1"/>
  <c r="J58" i="42" s="1"/>
  <c r="J64" i="42" s="1"/>
  <c r="J58" i="43" s="1"/>
  <c r="J64" i="43" s="1"/>
  <c r="K58" i="20"/>
  <c r="L6" i="20"/>
  <c r="I64" i="20"/>
  <c r="I58" i="21" s="1"/>
  <c r="I64" i="21" s="1"/>
  <c r="I58" i="22" s="1"/>
  <c r="I64" i="22" s="1"/>
  <c r="I58" i="23" s="1"/>
  <c r="I64" i="23" s="1"/>
  <c r="I58" i="24" s="1"/>
  <c r="I64" i="24" s="1"/>
  <c r="I58" i="25" s="1"/>
  <c r="I64" i="25" s="1"/>
  <c r="I58" i="26" s="1"/>
  <c r="I64" i="26" s="1"/>
  <c r="I58" i="27" s="1"/>
  <c r="I64" i="27" s="1"/>
  <c r="H64" i="20"/>
  <c r="H58" i="21" s="1"/>
  <c r="I58" i="28" l="1"/>
  <c r="I64" i="28" s="1"/>
  <c r="I58" i="29" s="1"/>
  <c r="I64" i="29" s="1"/>
  <c r="I58" i="30" s="1"/>
  <c r="I64" i="30" s="1"/>
  <c r="I58" i="31" s="1"/>
  <c r="I64" i="31" s="1"/>
  <c r="I58" i="32" s="1"/>
  <c r="I64" i="32" s="1"/>
  <c r="I58" i="33" s="1"/>
  <c r="K58" i="21"/>
  <c r="H64" i="21"/>
  <c r="H58" i="22" s="1"/>
  <c r="D70" i="20"/>
  <c r="K64" i="20"/>
  <c r="H64" i="22" l="1"/>
  <c r="K58" i="22"/>
  <c r="I64" i="33"/>
  <c r="I58" i="34" s="1"/>
  <c r="I64" i="34" s="1"/>
  <c r="I58" i="35" s="1"/>
  <c r="I64" i="35" s="1"/>
  <c r="K64" i="21"/>
  <c r="B70" i="21" s="1"/>
  <c r="D70" i="21"/>
  <c r="B70" i="20"/>
  <c r="F70" i="20" s="1"/>
  <c r="L20" i="20" l="1"/>
  <c r="L28" i="20" s="1"/>
  <c r="Q2" i="44"/>
  <c r="H58" i="23"/>
  <c r="D70" i="22"/>
  <c r="K64" i="22"/>
  <c r="B70" i="22" s="1"/>
  <c r="I58" i="36"/>
  <c r="I64" i="36" s="1"/>
  <c r="I58" i="37" s="1"/>
  <c r="I64" i="37" s="1"/>
  <c r="I58" i="38" s="1"/>
  <c r="I64" i="38" s="1"/>
  <c r="I58" i="39" s="1"/>
  <c r="I64" i="39" s="1"/>
  <c r="I58" i="40" s="1"/>
  <c r="I64" i="40" s="1"/>
  <c r="I58" i="41" s="1"/>
  <c r="I64" i="41" s="1"/>
  <c r="I58" i="42" s="1"/>
  <c r="I64" i="42" s="1"/>
  <c r="I58" i="43" s="1"/>
  <c r="I64" i="43" s="1"/>
  <c r="F70" i="21"/>
  <c r="L20" i="21" l="1"/>
  <c r="L28" i="21" s="1"/>
  <c r="Q3" i="44"/>
  <c r="F70" i="22"/>
  <c r="H64" i="23"/>
  <c r="K58" i="23"/>
  <c r="L20" i="22" l="1"/>
  <c r="L28" i="22" s="1"/>
  <c r="Q4" i="44"/>
  <c r="D70" i="23"/>
  <c r="H58" i="24"/>
  <c r="K64" i="23"/>
  <c r="B70" i="23" s="1"/>
  <c r="F70" i="23" l="1"/>
  <c r="H64" i="24"/>
  <c r="K58" i="24"/>
  <c r="L20" i="23" l="1"/>
  <c r="L28" i="23" s="1"/>
  <c r="Q5" i="44"/>
  <c r="D70" i="24"/>
  <c r="H58" i="25"/>
  <c r="K64" i="24"/>
  <c r="B70" i="24" s="1"/>
  <c r="F70" i="24" l="1"/>
  <c r="H64" i="25"/>
  <c r="K58" i="25"/>
  <c r="L20" i="24" l="1"/>
  <c r="L28" i="24" s="1"/>
  <c r="Q6" i="44"/>
  <c r="H58" i="26"/>
  <c r="D70" i="25"/>
  <c r="K64" i="25"/>
  <c r="B70" i="25" s="1"/>
  <c r="F70" i="25" s="1"/>
  <c r="L20" i="25" l="1"/>
  <c r="L28" i="25" s="1"/>
  <c r="Q7" i="44"/>
  <c r="H64" i="26"/>
  <c r="K58" i="26"/>
  <c r="H58" i="27" l="1"/>
  <c r="D70" i="26"/>
  <c r="K64" i="26"/>
  <c r="B70" i="26" s="1"/>
  <c r="F70" i="26" s="1"/>
  <c r="L20" i="26" l="1"/>
  <c r="L28" i="26" s="1"/>
  <c r="Q8" i="44"/>
  <c r="K58" i="27"/>
  <c r="H64" i="27"/>
  <c r="H58" i="28" l="1"/>
  <c r="D70" i="27"/>
  <c r="K64" i="27"/>
  <c r="B70" i="27" s="1"/>
  <c r="F70" i="27" l="1"/>
  <c r="H64" i="28"/>
  <c r="K58" i="28"/>
  <c r="L20" i="27" l="1"/>
  <c r="L28" i="27" s="1"/>
  <c r="Q9" i="44"/>
  <c r="K64" i="28"/>
  <c r="B70" i="28" s="1"/>
  <c r="H58" i="29"/>
  <c r="D70" i="28"/>
  <c r="F70" i="28" l="1"/>
  <c r="H64" i="29"/>
  <c r="K58" i="29"/>
  <c r="L20" i="28" l="1"/>
  <c r="L28" i="28" s="1"/>
  <c r="Q10" i="44"/>
  <c r="H58" i="30"/>
  <c r="K64" i="29"/>
  <c r="B70" i="29" s="1"/>
  <c r="D70" i="29"/>
  <c r="F70" i="29" l="1"/>
  <c r="H64" i="30"/>
  <c r="K58" i="30"/>
  <c r="L20" i="29" l="1"/>
  <c r="L28" i="29" s="1"/>
  <c r="Q11" i="44"/>
  <c r="H58" i="31"/>
  <c r="D70" i="30"/>
  <c r="K64" i="30"/>
  <c r="B70" i="30" s="1"/>
  <c r="F70" i="30" l="1"/>
  <c r="H64" i="31"/>
  <c r="K58" i="31"/>
  <c r="L20" i="30" l="1"/>
  <c r="L28" i="30" s="1"/>
  <c r="Q12" i="44"/>
  <c r="H58" i="32"/>
  <c r="D70" i="31"/>
  <c r="K64" i="31"/>
  <c r="B70" i="31" s="1"/>
  <c r="H64" i="32" l="1"/>
  <c r="K58" i="32"/>
  <c r="F70" i="31"/>
  <c r="L20" i="31" l="1"/>
  <c r="L28" i="31" s="1"/>
  <c r="Q13" i="44"/>
  <c r="D70" i="32"/>
  <c r="H58" i="33"/>
  <c r="K64" i="32"/>
  <c r="B70" i="32" s="1"/>
  <c r="F70" i="32" l="1"/>
  <c r="H64" i="33"/>
  <c r="K58" i="33"/>
  <c r="L20" i="32" l="1"/>
  <c r="L28" i="32" s="1"/>
  <c r="Q14" i="44"/>
  <c r="H58" i="34"/>
  <c r="K64" i="33"/>
  <c r="B70" i="33" s="1"/>
  <c r="D70" i="33"/>
  <c r="F70" i="33" l="1"/>
  <c r="H64" i="34"/>
  <c r="K58" i="34"/>
  <c r="L20" i="33" l="1"/>
  <c r="L28" i="33" s="1"/>
  <c r="Q15" i="44"/>
  <c r="H58" i="35"/>
  <c r="D70" i="34"/>
  <c r="K64" i="34"/>
  <c r="B70" i="34" s="1"/>
  <c r="F70" i="34" s="1"/>
  <c r="L20" i="34" l="1"/>
  <c r="L28" i="34" s="1"/>
  <c r="Q16" i="44"/>
  <c r="H64" i="35"/>
  <c r="K58" i="35"/>
  <c r="H58" i="36" l="1"/>
  <c r="D70" i="35"/>
  <c r="K64" i="35"/>
  <c r="B70" i="35" s="1"/>
  <c r="F70" i="35" s="1"/>
  <c r="L20" i="35" l="1"/>
  <c r="L28" i="35" s="1"/>
  <c r="Q17" i="44"/>
  <c r="K58" i="36"/>
  <c r="H64" i="36"/>
  <c r="K64" i="36" l="1"/>
  <c r="B70" i="36" s="1"/>
  <c r="H58" i="37"/>
  <c r="D70" i="36"/>
  <c r="F70" i="36" l="1"/>
  <c r="H64" i="37"/>
  <c r="K58" i="37"/>
  <c r="L20" i="36" l="1"/>
  <c r="L28" i="36" s="1"/>
  <c r="Q18" i="44"/>
  <c r="H58" i="38"/>
  <c r="D70" i="37"/>
  <c r="K64" i="37"/>
  <c r="B70" i="37" s="1"/>
  <c r="F70" i="37" l="1"/>
  <c r="K58" i="38"/>
  <c r="H64" i="38"/>
  <c r="L20" i="37" l="1"/>
  <c r="L28" i="37" s="1"/>
  <c r="Q19" i="44"/>
  <c r="H58" i="39"/>
  <c r="D70" i="38"/>
  <c r="K64" i="38"/>
  <c r="B70" i="38" s="1"/>
  <c r="F70" i="38" l="1"/>
  <c r="H64" i="39"/>
  <c r="K58" i="39"/>
  <c r="L20" i="38" l="1"/>
  <c r="L28" i="38" s="1"/>
  <c r="Q20" i="44"/>
  <c r="D70" i="39"/>
  <c r="H58" i="40"/>
  <c r="K64" i="39"/>
  <c r="B70" i="39" s="1"/>
  <c r="F70" i="39" l="1"/>
  <c r="H64" i="40"/>
  <c r="K58" i="40"/>
  <c r="L20" i="39" l="1"/>
  <c r="L28" i="39" s="1"/>
  <c r="Q21" i="44"/>
  <c r="D70" i="40"/>
  <c r="H58" i="41"/>
  <c r="K64" i="40"/>
  <c r="B70" i="40" s="1"/>
  <c r="F70" i="40" l="1"/>
  <c r="K58" i="41"/>
  <c r="H64" i="41"/>
  <c r="L20" i="40" l="1"/>
  <c r="L28" i="40" s="1"/>
  <c r="Q22" i="44"/>
  <c r="D70" i="41"/>
  <c r="H58" i="42"/>
  <c r="K64" i="41"/>
  <c r="B70" i="41" s="1"/>
  <c r="F70" i="41" l="1"/>
  <c r="K58" i="42"/>
  <c r="H64" i="42"/>
  <c r="L20" i="41" l="1"/>
  <c r="L28" i="41" s="1"/>
  <c r="Q23" i="44"/>
  <c r="H58" i="43"/>
  <c r="D70" i="42"/>
  <c r="K64" i="42"/>
  <c r="B70" i="42" s="1"/>
  <c r="F70" i="42" l="1"/>
  <c r="K58" i="43"/>
  <c r="H64" i="43"/>
  <c r="L20" i="42" l="1"/>
  <c r="L28" i="42" s="1"/>
  <c r="Q24" i="44"/>
  <c r="D70" i="43"/>
  <c r="K64" i="43"/>
  <c r="B70" i="43" s="1"/>
  <c r="F70" i="43" l="1"/>
  <c r="L20" i="43" l="1"/>
  <c r="L28" i="43" s="1"/>
  <c r="Q25" i="44"/>
  <c r="E32" i="20"/>
  <c r="L11" i="20" s="1"/>
  <c r="L14" i="20" s="1"/>
  <c r="E28" i="22" s="1"/>
  <c r="L30" i="20" l="1"/>
  <c r="L31" i="20" s="1"/>
  <c r="L32" i="20" s="1"/>
  <c r="E21" i="22" s="1"/>
  <c r="F36" i="20" l="1"/>
  <c r="E32" i="21"/>
  <c r="L11" i="21" s="1"/>
  <c r="L14" i="21" s="1"/>
  <c r="E32" i="22"/>
  <c r="L11" i="22" s="1"/>
  <c r="L14" i="22" s="1"/>
  <c r="E28" i="24" s="1"/>
  <c r="L30" i="21" l="1"/>
  <c r="L31" i="21" s="1"/>
  <c r="L32" i="21" s="1"/>
  <c r="E28" i="23"/>
  <c r="L30" i="22"/>
  <c r="L31" i="22" s="1"/>
  <c r="L32" i="22" s="1"/>
  <c r="E21" i="24" s="1"/>
  <c r="F36" i="21" l="1"/>
  <c r="E21" i="23"/>
  <c r="F36" i="22"/>
  <c r="E32" i="23" l="1"/>
  <c r="L11" i="23" s="1"/>
  <c r="L14" i="23" s="1"/>
  <c r="E28" i="25" s="1"/>
  <c r="L30" i="23" l="1"/>
  <c r="L31" i="23" s="1"/>
  <c r="L32" i="23" s="1"/>
  <c r="E21" i="25" s="1"/>
  <c r="F36" i="23" l="1"/>
  <c r="E32" i="24"/>
  <c r="L11" i="24" s="1"/>
  <c r="L14" i="24" s="1"/>
  <c r="E32" i="25"/>
  <c r="L11" i="25"/>
  <c r="L14" i="25" s="1"/>
  <c r="L30" i="25" l="1"/>
  <c r="L31" i="25" s="1"/>
  <c r="L32" i="25" s="1"/>
  <c r="E28" i="27"/>
  <c r="E32" i="27" s="1"/>
  <c r="L11" i="27" s="1"/>
  <c r="L14" i="27" s="1"/>
  <c r="F36" i="25"/>
  <c r="E21" i="27"/>
  <c r="L30" i="24"/>
  <c r="L31" i="24" s="1"/>
  <c r="L32" i="24" s="1"/>
  <c r="E28" i="26"/>
  <c r="E32" i="26" s="1"/>
  <c r="L11" i="26" s="1"/>
  <c r="L14" i="26" s="1"/>
  <c r="L30" i="27" l="1"/>
  <c r="L31" i="27" s="1"/>
  <c r="L32" i="27" s="1"/>
  <c r="E28" i="29"/>
  <c r="E32" i="29" s="1"/>
  <c r="L11" i="29" s="1"/>
  <c r="L14" i="29" s="1"/>
  <c r="E28" i="31" s="1"/>
  <c r="L30" i="26"/>
  <c r="L31" i="26" s="1"/>
  <c r="L32" i="26" s="1"/>
  <c r="E28" i="28"/>
  <c r="E32" i="28" s="1"/>
  <c r="L11" i="28" s="1"/>
  <c r="L14" i="28" s="1"/>
  <c r="F36" i="24"/>
  <c r="E21" i="26"/>
  <c r="L30" i="29" l="1"/>
  <c r="L31" i="29" s="1"/>
  <c r="L32" i="29" s="1"/>
  <c r="E21" i="31" s="1"/>
  <c r="F36" i="27"/>
  <c r="E21" i="29"/>
  <c r="L30" i="28"/>
  <c r="L31" i="28" s="1"/>
  <c r="L32" i="28" s="1"/>
  <c r="E28" i="30"/>
  <c r="F36" i="26"/>
  <c r="E21" i="28"/>
  <c r="F36" i="29" l="1"/>
  <c r="F36" i="28"/>
  <c r="E21" i="30"/>
  <c r="E32" i="30" l="1"/>
  <c r="L11" i="30" s="1"/>
  <c r="L14" i="30" s="1"/>
  <c r="E28" i="32" s="1"/>
  <c r="L30" i="30" l="1"/>
  <c r="L31" i="30" s="1"/>
  <c r="L32" i="30" s="1"/>
  <c r="E21" i="32" s="1"/>
  <c r="F36" i="30" l="1"/>
  <c r="E32" i="31"/>
  <c r="L11" i="31" s="1"/>
  <c r="L14" i="31" s="1"/>
  <c r="E32" i="32"/>
  <c r="L11" i="32" s="1"/>
  <c r="L14" i="32" s="1"/>
  <c r="L30" i="32" l="1"/>
  <c r="L31" i="32" s="1"/>
  <c r="L32" i="32" s="1"/>
  <c r="E28" i="34"/>
  <c r="E32" i="34" s="1"/>
  <c r="L11" i="34" s="1"/>
  <c r="L14" i="34" s="1"/>
  <c r="F36" i="32"/>
  <c r="E21" i="34"/>
  <c r="L30" i="31"/>
  <c r="L31" i="31" s="1"/>
  <c r="L32" i="31" s="1"/>
  <c r="E28" i="33"/>
  <c r="E32" i="33" s="1"/>
  <c r="L11" i="33" s="1"/>
  <c r="L14" i="33" s="1"/>
  <c r="L30" i="34" l="1"/>
  <c r="L31" i="34" s="1"/>
  <c r="L32" i="34" s="1"/>
  <c r="E28" i="36"/>
  <c r="E32" i="36" s="1"/>
  <c r="L11" i="36" s="1"/>
  <c r="L14" i="36" s="1"/>
  <c r="E28" i="38" s="1"/>
  <c r="F36" i="31"/>
  <c r="E21" i="33"/>
  <c r="L30" i="33"/>
  <c r="L31" i="33" s="1"/>
  <c r="L32" i="33" s="1"/>
  <c r="E28" i="35"/>
  <c r="E32" i="35" s="1"/>
  <c r="L11" i="35" s="1"/>
  <c r="L14" i="35" s="1"/>
  <c r="E28" i="37" s="1"/>
  <c r="L30" i="36" l="1"/>
  <c r="L31" i="36" s="1"/>
  <c r="L32" i="36" s="1"/>
  <c r="E21" i="38" s="1"/>
  <c r="F36" i="34"/>
  <c r="E21" i="36"/>
  <c r="L30" i="35"/>
  <c r="L31" i="35" s="1"/>
  <c r="L32" i="35" s="1"/>
  <c r="E21" i="37" s="1"/>
  <c r="F36" i="33"/>
  <c r="E21" i="35"/>
  <c r="F36" i="36" l="1"/>
  <c r="F36" i="35"/>
  <c r="E32" i="37" l="1"/>
  <c r="L11" i="37" s="1"/>
  <c r="L14" i="37" s="1"/>
  <c r="E28" i="39" s="1"/>
  <c r="L30" i="37" l="1"/>
  <c r="L31" i="37" s="1"/>
  <c r="L32" i="37" s="1"/>
  <c r="E32" i="38"/>
  <c r="L11" i="38"/>
  <c r="L14" i="38" s="1"/>
  <c r="E32" i="39"/>
  <c r="L11" i="39" s="1"/>
  <c r="L14" i="39" s="1"/>
  <c r="F36" i="37" l="1"/>
  <c r="E21" i="39"/>
  <c r="L30" i="39"/>
  <c r="L31" i="39" s="1"/>
  <c r="L32" i="39" s="1"/>
  <c r="E28" i="41"/>
  <c r="E32" i="41" s="1"/>
  <c r="L11" i="41" s="1"/>
  <c r="L14" i="41" s="1"/>
  <c r="F36" i="39"/>
  <c r="E21" i="41"/>
  <c r="L30" i="38"/>
  <c r="L31" i="38" s="1"/>
  <c r="L32" i="38" s="1"/>
  <c r="E28" i="40"/>
  <c r="E32" i="40" s="1"/>
  <c r="L11" i="40" s="1"/>
  <c r="L14" i="40" s="1"/>
  <c r="L30" i="41" l="1"/>
  <c r="L31" i="41" s="1"/>
  <c r="L32" i="41" s="1"/>
  <c r="E28" i="43"/>
  <c r="L30" i="40"/>
  <c r="L31" i="40" s="1"/>
  <c r="L32" i="40" s="1"/>
  <c r="E28" i="42"/>
  <c r="E32" i="42" s="1"/>
  <c r="L11" i="42" s="1"/>
  <c r="L14" i="42" s="1"/>
  <c r="F36" i="38"/>
  <c r="E21" i="40"/>
  <c r="F36" i="41" l="1"/>
  <c r="E21" i="43"/>
  <c r="L30" i="42"/>
  <c r="L31" i="42" s="1"/>
  <c r="L32" i="42" s="1"/>
  <c r="F36" i="40"/>
  <c r="E21" i="42"/>
  <c r="F36" i="42" l="1"/>
  <c r="E32" i="43" l="1"/>
  <c r="L11" i="43" s="1"/>
  <c r="L14" i="43" s="1"/>
  <c r="L30" i="43" l="1"/>
  <c r="L31" i="43" s="1"/>
  <c r="L32" i="43" s="1"/>
  <c r="F36" i="4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53F890C6-0279-46CE-AB20-ACA59CBB11AD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1F8261E6-42C7-45CF-B98F-C9DEAC631734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CC849B7A-4275-46D7-8708-BFEA2E8D4B38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A2F51AEB-697D-4B14-8B2D-6D989D26079E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EBB18DA0-C3C0-481C-B354-D1C2352A28F4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1AC87A2A-E9C8-4D57-A8C8-62F948C2D796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15CB6BCA-1D28-4F3B-8A56-6B0A7AAFB6C1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9E6DA70E-F4CF-4013-8DB4-1FD49A16260E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5647E53B-3165-43D8-ADE2-7B078AD57785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C6CC03D4-D858-4F12-9551-66519B708C51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9E6B06FA-8965-4D40-8644-266BCC3C841F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9990D572-8A0A-40C3-8C13-B077B1E43D2D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9309E4F0-9681-43E9-8812-70203E943BAD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D764E944-637D-4C5C-AF14-970D6E9C301D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24D21B4C-D1AC-4AEC-BA54-B2D20B7F53F6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F725D263-1ACB-4370-9E94-445BD6E69552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88390F0F-CDB5-4A4E-BF7E-E41ADE6F664B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24B43355-5461-44B4-8DFC-3498B0361399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B2EE5EFD-2CC9-4F8C-A4DE-CC5586F103A7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6C6A8918-7352-45E0-AEF0-598BDBADB2EA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33F4B008-4E37-4E33-9266-832D04931966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51324E96-4016-4FF5-BC61-5EF19AC9ECC9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95499686-8978-45D4-ADFE-CFEE4DAD3186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A3C01B99-0505-4B2D-A4BB-80F66707F39F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888CE182-6611-4F61-8351-CA31D3B547F6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CA955709-CD82-4568-BBC2-70F1E252DDA0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8ADAC374-4E35-4781-BCAF-5C42D08A33C8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FC077497-B0DA-46C2-BDC1-C95F9BC32812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D32FFB80-C4E4-4068-9C5A-8C58A6BBAB57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4FC83DB9-3330-4A96-9870-748826C66702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AE71F3B0-B4C2-42B2-BF55-A5F0CFF0884D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52E514E9-90C5-44FB-AB64-2E347309A23F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A3DBAE98-B6F7-4F05-A796-F0EEE07F56AE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6D725B65-073E-4B2A-A7B4-404DC849ABAF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96D00AD8-B424-4954-B91C-EE2EB24ADE4F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EC4CDF13-E1BB-4567-A8AE-71445D3E72EF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BD58D2E2-B078-4D77-8C43-3B5004D27721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5ACC2E01-45CD-42B0-A82A-8DFF37BC9CEB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492430BD-016D-4FF9-8D0C-44CC21665452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01834212-F50F-43A5-99E2-31A2F0950B2A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317562FF-0669-4CD4-9CF4-EECFA013EC87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545DE521-390F-47C9-AE7F-F34E252428B4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0BFE5E79-AB10-47AC-8072-6B40610EE159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F12DCF0A-FA6A-47B2-9E08-24AB84AA6246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485B6E41-E00E-42CC-886F-5E48A8E4AC1C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FAB763AC-A616-4327-B7C0-95CA13921240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A6BF6FB0-C632-45EA-A243-7D7A391E536C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70A90BEB-2566-42B1-839C-15E8DD6B7C30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67A57494-5572-470A-B290-6724E631E2B8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BF654712-5EEF-4397-84D2-E5B6CD4BBE33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8F585946-7382-40B0-B661-23542B968352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9518A7F3-8DA0-41B3-AB90-926A9998FAC7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909013B8-AF72-4794-82AB-7C42A0D4C0C7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20F1462C-813D-4D0F-BD76-25DD1E2BDD66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FD534CA5-9274-43BE-9910-3EB55134D9BE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45D45CC1-E5CD-4C91-A10D-EAFBC9F52335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35931CA0-3E7A-49FF-8E34-89AF2312A087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FB9B1210-7477-4204-B243-0CD70D246E3E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0E480B92-68CB-4FC8-AE15-4B0913D26836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BC005576-0910-41F2-A960-6CE576DBDC77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00A32AF2-FA2D-420F-A620-0790D7D25646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40D861B6-EEC0-46FA-99CF-DD9B106A3D6E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C6DC6774-103E-40EB-9C8D-A15791E4148A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C5DBF158-9E73-49F7-9108-86F695E1248B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47775BC5-8D93-4122-A6BD-125D9BEC9C75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BBCE40AD-565E-430B-9A00-6E1B9E718B9C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B37095AF-8FF5-4AFA-81F2-E282F4E0B192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8A0A1AE3-1536-49E3-9316-2317BDA83CD9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F68258F2-CDC1-4359-BA08-1BAE5F3724FC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F8A3D214-771D-4FDF-A20A-46C0A7C60DC8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F6D3119E-3632-4021-AA8A-4A9AC9CDE8AE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CD4FA43B-37A5-467D-9E33-FF0EB521E29D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4008BA14-4F54-41F3-94FF-90E81E5B0EEB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E84FF47A-9EE0-4338-8DEB-493183C93548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A9092497-769F-4AB3-8A2F-29B194CA3F12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FD9642A6-19E1-4212-9A28-546A318533B2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4F5E64F1-D736-4E5A-8F48-829DA909AA2B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45C964C7-3F6D-496D-AE4A-85E6CF0D87A4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3DB91418-4D74-40C3-BBCC-38BD68B6FEA1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51246664-3148-4EDA-A245-8E5AEE821901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5B28E3F9-6C6B-4F54-9937-DCAAA0EB3CDF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5E3D4C5D-341F-4F46-B1B1-F373FCEEA7E1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7F61E2EB-9D61-4DA1-BFD4-BC9FC9B9704D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78DE8B82-A6E8-490A-9D54-2CA5384CC798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F3BA18D3-483F-4798-B12F-34F02D3791A2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818A73AF-3B94-40A6-B5FE-960E4C545A3B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E92A191C-60EB-493D-BB54-48FEDE23B896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7AA0BB63-ED60-4D13-BAA0-24A9B144DCC9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2B330111-7A98-4B0D-A3B8-B2CC04298DE6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FBF19040-586F-496D-AEBA-402380A9B183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957C50A3-F752-4D81-B7C4-0B68D71EE3FC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1DDB775C-930E-4A06-A3CD-30F72691C894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44DD5CFA-A189-40C7-BDEA-6E93E36604D7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B0BFD96B-3258-41EE-A662-9F181A75E682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AB1AC455-A53F-4814-A7B0-58BA87A367DF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6F048386-38D9-47F9-BC0D-D8FF7E8620C2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CC0DDF55-EDD6-4497-A025-E23B55073B71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48C4E5A2-F94E-4747-BD52-47D89C364396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5F188CA4-4ED4-417C-831B-E7E0C103DD78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34D80B23-F2CB-446B-AF37-037CDC4D9938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98CA619E-48C5-4BAE-BEF2-5EB1F345B3E5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BC902472-A891-4D37-8750-A8108F13C623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1F79CC96-F3E9-4A39-AC28-E45E2DE07867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968F109C-F329-4AEB-B122-A815081B410D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EDA48C32-ED50-4541-95FC-7FB06FD9CBC7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1E71A15F-1AE7-4FAE-B31D-7647DD304B54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A4E78A9E-D6CE-4A39-854C-0670652F3C57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AD99EFB6-4EE9-42F6-9A7E-632EC6A67012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A8A09137-81E8-45B2-918E-A2B0324F0DFB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1208998E-4244-4ABA-BC45-B4333A099F1A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DFA98CCF-EF38-4D31-9421-E5B31823EC46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928936EB-2E3F-4644-A32C-836130DE781F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44A957F0-9BBC-4DB0-8C00-21EB438D86C4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91EB6999-6905-4FD3-9A82-F15D3BEAEC91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6F9FF444-B8D7-4A9C-82D9-ED89622A130A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272A1343-520A-4616-90CE-010209C2312B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F81A64D8-6B72-46B9-9C42-FB1E17994A03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C9577E96-12C8-4170-A716-643ED246414C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15F963F6-E220-4EA0-A605-F9F770AE33C2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ACAC9EEC-48DD-4D48-8933-D45D5BE5398D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F56920E4-7E26-4018-9EB9-9E80C7E92D93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89E9796F-3A24-4F0D-8E88-65818B4F0940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552E1709-8FC5-46AA-995E-3DA8DE6F5930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98C37DF4-20A0-4560-A7BF-180731CE0657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E2A4A0EC-FC66-41B4-8B0E-4CE763654565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E7E607B8-21CA-4891-881F-5847C4188945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B89DCB2F-2DE9-4D97-98BC-F01181771D1C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3B2E9DF3-3D78-408E-866F-DB4DAC351BF8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403759A9-88FB-4B98-A62E-D15A958E1A56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52D0A8E7-C960-441E-AA82-08DEEA35E293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CD9CE830-7475-41AB-9762-8107FF38945E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6F8BFF5E-0B2A-4E80-889C-0DE9301D92AB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C3366BF5-AFE7-4565-B709-19F555AF6845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16BC37DF-765C-4D73-9A12-FEF3FFDD755A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378E10A9-7ACC-4F6C-8948-3D5A405D0D89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997E0BEE-2355-4673-BA76-88356293861D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0B7AF600-EAEC-4492-80D2-C99F576B3979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AA5A9166-2EB7-4804-95B8-448E33A0C42F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50123E2B-C2DA-4D6B-9CDE-E20B982A163B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60ADDC2A-EFD5-4824-BEEE-97F6D1A92612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0102258A-C719-469F-8775-3283209B96AB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CB10DC57-7F40-4668-A8B1-B445CB14A69F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9722DAB4-2610-4490-82FF-7C6EDD9D153A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26880939-B501-47C0-9CF9-A3BD1D931A20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F2633C08-88C6-44F8-B719-B7B486007633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4AC4AF63-7FB9-4A7A-910C-FEC6FA62D74C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D7D24A04-80AC-4A3B-B456-A12995D18339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4DE10A2B-2D39-4D3A-8CE2-AA6FCC1DE31C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18504F09-461A-4070-BDDB-00F533BD5E50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5288FE44-104B-4C7E-AD63-366D89103E93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A3E2C72F-6B89-463B-9460-4A5026B79DFF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C14BFB36-B517-4F69-B77E-2DD1D0DEAB04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362DA58A-0E94-4B27-8E17-4A7A2B177A0E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EBA23E36-8AFD-4900-8088-3C7CD9B795F7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F402824C-C76E-443C-8B98-B86B9C1498B4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6656E64E-6D40-4462-B125-8AEAB754503C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AF6C0F39-BF2B-4DE5-BCB8-FFB54D352FAB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D03B6815-508D-4914-B000-96F50AE8A96C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97CD6858-7F1D-4719-80DC-82501B435A8A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532D2DD3-B7EF-46BF-B576-80C92D4CC3BF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BFDBC3E6-D34B-4BBA-B40E-981898965897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378CC0BA-9EB8-44D4-8393-7762E1D67315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5D9C45CB-BE9D-4D2A-A51F-8C1FFE15C293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AB14724F-ED4C-47DF-BE96-8EE5983380F8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9C35BC99-D05B-4DB3-A662-DAAA997FF328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A7405914-E4E0-43E0-AD59-4520885F301C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86194583-FA85-461A-BF80-CCEFDAB5F3C7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BE57B859-BF5B-4B74-B5FA-B8210A032BCE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6A0D86C8-C071-4C06-B28C-E392E90F2952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95FF1AEA-EF7F-4C7C-B835-37BFD239731C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34F959C1-9E42-4733-8A4C-63A13D5E7DFB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3F5DD249-EC12-4A76-A15C-A1B13BA606A4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6E659FFC-2238-43E3-A346-AC104D93BE60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9AC801CC-7F72-4668-BBF8-010AABFEED8C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8FE897E2-FFE1-4B8A-A245-86B99665CB44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9A287896-117E-495A-843D-32EB76D89EE0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7731649A-ECE1-4174-82D5-5B85D4EABEA8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72D78968-3ABA-410C-A708-B29E4413B8D9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2FD23587-CECA-4875-8E1B-D9AA6B73FCF1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64D0AF50-E49F-4A78-8425-903386352503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5587A5CE-C461-427B-AB01-14A77AC28CF1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66693C45-73F0-465D-B7CB-73DAFCDF87E4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D827EB12-6184-41EB-B56A-D1BB15F12F26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6087EAB8-7A49-49F5-9996-5A0D2F561F04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F0797B8A-8020-481C-83E0-68412D13A0B5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718DDC32-2B64-4EB5-B706-CDFB6D19652D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41DBA73B-C148-47AA-A5FE-13F2DD706243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17685C96-F311-400A-AF36-0BFCE37BE412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B6362D35-8FCD-48D7-8960-80E7B9EBCC91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DAD551DC-2014-415D-80CC-71FD72C9B393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A7D5BB60-5FAB-4AC7-99A4-E9B52D14497A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7CF39721-6CCF-4845-BE47-85847B1B21A6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051407BF-B73D-43EE-BD2B-4751ADDD2009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6C5E1E15-006A-437C-A64D-8AD72211B9BF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7F821FDB-0902-474F-A90E-177CE229F328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D5DB21A4-F9A6-4F86-9273-CADF732CAF41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B8E55264-C068-4AE8-AF53-FF9BDBCC3F79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0ADEA8D2-CEA7-4ACA-B671-E3B94BE9A0F0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0FD7B3F7-8987-42FA-9881-28CBB39C472A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557843FF-7423-4FDC-90D9-4C5CC7CE7EB0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7137C222-B922-4911-BAC9-EFD7DB050F1E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D332A38F-946E-443E-B849-64188FE8EF45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844A1DAE-349F-4064-BE18-E3BBB51C66BA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8413453B-E3CA-4919-904E-C669885A3142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534A01ED-3BEF-4821-9667-6724B9FAE657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C7BCE35C-6724-42C9-B578-9F58947912A9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80D3B05F-9B23-4694-8991-3246929B0FAA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107C1C11-FDC8-4602-B05D-57446B4C1786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6A667659-200F-4AC1-B204-F64E0C041978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27C32BCD-57F8-4D5C-A3E5-FA36BC7E07AC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06CC1A5B-0EA8-47A7-8FAF-C3B27CC622DD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52ACDAB9-8663-4DD1-8B1E-EB4C0B4EE0D1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B5681EB6-3BAF-47DB-8859-6105A0A19450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6F97257E-17E9-4633-B165-2D506B59868A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F56BB87E-8001-47DE-8D8B-20BD793E6793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9D0F04EE-3C42-406E-8A1E-63CDAD4F3D0B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D6464C0B-135F-4810-8EB8-B70AD63E51DE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08356361-3DBE-49AC-A095-C899AAD0DF51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89EBC69B-3B41-42D8-A221-784F95E42BB6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A562DBE8-E8B7-4108-A19E-9108BB2F03DE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451FFDE4-EF59-44B8-8DD0-BA8889765B13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A32582AC-8D18-430F-948C-C42F821072CC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6C34DBA4-0127-4790-92C4-0E4DB66D83A5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82CAE05B-713D-4D55-AE10-1EC767C40337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D3A59616-C65F-4BF2-B40D-1BD024C3FABD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EE07F801-26C5-4A6C-B7BA-4724F0ED6683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898E4DDD-8ACD-4B96-8BEA-37BCDA5AA70A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C89CA408-14BB-481D-B908-0B67D98A1547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A6FC197D-D5D3-44B9-B731-AD78B8CE8374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2209BDE6-72FD-43A2-9FEB-47D5D040F328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375A775F-CD25-430F-834D-B89A0C2A43DF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FCC0CE40-D082-4E9E-AC9B-7E031B83B3BE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681CB157-21B8-4945-8DFA-2DC916719EA0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D49E37FA-7DA7-45DA-9133-6A7AB32D1C04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9F848DC6-C66B-403D-9B35-611A8C7EEAD5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570664C2-9720-48AE-A667-045450A3ADCF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E21310E4-33F0-40E2-BB1A-20CF89D2A047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D17474CE-4450-4131-AEC5-6479623F4EB6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A55D4023-D7C1-4E2E-A9D3-D0AADAF4E668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2FC8E149-2110-4CAC-93EC-C8183024B1E7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7434A6CD-B9BF-47ED-8981-5AADEC497F95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4667A74A-16DE-46E7-9B8E-0F738C58660D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751CE0B5-518A-448B-BE41-BB2F7013FE3D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13009DE9-58B9-467A-BC54-DA3567922C2B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568C2DEC-A15B-454B-B670-EFD68E846829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A6464DDB-E715-49D7-81D4-03AC5F286917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9A489D88-8932-48EB-BB7A-3AD4F234F71D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C15A9ABC-A1DF-4A0F-B324-9FBD013B4DD7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37DDFE6E-DCAE-4EB6-95C7-59F66ADACA73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4DF11179-37B3-4F59-81C3-905B999BF25F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3FDB127E-DED4-45D8-88B5-4BF8A116C01D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8887C056-0DF4-4BEF-AC2E-37F1959D2CBB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DAF3C92C-6CED-473D-8DD3-7F0456B98BFC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Mechonda O'Brien</author>
  </authors>
  <commentList>
    <comment ref="E8" authorId="0" shapeId="0" xr:uid="{D1A2FBF9-4635-4462-A7E2-D6327D6AC223}">
      <text>
        <r>
          <rPr>
            <b/>
            <sz val="9"/>
            <color indexed="81"/>
            <rFont val="Tahoma"/>
            <family val="2"/>
          </rPr>
          <t xml:space="preserve">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FC2E6C35-FE8F-4EBB-8A31-A6CA52F71885}">
      <text>
        <r>
          <rPr>
            <b/>
            <sz val="9"/>
            <color indexed="81"/>
            <rFont val="Tahoma"/>
            <family val="2"/>
          </rPr>
          <t xml:space="preserve">96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E14DFF0F-F32A-479C-819F-F0747C0C3319}">
      <text>
        <r>
          <rPr>
            <b/>
            <sz val="9"/>
            <color indexed="81"/>
            <rFont val="Tahoma"/>
            <family val="2"/>
          </rPr>
          <t xml:space="preserve">47 minus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F9EE68D8-7C5B-41B8-BA7B-6A810838DD66}">
      <text>
        <r>
          <rPr>
            <b/>
            <sz val="9"/>
            <color indexed="81"/>
            <rFont val="Tahoma"/>
            <family val="2"/>
          </rPr>
          <t xml:space="preserve">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9339A247-33A4-4509-8F46-979B56F0E88E}">
      <text>
        <r>
          <rPr>
            <b/>
            <sz val="9"/>
            <color indexed="81"/>
            <rFont val="Tahoma"/>
            <family val="2"/>
          </rPr>
          <t xml:space="preserve">same as 17kwh
and #1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D89BFCC5-1F6D-4BBC-BA69-C08CC7066797}">
      <text>
        <r>
          <rPr>
            <b/>
            <sz val="9"/>
            <color indexed="81"/>
            <rFont val="Tahoma"/>
            <family val="2"/>
          </rPr>
          <t>2 months prior</t>
        </r>
        <r>
          <rPr>
            <sz val="9"/>
            <color indexed="81"/>
            <rFont val="Tahoma"/>
            <family val="2"/>
          </rPr>
          <t xml:space="preserve">
fac line 22</t>
        </r>
      </text>
    </comment>
    <comment ref="E23" authorId="0" shapeId="0" xr:uid="{2FF04E40-0AE0-490B-87D3-7AF5058F7024}">
      <text>
        <r>
          <rPr>
            <b/>
            <sz val="9"/>
            <color indexed="81"/>
            <rFont val="Tahoma"/>
            <family val="2"/>
          </rPr>
          <t xml:space="preserve">#2 less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BACBB654-F9DA-4BBE-B2E7-6283853B43CD}">
      <text>
        <r>
          <rPr>
            <b/>
            <sz val="9"/>
            <color indexed="81"/>
            <rFont val="Tahoma"/>
            <family val="2"/>
          </rPr>
          <t xml:space="preserve">kwh adjustments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10D6E7D8-748D-486A-A73F-6AEBA9DFD2D9}">
      <text>
        <r>
          <rPr>
            <b/>
            <sz val="9"/>
            <color indexed="81"/>
            <rFont val="Tahoma"/>
            <family val="2"/>
          </rPr>
          <t xml:space="preserve">same as #2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5DFE2EAA-767F-46CA-A05C-B8C775652575}">
      <text>
        <r>
          <rPr>
            <b/>
            <sz val="9"/>
            <color indexed="81"/>
            <rFont val="Tahoma"/>
            <family val="2"/>
          </rPr>
          <t>two months prior psc fac report line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7D30AAC2-21CE-47BC-986C-B31D0B5A7FD7}">
      <text>
        <r>
          <rPr>
            <b/>
            <sz val="9"/>
            <color indexed="81"/>
            <rFont val="Tahoma"/>
            <family val="2"/>
          </rPr>
          <t>net fuel charg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<sst xmlns="http://schemas.openxmlformats.org/spreadsheetml/2006/main" count="2253" uniqueCount="204">
  <si>
    <t>KWH</t>
  </si>
  <si>
    <t>MONTHLY FUEL ADJUSTMENT CLAUSE (FAC) REPORT</t>
  </si>
  <si>
    <t>Appendix II</t>
  </si>
  <si>
    <t>Page 1 of 2</t>
  </si>
  <si>
    <t>COMPANY:</t>
  </si>
  <si>
    <t xml:space="preserve">     SALT RIVER ELECTRIC COOPERATIVE CORPORATION</t>
  </si>
  <si>
    <t xml:space="preserve">     POWER SUPPLIER:</t>
  </si>
  <si>
    <t>EAST KENTUCKY POWER</t>
  </si>
  <si>
    <t xml:space="preserve">Disposition of Energy (KWH) - Month of: </t>
  </si>
  <si>
    <t>Purchased Power - Month of:</t>
  </si>
  <si>
    <t>1.  Total Purchases</t>
  </si>
  <si>
    <t>13.  Fuel Adjustment Charge (Credit)</t>
  </si>
  <si>
    <t xml:space="preserve">  A.  Billed by Supplier</t>
  </si>
  <si>
    <t>2.  Sales (Ultimate Consumer)</t>
  </si>
  <si>
    <t xml:space="preserve">  B.  (Over)/Under Recovery</t>
  </si>
  <si>
    <t xml:space="preserve">        (L12)</t>
  </si>
  <si>
    <t>3.  Company Use</t>
  </si>
  <si>
    <t xml:space="preserve">  C.  Unrecoverable - Schedule 2</t>
  </si>
  <si>
    <t>N/A</t>
  </si>
  <si>
    <t xml:space="preserve">  D.  Recoverable Fuel Cost</t>
  </si>
  <si>
    <t>4.  Total Sales (L2 + L3)</t>
  </si>
  <si>
    <t xml:space="preserve">        (L13 A + B - C)</t>
  </si>
  <si>
    <t>14.  Number of KWH Purchased</t>
  </si>
  <si>
    <t>5.  Line Loss &amp; Unaccounted for</t>
  </si>
  <si>
    <t>15.  Supplier's FAC:</t>
  </si>
  <si>
    <t xml:space="preserve">     (L1 - L4)</t>
  </si>
  <si>
    <t xml:space="preserve">        $ Per KWH (L13A/L14)</t>
  </si>
  <si>
    <t>(Over) or Under Recovery - Month of:</t>
  </si>
  <si>
    <t>Line Loss</t>
  </si>
  <si>
    <t>16.  Last 12 Months Actual (%)</t>
  </si>
  <si>
    <t>6.  Last FAC Rate Billed Consumers</t>
  </si>
  <si>
    <t>17.  Last Month Used to Compute L16</t>
  </si>
  <si>
    <t>7.  Gross KWH Billed at the Rate on</t>
  </si>
  <si>
    <t>18.  Line Loss for Month on L17 (%)</t>
  </si>
  <si>
    <t xml:space="preserve">     on L. 6</t>
  </si>
  <si>
    <t xml:space="preserve">       (L5/L1)</t>
  </si>
  <si>
    <t>8.  Adjustments to Billing (KWH)</t>
  </si>
  <si>
    <t>9.  Net KWH Billed at the Rate on</t>
  </si>
  <si>
    <t>Calculation of FAC Billed Consumers</t>
  </si>
  <si>
    <t xml:space="preserve">      L. 6 (L7 + L8)</t>
  </si>
  <si>
    <t>10. Fuel Charge (Credit) Used to</t>
  </si>
  <si>
    <t>19.  Sales as a Percent of Purchases</t>
  </si>
  <si>
    <t xml:space="preserve">      Compute L. 6</t>
  </si>
  <si>
    <t xml:space="preserve">       (100% less percentage on L16)</t>
  </si>
  <si>
    <t>11. FAC Revenue (Refund) Resulting</t>
  </si>
  <si>
    <t>20.  Recovery Rate $ Per KWH</t>
  </si>
  <si>
    <t xml:space="preserve">      From L. 6 (Net of Billing Adj.)</t>
  </si>
  <si>
    <t xml:space="preserve">       (L13D/L14)</t>
  </si>
  <si>
    <t>12. Total (Over) or Under Recovery</t>
  </si>
  <si>
    <t>21.  FAC $ per KWH (L20/L19)</t>
  </si>
  <si>
    <t xml:space="preserve">      (L10 - L11)</t>
  </si>
  <si>
    <t>22.  FAC c. per KWH (L21 X 100)</t>
  </si>
  <si>
    <t xml:space="preserve">Line 22 Reflects a Fuel Adjustment Charge (Credit) of </t>
  </si>
  <si>
    <t>cents per KWH to be applied to bills rendered after</t>
  </si>
  <si>
    <t>Issued on:</t>
  </si>
  <si>
    <t>Issued By:</t>
  </si>
  <si>
    <t xml:space="preserve">Title: </t>
  </si>
  <si>
    <t>CFO</t>
  </si>
  <si>
    <t>Address:</t>
  </si>
  <si>
    <t>111 W. Brashear Avenue, Bardstown, KY 40004</t>
  </si>
  <si>
    <t>Telephone:</t>
  </si>
  <si>
    <t xml:space="preserve">                              SCHEDULE 1</t>
  </si>
  <si>
    <t xml:space="preserve">          TWELVE MONTH ACTUAL LINE LOSS</t>
  </si>
  <si>
    <t>FOR FUEL ADJUSTMENT CHARGE COMPUTATION</t>
  </si>
  <si>
    <t>(A)</t>
  </si>
  <si>
    <t>(B)</t>
  </si>
  <si>
    <t>(C)</t>
  </si>
  <si>
    <t>(D)</t>
  </si>
  <si>
    <t>OFFICE</t>
  </si>
  <si>
    <t>PURCHASED</t>
  </si>
  <si>
    <t>SOLD</t>
  </si>
  <si>
    <t>USE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</si>
  <si>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</si>
  <si>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</si>
  <si>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</si>
  <si>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</si>
  <si>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</si>
  <si>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 xml:space="preserve">Total </t>
  </si>
  <si>
    <t>Column D</t>
  </si>
  <si>
    <t>Column A</t>
  </si>
  <si>
    <t>Divided by</t>
  </si>
  <si>
    <t xml:space="preserve">          Equals</t>
  </si>
  <si>
    <t>Enter on Line 16 of the Current Month's FAC Report</t>
  </si>
  <si>
    <t>JANUARY</t>
  </si>
  <si>
    <t>NOVEMBER</t>
  </si>
  <si>
    <t>DECEMBER</t>
  </si>
  <si>
    <t>JANUARY 14, 2020</t>
  </si>
  <si>
    <t>DECEMBER 16, 2020</t>
  </si>
  <si>
    <t>MECHONDA O'BRIEN</t>
  </si>
  <si>
    <t>For NOVEMBER 2020</t>
  </si>
  <si>
    <t>FEBRUARY 17, 2021</t>
  </si>
  <si>
    <t>JANUARY 14, 2021</t>
  </si>
  <si>
    <t>For DECEMBER 2020</t>
  </si>
  <si>
    <t>MARCH 16, 2021</t>
  </si>
  <si>
    <t>(502) 350-1510</t>
  </si>
  <si>
    <t>For JANUARY 2021</t>
  </si>
  <si>
    <t>FEBRUARY</t>
  </si>
  <si>
    <t>APRIL 15, 2021</t>
  </si>
  <si>
    <t>For FEBRUARY 2021</t>
  </si>
  <si>
    <t>For MARCH 2021</t>
  </si>
  <si>
    <t>MARCH</t>
  </si>
  <si>
    <t>For APRIL 2021</t>
  </si>
  <si>
    <t>MAY 14, 2021</t>
  </si>
  <si>
    <t>JUNE 16, 2021</t>
  </si>
  <si>
    <t>APRIL</t>
  </si>
  <si>
    <t>For MAY 2021</t>
  </si>
  <si>
    <t>JULY 15, 2021</t>
  </si>
  <si>
    <t>MAY</t>
  </si>
  <si>
    <t>For JUNE 2021</t>
  </si>
  <si>
    <t>AUGUST 16, 2021</t>
  </si>
  <si>
    <t>JUNE</t>
  </si>
  <si>
    <t>JULY</t>
  </si>
  <si>
    <t>SEPTEMBER 16, 2021</t>
  </si>
  <si>
    <t>For JULY 2021</t>
  </si>
  <si>
    <t>For AUGUST 2021</t>
  </si>
  <si>
    <t>OCTOBER 14, 2021</t>
  </si>
  <si>
    <t>For SEPTEMBER 2021</t>
  </si>
  <si>
    <t>NOVEMBER 17, 2021</t>
  </si>
  <si>
    <t>AUGUST</t>
  </si>
  <si>
    <t>SEPTEMBER</t>
  </si>
  <si>
    <t>OCTOBER</t>
  </si>
  <si>
    <t>DECEMBER 16, 2021</t>
  </si>
  <si>
    <t>For OCTOBER 2021</t>
  </si>
  <si>
    <t>For NOVEMBER 2021</t>
  </si>
  <si>
    <t>JANUARY 14, 2022</t>
  </si>
  <si>
    <t>For DECEMBER 2021</t>
  </si>
  <si>
    <t>FEBRUARY 15, 2022</t>
  </si>
  <si>
    <t>For JANUARY 2022</t>
  </si>
  <si>
    <t>MARCH 15, 2022</t>
  </si>
  <si>
    <t>FEBRUARY 16, 2022</t>
  </si>
  <si>
    <t>For FEBRUARY 2022</t>
  </si>
  <si>
    <t>APRIL 14, 2022</t>
  </si>
  <si>
    <t>MARCH 16, 2022</t>
  </si>
  <si>
    <t>For MARCH 2022</t>
  </si>
  <si>
    <t>MAY 16, 2022</t>
  </si>
  <si>
    <t>APRIL 18, 2022</t>
  </si>
  <si>
    <t>For APRIL 2022</t>
  </si>
  <si>
    <t>JUNE 16, 2022</t>
  </si>
  <si>
    <t>MAY 18, 2022</t>
  </si>
  <si>
    <t>For MAY 2022</t>
  </si>
  <si>
    <t>JULY 14, 2022</t>
  </si>
  <si>
    <t>JUNE 17, 2022</t>
  </si>
  <si>
    <t>For JUNE 2022</t>
  </si>
  <si>
    <t>AUGUST 16, 2022</t>
  </si>
  <si>
    <t>JULY 15, 2022</t>
  </si>
  <si>
    <t>SEPTEMBER 15, 2022</t>
  </si>
  <si>
    <t>AUGUST 17, 2022</t>
  </si>
  <si>
    <t>For JULY 2022</t>
  </si>
  <si>
    <t>For AUGUST 2022</t>
  </si>
  <si>
    <t>OCTOBER 14, 2022</t>
  </si>
  <si>
    <t>SEPTEMBER 16, 2022</t>
  </si>
  <si>
    <t>For SEPTEMBER 2022</t>
  </si>
  <si>
    <t>NOVEMBER 17, 2022</t>
  </si>
  <si>
    <t>OCTOBER 15, 2022</t>
  </si>
  <si>
    <t>For OCTOBER 2022</t>
  </si>
  <si>
    <t>DECEMBER 15, 2022</t>
  </si>
  <si>
    <t>NOVEMBER 18, 2022</t>
  </si>
  <si>
    <t>TOTAL PURCHASES</t>
  </si>
  <si>
    <t>SALES</t>
  </si>
  <si>
    <t>LOCK 7 SALES</t>
  </si>
  <si>
    <t>SALES (LESS LOCK7)</t>
  </si>
  <si>
    <t>COMPANY USE</t>
  </si>
  <si>
    <t>ADJUSTMENTS</t>
  </si>
  <si>
    <t>FAC REVENUE</t>
  </si>
  <si>
    <t>FAC CHARGE</t>
  </si>
  <si>
    <t>NOV20</t>
  </si>
  <si>
    <t>DEC20</t>
  </si>
  <si>
    <t>JAN21</t>
  </si>
  <si>
    <t>FEB21</t>
  </si>
  <si>
    <t>MAR21</t>
  </si>
  <si>
    <t>APR21</t>
  </si>
  <si>
    <t>MAY21</t>
  </si>
  <si>
    <t>JUN21</t>
  </si>
  <si>
    <t>JUL21</t>
  </si>
  <si>
    <t>AUG21</t>
  </si>
  <si>
    <t>SEP21</t>
  </si>
  <si>
    <t>OCT21</t>
  </si>
  <si>
    <t>NOV21</t>
  </si>
  <si>
    <t>DEC21</t>
  </si>
  <si>
    <t>JAN22</t>
  </si>
  <si>
    <t>FEB22</t>
  </si>
  <si>
    <t>MAR22</t>
  </si>
  <si>
    <t>APR22</t>
  </si>
  <si>
    <t>MAY22</t>
  </si>
  <si>
    <t>JUN22</t>
  </si>
  <si>
    <t>JUL22</t>
  </si>
  <si>
    <t>AUG22</t>
  </si>
  <si>
    <t>SEP22</t>
  </si>
  <si>
    <t>OCT22</t>
  </si>
  <si>
    <t>12 Month Average Line Loss %</t>
  </si>
  <si>
    <t>KWH Purchased</t>
  </si>
  <si>
    <t>KWH Sales</t>
  </si>
  <si>
    <t>Office Use</t>
  </si>
  <si>
    <t>KWH Losses</t>
  </si>
  <si>
    <t>Variance</t>
  </si>
  <si>
    <t>% From Paper Copy</t>
  </si>
  <si>
    <t>(Over)/Under Recovery</t>
  </si>
  <si>
    <t>(Over)/Under Cumulative Total</t>
  </si>
  <si>
    <t>Jaime Roby</t>
  </si>
  <si>
    <t>(502) 350-1536</t>
  </si>
  <si>
    <t>SALT RIVER ECC PROPOSED INCREASE/DECREASE IN BASE RATES</t>
  </si>
  <si>
    <t>Proposed Wholesale Power Supplier Rollin (See Attachment)</t>
  </si>
  <si>
    <t>Divided by 100% Less Average Line Loss of 3.83% (Schedule 1-A)</t>
  </si>
  <si>
    <t>PROPOSED DECREASE TO SALT RIVER ECC BASE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</si>
</sst>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164" formatCode="[$$-409]#,##0.00"/>
    <numFmt numFmtId="165" formatCode="#,##0.00000"/>
    <numFmt numFmtId="166" formatCode="#,##0.000"/>
    <numFmt numFmtId="167" formatCode="&quot;$&quot;#,##0.00"/>
    <numFmt numFmtId="168" formatCode="0.00000"/>
    <numFmt numFmtId="169" formatCode="0.0000"/>
    <numFmt numFmtId="170" formatCode="#,##0.0000_);[Red]\(#,##0.0000\)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8" fontId="0" fillId="0" borderId="0" xfId="0" applyNumberFormat="1"/>
    <xf numFmtId="38" fontId="0" fillId="0" borderId="0" xfId="0" applyNumberFormat="1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/>
    <xf numFmtId="0" fontId="4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1" fillId="0" borderId="2" xfId="0" applyNumberFormat="1" applyFont="1" applyFill="1" applyBorder="1" applyAlignment="1" applyProtection="1">
      <protection locked="0"/>
    </xf>
    <xf numFmtId="3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protection locked="0"/>
    </xf>
    <xf numFmtId="3" fontId="1" fillId="0" borderId="2" xfId="0" applyNumberFormat="1" applyFont="1" applyFill="1" applyBorder="1" applyAlignment="1" applyProtection="1">
      <protection locked="0"/>
    </xf>
    <xf numFmtId="164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3" fontId="1" fillId="0" borderId="0" xfId="0" applyNumberFormat="1" applyFont="1" applyFill="1" applyAlignment="1"/>
    <xf numFmtId="3" fontId="1" fillId="0" borderId="2" xfId="0" applyNumberFormat="1" applyFont="1" applyFill="1" applyBorder="1" applyAlignment="1"/>
    <xf numFmtId="165" fontId="1" fillId="0" borderId="0" xfId="0" applyNumberFormat="1" applyFont="1" applyFill="1" applyAlignment="1"/>
    <xf numFmtId="165" fontId="1" fillId="0" borderId="1" xfId="0" applyNumberFormat="1" applyFont="1" applyFill="1" applyBorder="1" applyAlignment="1"/>
    <xf numFmtId="2" fontId="1" fillId="0" borderId="0" xfId="0" applyNumberFormat="1" applyFont="1" applyFill="1" applyAlignment="1"/>
    <xf numFmtId="165" fontId="1" fillId="2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Alignment="1"/>
    <xf numFmtId="164" fontId="1" fillId="2" borderId="0" xfId="0" applyNumberFormat="1" applyFont="1" applyFill="1" applyAlignment="1" applyProtection="1">
      <protection locked="0"/>
    </xf>
    <xf numFmtId="164" fontId="1" fillId="0" borderId="1" xfId="0" applyNumberFormat="1" applyFont="1" applyFill="1" applyBorder="1" applyAlignment="1" applyProtection="1">
      <protection locked="0"/>
    </xf>
    <xf numFmtId="166" fontId="1" fillId="0" borderId="1" xfId="0" applyNumberFormat="1" applyFont="1" applyFill="1" applyBorder="1" applyAlignment="1"/>
    <xf numFmtId="166" fontId="1" fillId="0" borderId="0" xfId="0" applyNumberFormat="1" applyFont="1" applyFill="1" applyAlignment="1"/>
    <xf numFmtId="0" fontId="4" fillId="2" borderId="0" xfId="0" quotePrefix="1" applyNumberFormat="1" applyFont="1" applyFill="1" applyAlignment="1" applyProtection="1">
      <protection locked="0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2" borderId="0" xfId="0" applyNumberFormat="1" applyFont="1" applyFill="1" applyAlignment="1"/>
    <xf numFmtId="3" fontId="1" fillId="2" borderId="0" xfId="0" applyNumberFormat="1" applyFont="1" applyFill="1" applyAlignment="1" applyProtection="1">
      <protection locked="0"/>
    </xf>
    <xf numFmtId="8" fontId="1" fillId="0" borderId="0" xfId="0" quotePrefix="1" applyNumberFormat="1" applyFont="1" applyFill="1" applyAlignment="1" applyProtection="1">
      <alignment horizontal="right"/>
      <protection locked="0"/>
    </xf>
    <xf numFmtId="0" fontId="4" fillId="2" borderId="0" xfId="0" applyNumberFormat="1" applyFont="1" applyFill="1" applyAlignment="1"/>
    <xf numFmtId="3" fontId="1" fillId="2" borderId="0" xfId="0" applyNumberFormat="1" applyFont="1" applyFill="1" applyAlignment="1"/>
    <xf numFmtId="3" fontId="1" fillId="3" borderId="0" xfId="0" applyNumberFormat="1" applyFont="1" applyFill="1" applyAlignment="1" applyProtection="1">
      <protection locked="0"/>
    </xf>
    <xf numFmtId="3" fontId="1" fillId="3" borderId="0" xfId="0" applyNumberFormat="1" applyFont="1" applyFill="1" applyAlignment="1"/>
    <xf numFmtId="165" fontId="1" fillId="3" borderId="0" xfId="0" applyNumberFormat="1" applyFont="1" applyFill="1" applyAlignment="1" applyProtection="1">
      <protection locked="0"/>
    </xf>
    <xf numFmtId="164" fontId="1" fillId="3" borderId="0" xfId="0" applyNumberFormat="1" applyFont="1" applyFill="1" applyAlignment="1" applyProtection="1">
      <protection locked="0"/>
    </xf>
    <xf numFmtId="15" fontId="4" fillId="2" borderId="0" xfId="0" quotePrefix="1" applyNumberFormat="1" applyFont="1" applyFill="1" applyAlignment="1" applyProtection="1">
      <protection locked="0"/>
    </xf>
    <xf numFmtId="8" fontId="0" fillId="0" borderId="0" xfId="0" quotePrefix="1" applyNumberFormat="1"/>
    <xf numFmtId="38" fontId="0" fillId="0" borderId="0" xfId="0" applyNumberFormat="1" applyFill="1"/>
    <xf numFmtId="8" fontId="0" fillId="0" borderId="0" xfId="0" applyNumberFormat="1" applyFill="1"/>
    <xf numFmtId="3" fontId="1" fillId="3" borderId="1" xfId="0" applyNumberFormat="1" applyFont="1" applyFill="1" applyBorder="1" applyAlignment="1" applyProtection="1">
      <protection locked="0"/>
    </xf>
    <xf numFmtId="38" fontId="0" fillId="0" borderId="3" xfId="0" applyNumberFormat="1" applyBorder="1" applyAlignment="1">
      <alignment horizontal="center" wrapText="1"/>
    </xf>
    <xf numFmtId="38" fontId="0" fillId="0" borderId="4" xfId="0" applyNumberFormat="1" applyBorder="1" applyAlignment="1">
      <alignment horizontal="center" wrapText="1"/>
    </xf>
    <xf numFmtId="38" fontId="0" fillId="0" borderId="5" xfId="0" applyNumberFormat="1" applyBorder="1" applyAlignment="1">
      <alignment horizontal="center" wrapText="1"/>
    </xf>
    <xf numFmtId="8" fontId="0" fillId="0" borderId="0" xfId="0" applyNumberFormat="1" applyAlignment="1">
      <alignment horizontal="center" wrapText="1"/>
    </xf>
    <xf numFmtId="8" fontId="0" fillId="0" borderId="4" xfId="0" applyNumberFormat="1" applyBorder="1" applyAlignment="1">
      <alignment horizontal="center" wrapText="1"/>
    </xf>
    <xf numFmtId="8" fontId="0" fillId="0" borderId="5" xfId="0" applyNumberFormat="1" applyBorder="1" applyAlignment="1">
      <alignment horizontal="center" wrapText="1"/>
    </xf>
    <xf numFmtId="2" fontId="0" fillId="4" borderId="0" xfId="0" applyNumberFormat="1" applyFill="1"/>
    <xf numFmtId="38" fontId="0" fillId="4" borderId="0" xfId="0" applyNumberFormat="1" applyFill="1"/>
    <xf numFmtId="6" fontId="0" fillId="4" borderId="0" xfId="0" applyNumberFormat="1" applyFill="1"/>
    <xf numFmtId="40" fontId="0" fillId="4" borderId="0" xfId="0" applyNumberFormat="1" applyFill="1"/>
    <xf numFmtId="167" fontId="0" fillId="0" borderId="0" xfId="0" applyNumberFormat="1"/>
    <xf numFmtId="8" fontId="0" fillId="4" borderId="0" xfId="0" applyNumberFormat="1" applyFill="1"/>
    <xf numFmtId="0" fontId="7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0" fontId="8" fillId="0" borderId="8" xfId="0" applyNumberFormat="1" applyFont="1" applyFill="1" applyBorder="1" applyAlignment="1"/>
    <xf numFmtId="0" fontId="7" fillId="0" borderId="8" xfId="0" applyNumberFormat="1" applyFont="1" applyFill="1" applyBorder="1" applyAlignment="1"/>
    <xf numFmtId="0" fontId="7" fillId="0" borderId="9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11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11" xfId="0" applyNumberFormat="1" applyFont="1" applyFill="1" applyBorder="1" applyAlignment="1"/>
    <xf numFmtId="168" fontId="7" fillId="2" borderId="11" xfId="0" applyNumberFormat="1" applyFont="1" applyFill="1" applyBorder="1" applyAlignment="1" applyProtection="1">
      <protection locked="0"/>
    </xf>
    <xf numFmtId="0" fontId="7" fillId="0" borderId="10" xfId="0" applyNumberFormat="1" applyFont="1" applyFill="1" applyBorder="1" applyAlignment="1" applyProtection="1">
      <protection locked="0"/>
    </xf>
    <xf numFmtId="0" fontId="7" fillId="0" borderId="12" xfId="0" applyNumberFormat="1" applyFont="1" applyFill="1" applyBorder="1" applyAlignment="1"/>
    <xf numFmtId="0" fontId="7" fillId="0" borderId="13" xfId="0" applyNumberFormat="1" applyFont="1" applyFill="1" applyBorder="1" applyAlignment="1"/>
    <xf numFmtId="0" fontId="7" fillId="0" borderId="14" xfId="0" applyNumberFormat="1" applyFont="1" applyFill="1" applyBorder="1" applyAlignment="1"/>
    <xf numFmtId="168" fontId="7" fillId="0" borderId="15" xfId="0" applyNumberFormat="1" applyFont="1" applyFill="1" applyBorder="1" applyAlignment="1"/>
    <xf numFmtId="169" fontId="7" fillId="0" borderId="11" xfId="0" applyNumberFormat="1" applyFont="1" applyFill="1" applyBorder="1" applyAlignment="1" applyProtection="1">
      <protection locked="0"/>
    </xf>
    <xf numFmtId="170" fontId="0" fillId="4" borderId="6" xfId="0" applyNumberFormat="1" applyFill="1" applyBorder="1"/>
    <xf numFmtId="0" fontId="1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esrv6\Accounting\ACCT%20EXCEL%20FILES\PSC-ESC%20Fillings\Fuel%20Chg\FUEL%20CHARGE%20CALCULATION-November%202022_October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NOV22"/>
      <sheetName val="DEC22"/>
      <sheetName val="JAN23"/>
      <sheetName val="FEB23"/>
      <sheetName val="MAR23"/>
      <sheetName val="APR23"/>
      <sheetName val="MAY23"/>
      <sheetName val="JUN23"/>
      <sheetName val="JUL23"/>
      <sheetName val="AUG23"/>
      <sheetName val="SEP23"/>
      <sheetName val="OCT23"/>
      <sheetName val="NOV23"/>
      <sheetName val="DEC23"/>
      <sheetName val="JAN24"/>
      <sheetName val="FEB24"/>
      <sheetName val="MAR24"/>
      <sheetName val="APR24"/>
      <sheetName val="MAY24"/>
      <sheetName val="JUN24"/>
      <sheetName val="JUL24"/>
      <sheetName val="AUG24"/>
      <sheetName val="SEP24"/>
      <sheetName val="OCT24"/>
    </sheetNames>
    <sheetDataSet>
      <sheetData sheetId="0">
        <row r="4">
          <cell r="G4">
            <v>-315470</v>
          </cell>
        </row>
        <row r="5">
          <cell r="G5">
            <v>-67532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8D051-E2F5-43EB-933E-AA940804DD6C}">
  <dimension ref="A1:U36"/>
  <sheetViews>
    <sheetView zoomScale="90" zoomScaleNormal="90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Q3" sqref="Q3"/>
    </sheetView>
  </sheetViews>
  <sheetFormatPr defaultRowHeight="15" x14ac:dyDescent="0.25"/>
  <cols>
    <col min="1" max="1" width="9.140625" style="1"/>
    <col min="2" max="2" width="17.5703125" style="2" bestFit="1" customWidth="1"/>
    <col min="3" max="4" width="17.5703125" style="2" customWidth="1"/>
    <col min="5" max="5" width="18.140625" style="2" bestFit="1" customWidth="1"/>
    <col min="6" max="6" width="14" style="2" bestFit="1" customWidth="1"/>
    <col min="7" max="8" width="15" style="1" bestFit="1" customWidth="1"/>
    <col min="9" max="9" width="14.28515625" style="1" bestFit="1" customWidth="1"/>
    <col min="10" max="10" width="9.140625" style="1"/>
    <col min="11" max="12" width="19.5703125" style="1" bestFit="1" customWidth="1"/>
    <col min="13" max="13" width="14.28515625" style="1" bestFit="1" customWidth="1"/>
    <col min="14" max="14" width="18.28515625" style="1" bestFit="1" customWidth="1"/>
    <col min="15" max="15" width="12" style="1" bestFit="1" customWidth="1"/>
    <col min="16" max="19" width="9.140625" style="1"/>
    <col min="20" max="21" width="13.28515625" style="1" bestFit="1" customWidth="1"/>
    <col min="22" max="16384" width="9.140625" style="1"/>
  </cols>
  <sheetData>
    <row r="1" spans="1:21" s="55" customFormat="1" ht="60.75" thickBot="1" x14ac:dyDescent="0.3">
      <c r="B1" s="52" t="s">
        <v>157</v>
      </c>
      <c r="C1" s="52" t="s">
        <v>158</v>
      </c>
      <c r="D1" s="53" t="s">
        <v>159</v>
      </c>
      <c r="E1" s="54" t="s">
        <v>160</v>
      </c>
      <c r="F1" s="53" t="s">
        <v>161</v>
      </c>
      <c r="G1" s="56" t="s">
        <v>162</v>
      </c>
      <c r="H1" s="56" t="s">
        <v>163</v>
      </c>
      <c r="I1" s="57" t="s">
        <v>164</v>
      </c>
      <c r="K1" s="55" t="s">
        <v>190</v>
      </c>
      <c r="L1" s="55" t="s">
        <v>191</v>
      </c>
      <c r="M1" s="55" t="s">
        <v>192</v>
      </c>
      <c r="N1" s="55" t="s">
        <v>193</v>
      </c>
      <c r="O1" s="55" t="s">
        <v>189</v>
      </c>
      <c r="Q1" s="55" t="s">
        <v>195</v>
      </c>
      <c r="R1" s="55" t="s">
        <v>194</v>
      </c>
      <c r="T1" s="55" t="s">
        <v>196</v>
      </c>
      <c r="U1" s="55" t="s">
        <v>197</v>
      </c>
    </row>
    <row r="2" spans="1:21" x14ac:dyDescent="0.25">
      <c r="A2" s="48" t="s">
        <v>165</v>
      </c>
      <c r="B2" s="2">
        <v>90041004</v>
      </c>
      <c r="C2" s="2">
        <v>89837590</v>
      </c>
      <c r="D2" s="2">
        <v>948043</v>
      </c>
      <c r="E2" s="59">
        <f>+C2-D2</f>
        <v>88889547</v>
      </c>
      <c r="F2" s="2">
        <v>24270</v>
      </c>
      <c r="G2" s="1">
        <v>-161429</v>
      </c>
      <c r="H2" s="1">
        <v>-678552.72</v>
      </c>
      <c r="I2" s="1">
        <v>-473616</v>
      </c>
      <c r="K2" s="60">
        <f>+'NOV20'!H64</f>
        <v>1213907884</v>
      </c>
      <c r="L2" s="60">
        <f>+'NOV20'!I64</f>
        <v>1167094370</v>
      </c>
      <c r="M2" s="60">
        <f>+'NOV20'!J64</f>
        <v>385064</v>
      </c>
      <c r="N2" s="60">
        <f>+'NOV20'!K64</f>
        <v>46428450</v>
      </c>
      <c r="O2" s="61">
        <f>+(N2/K2)*100</f>
        <v>3.8247094867702494</v>
      </c>
      <c r="Q2" s="58">
        <f>+'NOV20'!$F$70</f>
        <v>3.82</v>
      </c>
      <c r="R2" s="62">
        <f>+O2-Q2</f>
        <v>4.7094867702495158E-3</v>
      </c>
      <c r="T2" s="1">
        <f>+'NOV20'!$L$11</f>
        <v>-3508.6500000000233</v>
      </c>
      <c r="U2" s="1">
        <f>+T2</f>
        <v>-3508.6500000000233</v>
      </c>
    </row>
    <row r="3" spans="1:21" x14ac:dyDescent="0.25">
      <c r="A3" s="48" t="s">
        <v>166</v>
      </c>
      <c r="B3" s="2">
        <v>122631761</v>
      </c>
      <c r="C3" s="2">
        <v>112661906</v>
      </c>
      <c r="D3" s="2">
        <v>1113156</v>
      </c>
      <c r="E3" s="59">
        <f t="shared" ref="E3:E25" si="0">+C3-D3</f>
        <v>111548750</v>
      </c>
      <c r="F3" s="2">
        <v>51955</v>
      </c>
      <c r="G3" s="1">
        <v>-104761</v>
      </c>
      <c r="H3" s="1">
        <v>-1053616.81</v>
      </c>
      <c r="I3" s="1">
        <v>-609479</v>
      </c>
      <c r="K3" s="60">
        <f>+'DEC20'!H64</f>
        <v>1225437373</v>
      </c>
      <c r="L3" s="60">
        <f>+'DEC20'!I64</f>
        <v>1173660240</v>
      </c>
      <c r="M3" s="60">
        <f>+'DEC20'!J64</f>
        <v>391523</v>
      </c>
      <c r="N3" s="60">
        <f>+'DEC20'!K64</f>
        <v>51385610</v>
      </c>
      <c r="O3" s="61">
        <f t="shared" ref="O3:O27" si="1">+(N3/K3)*100</f>
        <v>4.1932465201548901</v>
      </c>
      <c r="Q3" s="58">
        <f>+'DEC20'!$F$70</f>
        <v>4.1900000000000004</v>
      </c>
      <c r="R3" s="62">
        <f t="shared" ref="R3:R25" si="2">+O3-Q3</f>
        <v>3.2465201548896871E-3</v>
      </c>
      <c r="T3" s="1">
        <f>+'DEC20'!$L$11</f>
        <v>308869.31000000006</v>
      </c>
      <c r="U3" s="1">
        <f>+U2+T3</f>
        <v>305360.66000000003</v>
      </c>
    </row>
    <row r="4" spans="1:21" x14ac:dyDescent="0.25">
      <c r="A4" s="48" t="s">
        <v>167</v>
      </c>
      <c r="B4" s="2">
        <v>127950059</v>
      </c>
      <c r="C4" s="2">
        <v>125793607</v>
      </c>
      <c r="D4" s="2">
        <v>946448</v>
      </c>
      <c r="E4" s="59">
        <f t="shared" si="0"/>
        <v>124847159</v>
      </c>
      <c r="F4" s="2">
        <v>61570</v>
      </c>
      <c r="G4" s="1">
        <v>5632</v>
      </c>
      <c r="H4" s="1">
        <v>-692910.17</v>
      </c>
      <c r="I4" s="1">
        <v>-507963</v>
      </c>
      <c r="K4" s="60">
        <f>+'JAN21'!H64</f>
        <v>1240188559</v>
      </c>
      <c r="L4" s="60">
        <f>+'JAN21'!I64</f>
        <v>1192690227</v>
      </c>
      <c r="M4" s="60">
        <f>+'JAN21'!J64</f>
        <v>400957</v>
      </c>
      <c r="N4" s="60">
        <f>+'JAN21'!K64</f>
        <v>47097375</v>
      </c>
      <c r="O4" s="61">
        <f t="shared" si="1"/>
        <v>3.797597926397255</v>
      </c>
      <c r="Q4" s="58">
        <f>+'JAN21'!$F$70</f>
        <v>3.8</v>
      </c>
      <c r="R4" s="62">
        <f t="shared" si="2"/>
        <v>-2.4020736027448031E-3</v>
      </c>
      <c r="T4" s="1">
        <f>+'JAN21'!$L$11</f>
        <v>215785.52000000002</v>
      </c>
      <c r="U4" s="1">
        <f t="shared" ref="U4:U25" si="3">+U3+T4</f>
        <v>521146.18000000005</v>
      </c>
    </row>
    <row r="5" spans="1:21" x14ac:dyDescent="0.25">
      <c r="A5" s="48" t="s">
        <v>168</v>
      </c>
      <c r="B5" s="2">
        <v>125978703</v>
      </c>
      <c r="C5" s="2">
        <v>125357230</v>
      </c>
      <c r="D5" s="2">
        <v>779897</v>
      </c>
      <c r="E5" s="59">
        <f t="shared" si="0"/>
        <v>124577333</v>
      </c>
      <c r="F5" s="2">
        <v>68478</v>
      </c>
      <c r="G5" s="1">
        <v>-9507</v>
      </c>
      <c r="H5" s="1">
        <v>-320442.61</v>
      </c>
      <c r="I5" s="1">
        <v>-614772</v>
      </c>
      <c r="K5" s="60">
        <f>+'FEB21'!H64</f>
        <v>1256346008</v>
      </c>
      <c r="L5" s="60">
        <f>+'FEB21'!I64</f>
        <v>1209474135</v>
      </c>
      <c r="M5" s="60">
        <f>+'FEB21'!J64</f>
        <v>421536</v>
      </c>
      <c r="N5" s="60">
        <f>+'FEB21'!K64</f>
        <v>46450337</v>
      </c>
      <c r="O5" s="61">
        <f t="shared" si="1"/>
        <v>3.697256703505202</v>
      </c>
      <c r="Q5" s="58">
        <f>+'FEB21'!$F$70</f>
        <v>3.7</v>
      </c>
      <c r="R5" s="62">
        <f t="shared" si="2"/>
        <v>-2.7432964947982086E-3</v>
      </c>
      <c r="T5" s="1">
        <f>+'FEB21'!$L$11</f>
        <v>19832.920000000042</v>
      </c>
      <c r="U5" s="1">
        <f t="shared" si="3"/>
        <v>540979.10000000009</v>
      </c>
    </row>
    <row r="6" spans="1:21" x14ac:dyDescent="0.25">
      <c r="A6" s="48" t="s">
        <v>169</v>
      </c>
      <c r="B6" s="2">
        <v>95410451</v>
      </c>
      <c r="C6" s="2">
        <v>91223892</v>
      </c>
      <c r="D6" s="2">
        <v>596859</v>
      </c>
      <c r="E6" s="59">
        <f t="shared" si="0"/>
        <v>90627033</v>
      </c>
      <c r="F6" s="2">
        <v>38620</v>
      </c>
      <c r="G6" s="1">
        <v>-440792</v>
      </c>
      <c r="H6" s="1">
        <v>-215998.43</v>
      </c>
      <c r="I6" s="1">
        <v>205131</v>
      </c>
      <c r="K6" s="60">
        <f>+'MAR21'!H64</f>
        <v>1257678029</v>
      </c>
      <c r="L6" s="60">
        <f>+'MAR21'!I64</f>
        <v>1208994557</v>
      </c>
      <c r="M6" s="60">
        <f>+'MAR21'!J64</f>
        <v>427401</v>
      </c>
      <c r="N6" s="60">
        <f>+'MAR21'!K64</f>
        <v>48256071</v>
      </c>
      <c r="O6" s="61">
        <f t="shared" si="1"/>
        <v>3.8369177076560028</v>
      </c>
      <c r="Q6" s="58">
        <f>+'MAR21'!$F$70</f>
        <v>3.84</v>
      </c>
      <c r="R6" s="62">
        <f t="shared" si="2"/>
        <v>-3.0822923439970396E-3</v>
      </c>
      <c r="T6" s="1">
        <f>+'MAR21'!$L$11</f>
        <v>-76179.049999999988</v>
      </c>
      <c r="U6" s="1">
        <f t="shared" si="3"/>
        <v>464800.0500000001</v>
      </c>
    </row>
    <row r="7" spans="1:21" x14ac:dyDescent="0.25">
      <c r="A7" s="48" t="s">
        <v>170</v>
      </c>
      <c r="B7" s="2">
        <v>85599350</v>
      </c>
      <c r="C7" s="2">
        <v>81822951</v>
      </c>
      <c r="D7" s="2">
        <v>1051651</v>
      </c>
      <c r="E7" s="59">
        <f t="shared" si="0"/>
        <v>80771300</v>
      </c>
      <c r="F7" s="2">
        <v>23430</v>
      </c>
      <c r="G7" s="1">
        <v>-876493</v>
      </c>
      <c r="H7" s="1">
        <v>-402288</v>
      </c>
      <c r="I7" s="1">
        <v>-358663</v>
      </c>
      <c r="K7" s="60">
        <f>+'APR21'!H64</f>
        <v>1260999150</v>
      </c>
      <c r="L7" s="60">
        <f>+'APR21'!I64</f>
        <v>1209223225</v>
      </c>
      <c r="M7" s="60">
        <f>+'APR21'!J64</f>
        <v>423835</v>
      </c>
      <c r="N7" s="60">
        <f>+'APR21'!K64</f>
        <v>51352090</v>
      </c>
      <c r="O7" s="61">
        <f t="shared" si="1"/>
        <v>4.0723334349590958</v>
      </c>
      <c r="Q7" s="58">
        <f>+'APR21'!$F$70</f>
        <v>4.07</v>
      </c>
      <c r="R7" s="62">
        <f t="shared" si="2"/>
        <v>2.3334349590955483E-3</v>
      </c>
      <c r="T7" s="1">
        <f>+'APR21'!$L$11</f>
        <v>-192651.07999999996</v>
      </c>
      <c r="U7" s="1">
        <f t="shared" si="3"/>
        <v>272148.97000000015</v>
      </c>
    </row>
    <row r="8" spans="1:21" x14ac:dyDescent="0.25">
      <c r="A8" s="48" t="s">
        <v>171</v>
      </c>
      <c r="B8" s="2">
        <v>90793778</v>
      </c>
      <c r="C8" s="2">
        <v>88598501</v>
      </c>
      <c r="D8" s="2">
        <v>988525</v>
      </c>
      <c r="E8" s="59">
        <f t="shared" si="0"/>
        <v>87609976</v>
      </c>
      <c r="F8" s="2">
        <v>22996</v>
      </c>
      <c r="G8" s="1">
        <v>230242</v>
      </c>
      <c r="H8" s="1">
        <v>121578.28</v>
      </c>
      <c r="I8" s="1">
        <v>-641912</v>
      </c>
      <c r="K8" s="60">
        <f>+'MAY21'!H64</f>
        <v>1262510834</v>
      </c>
      <c r="L8" s="60">
        <f>+'MAY21'!I64</f>
        <v>1210685974</v>
      </c>
      <c r="M8" s="60">
        <f>+'MAY21'!J64</f>
        <v>422785</v>
      </c>
      <c r="N8" s="60">
        <f>+'MAY21'!K64</f>
        <v>51402075</v>
      </c>
      <c r="O8" s="61">
        <f t="shared" si="1"/>
        <v>4.0714165467509957</v>
      </c>
      <c r="Q8" s="58">
        <f>+'MAY21'!$F$70</f>
        <v>4.07</v>
      </c>
      <c r="R8" s="62">
        <f t="shared" si="2"/>
        <v>1.416546750995451E-3</v>
      </c>
      <c r="T8" s="1">
        <f>+'MAY21'!$L$11</f>
        <v>7373.6700000000128</v>
      </c>
      <c r="U8" s="1">
        <f t="shared" si="3"/>
        <v>279522.64000000013</v>
      </c>
    </row>
    <row r="9" spans="1:21" x14ac:dyDescent="0.25">
      <c r="A9" s="48" t="s">
        <v>172</v>
      </c>
      <c r="B9" s="2">
        <v>110672285</v>
      </c>
      <c r="C9" s="2">
        <v>106277960</v>
      </c>
      <c r="D9" s="2">
        <v>842328</v>
      </c>
      <c r="E9" s="59">
        <f t="shared" si="0"/>
        <v>105435632</v>
      </c>
      <c r="F9" s="2">
        <v>26449</v>
      </c>
      <c r="G9" s="1">
        <v>-91147</v>
      </c>
      <c r="H9" s="1">
        <v>-713278.74</v>
      </c>
      <c r="I9" s="1">
        <v>-515734</v>
      </c>
      <c r="K9" s="60">
        <f>+'JUN21'!H64</f>
        <v>1267828287</v>
      </c>
      <c r="L9" s="60">
        <f>+'JUN21'!I64</f>
        <v>1213255062</v>
      </c>
      <c r="M9" s="60">
        <f>+'JUN21'!J64</f>
        <v>422747</v>
      </c>
      <c r="N9" s="60">
        <f>+'JUN21'!K64</f>
        <v>54150478</v>
      </c>
      <c r="O9" s="61">
        <f t="shared" si="1"/>
        <v>4.2711208256863893</v>
      </c>
      <c r="Q9" s="58">
        <f>+'JUN21'!$F$70</f>
        <v>4.2699999999999996</v>
      </c>
      <c r="R9" s="62">
        <f t="shared" si="2"/>
        <v>1.1208256863897148E-3</v>
      </c>
      <c r="T9" s="1">
        <f>+'JUN21'!$L$11</f>
        <v>161964.66000000003</v>
      </c>
      <c r="U9" s="1">
        <f t="shared" si="3"/>
        <v>441487.30000000016</v>
      </c>
    </row>
    <row r="10" spans="1:21" x14ac:dyDescent="0.25">
      <c r="A10" s="48" t="s">
        <v>173</v>
      </c>
      <c r="B10" s="2">
        <v>119731177</v>
      </c>
      <c r="C10" s="2">
        <v>116129379</v>
      </c>
      <c r="D10" s="2">
        <v>971998</v>
      </c>
      <c r="E10" s="59">
        <f t="shared" si="0"/>
        <v>115157381</v>
      </c>
      <c r="F10" s="2">
        <v>29336</v>
      </c>
      <c r="G10" s="1">
        <v>-5919</v>
      </c>
      <c r="H10" s="1">
        <v>-846268.57</v>
      </c>
      <c r="I10" s="1">
        <v>-482519</v>
      </c>
      <c r="K10" s="60">
        <f>+'JUL21'!H64</f>
        <v>1260603195</v>
      </c>
      <c r="L10" s="60">
        <f>+'JUL21'!I64</f>
        <v>1210965148</v>
      </c>
      <c r="M10" s="60">
        <f>+'JUL21'!J64</f>
        <v>421661</v>
      </c>
      <c r="N10" s="60">
        <f>+'JUL21'!K64</f>
        <v>49216386</v>
      </c>
      <c r="O10" s="61">
        <f t="shared" si="1"/>
        <v>3.9041933413471952</v>
      </c>
      <c r="Q10" s="58">
        <f>+'JUL21'!$F$70</f>
        <v>3.9</v>
      </c>
      <c r="R10" s="62">
        <f t="shared" si="2"/>
        <v>4.1933413471952896E-3</v>
      </c>
      <c r="T10" s="1">
        <f>+'JUL21'!$L$11</f>
        <v>211730.24</v>
      </c>
      <c r="U10" s="1">
        <f t="shared" si="3"/>
        <v>653217.54000000015</v>
      </c>
    </row>
    <row r="11" spans="1:21" x14ac:dyDescent="0.25">
      <c r="A11" s="48" t="s">
        <v>174</v>
      </c>
      <c r="B11" s="2">
        <v>124644740</v>
      </c>
      <c r="C11" s="2">
        <v>121315105</v>
      </c>
      <c r="D11" s="2">
        <v>956508</v>
      </c>
      <c r="E11" s="59">
        <f t="shared" si="0"/>
        <v>120358597</v>
      </c>
      <c r="F11" s="2">
        <v>28754</v>
      </c>
      <c r="G11" s="1">
        <v>-240655</v>
      </c>
      <c r="H11" s="1">
        <v>-404965.7</v>
      </c>
      <c r="I11" s="1">
        <v>-433766</v>
      </c>
      <c r="K11" s="60">
        <f>+'AUG21'!H64</f>
        <v>1271021881</v>
      </c>
      <c r="L11" s="60">
        <f>+'AUG21'!I64</f>
        <v>1218986198</v>
      </c>
      <c r="M11" s="60">
        <f>+'AUG21'!J64</f>
        <v>427959</v>
      </c>
      <c r="N11" s="60">
        <f>+'AUG21'!K64</f>
        <v>51607724</v>
      </c>
      <c r="O11" s="61">
        <f t="shared" si="1"/>
        <v>4.0603332461433839</v>
      </c>
      <c r="Q11" s="58">
        <f>+'AUG21'!$F$70</f>
        <v>4.0599999999999996</v>
      </c>
      <c r="R11" s="62">
        <f t="shared" si="2"/>
        <v>3.3324614338425818E-4</v>
      </c>
      <c r="T11" s="1">
        <f>+'AUG21'!$L$11</f>
        <v>51196.360000000044</v>
      </c>
      <c r="U11" s="1">
        <f t="shared" si="3"/>
        <v>704413.90000000014</v>
      </c>
    </row>
    <row r="12" spans="1:21" x14ac:dyDescent="0.25">
      <c r="A12" s="48" t="s">
        <v>175</v>
      </c>
      <c r="B12" s="2">
        <v>99280116</v>
      </c>
      <c r="C12" s="2">
        <v>99853439</v>
      </c>
      <c r="D12" s="2">
        <v>985545</v>
      </c>
      <c r="E12" s="59">
        <f t="shared" si="0"/>
        <v>98867894</v>
      </c>
      <c r="F12" s="2">
        <v>25461</v>
      </c>
      <c r="G12" s="1">
        <v>-930656</v>
      </c>
      <c r="H12" s="1">
        <v>-233698.33</v>
      </c>
      <c r="I12" s="1">
        <v>-265077</v>
      </c>
      <c r="K12" s="60">
        <f>+'SEP21'!H64</f>
        <v>1276176460</v>
      </c>
      <c r="L12" s="60">
        <f>+'SEP21'!I64</f>
        <v>1229011434</v>
      </c>
      <c r="M12" s="60">
        <f>+'SEP21'!J64</f>
        <v>429478</v>
      </c>
      <c r="N12" s="60">
        <f>+'SEP21'!K64</f>
        <v>46735548</v>
      </c>
      <c r="O12" s="61">
        <f t="shared" si="1"/>
        <v>3.6621540566576507</v>
      </c>
      <c r="Q12" s="58">
        <f>+'SEP21'!$F$70</f>
        <v>3.66</v>
      </c>
      <c r="R12" s="62">
        <f t="shared" si="2"/>
        <v>2.1540566576505604E-3</v>
      </c>
      <c r="T12" s="1">
        <f>+'SEP21'!$L$11</f>
        <v>-37090.430000000022</v>
      </c>
      <c r="U12" s="1">
        <f t="shared" si="3"/>
        <v>667323.47000000009</v>
      </c>
    </row>
    <row r="13" spans="1:21" x14ac:dyDescent="0.25">
      <c r="A13" s="48" t="s">
        <v>176</v>
      </c>
      <c r="B13" s="2">
        <v>88510839</v>
      </c>
      <c r="C13" s="2">
        <v>87865182</v>
      </c>
      <c r="D13" s="2">
        <v>992399</v>
      </c>
      <c r="E13" s="59">
        <f t="shared" si="0"/>
        <v>86872783</v>
      </c>
      <c r="F13" s="2">
        <v>19416</v>
      </c>
      <c r="G13" s="1">
        <v>-11158</v>
      </c>
      <c r="H13" s="1">
        <v>-281005.77</v>
      </c>
      <c r="I13" s="1">
        <v>-79660</v>
      </c>
      <c r="K13" s="60">
        <f>+'OCT21'!H64</f>
        <v>1281604263</v>
      </c>
      <c r="L13" s="60">
        <f>+'OCT21'!I64</f>
        <v>1235563385</v>
      </c>
      <c r="M13" s="60">
        <f>+'OCT21'!J64</f>
        <v>420735</v>
      </c>
      <c r="N13" s="60">
        <f>+'OCT21'!K64</f>
        <v>45620143</v>
      </c>
      <c r="O13" s="61">
        <f t="shared" si="1"/>
        <v>3.5596123013208172</v>
      </c>
      <c r="Q13" s="58">
        <f>+'OCT21'!$F$70</f>
        <v>3.56</v>
      </c>
      <c r="R13" s="62">
        <f t="shared" si="2"/>
        <v>-3.8769867918286849E-4</v>
      </c>
      <c r="T13" s="1">
        <f>+'OCT21'!$L$11</f>
        <v>-101563.86999999994</v>
      </c>
      <c r="U13" s="1">
        <f t="shared" si="3"/>
        <v>565759.60000000009</v>
      </c>
    </row>
    <row r="14" spans="1:21" x14ac:dyDescent="0.25">
      <c r="A14" s="48" t="s">
        <v>177</v>
      </c>
      <c r="B14" s="2">
        <v>101408280</v>
      </c>
      <c r="C14" s="2">
        <v>95140948</v>
      </c>
      <c r="D14" s="2">
        <v>1044941</v>
      </c>
      <c r="E14" s="59">
        <f t="shared" si="0"/>
        <v>94096007</v>
      </c>
      <c r="F14" s="2">
        <v>32904</v>
      </c>
      <c r="G14" s="1">
        <v>-127386</v>
      </c>
      <c r="H14" s="1">
        <v>-300496.33</v>
      </c>
      <c r="I14" s="1">
        <v>1140845</v>
      </c>
      <c r="K14" s="60">
        <f>+'NOV21'!H64</f>
        <v>1292971539</v>
      </c>
      <c r="L14" s="60">
        <f>+'NOV21'!I64</f>
        <v>1240769845</v>
      </c>
      <c r="M14" s="60">
        <f>+'NOV21'!J64</f>
        <v>429369</v>
      </c>
      <c r="N14" s="60">
        <f>+'NOV21'!K64</f>
        <v>51772325</v>
      </c>
      <c r="O14" s="61">
        <f t="shared" si="1"/>
        <v>4.0041349278299929</v>
      </c>
      <c r="Q14" s="58">
        <f>+'NOV21'!$F$70</f>
        <v>4</v>
      </c>
      <c r="R14" s="62">
        <f t="shared" si="2"/>
        <v>4.1349278299929182E-3</v>
      </c>
      <c r="T14" s="1">
        <f>+'NOV21'!$L$11</f>
        <v>-1671.1000000000349</v>
      </c>
      <c r="U14" s="1">
        <f t="shared" si="3"/>
        <v>564088.5</v>
      </c>
    </row>
    <row r="15" spans="1:21" x14ac:dyDescent="0.25">
      <c r="A15" s="48" t="s">
        <v>178</v>
      </c>
      <c r="B15" s="2">
        <v>103695494</v>
      </c>
      <c r="C15" s="2">
        <v>103613596</v>
      </c>
      <c r="D15" s="2">
        <v>667234</v>
      </c>
      <c r="E15" s="59">
        <f t="shared" si="0"/>
        <v>102946362</v>
      </c>
      <c r="F15" s="2">
        <v>40213</v>
      </c>
      <c r="G15" s="1">
        <v>-123605</v>
      </c>
      <c r="H15" s="1">
        <v>-220451.20000000001</v>
      </c>
      <c r="I15" s="1">
        <v>1825041</v>
      </c>
      <c r="K15" s="60">
        <f>+'DEC21'!H64</f>
        <v>1274035272</v>
      </c>
      <c r="L15" s="60">
        <f>+'DEC21'!I64</f>
        <v>1232167457</v>
      </c>
      <c r="M15" s="60">
        <f>+'DEC21'!J64</f>
        <v>417627</v>
      </c>
      <c r="N15" s="60">
        <f>+'DEC21'!K64</f>
        <v>41450188</v>
      </c>
      <c r="O15" s="61">
        <f t="shared" si="1"/>
        <v>3.2534568634768535</v>
      </c>
      <c r="Q15" s="58">
        <f>+'DEC21'!$F$70</f>
        <v>3.25</v>
      </c>
      <c r="R15" s="62">
        <f t="shared" si="2"/>
        <v>3.4568634768534778E-3</v>
      </c>
      <c r="T15" s="1">
        <f>+'DEC21'!$L$11</f>
        <v>39227.330000000075</v>
      </c>
      <c r="U15" s="1">
        <f t="shared" si="3"/>
        <v>603315.83000000007</v>
      </c>
    </row>
    <row r="16" spans="1:21" x14ac:dyDescent="0.25">
      <c r="A16" s="48" t="s">
        <v>179</v>
      </c>
      <c r="B16" s="2">
        <v>142633220</v>
      </c>
      <c r="C16" s="2">
        <v>130850753</v>
      </c>
      <c r="D16" s="2">
        <v>509029</v>
      </c>
      <c r="E16" s="59">
        <f t="shared" si="0"/>
        <v>130341724</v>
      </c>
      <c r="F16" s="2">
        <v>71095</v>
      </c>
      <c r="G16" s="1">
        <v>-15938</v>
      </c>
      <c r="H16" s="1">
        <v>1530299.07</v>
      </c>
      <c r="I16" s="1">
        <v>1121177</v>
      </c>
      <c r="K16" s="60">
        <f>+'JAN22'!H64</f>
        <v>1288718433</v>
      </c>
      <c r="L16" s="60">
        <f>+'JAN22'!I64</f>
        <v>1237662022</v>
      </c>
      <c r="M16" s="60">
        <f>+'JAN22'!J64</f>
        <v>427152</v>
      </c>
      <c r="N16" s="60">
        <f>+'JAN22'!K64</f>
        <v>50629259</v>
      </c>
      <c r="O16" s="61">
        <f t="shared" si="1"/>
        <v>3.9286517290002947</v>
      </c>
      <c r="Q16" s="58">
        <f>+'JAN22'!$F$70</f>
        <v>3.93</v>
      </c>
      <c r="R16" s="62">
        <f t="shared" si="2"/>
        <v>-1.3482709997054698E-3</v>
      </c>
      <c r="T16" s="1">
        <f>+'JAN22'!$L$11</f>
        <v>-391125.17000000016</v>
      </c>
      <c r="U16" s="1">
        <f t="shared" si="3"/>
        <v>212190.65999999992</v>
      </c>
    </row>
    <row r="17" spans="1:21" x14ac:dyDescent="0.25">
      <c r="A17" s="48" t="s">
        <v>180</v>
      </c>
      <c r="B17" s="2">
        <v>114757638</v>
      </c>
      <c r="C17" s="2">
        <v>116105995</v>
      </c>
      <c r="D17" s="2">
        <v>450814</v>
      </c>
      <c r="E17" s="59">
        <f t="shared" si="0"/>
        <v>115655181</v>
      </c>
      <c r="F17" s="2">
        <v>50411</v>
      </c>
      <c r="G17" s="1">
        <v>-140753</v>
      </c>
      <c r="H17" s="1">
        <v>2156303.4099999997</v>
      </c>
      <c r="I17" s="1">
        <v>1140587</v>
      </c>
      <c r="K17" s="60">
        <f>+'FEB22'!H64</f>
        <v>1277497368</v>
      </c>
      <c r="L17" s="60">
        <f>+'FEB22'!I64</f>
        <v>1228739870</v>
      </c>
      <c r="M17" s="60">
        <f>+'FEB22'!J64</f>
        <v>409085</v>
      </c>
      <c r="N17" s="60">
        <f>+'FEB22'!K64</f>
        <v>48348413</v>
      </c>
      <c r="O17" s="61">
        <f t="shared" si="1"/>
        <v>3.7846193824800118</v>
      </c>
      <c r="Q17" s="58">
        <f>+'FEB22'!$F$70</f>
        <v>3.78</v>
      </c>
      <c r="R17" s="62">
        <f t="shared" si="2"/>
        <v>4.6193824800120353E-3</v>
      </c>
      <c r="T17" s="1">
        <f>+'FEB22'!$L$11</f>
        <v>-292035.07999999961</v>
      </c>
      <c r="U17" s="1">
        <f t="shared" si="3"/>
        <v>-79844.419999999693</v>
      </c>
    </row>
    <row r="18" spans="1:21" x14ac:dyDescent="0.25">
      <c r="A18" s="48" t="s">
        <v>181</v>
      </c>
      <c r="B18" s="2">
        <v>100354620</v>
      </c>
      <c r="C18" s="2">
        <v>94959082</v>
      </c>
      <c r="D18" s="2">
        <v>688513</v>
      </c>
      <c r="E18" s="59">
        <f t="shared" si="0"/>
        <v>94270569</v>
      </c>
      <c r="F18" s="2">
        <v>36440</v>
      </c>
      <c r="G18" s="1">
        <v>-1296613</v>
      </c>
      <c r="H18" s="1">
        <v>488939.82999999996</v>
      </c>
      <c r="I18" s="1">
        <v>1004550</v>
      </c>
      <c r="K18" s="60">
        <f>+'MAR22'!H64</f>
        <v>1282441537</v>
      </c>
      <c r="L18" s="60">
        <f>+'MAR22'!I64</f>
        <v>1232383406</v>
      </c>
      <c r="M18" s="60">
        <f>+'MAR22'!J64</f>
        <v>406905</v>
      </c>
      <c r="N18" s="60">
        <f>+'MAR22'!K64</f>
        <v>49651226</v>
      </c>
      <c r="O18" s="61">
        <f t="shared" si="1"/>
        <v>3.8716171121647007</v>
      </c>
      <c r="Q18" s="58">
        <f>+'MAR22'!$F$70</f>
        <v>3.87</v>
      </c>
      <c r="R18" s="62">
        <f t="shared" si="2"/>
        <v>1.6171121647006181E-3</v>
      </c>
      <c r="T18" s="1">
        <f>+'MAR22'!$L$11</f>
        <v>241111.99999999988</v>
      </c>
      <c r="U18" s="1">
        <f t="shared" si="3"/>
        <v>161267.58000000019</v>
      </c>
    </row>
    <row r="19" spans="1:21" x14ac:dyDescent="0.25">
      <c r="A19" s="48" t="s">
        <v>182</v>
      </c>
      <c r="B19" s="49">
        <v>88736149</v>
      </c>
      <c r="C19" s="49">
        <v>87798282</v>
      </c>
      <c r="D19" s="49">
        <v>832246</v>
      </c>
      <c r="E19" s="59">
        <f t="shared" si="0"/>
        <v>86966036</v>
      </c>
      <c r="F19" s="49">
        <v>22824</v>
      </c>
      <c r="G19" s="50">
        <v>-653946</v>
      </c>
      <c r="H19" s="50">
        <v>677342.6</v>
      </c>
      <c r="I19" s="50">
        <v>659307</v>
      </c>
      <c r="K19" s="60">
        <f>+'APR22'!H64</f>
        <v>1285578336</v>
      </c>
      <c r="L19" s="60">
        <f>+'APR22'!I64</f>
        <v>1238578142</v>
      </c>
      <c r="M19" s="60">
        <f>+'APR22'!J64</f>
        <v>406299</v>
      </c>
      <c r="N19" s="60">
        <f>+'APR22'!K64</f>
        <v>46593895</v>
      </c>
      <c r="O19" s="61">
        <f t="shared" si="1"/>
        <v>3.6243528453485081</v>
      </c>
      <c r="Q19" s="58">
        <f>+'APR22'!$F$70</f>
        <v>3.62</v>
      </c>
      <c r="R19" s="62">
        <f t="shared" si="2"/>
        <v>4.3528453485079943E-3</v>
      </c>
      <c r="T19" s="1">
        <f>+'APR22'!$L$11</f>
        <v>171209.32000000041</v>
      </c>
      <c r="U19" s="1">
        <f t="shared" si="3"/>
        <v>332476.90000000061</v>
      </c>
    </row>
    <row r="20" spans="1:21" x14ac:dyDescent="0.25">
      <c r="A20" s="48" t="s">
        <v>183</v>
      </c>
      <c r="B20" s="49">
        <v>97917874</v>
      </c>
      <c r="C20" s="49">
        <v>94477541</v>
      </c>
      <c r="D20" s="49">
        <v>781752</v>
      </c>
      <c r="E20" s="59">
        <f t="shared" si="0"/>
        <v>93695789</v>
      </c>
      <c r="F20" s="49">
        <v>19687</v>
      </c>
      <c r="G20" s="50">
        <v>-188762</v>
      </c>
      <c r="H20" s="50">
        <v>1219447.75</v>
      </c>
      <c r="I20" s="50">
        <v>692281</v>
      </c>
      <c r="K20" s="60">
        <f>+'MAY22'!H64</f>
        <v>1292702432</v>
      </c>
      <c r="L20" s="60">
        <f>+'MAY22'!I64</f>
        <v>1244663955</v>
      </c>
      <c r="M20" s="60">
        <f>+'MAY22'!J64</f>
        <v>402990</v>
      </c>
      <c r="N20" s="60">
        <f>+'MAY22'!K64</f>
        <v>47635487</v>
      </c>
      <c r="O20" s="61">
        <f t="shared" si="1"/>
        <v>3.6849537697783181</v>
      </c>
      <c r="Q20" s="58">
        <f>+'MAY22'!$F$70</f>
        <v>3.68</v>
      </c>
      <c r="R20" s="62">
        <f t="shared" si="2"/>
        <v>4.9537697783179624E-3</v>
      </c>
      <c r="T20" s="1">
        <f>+'MAY22'!$L$11</f>
        <v>26214.25</v>
      </c>
      <c r="U20" s="1">
        <f t="shared" si="3"/>
        <v>358691.15000000061</v>
      </c>
    </row>
    <row r="21" spans="1:21" x14ac:dyDescent="0.25">
      <c r="A21" s="48" t="s">
        <v>184</v>
      </c>
      <c r="B21" s="49">
        <v>116089802</v>
      </c>
      <c r="C21" s="49">
        <v>112949508</v>
      </c>
      <c r="D21" s="49">
        <v>493286</v>
      </c>
      <c r="E21" s="59">
        <f t="shared" si="0"/>
        <v>112456222</v>
      </c>
      <c r="F21" s="49">
        <v>24772</v>
      </c>
      <c r="G21" s="50">
        <v>-37079</v>
      </c>
      <c r="H21" s="50">
        <v>1096143.53</v>
      </c>
      <c r="I21" s="50">
        <v>1065702</v>
      </c>
      <c r="K21" s="60">
        <f>+'JUN22'!H64</f>
        <v>1298119949</v>
      </c>
      <c r="L21" s="60">
        <f>+'JUN22'!I64</f>
        <v>1251684545</v>
      </c>
      <c r="M21" s="60">
        <f>+'JUN22'!J64</f>
        <v>401313</v>
      </c>
      <c r="N21" s="60">
        <f>+'JUN22'!K64</f>
        <v>46034091</v>
      </c>
      <c r="O21" s="61">
        <f t="shared" si="1"/>
        <v>3.5462124309438527</v>
      </c>
      <c r="Q21" s="58">
        <f>+'JUN22'!$F$70</f>
        <v>3.55</v>
      </c>
      <c r="R21" s="62">
        <f t="shared" si="2"/>
        <v>-3.7875690561470776E-3</v>
      </c>
      <c r="T21" s="1">
        <f>+'JUN22'!$L$11</f>
        <v>-265627.20999999961</v>
      </c>
      <c r="U21" s="1">
        <f t="shared" si="3"/>
        <v>93063.940000000992</v>
      </c>
    </row>
    <row r="22" spans="1:21" x14ac:dyDescent="0.25">
      <c r="A22" s="48" t="s">
        <v>185</v>
      </c>
      <c r="B22" s="49">
        <v>127682361</v>
      </c>
      <c r="C22" s="49">
        <v>121535098</v>
      </c>
      <c r="D22" s="49">
        <v>648643</v>
      </c>
      <c r="E22" s="59">
        <f t="shared" si="0"/>
        <v>120886455</v>
      </c>
      <c r="F22" s="49">
        <v>24879</v>
      </c>
      <c r="G22" s="50">
        <v>-72159</v>
      </c>
      <c r="H22" s="50">
        <v>925326.77</v>
      </c>
      <c r="I22" s="50">
        <v>2104202</v>
      </c>
      <c r="K22" s="60">
        <f>+'JUL22'!H64</f>
        <v>1306071133</v>
      </c>
      <c r="L22" s="60">
        <f>+'JUL22'!I64</f>
        <v>1257413619</v>
      </c>
      <c r="M22" s="60">
        <f>+'JUL22'!J64</f>
        <v>396856</v>
      </c>
      <c r="N22" s="60">
        <f>+'JUL22'!K64</f>
        <v>48260658</v>
      </c>
      <c r="O22" s="61">
        <f t="shared" si="1"/>
        <v>3.6951018042292185</v>
      </c>
      <c r="Q22" s="58">
        <f>+'JUL22'!$F$70</f>
        <v>3.7</v>
      </c>
      <c r="R22" s="62">
        <f t="shared" si="2"/>
        <v>-4.8981957707816548E-3</v>
      </c>
      <c r="T22" s="1">
        <f>+'JUL22'!$L$11</f>
        <v>-206831.52000000002</v>
      </c>
      <c r="U22" s="1">
        <f t="shared" si="3"/>
        <v>-113767.57999999903</v>
      </c>
    </row>
    <row r="23" spans="1:21" x14ac:dyDescent="0.25">
      <c r="A23" s="48" t="s">
        <v>186</v>
      </c>
      <c r="B23" s="49">
        <v>123843876</v>
      </c>
      <c r="C23" s="49">
        <v>119640012</v>
      </c>
      <c r="D23" s="49">
        <v>592482</v>
      </c>
      <c r="E23" s="59">
        <f t="shared" si="0"/>
        <v>119047530</v>
      </c>
      <c r="F23" s="49">
        <v>26298</v>
      </c>
      <c r="G23" s="50">
        <v>476941</v>
      </c>
      <c r="H23" s="50">
        <v>855502.67</v>
      </c>
      <c r="I23" s="50">
        <v>1840320</v>
      </c>
      <c r="K23" s="60">
        <f>+'AUG22'!H64</f>
        <v>1305270269</v>
      </c>
      <c r="L23" s="60">
        <f>+'AUG22'!I64</f>
        <v>1256102552</v>
      </c>
      <c r="M23" s="60">
        <f>+'AUG22'!J64</f>
        <v>394400</v>
      </c>
      <c r="N23" s="60">
        <f>+'AUG22'!K64</f>
        <v>48773317</v>
      </c>
      <c r="O23" s="61">
        <f t="shared" si="1"/>
        <v>3.736645057989902</v>
      </c>
      <c r="Q23" s="58">
        <f>+'AUG22'!$F$70</f>
        <v>3.74</v>
      </c>
      <c r="R23" s="62">
        <f t="shared" si="2"/>
        <v>-3.3549420100982275E-3</v>
      </c>
      <c r="T23" s="1">
        <f>+'AUG22'!$L$11</f>
        <v>-55427.879999999655</v>
      </c>
      <c r="U23" s="1">
        <f t="shared" si="3"/>
        <v>-169195.45999999868</v>
      </c>
    </row>
    <row r="24" spans="1:21" x14ac:dyDescent="0.25">
      <c r="A24" s="48" t="s">
        <v>187</v>
      </c>
      <c r="B24" s="49">
        <v>100318052</v>
      </c>
      <c r="C24" s="49">
        <v>99523998</v>
      </c>
      <c r="D24" s="49">
        <v>590062</v>
      </c>
      <c r="E24" s="59">
        <f t="shared" si="0"/>
        <v>98933936</v>
      </c>
      <c r="F24" s="49">
        <v>25765</v>
      </c>
      <c r="G24" s="50">
        <v>-2091</v>
      </c>
      <c r="H24" s="50">
        <v>1534205.64</v>
      </c>
      <c r="I24" s="50">
        <v>1975263</v>
      </c>
      <c r="K24" s="60">
        <f>+'SEP22'!H64</f>
        <v>1306308205</v>
      </c>
      <c r="L24" s="60">
        <f>+'SEP22'!I64</f>
        <v>1256168594</v>
      </c>
      <c r="M24" s="60">
        <f>+'SEP22'!J64</f>
        <v>394704</v>
      </c>
      <c r="N24" s="60">
        <f>+'SEP22'!K64</f>
        <v>49744907</v>
      </c>
      <c r="O24" s="61">
        <f t="shared" si="1"/>
        <v>3.8080528629918544</v>
      </c>
      <c r="Q24" s="58">
        <f>+'SEP22'!$F$70</f>
        <v>3.81</v>
      </c>
      <c r="R24" s="62">
        <f t="shared" si="2"/>
        <v>-1.9471370081456385E-3</v>
      </c>
      <c r="T24" s="1">
        <f>+'SEP22'!$L$11</f>
        <v>363164.84000000008</v>
      </c>
      <c r="U24" s="1">
        <f t="shared" si="3"/>
        <v>193969.3800000014</v>
      </c>
    </row>
    <row r="25" spans="1:21" x14ac:dyDescent="0.25">
      <c r="A25" s="48" t="s">
        <v>188</v>
      </c>
      <c r="B25" s="49">
        <v>87292807</v>
      </c>
      <c r="C25" s="49">
        <v>82975979</v>
      </c>
      <c r="D25" s="49">
        <v>48107</v>
      </c>
      <c r="E25" s="59">
        <f t="shared" si="0"/>
        <v>82927872</v>
      </c>
      <c r="F25" s="49">
        <v>21166</v>
      </c>
      <c r="G25" s="50">
        <v>-945071</v>
      </c>
      <c r="H25" s="50">
        <v>1240184.3400000001</v>
      </c>
      <c r="I25" s="50">
        <v>1857590</v>
      </c>
      <c r="K25" s="60">
        <f>+'OCT22'!H64</f>
        <v>1305090173</v>
      </c>
      <c r="L25" s="60">
        <f>+'OCT22'!I64</f>
        <v>1252223683</v>
      </c>
      <c r="M25" s="60">
        <f>+'OCT22'!J64</f>
        <v>396454</v>
      </c>
      <c r="N25" s="60">
        <f>+'OCT22'!K64</f>
        <v>52470036</v>
      </c>
      <c r="O25" s="61">
        <f t="shared" si="1"/>
        <v>4.0204146108454379</v>
      </c>
      <c r="Q25" s="58">
        <f>+'OCT22'!$F$70</f>
        <v>4.0199999999999996</v>
      </c>
      <c r="R25" s="62">
        <f t="shared" si="2"/>
        <v>4.146108454383679E-4</v>
      </c>
      <c r="T25" s="1">
        <f>+'OCT22'!$L$11</f>
        <v>544707.78000000026</v>
      </c>
      <c r="U25" s="1">
        <f t="shared" si="3"/>
        <v>738677.16000000166</v>
      </c>
    </row>
    <row r="27" spans="1:21" x14ac:dyDescent="0.25">
      <c r="D27" s="59">
        <f>SUM(D2:D26)</f>
        <v>18520466</v>
      </c>
      <c r="K27" s="63">
        <f>SUM(K2:K26)</f>
        <v>30589106569</v>
      </c>
      <c r="L27" s="63">
        <f t="shared" ref="L27:N27" si="4">SUM(L2:L26)</f>
        <v>29408161645</v>
      </c>
      <c r="M27" s="63">
        <f t="shared" si="4"/>
        <v>9878835</v>
      </c>
      <c r="N27" s="63">
        <f t="shared" si="4"/>
        <v>1171066089</v>
      </c>
      <c r="O27" s="61">
        <f t="shared" si="1"/>
        <v>3.8283762435441528</v>
      </c>
    </row>
    <row r="28" spans="1:21" ht="15.75" thickBot="1" x14ac:dyDescent="0.3"/>
    <row r="29" spans="1:21" ht="15.75" thickBot="1" x14ac:dyDescent="0.3">
      <c r="K29" s="64"/>
      <c r="L29" s="65"/>
      <c r="M29" s="66" t="s">
        <v>200</v>
      </c>
      <c r="N29" s="67"/>
      <c r="O29" s="67"/>
      <c r="P29" s="67"/>
      <c r="Q29" s="67"/>
      <c r="R29" s="67"/>
      <c r="S29" s="68"/>
      <c r="T29" s="82">
        <f>+O27/100</f>
        <v>3.8283762435441529E-2</v>
      </c>
    </row>
    <row r="30" spans="1:21" x14ac:dyDescent="0.25">
      <c r="K30" s="69"/>
      <c r="L30" s="70"/>
      <c r="M30" s="70"/>
      <c r="N30" s="70"/>
      <c r="O30" s="70"/>
      <c r="P30" s="70"/>
      <c r="Q30" s="70"/>
      <c r="R30" s="70"/>
      <c r="S30" s="71"/>
    </row>
    <row r="31" spans="1:21" x14ac:dyDescent="0.25">
      <c r="K31" s="72"/>
      <c r="L31" s="73"/>
      <c r="M31" s="73"/>
      <c r="N31" s="73"/>
      <c r="O31" s="73"/>
      <c r="P31" s="73"/>
      <c r="Q31" s="73"/>
      <c r="R31" s="73"/>
      <c r="S31" s="74"/>
    </row>
    <row r="32" spans="1:21" x14ac:dyDescent="0.25">
      <c r="K32" s="69" t="s">
        <v>201</v>
      </c>
      <c r="L32" s="70"/>
      <c r="M32" s="70"/>
      <c r="N32" s="70"/>
      <c r="O32" s="70"/>
      <c r="P32" s="70"/>
      <c r="Q32" s="70"/>
      <c r="R32" s="70"/>
      <c r="S32" s="75">
        <v>1.125E-2</v>
      </c>
    </row>
    <row r="33" spans="11:19" x14ac:dyDescent="0.25">
      <c r="K33" s="69"/>
      <c r="L33" s="70"/>
      <c r="M33" s="70"/>
      <c r="N33" s="70"/>
      <c r="O33" s="70"/>
      <c r="P33" s="70"/>
      <c r="Q33" s="70"/>
      <c r="R33" s="70"/>
      <c r="S33" s="71"/>
    </row>
    <row r="34" spans="11:19" x14ac:dyDescent="0.25">
      <c r="K34" s="76" t="s">
        <v>202</v>
      </c>
      <c r="L34" s="70"/>
      <c r="M34" s="70"/>
      <c r="N34" s="70"/>
      <c r="O34" s="70"/>
      <c r="P34" s="70"/>
      <c r="Q34" s="70"/>
      <c r="R34" s="70"/>
      <c r="S34" s="81">
        <f>1-T29</f>
        <v>0.96171623756455848</v>
      </c>
    </row>
    <row r="35" spans="11:19" x14ac:dyDescent="0.25">
      <c r="K35" s="69"/>
      <c r="L35" s="70"/>
      <c r="M35" s="70"/>
      <c r="N35" s="70"/>
      <c r="O35" s="70"/>
      <c r="P35" s="70"/>
      <c r="Q35" s="70"/>
      <c r="R35" s="70"/>
      <c r="S35" s="77"/>
    </row>
    <row r="36" spans="11:19" ht="15.75" thickBot="1" x14ac:dyDescent="0.3">
      <c r="K36" s="78" t="s">
        <v>203</v>
      </c>
      <c r="L36" s="79"/>
      <c r="M36" s="79"/>
      <c r="N36" s="79"/>
      <c r="O36" s="79"/>
      <c r="P36" s="79"/>
      <c r="Q36" s="79"/>
      <c r="R36" s="79"/>
      <c r="S36" s="80">
        <f>ROUND(S32/S34,5)</f>
        <v>1.17E-2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E31E-DF39-4AAA-BFE8-483488F7055B}">
  <sheetPr>
    <tabColor theme="9" tint="0.59999389629810485"/>
    <pageSetUpPr fitToPage="1"/>
  </sheetPr>
  <dimension ref="A1:L70"/>
  <sheetViews>
    <sheetView topLeftCell="A39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111</v>
      </c>
      <c r="F6" s="3"/>
      <c r="G6" s="3"/>
      <c r="H6" s="9" t="s">
        <v>9</v>
      </c>
      <c r="I6" s="3"/>
      <c r="J6" s="3"/>
      <c r="K6" s="3"/>
      <c r="L6" s="7" t="str">
        <f>E6</f>
        <v>JULY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+DATA!$B10</f>
        <v>119731177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+DATA!$I$10</f>
        <v>-482519</v>
      </c>
    </row>
    <row r="10" spans="1:12" ht="18" x14ac:dyDescent="0.25">
      <c r="A10" s="3" t="s">
        <v>13</v>
      </c>
      <c r="B10" s="3"/>
      <c r="C10" s="3"/>
      <c r="D10" s="3"/>
      <c r="E10" s="43">
        <f>+DATA!$E10</f>
        <v>115157381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211730.24</v>
      </c>
    </row>
    <row r="12" spans="1:12" ht="18" x14ac:dyDescent="0.25">
      <c r="A12" s="3" t="s">
        <v>16</v>
      </c>
      <c r="B12" s="3"/>
      <c r="C12" s="3"/>
      <c r="D12" s="3"/>
      <c r="E12" s="43">
        <f>+DATA!$F10</f>
        <v>29336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115186717</v>
      </c>
      <c r="F14" s="3"/>
      <c r="G14" s="3"/>
      <c r="H14" s="3" t="s">
        <v>21</v>
      </c>
      <c r="I14" s="3"/>
      <c r="J14" s="3"/>
      <c r="K14" s="3"/>
      <c r="L14" s="17">
        <f>SUM(L9:L11)</f>
        <v>-270788.76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119731177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4544460</v>
      </c>
      <c r="F17" s="3"/>
      <c r="G17" s="3"/>
      <c r="H17" s="3" t="s">
        <v>26</v>
      </c>
      <c r="I17" s="3"/>
      <c r="J17" s="3"/>
      <c r="K17" s="3"/>
      <c r="L17" s="22">
        <f>(L9/L15)</f>
        <v>-4.0300196831774236E-3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JULY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3.9</v>
      </c>
    </row>
    <row r="21" spans="1:12" ht="18.75" thickBot="1" x14ac:dyDescent="0.3">
      <c r="A21" s="3" t="s">
        <v>30</v>
      </c>
      <c r="B21" s="3"/>
      <c r="C21" s="3"/>
      <c r="D21" s="3"/>
      <c r="E21" s="45">
        <f>+'MAY21'!L32</f>
        <v>-0.72899999999999998</v>
      </c>
      <c r="F21" s="26"/>
      <c r="G21" s="3"/>
      <c r="H21" s="3" t="s">
        <v>31</v>
      </c>
      <c r="I21" s="3"/>
      <c r="J21" s="3"/>
      <c r="K21" s="3"/>
      <c r="L21" s="27" t="str">
        <f>E6</f>
        <v>JULY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115163300</v>
      </c>
      <c r="F23" s="3"/>
      <c r="G23" s="3"/>
      <c r="H23" s="3" t="s">
        <v>35</v>
      </c>
      <c r="I23" s="3"/>
      <c r="J23" s="3"/>
      <c r="K23" s="3"/>
      <c r="L23" s="29">
        <f>ROUND(E17/E8*100,2)</f>
        <v>3.8</v>
      </c>
    </row>
    <row r="24" spans="1:12" ht="18" x14ac:dyDescent="0.25">
      <c r="A24" s="3" t="s">
        <v>36</v>
      </c>
      <c r="B24" s="3"/>
      <c r="C24" s="3"/>
      <c r="D24" s="3"/>
      <c r="E24" s="51">
        <f>+DATA!$G$10</f>
        <v>-5919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115157381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+'MAY21'!L14</f>
        <v>-634538.32999999996</v>
      </c>
      <c r="F28" s="3"/>
      <c r="G28" s="3"/>
      <c r="H28" s="3" t="s">
        <v>43</v>
      </c>
      <c r="I28" s="3"/>
      <c r="J28" s="3"/>
      <c r="K28" s="3"/>
      <c r="L28" s="24">
        <f>SUM(100-+(L20))</f>
        <v>96.1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+DATA!$H$10</f>
        <v>-846268.57</v>
      </c>
      <c r="F30" s="17"/>
      <c r="G30" s="3"/>
      <c r="H30" s="3" t="s">
        <v>47</v>
      </c>
      <c r="I30" s="3"/>
      <c r="J30" s="3"/>
      <c r="K30" s="3"/>
      <c r="L30" s="22">
        <f>ROUND(L14/L15,5)</f>
        <v>-2.2599999999999999E-3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-2.3500000000000001E-3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211730.24</v>
      </c>
      <c r="F32" s="3"/>
      <c r="G32" s="3"/>
      <c r="H32" s="3" t="s">
        <v>51</v>
      </c>
      <c r="I32" s="3"/>
      <c r="J32" s="3"/>
      <c r="K32" s="3"/>
      <c r="L32" s="32">
        <f>ROUND(L31*100,3)</f>
        <v>-0.23499999999999999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-0.23499999999999999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112</v>
      </c>
      <c r="C38" s="41"/>
      <c r="D38" s="38"/>
      <c r="E38" s="38"/>
      <c r="F38" s="38"/>
      <c r="G38" s="38"/>
      <c r="H38" s="38" t="s">
        <v>54</v>
      </c>
      <c r="I38" s="47" t="s">
        <v>109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113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+'JUN21'!H64</f>
        <v>1267828287</v>
      </c>
      <c r="I58" s="43">
        <f>+'JUN21'!I64</f>
        <v>1213255062</v>
      </c>
      <c r="J58" s="43">
        <f>+'JUN21'!J64</f>
        <v>422747</v>
      </c>
      <c r="K58" s="20">
        <f>H58-I58-J58</f>
        <v>54150478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39">
        <v>126956269</v>
      </c>
      <c r="I60" s="39">
        <v>117447295</v>
      </c>
      <c r="J60" s="39">
        <v>30422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119731177</v>
      </c>
      <c r="I62" s="44">
        <f>+E10</f>
        <v>115157381</v>
      </c>
      <c r="J62" s="44">
        <f>+E12</f>
        <v>29336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1260603195</v>
      </c>
      <c r="I64" s="20">
        <f>SUM(I58-I60+I62)</f>
        <v>1210965148</v>
      </c>
      <c r="J64" s="20">
        <f>SUM(J58-J60+J62)</f>
        <v>421661</v>
      </c>
      <c r="K64" s="20">
        <f>SUM(H64-I64-J64)</f>
        <v>49216386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49216386</v>
      </c>
      <c r="C70" s="3" t="s">
        <v>80</v>
      </c>
      <c r="D70" s="20">
        <f>(H64)</f>
        <v>1260603195</v>
      </c>
      <c r="E70" s="3" t="s">
        <v>81</v>
      </c>
      <c r="F70" s="24">
        <f>ROUND(B70/D70*100,2)</f>
        <v>3.9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F441F-E840-404E-B199-33A4F91E3839}">
  <sheetPr>
    <tabColor theme="9" tint="0.59999389629810485"/>
    <pageSetUpPr fitToPage="1"/>
  </sheetPr>
  <dimension ref="A1:L70"/>
  <sheetViews>
    <sheetView topLeftCell="A39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118</v>
      </c>
      <c r="F6" s="3"/>
      <c r="G6" s="3"/>
      <c r="H6" s="9" t="s">
        <v>9</v>
      </c>
      <c r="I6" s="3"/>
      <c r="J6" s="3"/>
      <c r="K6" s="3"/>
      <c r="L6" s="7" t="str">
        <f>E6</f>
        <v>AUGUST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+DATA!$B11</f>
        <v>124644740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+DATA!$I$11</f>
        <v>-433766</v>
      </c>
    </row>
    <row r="10" spans="1:12" ht="18" x14ac:dyDescent="0.25">
      <c r="A10" s="3" t="s">
        <v>13</v>
      </c>
      <c r="B10" s="3"/>
      <c r="C10" s="3"/>
      <c r="D10" s="3"/>
      <c r="E10" s="43">
        <f>+DATA!$E11</f>
        <v>120358597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51196.360000000044</v>
      </c>
    </row>
    <row r="12" spans="1:12" ht="18" x14ac:dyDescent="0.25">
      <c r="A12" s="3" t="s">
        <v>16</v>
      </c>
      <c r="B12" s="3"/>
      <c r="C12" s="3"/>
      <c r="D12" s="3"/>
      <c r="E12" s="43">
        <f>+DATA!$F11</f>
        <v>28754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120387351</v>
      </c>
      <c r="F14" s="3"/>
      <c r="G14" s="3"/>
      <c r="H14" s="3" t="s">
        <v>21</v>
      </c>
      <c r="I14" s="3"/>
      <c r="J14" s="3"/>
      <c r="K14" s="3"/>
      <c r="L14" s="17">
        <f>SUM(L9:L11)</f>
        <v>-382569.63999999996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124644740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4257389</v>
      </c>
      <c r="F17" s="3"/>
      <c r="G17" s="3"/>
      <c r="H17" s="3" t="s">
        <v>26</v>
      </c>
      <c r="I17" s="3"/>
      <c r="J17" s="3"/>
      <c r="K17" s="3"/>
      <c r="L17" s="22">
        <f>(L9/L15)</f>
        <v>-3.4800184909527672E-3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AUGUST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4.0599999999999996</v>
      </c>
    </row>
    <row r="21" spans="1:12" ht="18.75" thickBot="1" x14ac:dyDescent="0.3">
      <c r="A21" s="3" t="s">
        <v>30</v>
      </c>
      <c r="B21" s="3"/>
      <c r="C21" s="3"/>
      <c r="D21" s="3"/>
      <c r="E21" s="45">
        <f>+'JUN21'!L32</f>
        <v>-0.33400000000000002</v>
      </c>
      <c r="F21" s="26"/>
      <c r="G21" s="3"/>
      <c r="H21" s="3" t="s">
        <v>31</v>
      </c>
      <c r="I21" s="3"/>
      <c r="J21" s="3"/>
      <c r="K21" s="3"/>
      <c r="L21" s="27" t="str">
        <f>E6</f>
        <v>AUGUST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120599252</v>
      </c>
      <c r="F23" s="3"/>
      <c r="G23" s="3"/>
      <c r="H23" s="3" t="s">
        <v>35</v>
      </c>
      <c r="I23" s="3"/>
      <c r="J23" s="3"/>
      <c r="K23" s="3"/>
      <c r="L23" s="29">
        <f>ROUND(E17/E8*100,2)</f>
        <v>3.42</v>
      </c>
    </row>
    <row r="24" spans="1:12" ht="18" x14ac:dyDescent="0.25">
      <c r="A24" s="3" t="s">
        <v>36</v>
      </c>
      <c r="B24" s="3"/>
      <c r="C24" s="3"/>
      <c r="D24" s="3"/>
      <c r="E24" s="51">
        <f>+DATA!$G$11</f>
        <v>-240655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120358597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+'JUN21'!L14</f>
        <v>-353769.33999999997</v>
      </c>
      <c r="F28" s="3"/>
      <c r="G28" s="3"/>
      <c r="H28" s="3" t="s">
        <v>43</v>
      </c>
      <c r="I28" s="3"/>
      <c r="J28" s="3"/>
      <c r="K28" s="3"/>
      <c r="L28" s="24">
        <f>SUM(100-+(L20))</f>
        <v>95.94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+DATA!$H$11</f>
        <v>-404965.7</v>
      </c>
      <c r="F30" s="17"/>
      <c r="G30" s="3"/>
      <c r="H30" s="3" t="s">
        <v>47</v>
      </c>
      <c r="I30" s="3"/>
      <c r="J30" s="3"/>
      <c r="K30" s="3"/>
      <c r="L30" s="22">
        <f>ROUND(L14/L15,5)</f>
        <v>-3.0699999999999998E-3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-3.2000000000000002E-3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51196.360000000044</v>
      </c>
      <c r="F32" s="3"/>
      <c r="G32" s="3"/>
      <c r="H32" s="3" t="s">
        <v>51</v>
      </c>
      <c r="I32" s="3"/>
      <c r="J32" s="3"/>
      <c r="K32" s="3"/>
      <c r="L32" s="32">
        <f>ROUND(L31*100,3)</f>
        <v>-0.32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-0.32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115</v>
      </c>
      <c r="C38" s="41"/>
      <c r="D38" s="38"/>
      <c r="E38" s="38"/>
      <c r="F38" s="38"/>
      <c r="G38" s="38"/>
      <c r="H38" s="38" t="s">
        <v>54</v>
      </c>
      <c r="I38" s="47" t="s">
        <v>112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114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+'JUL21'!H64</f>
        <v>1260603195</v>
      </c>
      <c r="I58" s="43">
        <f>+'JUL21'!I64</f>
        <v>1210965148</v>
      </c>
      <c r="J58" s="43">
        <f>+'JUL21'!J64</f>
        <v>421661</v>
      </c>
      <c r="K58" s="20">
        <f>H58-I58-J58</f>
        <v>49216386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39">
        <v>114226054</v>
      </c>
      <c r="I60" s="39">
        <v>112337547</v>
      </c>
      <c r="J60" s="39">
        <v>22456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124644740</v>
      </c>
      <c r="I62" s="44">
        <f>+E10</f>
        <v>120358597</v>
      </c>
      <c r="J62" s="44">
        <f>+E12</f>
        <v>28754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1271021881</v>
      </c>
      <c r="I64" s="20">
        <f>SUM(I58-I60+I62)</f>
        <v>1218986198</v>
      </c>
      <c r="J64" s="20">
        <f>SUM(J58-J60+J62)</f>
        <v>427959</v>
      </c>
      <c r="K64" s="20">
        <f>SUM(H64-I64-J64)</f>
        <v>51607724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51607724</v>
      </c>
      <c r="C70" s="3" t="s">
        <v>80</v>
      </c>
      <c r="D70" s="20">
        <f>(H64)</f>
        <v>1271021881</v>
      </c>
      <c r="E70" s="3" t="s">
        <v>81</v>
      </c>
      <c r="F70" s="24">
        <f>ROUND(B70/D70*100,2)</f>
        <v>4.0599999999999996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1DE4F-714D-4092-B1FD-0E3DB804E2F4}">
  <sheetPr>
    <tabColor theme="9" tint="0.59999389629810485"/>
    <pageSetUpPr fitToPage="1"/>
  </sheetPr>
  <dimension ref="A1:L70"/>
  <sheetViews>
    <sheetView topLeftCell="A39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119</v>
      </c>
      <c r="F6" s="3"/>
      <c r="G6" s="3"/>
      <c r="H6" s="9" t="s">
        <v>9</v>
      </c>
      <c r="I6" s="3"/>
      <c r="J6" s="3"/>
      <c r="K6" s="3"/>
      <c r="L6" s="7" t="str">
        <f>E6</f>
        <v>SEPTEMBER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+DATA!$B12</f>
        <v>99280116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+DATA!$I$12</f>
        <v>-265077</v>
      </c>
    </row>
    <row r="10" spans="1:12" ht="18" x14ac:dyDescent="0.25">
      <c r="A10" s="3" t="s">
        <v>13</v>
      </c>
      <c r="B10" s="3"/>
      <c r="C10" s="3"/>
      <c r="D10" s="3"/>
      <c r="E10" s="43">
        <f>+DATA!$E12</f>
        <v>98867894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-37090.430000000022</v>
      </c>
    </row>
    <row r="12" spans="1:12" ht="18" x14ac:dyDescent="0.25">
      <c r="A12" s="3" t="s">
        <v>16</v>
      </c>
      <c r="B12" s="3"/>
      <c r="C12" s="3"/>
      <c r="D12" s="3"/>
      <c r="E12" s="43">
        <f>+DATA!$F12</f>
        <v>25461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98893355</v>
      </c>
      <c r="F14" s="3"/>
      <c r="G14" s="3"/>
      <c r="H14" s="3" t="s">
        <v>21</v>
      </c>
      <c r="I14" s="3"/>
      <c r="J14" s="3"/>
      <c r="K14" s="3"/>
      <c r="L14" s="17">
        <f>SUM(L9:L11)</f>
        <v>-302167.43000000005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99280116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386761</v>
      </c>
      <c r="F17" s="3"/>
      <c r="G17" s="3"/>
      <c r="H17" s="3" t="s">
        <v>26</v>
      </c>
      <c r="I17" s="3"/>
      <c r="J17" s="3"/>
      <c r="K17" s="3"/>
      <c r="L17" s="22">
        <f>(L9/L15)</f>
        <v>-2.6699908368358473E-3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SEPTEMBER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3.66</v>
      </c>
    </row>
    <row r="21" spans="1:12" ht="18.75" thickBot="1" x14ac:dyDescent="0.3">
      <c r="A21" s="3" t="s">
        <v>30</v>
      </c>
      <c r="B21" s="3"/>
      <c r="C21" s="3"/>
      <c r="D21" s="3"/>
      <c r="E21" s="45">
        <f>+'JUL21'!L32</f>
        <v>-0.23499999999999999</v>
      </c>
      <c r="F21" s="26"/>
      <c r="G21" s="3"/>
      <c r="H21" s="3" t="s">
        <v>31</v>
      </c>
      <c r="I21" s="3"/>
      <c r="J21" s="3"/>
      <c r="K21" s="3"/>
      <c r="L21" s="27" t="str">
        <f>E6</f>
        <v>SEPTEMBER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99798550</v>
      </c>
      <c r="F23" s="3"/>
      <c r="G23" s="3"/>
      <c r="H23" s="3" t="s">
        <v>35</v>
      </c>
      <c r="I23" s="3"/>
      <c r="J23" s="3"/>
      <c r="K23" s="3"/>
      <c r="L23" s="29">
        <f>ROUND(E17/E8*100,2)</f>
        <v>0.39</v>
      </c>
    </row>
    <row r="24" spans="1:12" ht="18" x14ac:dyDescent="0.25">
      <c r="A24" s="3" t="s">
        <v>36</v>
      </c>
      <c r="B24" s="3"/>
      <c r="C24" s="3"/>
      <c r="D24" s="3"/>
      <c r="E24" s="51">
        <f>+DATA!$G$12</f>
        <v>-930656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98867894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+'JUL21'!L14</f>
        <v>-270788.76</v>
      </c>
      <c r="F28" s="3"/>
      <c r="G28" s="3"/>
      <c r="H28" s="3" t="s">
        <v>43</v>
      </c>
      <c r="I28" s="3"/>
      <c r="J28" s="3"/>
      <c r="K28" s="3"/>
      <c r="L28" s="24">
        <f>SUM(100-+(L20))</f>
        <v>96.34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+DATA!$H$12</f>
        <v>-233698.33</v>
      </c>
      <c r="F30" s="17"/>
      <c r="G30" s="3"/>
      <c r="H30" s="3" t="s">
        <v>47</v>
      </c>
      <c r="I30" s="3"/>
      <c r="J30" s="3"/>
      <c r="K30" s="3"/>
      <c r="L30" s="22">
        <f>ROUND(L14/L15,5)</f>
        <v>-3.0400000000000002E-3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-3.16E-3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-37090.430000000022</v>
      </c>
      <c r="F32" s="3"/>
      <c r="G32" s="3"/>
      <c r="H32" s="3" t="s">
        <v>51</v>
      </c>
      <c r="I32" s="3"/>
      <c r="J32" s="3"/>
      <c r="K32" s="3"/>
      <c r="L32" s="32">
        <f>ROUND(L31*100,3)</f>
        <v>-0.316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-0.316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117</v>
      </c>
      <c r="C38" s="41"/>
      <c r="D38" s="38"/>
      <c r="E38" s="38"/>
      <c r="F38" s="38"/>
      <c r="G38" s="38"/>
      <c r="H38" s="38" t="s">
        <v>54</v>
      </c>
      <c r="I38" s="47" t="s">
        <v>115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.75" customHeight="1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116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+'AUG21'!H64</f>
        <v>1271021881</v>
      </c>
      <c r="I58" s="43">
        <f>+'AUG21'!I64</f>
        <v>1218986198</v>
      </c>
      <c r="J58" s="43">
        <f>+'AUG21'!J64</f>
        <v>427959</v>
      </c>
      <c r="K58" s="20">
        <f>H58-I58-J58</f>
        <v>51607724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39">
        <v>94125537</v>
      </c>
      <c r="I60" s="39">
        <v>88842658</v>
      </c>
      <c r="J60" s="39">
        <v>23942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99280116</v>
      </c>
      <c r="I62" s="44">
        <f>+E10</f>
        <v>98867894</v>
      </c>
      <c r="J62" s="44">
        <f>+E12</f>
        <v>25461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1276176460</v>
      </c>
      <c r="I64" s="20">
        <f>SUM(I58-I60+I62)</f>
        <v>1229011434</v>
      </c>
      <c r="J64" s="20">
        <f>SUM(J58-J60+J62)</f>
        <v>429478</v>
      </c>
      <c r="K64" s="20">
        <f>SUM(H64-I64-J64)</f>
        <v>46735548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46735548</v>
      </c>
      <c r="C70" s="3" t="s">
        <v>80</v>
      </c>
      <c r="D70" s="20">
        <f>(H64)</f>
        <v>1276176460</v>
      </c>
      <c r="E70" s="3" t="s">
        <v>81</v>
      </c>
      <c r="F70" s="24">
        <f>ROUND(B70/D70*100,2)</f>
        <v>3.66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39" fitToHeight="0" orientation="portrait" r:id="rId1"/>
  <rowBreaks count="1" manualBreakCount="1">
    <brk id="42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5FD60-545B-42CA-B7DC-E5AC6E3D22A7}">
  <sheetPr>
    <tabColor theme="9" tint="0.59999389629810485"/>
    <pageSetUpPr fitToPage="1"/>
  </sheetPr>
  <dimension ref="A1:L70"/>
  <sheetViews>
    <sheetView topLeftCell="A42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120</v>
      </c>
      <c r="F6" s="3"/>
      <c r="G6" s="3"/>
      <c r="H6" s="9" t="s">
        <v>9</v>
      </c>
      <c r="I6" s="3"/>
      <c r="J6" s="3"/>
      <c r="K6" s="3"/>
      <c r="L6" s="7" t="str">
        <f>E6</f>
        <v>OCTOBER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+DATA!$B13</f>
        <v>88510839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+DATA!$I$13</f>
        <v>-79660</v>
      </c>
    </row>
    <row r="10" spans="1:12" ht="18" x14ac:dyDescent="0.25">
      <c r="A10" s="3" t="s">
        <v>13</v>
      </c>
      <c r="B10" s="3"/>
      <c r="C10" s="3"/>
      <c r="D10" s="3"/>
      <c r="E10" s="43">
        <f>+DATA!$E13</f>
        <v>86872783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-101563.86999999994</v>
      </c>
    </row>
    <row r="12" spans="1:12" ht="18" x14ac:dyDescent="0.25">
      <c r="A12" s="3" t="s">
        <v>16</v>
      </c>
      <c r="B12" s="3"/>
      <c r="C12" s="3"/>
      <c r="D12" s="3"/>
      <c r="E12" s="43">
        <f>+DATA!$F13</f>
        <v>19416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86892199</v>
      </c>
      <c r="F14" s="3"/>
      <c r="G14" s="3"/>
      <c r="H14" s="3" t="s">
        <v>21</v>
      </c>
      <c r="I14" s="3"/>
      <c r="J14" s="3"/>
      <c r="K14" s="3"/>
      <c r="L14" s="17">
        <f>SUM(L9:L11)</f>
        <v>-181223.86999999994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88510839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1618640</v>
      </c>
      <c r="F17" s="3"/>
      <c r="G17" s="3"/>
      <c r="H17" s="3" t="s">
        <v>26</v>
      </c>
      <c r="I17" s="3"/>
      <c r="J17" s="3"/>
      <c r="K17" s="3"/>
      <c r="L17" s="22">
        <f>(L9/L15)</f>
        <v>-9.0000276689276436E-4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OCTOBER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3.56</v>
      </c>
    </row>
    <row r="21" spans="1:12" ht="18.75" thickBot="1" x14ac:dyDescent="0.3">
      <c r="A21" s="3" t="s">
        <v>30</v>
      </c>
      <c r="B21" s="3"/>
      <c r="C21" s="3"/>
      <c r="D21" s="3"/>
      <c r="E21" s="45">
        <f>+'AUG21'!L32</f>
        <v>-0.32</v>
      </c>
      <c r="F21" s="26"/>
      <c r="G21" s="3"/>
      <c r="H21" s="3" t="s">
        <v>31</v>
      </c>
      <c r="I21" s="3"/>
      <c r="J21" s="3"/>
      <c r="K21" s="3"/>
      <c r="L21" s="27" t="str">
        <f>E6</f>
        <v>OCTOBER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86883941</v>
      </c>
      <c r="F23" s="3"/>
      <c r="G23" s="3"/>
      <c r="H23" s="3" t="s">
        <v>35</v>
      </c>
      <c r="I23" s="3"/>
      <c r="J23" s="3"/>
      <c r="K23" s="3"/>
      <c r="L23" s="29">
        <f>ROUND(E17/E8*100,2)</f>
        <v>1.83</v>
      </c>
    </row>
    <row r="24" spans="1:12" ht="18" x14ac:dyDescent="0.25">
      <c r="A24" s="3" t="s">
        <v>36</v>
      </c>
      <c r="B24" s="3"/>
      <c r="C24" s="3"/>
      <c r="D24" s="3"/>
      <c r="E24" s="51">
        <f>+DATA!$G$13</f>
        <v>-11158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86872783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+'AUG21'!L14</f>
        <v>-382569.63999999996</v>
      </c>
      <c r="F28" s="3"/>
      <c r="G28" s="3"/>
      <c r="H28" s="3" t="s">
        <v>43</v>
      </c>
      <c r="I28" s="3"/>
      <c r="J28" s="3"/>
      <c r="K28" s="3"/>
      <c r="L28" s="24">
        <f>SUM(100-+(L20))</f>
        <v>96.44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+DATA!$H$13</f>
        <v>-281005.77</v>
      </c>
      <c r="F30" s="17"/>
      <c r="G30" s="3"/>
      <c r="H30" s="3" t="s">
        <v>47</v>
      </c>
      <c r="I30" s="3"/>
      <c r="J30" s="3"/>
      <c r="K30" s="3"/>
      <c r="L30" s="22">
        <f>ROUND(L14/L15,5)</f>
        <v>-2.0500000000000002E-3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-2.1299999999999999E-3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-101563.86999999994</v>
      </c>
      <c r="F32" s="3"/>
      <c r="G32" s="3"/>
      <c r="H32" s="3" t="s">
        <v>51</v>
      </c>
      <c r="I32" s="3"/>
      <c r="J32" s="3"/>
      <c r="K32" s="3"/>
      <c r="L32" s="32">
        <f>ROUND(L31*100,3)</f>
        <v>-0.21299999999999999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-0.21299999999999999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121</v>
      </c>
      <c r="C38" s="41"/>
      <c r="D38" s="38"/>
      <c r="E38" s="38"/>
      <c r="F38" s="38"/>
      <c r="G38" s="38"/>
      <c r="H38" s="38" t="s">
        <v>54</v>
      </c>
      <c r="I38" s="47" t="s">
        <v>117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122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+'SEP21'!H64</f>
        <v>1276176460</v>
      </c>
      <c r="I58" s="43">
        <f>+'SEP21'!I64</f>
        <v>1229011434</v>
      </c>
      <c r="J58" s="43">
        <f>+'SEP21'!J64</f>
        <v>429478</v>
      </c>
      <c r="K58" s="20">
        <f>H58-I58-J58</f>
        <v>46735548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39">
        <v>83083036</v>
      </c>
      <c r="I60" s="39">
        <v>80320832</v>
      </c>
      <c r="J60" s="39">
        <v>28159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88510839</v>
      </c>
      <c r="I62" s="44">
        <f>+E10</f>
        <v>86872783</v>
      </c>
      <c r="J62" s="44">
        <f>+E12</f>
        <v>19416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1281604263</v>
      </c>
      <c r="I64" s="20">
        <f>SUM(I58-I60+I62)</f>
        <v>1235563385</v>
      </c>
      <c r="J64" s="20">
        <f>SUM(J58-J60+J62)</f>
        <v>420735</v>
      </c>
      <c r="K64" s="20">
        <f>SUM(H64-I64-J64)</f>
        <v>45620143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45620143</v>
      </c>
      <c r="C70" s="3" t="s">
        <v>80</v>
      </c>
      <c r="D70" s="20">
        <f>(H64)</f>
        <v>1281604263</v>
      </c>
      <c r="E70" s="3" t="s">
        <v>81</v>
      </c>
      <c r="F70" s="24">
        <f>ROUND(B70/D70*100,2)</f>
        <v>3.56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7B72E-4AF3-4B39-8391-71189236B8B7}">
  <sheetPr>
    <tabColor theme="9" tint="0.59999389629810485"/>
    <pageSetUpPr fitToPage="1"/>
  </sheetPr>
  <dimension ref="A1:L70"/>
  <sheetViews>
    <sheetView topLeftCell="A42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84</v>
      </c>
      <c r="F6" s="3"/>
      <c r="G6" s="3"/>
      <c r="H6" s="9" t="s">
        <v>9</v>
      </c>
      <c r="I6" s="3"/>
      <c r="J6" s="3"/>
      <c r="K6" s="3"/>
      <c r="L6" s="7" t="str">
        <f>E6</f>
        <v>NOVEMBER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+DATA!$B14</f>
        <v>101408280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+DATA!$I$14</f>
        <v>1140845</v>
      </c>
    </row>
    <row r="10" spans="1:12" ht="18" x14ac:dyDescent="0.25">
      <c r="A10" s="3" t="s">
        <v>13</v>
      </c>
      <c r="B10" s="3"/>
      <c r="C10" s="3"/>
      <c r="D10" s="3"/>
      <c r="E10" s="43">
        <f>+DATA!$E14</f>
        <v>94096007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-1671.1000000000349</v>
      </c>
    </row>
    <row r="12" spans="1:12" ht="18" x14ac:dyDescent="0.25">
      <c r="A12" s="3" t="s">
        <v>16</v>
      </c>
      <c r="B12" s="3"/>
      <c r="C12" s="3"/>
      <c r="D12" s="3"/>
      <c r="E12" s="43">
        <f>+DATA!$F14</f>
        <v>32904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94128911</v>
      </c>
      <c r="F14" s="3"/>
      <c r="G14" s="3"/>
      <c r="H14" s="3" t="s">
        <v>21</v>
      </c>
      <c r="I14" s="3"/>
      <c r="J14" s="3"/>
      <c r="K14" s="3"/>
      <c r="L14" s="17">
        <f>SUM(L9:L11)</f>
        <v>1139173.8999999999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101408280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7279369</v>
      </c>
      <c r="F17" s="3"/>
      <c r="G17" s="3"/>
      <c r="H17" s="3" t="s">
        <v>26</v>
      </c>
      <c r="I17" s="3"/>
      <c r="J17" s="3"/>
      <c r="K17" s="3"/>
      <c r="L17" s="22">
        <f>(L9/L15)</f>
        <v>1.1250018243086265E-2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NOVEMBER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4</v>
      </c>
    </row>
    <row r="21" spans="1:12" ht="18.75" thickBot="1" x14ac:dyDescent="0.3">
      <c r="A21" s="3" t="s">
        <v>30</v>
      </c>
      <c r="B21" s="3"/>
      <c r="C21" s="3"/>
      <c r="D21" s="3"/>
      <c r="E21" s="45">
        <f>+'SEP21'!L32</f>
        <v>-0.316</v>
      </c>
      <c r="F21" s="26"/>
      <c r="G21" s="3"/>
      <c r="H21" s="3" t="s">
        <v>31</v>
      </c>
      <c r="I21" s="3"/>
      <c r="J21" s="3"/>
      <c r="K21" s="3"/>
      <c r="L21" s="27" t="str">
        <f>E6</f>
        <v>NOVEMBER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94223393</v>
      </c>
      <c r="F23" s="3"/>
      <c r="G23" s="3"/>
      <c r="H23" s="3" t="s">
        <v>35</v>
      </c>
      <c r="I23" s="3"/>
      <c r="J23" s="3"/>
      <c r="K23" s="3"/>
      <c r="L23" s="29">
        <f>ROUND(E17/E8*100,2)</f>
        <v>7.18</v>
      </c>
    </row>
    <row r="24" spans="1:12" ht="18" x14ac:dyDescent="0.25">
      <c r="A24" s="3" t="s">
        <v>36</v>
      </c>
      <c r="B24" s="3"/>
      <c r="C24" s="3"/>
      <c r="D24" s="3"/>
      <c r="E24" s="51">
        <f>+DATA!$G$14</f>
        <v>-127386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94096007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+'SEP21'!L14</f>
        <v>-302167.43000000005</v>
      </c>
      <c r="F28" s="3"/>
      <c r="G28" s="3"/>
      <c r="H28" s="3" t="s">
        <v>43</v>
      </c>
      <c r="I28" s="3"/>
      <c r="J28" s="3"/>
      <c r="K28" s="3"/>
      <c r="L28" s="24">
        <f>SUM(100-+(L20))</f>
        <v>96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+DATA!$H$14</f>
        <v>-300496.33</v>
      </c>
      <c r="F30" s="17"/>
      <c r="G30" s="3"/>
      <c r="H30" s="3" t="s">
        <v>47</v>
      </c>
      <c r="I30" s="3"/>
      <c r="J30" s="3"/>
      <c r="K30" s="3"/>
      <c r="L30" s="22">
        <f>ROUND(L14/L15,5)</f>
        <v>1.123E-2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1.17E-2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-1671.1000000000349</v>
      </c>
      <c r="F32" s="3"/>
      <c r="G32" s="3"/>
      <c r="H32" s="3" t="s">
        <v>51</v>
      </c>
      <c r="I32" s="3"/>
      <c r="J32" s="3"/>
      <c r="K32" s="3"/>
      <c r="L32" s="32">
        <f>ROUND(L31*100,3)</f>
        <v>1.17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1.17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124</v>
      </c>
      <c r="C38" s="41"/>
      <c r="D38" s="38"/>
      <c r="E38" s="38"/>
      <c r="F38" s="38"/>
      <c r="G38" s="38"/>
      <c r="H38" s="38" t="s">
        <v>54</v>
      </c>
      <c r="I38" s="47" t="s">
        <v>121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123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+'OCT21'!H64</f>
        <v>1281604263</v>
      </c>
      <c r="I58" s="43">
        <f>+'OCT21'!I64</f>
        <v>1235563385</v>
      </c>
      <c r="J58" s="43">
        <f>+'OCT21'!J64</f>
        <v>420735</v>
      </c>
      <c r="K58" s="20">
        <f>H58-I58-J58</f>
        <v>45620143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43">
        <f>+'NOV20'!H62</f>
        <v>90041004</v>
      </c>
      <c r="I60" s="43">
        <f>+'NOV20'!I62</f>
        <v>88889547</v>
      </c>
      <c r="J60" s="43">
        <f>+'NOV20'!J62</f>
        <v>24270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101408280</v>
      </c>
      <c r="I62" s="44">
        <f>+E10</f>
        <v>94096007</v>
      </c>
      <c r="J62" s="44">
        <f>+E12</f>
        <v>32904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1292971539</v>
      </c>
      <c r="I64" s="20">
        <f>SUM(I58-I60+I62)</f>
        <v>1240769845</v>
      </c>
      <c r="J64" s="20">
        <f>SUM(J58-J60+J62)</f>
        <v>429369</v>
      </c>
      <c r="K64" s="20">
        <f>SUM(H64-I64-J64)</f>
        <v>51772325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51772325</v>
      </c>
      <c r="C70" s="3" t="s">
        <v>80</v>
      </c>
      <c r="D70" s="20">
        <f>(H64)</f>
        <v>1292971539</v>
      </c>
      <c r="E70" s="3" t="s">
        <v>81</v>
      </c>
      <c r="F70" s="24">
        <f>ROUND(B70/D70*100,2)</f>
        <v>4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833F-C662-4AF5-9813-4582A5EB08AF}">
  <sheetPr>
    <tabColor theme="9" tint="0.59999389629810485"/>
    <pageSetUpPr fitToPage="1"/>
  </sheetPr>
  <dimension ref="A1:L70"/>
  <sheetViews>
    <sheetView topLeftCell="A39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85</v>
      </c>
      <c r="F6" s="3"/>
      <c r="G6" s="3"/>
      <c r="H6" s="9" t="s">
        <v>9</v>
      </c>
      <c r="I6" s="3"/>
      <c r="J6" s="3"/>
      <c r="K6" s="3"/>
      <c r="L6" s="7" t="str">
        <f>E6</f>
        <v>DECEMBER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+DATA!$B15</f>
        <v>103695494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+DATA!$I$15</f>
        <v>1825041</v>
      </c>
    </row>
    <row r="10" spans="1:12" ht="18" x14ac:dyDescent="0.25">
      <c r="A10" s="3" t="s">
        <v>13</v>
      </c>
      <c r="B10" s="3"/>
      <c r="C10" s="3"/>
      <c r="D10" s="3"/>
      <c r="E10" s="43">
        <f>+DATA!$E15</f>
        <v>102946362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39227.330000000075</v>
      </c>
    </row>
    <row r="12" spans="1:12" ht="18" x14ac:dyDescent="0.25">
      <c r="A12" s="3" t="s">
        <v>16</v>
      </c>
      <c r="B12" s="3"/>
      <c r="C12" s="3"/>
      <c r="D12" s="3"/>
      <c r="E12" s="43">
        <f>+DATA!$F15</f>
        <v>40213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102986575</v>
      </c>
      <c r="F14" s="3"/>
      <c r="G14" s="3"/>
      <c r="H14" s="3" t="s">
        <v>21</v>
      </c>
      <c r="I14" s="3"/>
      <c r="J14" s="3"/>
      <c r="K14" s="3"/>
      <c r="L14" s="17">
        <f>SUM(L9:L11)</f>
        <v>1864268.33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103695494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708919</v>
      </c>
      <c r="F17" s="3"/>
      <c r="G17" s="3"/>
      <c r="H17" s="3" t="s">
        <v>26</v>
      </c>
      <c r="I17" s="3"/>
      <c r="J17" s="3"/>
      <c r="K17" s="3"/>
      <c r="L17" s="22">
        <f>(L9/L15)</f>
        <v>1.7600002947090448E-2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DECEMBER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3.25</v>
      </c>
    </row>
    <row r="21" spans="1:12" ht="18.75" thickBot="1" x14ac:dyDescent="0.3">
      <c r="A21" s="3" t="s">
        <v>30</v>
      </c>
      <c r="B21" s="3"/>
      <c r="C21" s="3"/>
      <c r="D21" s="3"/>
      <c r="E21" s="45">
        <f>+'OCT21'!L32</f>
        <v>-0.21299999999999999</v>
      </c>
      <c r="F21" s="26"/>
      <c r="G21" s="3"/>
      <c r="H21" s="3" t="s">
        <v>31</v>
      </c>
      <c r="I21" s="3"/>
      <c r="J21" s="3"/>
      <c r="K21" s="3"/>
      <c r="L21" s="27" t="str">
        <f>E6</f>
        <v>DECEMBER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103069967</v>
      </c>
      <c r="F23" s="3"/>
      <c r="G23" s="3"/>
      <c r="H23" s="3" t="s">
        <v>35</v>
      </c>
      <c r="I23" s="3"/>
      <c r="J23" s="3"/>
      <c r="K23" s="3"/>
      <c r="L23" s="29">
        <f>ROUND(E17/E8*100,2)</f>
        <v>0.68</v>
      </c>
    </row>
    <row r="24" spans="1:12" ht="18" x14ac:dyDescent="0.25">
      <c r="A24" s="3" t="s">
        <v>36</v>
      </c>
      <c r="B24" s="3"/>
      <c r="C24" s="3"/>
      <c r="D24" s="3"/>
      <c r="E24" s="51">
        <f>+DATA!$G$15</f>
        <v>-123605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102946362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+'OCT21'!L14</f>
        <v>-181223.86999999994</v>
      </c>
      <c r="F28" s="3"/>
      <c r="G28" s="3"/>
      <c r="H28" s="3" t="s">
        <v>43</v>
      </c>
      <c r="I28" s="3"/>
      <c r="J28" s="3"/>
      <c r="K28" s="3"/>
      <c r="L28" s="24">
        <f>SUM(100-+(L20))</f>
        <v>96.75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+DATA!$H$15</f>
        <v>-220451.20000000001</v>
      </c>
      <c r="F30" s="17"/>
      <c r="G30" s="3"/>
      <c r="H30" s="3" t="s">
        <v>47</v>
      </c>
      <c r="I30" s="3"/>
      <c r="J30" s="3"/>
      <c r="K30" s="3"/>
      <c r="L30" s="22">
        <f>ROUND(L14/L15,5)</f>
        <v>1.7979999999999999E-2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1.8579999999999999E-2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39227.330000000075</v>
      </c>
      <c r="F32" s="3"/>
      <c r="G32" s="3"/>
      <c r="H32" s="3" t="s">
        <v>51</v>
      </c>
      <c r="I32" s="3"/>
      <c r="J32" s="3"/>
      <c r="K32" s="3"/>
      <c r="L32" s="32">
        <f>ROUND(L31*100,3)</f>
        <v>1.8580000000000001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1.8580000000000001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126</v>
      </c>
      <c r="C38" s="41"/>
      <c r="D38" s="38"/>
      <c r="E38" s="38"/>
      <c r="F38" s="38"/>
      <c r="G38" s="38"/>
      <c r="H38" s="38" t="s">
        <v>54</v>
      </c>
      <c r="I38" s="47" t="s">
        <v>124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125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+'NOV21'!H64</f>
        <v>1292971539</v>
      </c>
      <c r="I58" s="43">
        <f>+'NOV21'!I64</f>
        <v>1240769845</v>
      </c>
      <c r="J58" s="43">
        <f>+'NOV21'!J64</f>
        <v>429369</v>
      </c>
      <c r="K58" s="20">
        <f>H58-I58-J58</f>
        <v>51772325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43">
        <f>+'DEC20'!H62</f>
        <v>122631761</v>
      </c>
      <c r="I60" s="43">
        <f>+'DEC20'!I62</f>
        <v>111548750</v>
      </c>
      <c r="J60" s="43">
        <f>+'DEC20'!J62</f>
        <v>51955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103695494</v>
      </c>
      <c r="I62" s="44">
        <f>+E10</f>
        <v>102946362</v>
      </c>
      <c r="J62" s="44">
        <f>+E12</f>
        <v>40213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1274035272</v>
      </c>
      <c r="I64" s="20">
        <f>SUM(I58-I60+I62)</f>
        <v>1232167457</v>
      </c>
      <c r="J64" s="20">
        <f>SUM(J58-J60+J62)</f>
        <v>417627</v>
      </c>
      <c r="K64" s="20">
        <f>SUM(H64-I64-J64)</f>
        <v>41450188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41450188</v>
      </c>
      <c r="C70" s="3" t="s">
        <v>80</v>
      </c>
      <c r="D70" s="20">
        <f>(H64)</f>
        <v>1274035272</v>
      </c>
      <c r="E70" s="3" t="s">
        <v>81</v>
      </c>
      <c r="F70" s="24">
        <f>ROUND(B70/D70*100,2)</f>
        <v>3.25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44469-87F9-4E40-BA10-1D6195641E90}">
  <sheetPr>
    <tabColor theme="9" tint="0.59999389629810485"/>
    <pageSetUpPr fitToPage="1"/>
  </sheetPr>
  <dimension ref="A1:L70"/>
  <sheetViews>
    <sheetView topLeftCell="A45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83</v>
      </c>
      <c r="F6" s="3"/>
      <c r="G6" s="3"/>
      <c r="H6" s="9" t="s">
        <v>9</v>
      </c>
      <c r="I6" s="3"/>
      <c r="J6" s="3"/>
      <c r="K6" s="3"/>
      <c r="L6" s="7" t="str">
        <f>E6</f>
        <v>JANUARY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+DATA!$B16</f>
        <v>142633220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+DATA!$I$16</f>
        <v>1121177</v>
      </c>
    </row>
    <row r="10" spans="1:12" ht="18" x14ac:dyDescent="0.25">
      <c r="A10" s="3" t="s">
        <v>13</v>
      </c>
      <c r="B10" s="3"/>
      <c r="C10" s="3"/>
      <c r="D10" s="3"/>
      <c r="E10" s="43">
        <f>+DATA!$E16</f>
        <v>130341724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-391125.17000000016</v>
      </c>
    </row>
    <row r="12" spans="1:12" ht="18" x14ac:dyDescent="0.25">
      <c r="A12" s="3" t="s">
        <v>16</v>
      </c>
      <c r="B12" s="3"/>
      <c r="C12" s="3"/>
      <c r="D12" s="3"/>
      <c r="E12" s="43">
        <f>+DATA!$F16</f>
        <v>71095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130412819</v>
      </c>
      <c r="F14" s="3"/>
      <c r="G14" s="3"/>
      <c r="H14" s="3" t="s">
        <v>21</v>
      </c>
      <c r="I14" s="3"/>
      <c r="J14" s="3"/>
      <c r="K14" s="3"/>
      <c r="L14" s="17">
        <f>SUM(L9:L11)</f>
        <v>730051.82999999984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142633220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12220401</v>
      </c>
      <c r="F17" s="3"/>
      <c r="G17" s="3"/>
      <c r="H17" s="3" t="s">
        <v>26</v>
      </c>
      <c r="I17" s="3"/>
      <c r="J17" s="3"/>
      <c r="K17" s="3"/>
      <c r="L17" s="22">
        <f>(L9/L15)</f>
        <v>7.8605601135555946E-3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JANUARY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3.93</v>
      </c>
    </row>
    <row r="21" spans="1:12" ht="18.75" thickBot="1" x14ac:dyDescent="0.3">
      <c r="A21" s="3" t="s">
        <v>30</v>
      </c>
      <c r="B21" s="3"/>
      <c r="C21" s="3"/>
      <c r="D21" s="3"/>
      <c r="E21" s="45">
        <f>+'NOV21'!L32</f>
        <v>1.17</v>
      </c>
      <c r="F21" s="26"/>
      <c r="G21" s="3"/>
      <c r="H21" s="3" t="s">
        <v>31</v>
      </c>
      <c r="I21" s="3"/>
      <c r="J21" s="3"/>
      <c r="K21" s="3"/>
      <c r="L21" s="27" t="str">
        <f>E6</f>
        <v>JANUARY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130357662</v>
      </c>
      <c r="F23" s="3"/>
      <c r="G23" s="3"/>
      <c r="H23" s="3" t="s">
        <v>35</v>
      </c>
      <c r="I23" s="3"/>
      <c r="J23" s="3"/>
      <c r="K23" s="3"/>
      <c r="L23" s="29">
        <f>ROUND(E17/E8*100,2)</f>
        <v>8.57</v>
      </c>
    </row>
    <row r="24" spans="1:12" ht="18" x14ac:dyDescent="0.25">
      <c r="A24" s="3" t="s">
        <v>36</v>
      </c>
      <c r="B24" s="3"/>
      <c r="C24" s="3"/>
      <c r="D24" s="3"/>
      <c r="E24" s="51">
        <f>+DATA!$G$16</f>
        <v>-15938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130341724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+'NOV21'!L14</f>
        <v>1139173.8999999999</v>
      </c>
      <c r="F28" s="3"/>
      <c r="G28" s="3"/>
      <c r="H28" s="3" t="s">
        <v>43</v>
      </c>
      <c r="I28" s="3"/>
      <c r="J28" s="3"/>
      <c r="K28" s="3"/>
      <c r="L28" s="24">
        <f>SUM(100-+(L20))</f>
        <v>96.07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+DATA!$H$16</f>
        <v>1530299.07</v>
      </c>
      <c r="F30" s="17"/>
      <c r="G30" s="3"/>
      <c r="H30" s="3" t="s">
        <v>47</v>
      </c>
      <c r="I30" s="3"/>
      <c r="J30" s="3"/>
      <c r="K30" s="3"/>
      <c r="L30" s="22">
        <f>ROUND(L14/L15,5)</f>
        <v>5.1200000000000004E-3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5.3299999999999997E-3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-391125.17000000016</v>
      </c>
      <c r="F32" s="3"/>
      <c r="G32" s="3"/>
      <c r="H32" s="3" t="s">
        <v>51</v>
      </c>
      <c r="I32" s="3"/>
      <c r="J32" s="3"/>
      <c r="K32" s="3"/>
      <c r="L32" s="32">
        <f>ROUND(L31*100,3)</f>
        <v>0.53300000000000003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0.53300000000000003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128</v>
      </c>
      <c r="C38" s="41"/>
      <c r="D38" s="38"/>
      <c r="E38" s="38"/>
      <c r="F38" s="38"/>
      <c r="G38" s="38"/>
      <c r="H38" s="38" t="s">
        <v>54</v>
      </c>
      <c r="I38" s="47" t="s">
        <v>129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127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+'DEC21'!H64</f>
        <v>1274035272</v>
      </c>
      <c r="I58" s="43">
        <f>+'DEC21'!I64</f>
        <v>1232167457</v>
      </c>
      <c r="J58" s="43">
        <f>+'DEC21'!J64</f>
        <v>417627</v>
      </c>
      <c r="K58" s="20">
        <f>H58-I58-J58</f>
        <v>41450188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43">
        <f>+'JAN21'!H62</f>
        <v>127950059</v>
      </c>
      <c r="I60" s="43">
        <f>+'JAN21'!I62</f>
        <v>124847159</v>
      </c>
      <c r="J60" s="43">
        <f>+'JAN21'!J62</f>
        <v>61570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142633220</v>
      </c>
      <c r="I62" s="44">
        <f>+E10</f>
        <v>130341724</v>
      </c>
      <c r="J62" s="44">
        <f>+E12</f>
        <v>71095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1288718433</v>
      </c>
      <c r="I64" s="20">
        <f>SUM(I58-I60+I62)</f>
        <v>1237662022</v>
      </c>
      <c r="J64" s="20">
        <f>SUM(J58-J60+J62)</f>
        <v>427152</v>
      </c>
      <c r="K64" s="20">
        <f>SUM(H64-I64-J64)</f>
        <v>50629259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50629259</v>
      </c>
      <c r="C70" s="3" t="s">
        <v>80</v>
      </c>
      <c r="D70" s="20">
        <f>(H64)</f>
        <v>1288718433</v>
      </c>
      <c r="E70" s="3" t="s">
        <v>81</v>
      </c>
      <c r="F70" s="24">
        <f>ROUND(B70/D70*100,2)</f>
        <v>3.93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7608F-6D00-46E5-B3B3-3B8C83A0316D}">
  <sheetPr>
    <tabColor theme="9" tint="0.59999389629810485"/>
    <pageSetUpPr fitToPage="1"/>
  </sheetPr>
  <dimension ref="A1:L70"/>
  <sheetViews>
    <sheetView topLeftCell="A45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96</v>
      </c>
      <c r="F6" s="3"/>
      <c r="G6" s="3"/>
      <c r="H6" s="9" t="s">
        <v>9</v>
      </c>
      <c r="I6" s="3"/>
      <c r="J6" s="3"/>
      <c r="K6" s="3"/>
      <c r="L6" s="7" t="str">
        <f>E6</f>
        <v>FEBRUARY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+DATA!$B17</f>
        <v>114757638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+DATA!$I$17</f>
        <v>1140587</v>
      </c>
    </row>
    <row r="10" spans="1:12" ht="18" x14ac:dyDescent="0.25">
      <c r="A10" s="3" t="s">
        <v>13</v>
      </c>
      <c r="B10" s="3"/>
      <c r="C10" s="3"/>
      <c r="D10" s="3"/>
      <c r="E10" s="43">
        <f>+DATA!$E17</f>
        <v>115655181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-292035.07999999961</v>
      </c>
    </row>
    <row r="12" spans="1:12" ht="18" x14ac:dyDescent="0.25">
      <c r="A12" s="3" t="s">
        <v>16</v>
      </c>
      <c r="B12" s="3"/>
      <c r="C12" s="3"/>
      <c r="D12" s="3"/>
      <c r="E12" s="43">
        <f>+DATA!$F17</f>
        <v>50411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115705592</v>
      </c>
      <c r="F14" s="3"/>
      <c r="G14" s="3"/>
      <c r="H14" s="3" t="s">
        <v>21</v>
      </c>
      <c r="I14" s="3"/>
      <c r="J14" s="3"/>
      <c r="K14" s="3"/>
      <c r="L14" s="17">
        <f>SUM(L9:L11)</f>
        <v>848551.92000000039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114757638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-947954</v>
      </c>
      <c r="F17" s="3"/>
      <c r="G17" s="3"/>
      <c r="H17" s="3" t="s">
        <v>26</v>
      </c>
      <c r="I17" s="3"/>
      <c r="J17" s="3"/>
      <c r="K17" s="3"/>
      <c r="L17" s="22">
        <f>(L9/L15)</f>
        <v>9.9390944243728675E-3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FEBRUARY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3.78</v>
      </c>
    </row>
    <row r="21" spans="1:12" ht="18.75" thickBot="1" x14ac:dyDescent="0.3">
      <c r="A21" s="3" t="s">
        <v>30</v>
      </c>
      <c r="B21" s="3"/>
      <c r="C21" s="3"/>
      <c r="D21" s="3"/>
      <c r="E21" s="45">
        <f>+'DEC21'!L32</f>
        <v>1.8580000000000001</v>
      </c>
      <c r="F21" s="26"/>
      <c r="G21" s="3"/>
      <c r="H21" s="3" t="s">
        <v>31</v>
      </c>
      <c r="I21" s="3"/>
      <c r="J21" s="3"/>
      <c r="K21" s="3"/>
      <c r="L21" s="27" t="str">
        <f>E6</f>
        <v>FEBRUARY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115795934</v>
      </c>
      <c r="F23" s="3"/>
      <c r="G23" s="3"/>
      <c r="H23" s="3" t="s">
        <v>35</v>
      </c>
      <c r="I23" s="3"/>
      <c r="J23" s="3"/>
      <c r="K23" s="3"/>
      <c r="L23" s="29">
        <f>ROUND(E17/E8*100,2)</f>
        <v>-0.83</v>
      </c>
    </row>
    <row r="24" spans="1:12" ht="18" x14ac:dyDescent="0.25">
      <c r="A24" s="3" t="s">
        <v>36</v>
      </c>
      <c r="B24" s="3"/>
      <c r="C24" s="3"/>
      <c r="D24" s="3"/>
      <c r="E24" s="51">
        <f>+DATA!$G$17</f>
        <v>-140753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115655181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+'DEC21'!L14</f>
        <v>1864268.33</v>
      </c>
      <c r="F28" s="3"/>
      <c r="G28" s="3"/>
      <c r="H28" s="3" t="s">
        <v>43</v>
      </c>
      <c r="I28" s="3"/>
      <c r="J28" s="3"/>
      <c r="K28" s="3"/>
      <c r="L28" s="24">
        <f>SUM(100-+(L20))</f>
        <v>96.22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+DATA!$H$17</f>
        <v>2156303.4099999997</v>
      </c>
      <c r="F30" s="17"/>
      <c r="G30" s="3"/>
      <c r="H30" s="3" t="s">
        <v>47</v>
      </c>
      <c r="I30" s="3"/>
      <c r="J30" s="3"/>
      <c r="K30" s="3"/>
      <c r="L30" s="22">
        <f>ROUND(L14/L15,5)</f>
        <v>7.3899999999999999E-3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7.6800000000000002E-3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-292035.07999999961</v>
      </c>
      <c r="F32" s="3"/>
      <c r="G32" s="3"/>
      <c r="H32" s="3" t="s">
        <v>51</v>
      </c>
      <c r="I32" s="3"/>
      <c r="J32" s="3"/>
      <c r="K32" s="3"/>
      <c r="L32" s="32">
        <f>ROUND(L31*100,3)</f>
        <v>0.76800000000000002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0.76800000000000002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131</v>
      </c>
      <c r="C38" s="41"/>
      <c r="D38" s="38"/>
      <c r="E38" s="38"/>
      <c r="F38" s="38"/>
      <c r="G38" s="38"/>
      <c r="H38" s="38" t="s">
        <v>54</v>
      </c>
      <c r="I38" s="47" t="s">
        <v>132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130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+'JAN22'!H64</f>
        <v>1288718433</v>
      </c>
      <c r="I58" s="43">
        <f>+'JAN22'!I64</f>
        <v>1237662022</v>
      </c>
      <c r="J58" s="43">
        <f>+'JAN22'!J64</f>
        <v>427152</v>
      </c>
      <c r="K58" s="20">
        <f>H58-I58-J58</f>
        <v>50629259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43">
        <f>+'FEB21'!H62</f>
        <v>125978703</v>
      </c>
      <c r="I60" s="43">
        <f>+'FEB21'!I62</f>
        <v>124577333</v>
      </c>
      <c r="J60" s="43">
        <f>+'FEB21'!J62</f>
        <v>68478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114757638</v>
      </c>
      <c r="I62" s="44">
        <f>+E10</f>
        <v>115655181</v>
      </c>
      <c r="J62" s="44">
        <f>+E12</f>
        <v>50411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1277497368</v>
      </c>
      <c r="I64" s="20">
        <f>SUM(I58-I60+I62)</f>
        <v>1228739870</v>
      </c>
      <c r="J64" s="20">
        <f>SUM(J58-J60+J62)</f>
        <v>409085</v>
      </c>
      <c r="K64" s="20">
        <f>SUM(H64-I64-J64)</f>
        <v>48348413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48348413</v>
      </c>
      <c r="C70" s="3" t="s">
        <v>80</v>
      </c>
      <c r="D70" s="20">
        <f>(H64)</f>
        <v>1277497368</v>
      </c>
      <c r="E70" s="3" t="s">
        <v>81</v>
      </c>
      <c r="F70" s="24">
        <f>ROUND(B70/D70*100,2)</f>
        <v>3.78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0E215-6EC0-4F48-9CF4-9124AB6475CE}">
  <sheetPr>
    <tabColor theme="9" tint="0.59999389629810485"/>
    <pageSetUpPr fitToPage="1"/>
  </sheetPr>
  <dimension ref="A1:L70"/>
  <sheetViews>
    <sheetView topLeftCell="A39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100</v>
      </c>
      <c r="F6" s="3"/>
      <c r="G6" s="3"/>
      <c r="H6" s="9" t="s">
        <v>9</v>
      </c>
      <c r="I6" s="3"/>
      <c r="J6" s="3"/>
      <c r="K6" s="3"/>
      <c r="L6" s="7" t="str">
        <f>E6</f>
        <v>MARCH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+DATA!$B18</f>
        <v>100354620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+DATA!$I$18</f>
        <v>1004550</v>
      </c>
    </row>
    <row r="10" spans="1:12" ht="18" x14ac:dyDescent="0.25">
      <c r="A10" s="3" t="s">
        <v>13</v>
      </c>
      <c r="B10" s="3"/>
      <c r="C10" s="3"/>
      <c r="D10" s="3"/>
      <c r="E10" s="43">
        <f>+DATA!$E18</f>
        <v>94270569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241111.99999999988</v>
      </c>
    </row>
    <row r="12" spans="1:12" ht="18" x14ac:dyDescent="0.25">
      <c r="A12" s="3" t="s">
        <v>16</v>
      </c>
      <c r="B12" s="3"/>
      <c r="C12" s="3"/>
      <c r="D12" s="3"/>
      <c r="E12" s="43">
        <f>+DATA!$F18</f>
        <v>36440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94307009</v>
      </c>
      <c r="F14" s="3"/>
      <c r="G14" s="3"/>
      <c r="H14" s="3" t="s">
        <v>21</v>
      </c>
      <c r="I14" s="3"/>
      <c r="J14" s="3"/>
      <c r="K14" s="3"/>
      <c r="L14" s="17">
        <f>SUM(L9:L11)</f>
        <v>1245662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100354620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6047611</v>
      </c>
      <c r="F17" s="3"/>
      <c r="G17" s="3"/>
      <c r="H17" s="3" t="s">
        <v>26</v>
      </c>
      <c r="I17" s="3"/>
      <c r="J17" s="3"/>
      <c r="K17" s="3"/>
      <c r="L17" s="22">
        <f>(L9/L15)</f>
        <v>1.0010002529031548E-2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MARCH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3.87</v>
      </c>
    </row>
    <row r="21" spans="1:12" ht="18.75" thickBot="1" x14ac:dyDescent="0.3">
      <c r="A21" s="3" t="s">
        <v>30</v>
      </c>
      <c r="B21" s="3"/>
      <c r="C21" s="3"/>
      <c r="D21" s="3"/>
      <c r="E21" s="45">
        <f>+'JAN22'!L32</f>
        <v>0.53300000000000003</v>
      </c>
      <c r="F21" s="26"/>
      <c r="G21" s="3"/>
      <c r="H21" s="3" t="s">
        <v>31</v>
      </c>
      <c r="I21" s="3"/>
      <c r="J21" s="3"/>
      <c r="K21" s="3"/>
      <c r="L21" s="27" t="str">
        <f>E6</f>
        <v>MARCH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95567182</v>
      </c>
      <c r="F23" s="3"/>
      <c r="G23" s="3"/>
      <c r="H23" s="3" t="s">
        <v>35</v>
      </c>
      <c r="I23" s="3"/>
      <c r="J23" s="3"/>
      <c r="K23" s="3"/>
      <c r="L23" s="29">
        <f>ROUND(E17/E8*100,2)</f>
        <v>6.03</v>
      </c>
    </row>
    <row r="24" spans="1:12" ht="18" x14ac:dyDescent="0.25">
      <c r="A24" s="3" t="s">
        <v>36</v>
      </c>
      <c r="B24" s="3"/>
      <c r="C24" s="3"/>
      <c r="D24" s="3"/>
      <c r="E24" s="51">
        <f>+DATA!$G$18</f>
        <v>-1296613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94270569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+'JAN22'!L14</f>
        <v>730051.82999999984</v>
      </c>
      <c r="F28" s="3"/>
      <c r="G28" s="3"/>
      <c r="H28" s="3" t="s">
        <v>43</v>
      </c>
      <c r="I28" s="3"/>
      <c r="J28" s="3"/>
      <c r="K28" s="3"/>
      <c r="L28" s="24">
        <f>SUM(100-+(L20))</f>
        <v>96.13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+DATA!$H$18</f>
        <v>488939.82999999996</v>
      </c>
      <c r="F30" s="17"/>
      <c r="G30" s="3"/>
      <c r="H30" s="3" t="s">
        <v>47</v>
      </c>
      <c r="I30" s="3"/>
      <c r="J30" s="3"/>
      <c r="K30" s="3"/>
      <c r="L30" s="22">
        <f>ROUND(L14/L15,5)</f>
        <v>1.2409999999999999E-2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1.291E-2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241111.99999999988</v>
      </c>
      <c r="F32" s="3"/>
      <c r="G32" s="3"/>
      <c r="H32" s="3" t="s">
        <v>51</v>
      </c>
      <c r="I32" s="3"/>
      <c r="J32" s="3"/>
      <c r="K32" s="3"/>
      <c r="L32" s="32">
        <f>ROUND(L31*100,3)</f>
        <v>1.2909999999999999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1.2909999999999999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134</v>
      </c>
      <c r="C38" s="41"/>
      <c r="D38" s="38"/>
      <c r="E38" s="38"/>
      <c r="F38" s="38"/>
      <c r="G38" s="38"/>
      <c r="H38" s="38" t="s">
        <v>54</v>
      </c>
      <c r="I38" s="47" t="s">
        <v>135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198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199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133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+'FEB22'!H64</f>
        <v>1277497368</v>
      </c>
      <c r="I58" s="43">
        <f>+'FEB22'!I64</f>
        <v>1228739870</v>
      </c>
      <c r="J58" s="43">
        <f>+'FEB22'!J64</f>
        <v>409085</v>
      </c>
      <c r="K58" s="20">
        <f>H58-I58-J58</f>
        <v>48348413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43">
        <f>+'MAR21'!H62</f>
        <v>95410451</v>
      </c>
      <c r="I60" s="43">
        <f>+'MAR21'!I62</f>
        <v>90627033</v>
      </c>
      <c r="J60" s="43">
        <f>+'MAR21'!J62</f>
        <v>38620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100354620</v>
      </c>
      <c r="I62" s="44">
        <f>+E10</f>
        <v>94270569</v>
      </c>
      <c r="J62" s="44">
        <f>+E12</f>
        <v>36440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1282441537</v>
      </c>
      <c r="I64" s="20">
        <f>SUM(I58-I60+I62)</f>
        <v>1232383406</v>
      </c>
      <c r="J64" s="20">
        <f>SUM(J58-J60+J62)</f>
        <v>406905</v>
      </c>
      <c r="K64" s="20">
        <f>SUM(H64-I64-J64)</f>
        <v>49651226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49651226</v>
      </c>
      <c r="C70" s="3" t="s">
        <v>80</v>
      </c>
      <c r="D70" s="20">
        <f>(H64)</f>
        <v>1282441537</v>
      </c>
      <c r="E70" s="3" t="s">
        <v>81</v>
      </c>
      <c r="F70" s="24">
        <f>ROUND(B70/D70*100,2)</f>
        <v>3.87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12265-F62F-4830-9670-34539FD077D4}">
  <sheetPr>
    <tabColor theme="9" tint="0.59999389629810485"/>
    <pageSetUpPr fitToPage="1"/>
  </sheetPr>
  <dimension ref="A1:L70"/>
  <sheetViews>
    <sheetView topLeftCell="A39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104</v>
      </c>
      <c r="F6" s="3"/>
      <c r="G6" s="3"/>
      <c r="H6" s="9" t="s">
        <v>9</v>
      </c>
      <c r="I6" s="3"/>
      <c r="J6" s="3"/>
      <c r="K6" s="3"/>
      <c r="L6" s="7" t="str">
        <f>E6</f>
        <v>APRIL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+DATA!$B19</f>
        <v>88736149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+DATA!$I$19</f>
        <v>659307</v>
      </c>
    </row>
    <row r="10" spans="1:12" ht="18" x14ac:dyDescent="0.25">
      <c r="A10" s="3" t="s">
        <v>13</v>
      </c>
      <c r="B10" s="3"/>
      <c r="C10" s="3"/>
      <c r="D10" s="3"/>
      <c r="E10" s="43">
        <f>+DATA!$E19</f>
        <v>86966036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171209.32000000041</v>
      </c>
    </row>
    <row r="12" spans="1:12" ht="18" x14ac:dyDescent="0.25">
      <c r="A12" s="3" t="s">
        <v>16</v>
      </c>
      <c r="B12" s="3"/>
      <c r="C12" s="3"/>
      <c r="D12" s="3"/>
      <c r="E12" s="43">
        <f>+DATA!$F19</f>
        <v>22824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86988860</v>
      </c>
      <c r="F14" s="3"/>
      <c r="G14" s="3"/>
      <c r="H14" s="3" t="s">
        <v>21</v>
      </c>
      <c r="I14" s="3"/>
      <c r="J14" s="3"/>
      <c r="K14" s="3"/>
      <c r="L14" s="17">
        <f>SUM(L9:L11)</f>
        <v>830516.32000000041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88736149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1747289</v>
      </c>
      <c r="F17" s="3"/>
      <c r="G17" s="3"/>
      <c r="H17" s="3" t="s">
        <v>26</v>
      </c>
      <c r="I17" s="3"/>
      <c r="J17" s="3"/>
      <c r="K17" s="3"/>
      <c r="L17" s="22">
        <f>(L9/L15)</f>
        <v>7.4299708453653994E-3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APRIL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3.62</v>
      </c>
    </row>
    <row r="21" spans="1:12" ht="18.75" thickBot="1" x14ac:dyDescent="0.3">
      <c r="A21" s="3" t="s">
        <v>30</v>
      </c>
      <c r="B21" s="3"/>
      <c r="C21" s="3"/>
      <c r="D21" s="3"/>
      <c r="E21" s="45">
        <f>+'FEB22'!L32</f>
        <v>0.76800000000000002</v>
      </c>
      <c r="F21" s="26"/>
      <c r="G21" s="3"/>
      <c r="H21" s="3" t="s">
        <v>31</v>
      </c>
      <c r="I21" s="3"/>
      <c r="J21" s="3"/>
      <c r="K21" s="3"/>
      <c r="L21" s="27" t="str">
        <f>E6</f>
        <v>APRIL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87619982</v>
      </c>
      <c r="F23" s="3"/>
      <c r="G23" s="3"/>
      <c r="H23" s="3" t="s">
        <v>35</v>
      </c>
      <c r="I23" s="3"/>
      <c r="J23" s="3"/>
      <c r="K23" s="3"/>
      <c r="L23" s="29">
        <f>ROUND(E17/E8*100,2)</f>
        <v>1.97</v>
      </c>
    </row>
    <row r="24" spans="1:12" ht="18" x14ac:dyDescent="0.25">
      <c r="A24" s="3" t="s">
        <v>36</v>
      </c>
      <c r="B24" s="3"/>
      <c r="C24" s="3"/>
      <c r="D24" s="3"/>
      <c r="E24" s="51">
        <f>+DATA!$G$19</f>
        <v>-653946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86966036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+'FEB22'!L14</f>
        <v>848551.92000000039</v>
      </c>
      <c r="F28" s="3"/>
      <c r="G28" s="3"/>
      <c r="H28" s="3" t="s">
        <v>43</v>
      </c>
      <c r="I28" s="3"/>
      <c r="J28" s="3"/>
      <c r="K28" s="3"/>
      <c r="L28" s="24">
        <f>SUM(100-+(L20))</f>
        <v>96.38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+DATA!$H$19</f>
        <v>677342.6</v>
      </c>
      <c r="F30" s="17"/>
      <c r="G30" s="3"/>
      <c r="H30" s="3" t="s">
        <v>47</v>
      </c>
      <c r="I30" s="3"/>
      <c r="J30" s="3"/>
      <c r="K30" s="3"/>
      <c r="L30" s="22">
        <f>ROUND(L14/L15,5)</f>
        <v>9.3600000000000003E-3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9.7099999999999999E-3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171209.32000000041</v>
      </c>
      <c r="F32" s="3"/>
      <c r="G32" s="3"/>
      <c r="H32" s="3" t="s">
        <v>51</v>
      </c>
      <c r="I32" s="3"/>
      <c r="J32" s="3"/>
      <c r="K32" s="3"/>
      <c r="L32" s="32">
        <f>ROUND(L31*100,3)</f>
        <v>0.97099999999999997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0.97099999999999997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137</v>
      </c>
      <c r="C38" s="41"/>
      <c r="D38" s="38"/>
      <c r="E38" s="38"/>
      <c r="F38" s="38"/>
      <c r="G38" s="38"/>
      <c r="H38" s="38" t="s">
        <v>54</v>
      </c>
      <c r="I38" s="47" t="s">
        <v>138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198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199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136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+'MAR22'!H64</f>
        <v>1282441537</v>
      </c>
      <c r="I58" s="43">
        <f>+'MAR22'!I64</f>
        <v>1232383406</v>
      </c>
      <c r="J58" s="43">
        <f>+'MAR22'!J64</f>
        <v>406905</v>
      </c>
      <c r="K58" s="20">
        <f>H58-I58-J58</f>
        <v>49651226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43">
        <f>+'APR21'!H62</f>
        <v>85599350</v>
      </c>
      <c r="I60" s="43">
        <f>+'APR21'!I62</f>
        <v>80771300</v>
      </c>
      <c r="J60" s="43">
        <f>+'APR21'!J62</f>
        <v>23430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88736149</v>
      </c>
      <c r="I62" s="44">
        <f>+E10</f>
        <v>86966036</v>
      </c>
      <c r="J62" s="44">
        <f>+E12</f>
        <v>22824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1285578336</v>
      </c>
      <c r="I64" s="20">
        <f>SUM(I58-I60+I62)</f>
        <v>1238578142</v>
      </c>
      <c r="J64" s="20">
        <f>SUM(J58-J60+J62)</f>
        <v>406299</v>
      </c>
      <c r="K64" s="20">
        <f>SUM(H64-I64-J64)</f>
        <v>46593895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46593895</v>
      </c>
      <c r="C70" s="3" t="s">
        <v>80</v>
      </c>
      <c r="D70" s="20">
        <f>(H64)</f>
        <v>1285578336</v>
      </c>
      <c r="E70" s="3" t="s">
        <v>81</v>
      </c>
      <c r="F70" s="24">
        <f>ROUND(B70/D70*100,2)</f>
        <v>3.62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F74B3-298E-47F6-AC82-CB641795ACBD}">
  <sheetPr>
    <tabColor theme="9" tint="0.59999389629810485"/>
    <pageSetUpPr fitToPage="1"/>
  </sheetPr>
  <dimension ref="A1:L70"/>
  <sheetViews>
    <sheetView topLeftCell="A22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84</v>
      </c>
      <c r="F6" s="3"/>
      <c r="G6" s="3"/>
      <c r="H6" s="9" t="s">
        <v>9</v>
      </c>
      <c r="I6" s="3"/>
      <c r="J6" s="3"/>
      <c r="K6" s="3"/>
      <c r="L6" s="7" t="str">
        <f>E6</f>
        <v>NOVEMBER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+DATA!$B$2</f>
        <v>90041004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+DATA!$I$2</f>
        <v>-473616</v>
      </c>
    </row>
    <row r="10" spans="1:12" ht="18" x14ac:dyDescent="0.25">
      <c r="A10" s="3" t="s">
        <v>13</v>
      </c>
      <c r="B10" s="3"/>
      <c r="C10" s="3"/>
      <c r="D10" s="3"/>
      <c r="E10" s="43">
        <f>+DATA!$E$2</f>
        <v>88889547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-3508.6500000000233</v>
      </c>
    </row>
    <row r="12" spans="1:12" ht="18" x14ac:dyDescent="0.25">
      <c r="A12" s="3" t="s">
        <v>16</v>
      </c>
      <c r="B12" s="3"/>
      <c r="C12" s="3"/>
      <c r="D12" s="3"/>
      <c r="E12" s="43">
        <f>+DATA!$F$2</f>
        <v>24270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88913817</v>
      </c>
      <c r="F14" s="3"/>
      <c r="G14" s="3"/>
      <c r="H14" s="3" t="s">
        <v>21</v>
      </c>
      <c r="I14" s="3"/>
      <c r="J14" s="3"/>
      <c r="K14" s="3"/>
      <c r="L14" s="17">
        <f>SUM(L9:L11)</f>
        <v>-477124.65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90041004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1127187</v>
      </c>
      <c r="F17" s="3"/>
      <c r="G17" s="3"/>
      <c r="H17" s="3" t="s">
        <v>26</v>
      </c>
      <c r="I17" s="3"/>
      <c r="J17" s="3"/>
      <c r="K17" s="3"/>
      <c r="L17" s="22">
        <f>(L9/L15)</f>
        <v>-5.2600035423860892E-3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NOVEMBER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3.82</v>
      </c>
    </row>
    <row r="21" spans="1:12" ht="18.75" thickBot="1" x14ac:dyDescent="0.3">
      <c r="A21" s="3" t="s">
        <v>30</v>
      </c>
      <c r="B21" s="3"/>
      <c r="C21" s="3"/>
      <c r="D21" s="3"/>
      <c r="E21" s="25">
        <v>-0.755</v>
      </c>
      <c r="F21" s="26"/>
      <c r="G21" s="3"/>
      <c r="H21" s="3" t="s">
        <v>31</v>
      </c>
      <c r="I21" s="3"/>
      <c r="J21" s="3"/>
      <c r="K21" s="3"/>
      <c r="L21" s="27" t="str">
        <f>E6</f>
        <v>NOVEMBER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89050976</v>
      </c>
      <c r="F23" s="3"/>
      <c r="G23" s="3"/>
      <c r="H23" s="3" t="s">
        <v>35</v>
      </c>
      <c r="I23" s="3"/>
      <c r="J23" s="3"/>
      <c r="K23" s="3"/>
      <c r="L23" s="29">
        <f>ROUND(E17/E8*100,2)</f>
        <v>1.25</v>
      </c>
    </row>
    <row r="24" spans="1:12" ht="18" x14ac:dyDescent="0.25">
      <c r="A24" s="3" t="s">
        <v>36</v>
      </c>
      <c r="B24" s="3"/>
      <c r="C24" s="3"/>
      <c r="D24" s="3"/>
      <c r="E24" s="51">
        <f>+DATA!$G$2</f>
        <v>-161429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88889547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30">
        <v>-682061.37</v>
      </c>
      <c r="F28" s="3"/>
      <c r="G28" s="3"/>
      <c r="H28" s="3" t="s">
        <v>43</v>
      </c>
      <c r="I28" s="3"/>
      <c r="J28" s="3"/>
      <c r="K28" s="3"/>
      <c r="L28" s="24">
        <f>SUM(100-+(L20))</f>
        <v>96.18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+DATA!$H$2</f>
        <v>-678552.72</v>
      </c>
      <c r="F30" s="17"/>
      <c r="G30" s="3"/>
      <c r="H30" s="3" t="s">
        <v>47</v>
      </c>
      <c r="I30" s="3"/>
      <c r="J30" s="3"/>
      <c r="K30" s="3"/>
      <c r="L30" s="22">
        <f>ROUND(L14/L15,5)</f>
        <v>-5.3E-3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-5.5100000000000001E-3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-3508.6500000000233</v>
      </c>
      <c r="F32" s="3"/>
      <c r="G32" s="3"/>
      <c r="H32" s="3" t="s">
        <v>51</v>
      </c>
      <c r="I32" s="3"/>
      <c r="J32" s="3"/>
      <c r="K32" s="3"/>
      <c r="L32" s="32">
        <f>ROUND(L31*100,3)</f>
        <v>-0.55100000000000005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-0.55100000000000005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86</v>
      </c>
      <c r="C38" s="41"/>
      <c r="D38" s="38"/>
      <c r="E38" s="38"/>
      <c r="F38" s="38"/>
      <c r="G38" s="38"/>
      <c r="H38" s="38" t="s">
        <v>54</v>
      </c>
      <c r="I38" s="34" t="s">
        <v>87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89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v>1226799179</v>
      </c>
      <c r="I58" s="43">
        <v>1175602838</v>
      </c>
      <c r="J58" s="43">
        <v>397562</v>
      </c>
      <c r="K58" s="20">
        <f>H58-I58-J58</f>
        <v>50798779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39">
        <v>102932299</v>
      </c>
      <c r="I60" s="39">
        <v>97398015</v>
      </c>
      <c r="J60" s="39">
        <v>36768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2">
        <f>+E8</f>
        <v>90041004</v>
      </c>
      <c r="I62" s="42">
        <f>+E10</f>
        <v>88889547</v>
      </c>
      <c r="J62" s="42">
        <f>+E12</f>
        <v>24270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1213907884</v>
      </c>
      <c r="I64" s="20">
        <f>SUM(I58-I60+I62)</f>
        <v>1167094370</v>
      </c>
      <c r="J64" s="20">
        <f>SUM(J58-J60+J62)</f>
        <v>385064</v>
      </c>
      <c r="K64" s="20">
        <f>SUM(H64-I64-J64)</f>
        <v>46428450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46428450</v>
      </c>
      <c r="C70" s="3" t="s">
        <v>80</v>
      </c>
      <c r="D70" s="20">
        <f>(H64)</f>
        <v>1213907884</v>
      </c>
      <c r="E70" s="3" t="s">
        <v>81</v>
      </c>
      <c r="F70" s="24">
        <f>ROUND(B70/D70*100,2)</f>
        <v>3.82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B254A-88B7-4EA6-B3C7-B2C0BCDAF35E}">
  <sheetPr>
    <tabColor theme="9" tint="0.59999389629810485"/>
    <pageSetUpPr fitToPage="1"/>
  </sheetPr>
  <dimension ref="A1:L70"/>
  <sheetViews>
    <sheetView topLeftCell="A51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107</v>
      </c>
      <c r="F6" s="3"/>
      <c r="G6" s="3"/>
      <c r="H6" s="9" t="s">
        <v>9</v>
      </c>
      <c r="I6" s="3"/>
      <c r="J6" s="3"/>
      <c r="K6" s="3"/>
      <c r="L6" s="7" t="str">
        <f>E6</f>
        <v>MAY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+DATA!$B20</f>
        <v>97917874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+DATA!$I$20</f>
        <v>692281</v>
      </c>
    </row>
    <row r="10" spans="1:12" ht="18" x14ac:dyDescent="0.25">
      <c r="A10" s="3" t="s">
        <v>13</v>
      </c>
      <c r="B10" s="3"/>
      <c r="C10" s="3"/>
      <c r="D10" s="3"/>
      <c r="E10" s="43">
        <f>+DATA!$E20</f>
        <v>93695789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26214.25</v>
      </c>
    </row>
    <row r="12" spans="1:12" ht="18" x14ac:dyDescent="0.25">
      <c r="A12" s="3" t="s">
        <v>16</v>
      </c>
      <c r="B12" s="3"/>
      <c r="C12" s="3"/>
      <c r="D12" s="3"/>
      <c r="E12" s="43">
        <f>+DATA!$F20</f>
        <v>19687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93715476</v>
      </c>
      <c r="F14" s="3"/>
      <c r="G14" s="3"/>
      <c r="H14" s="3" t="s">
        <v>21</v>
      </c>
      <c r="I14" s="3"/>
      <c r="J14" s="3"/>
      <c r="K14" s="3"/>
      <c r="L14" s="17">
        <f>SUM(L9:L11)</f>
        <v>718495.25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97917874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4202398</v>
      </c>
      <c r="F17" s="3"/>
      <c r="G17" s="3"/>
      <c r="H17" s="3" t="s">
        <v>26</v>
      </c>
      <c r="I17" s="3"/>
      <c r="J17" s="3"/>
      <c r="K17" s="3"/>
      <c r="L17" s="22">
        <f>(L9/L15)</f>
        <v>7.0700166549776192E-3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MAY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3.68</v>
      </c>
    </row>
    <row r="21" spans="1:12" ht="18.75" thickBot="1" x14ac:dyDescent="0.3">
      <c r="A21" s="3" t="s">
        <v>30</v>
      </c>
      <c r="B21" s="3"/>
      <c r="C21" s="3"/>
      <c r="D21" s="3"/>
      <c r="E21" s="45">
        <f>+'MAR22'!L32</f>
        <v>1.2909999999999999</v>
      </c>
      <c r="F21" s="26"/>
      <c r="G21" s="3"/>
      <c r="H21" s="3" t="s">
        <v>31</v>
      </c>
      <c r="I21" s="3"/>
      <c r="J21" s="3"/>
      <c r="K21" s="3"/>
      <c r="L21" s="27" t="str">
        <f>E6</f>
        <v>MAY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93884551</v>
      </c>
      <c r="F23" s="3"/>
      <c r="G23" s="3"/>
      <c r="H23" s="3" t="s">
        <v>35</v>
      </c>
      <c r="I23" s="3"/>
      <c r="J23" s="3"/>
      <c r="K23" s="3"/>
      <c r="L23" s="29">
        <f>ROUND(E17/E8*100,2)</f>
        <v>4.29</v>
      </c>
    </row>
    <row r="24" spans="1:12" ht="18" x14ac:dyDescent="0.25">
      <c r="A24" s="3" t="s">
        <v>36</v>
      </c>
      <c r="B24" s="3"/>
      <c r="C24" s="3"/>
      <c r="D24" s="3"/>
      <c r="E24" s="51">
        <f>+DATA!$G$20</f>
        <v>-188762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93695789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+'MAR22'!L14</f>
        <v>1245662</v>
      </c>
      <c r="F28" s="3"/>
      <c r="G28" s="3"/>
      <c r="H28" s="3" t="s">
        <v>43</v>
      </c>
      <c r="I28" s="3"/>
      <c r="J28" s="3"/>
      <c r="K28" s="3"/>
      <c r="L28" s="24">
        <f>SUM(100-+(L20))</f>
        <v>96.32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+DATA!$H$20</f>
        <v>1219447.75</v>
      </c>
      <c r="F30" s="17"/>
      <c r="G30" s="3"/>
      <c r="H30" s="3" t="s">
        <v>47</v>
      </c>
      <c r="I30" s="3"/>
      <c r="J30" s="3"/>
      <c r="K30" s="3"/>
      <c r="L30" s="22">
        <f>ROUND(L14/L15,5)</f>
        <v>7.3400000000000002E-3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7.62E-3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26214.25</v>
      </c>
      <c r="F32" s="3"/>
      <c r="G32" s="3"/>
      <c r="H32" s="3" t="s">
        <v>51</v>
      </c>
      <c r="I32" s="3"/>
      <c r="J32" s="3"/>
      <c r="K32" s="3"/>
      <c r="L32" s="32">
        <f>ROUND(L31*100,3)</f>
        <v>0.76200000000000001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0.76200000000000001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140</v>
      </c>
      <c r="C38" s="41"/>
      <c r="D38" s="38"/>
      <c r="E38" s="38"/>
      <c r="F38" s="38"/>
      <c r="G38" s="38"/>
      <c r="H38" s="38" t="s">
        <v>54</v>
      </c>
      <c r="I38" s="47" t="s">
        <v>141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198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199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139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+'APR22'!H64</f>
        <v>1285578336</v>
      </c>
      <c r="I58" s="43">
        <f>+'APR22'!I64</f>
        <v>1238578142</v>
      </c>
      <c r="J58" s="43">
        <f>+'APR22'!J64</f>
        <v>406299</v>
      </c>
      <c r="K58" s="20">
        <f>H58-I58-J58</f>
        <v>46593895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43">
        <f>+'MAY21'!H62</f>
        <v>90793778</v>
      </c>
      <c r="I60" s="43">
        <f>+'MAY21'!I62</f>
        <v>87609976</v>
      </c>
      <c r="J60" s="43">
        <f>+'MAY21'!J62</f>
        <v>22996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97917874</v>
      </c>
      <c r="I62" s="44">
        <f>+E10</f>
        <v>93695789</v>
      </c>
      <c r="J62" s="44">
        <f>+E12</f>
        <v>19687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1292702432</v>
      </c>
      <c r="I64" s="20">
        <f>SUM(I58-I60+I62)</f>
        <v>1244663955</v>
      </c>
      <c r="J64" s="20">
        <f>SUM(J58-J60+J62)</f>
        <v>402990</v>
      </c>
      <c r="K64" s="20">
        <f>SUM(H64-I64-J64)</f>
        <v>47635487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47635487</v>
      </c>
      <c r="C70" s="3" t="s">
        <v>80</v>
      </c>
      <c r="D70" s="20">
        <f>(H64)</f>
        <v>1292702432</v>
      </c>
      <c r="E70" s="3" t="s">
        <v>81</v>
      </c>
      <c r="F70" s="24">
        <f>ROUND(B70/D70*100,2)</f>
        <v>3.68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3785-2FB7-4701-B289-B985FD3194EF}">
  <sheetPr>
    <tabColor theme="9" tint="0.59999389629810485"/>
    <pageSetUpPr fitToPage="1"/>
  </sheetPr>
  <dimension ref="A1:L70"/>
  <sheetViews>
    <sheetView topLeftCell="A39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110</v>
      </c>
      <c r="F6" s="3"/>
      <c r="G6" s="3"/>
      <c r="H6" s="9" t="s">
        <v>9</v>
      </c>
      <c r="I6" s="3"/>
      <c r="J6" s="3"/>
      <c r="K6" s="3"/>
      <c r="L6" s="7" t="str">
        <f>E6</f>
        <v>JUNE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+DATA!$B21</f>
        <v>116089802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+DATA!$I$21</f>
        <v>1065702</v>
      </c>
    </row>
    <row r="10" spans="1:12" ht="18" x14ac:dyDescent="0.25">
      <c r="A10" s="3" t="s">
        <v>13</v>
      </c>
      <c r="B10" s="3"/>
      <c r="C10" s="3"/>
      <c r="D10" s="3"/>
      <c r="E10" s="43">
        <f>+DATA!$E21</f>
        <v>112456222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-265627.20999999961</v>
      </c>
    </row>
    <row r="12" spans="1:12" ht="18" x14ac:dyDescent="0.25">
      <c r="A12" s="3" t="s">
        <v>16</v>
      </c>
      <c r="B12" s="3"/>
      <c r="C12" s="3"/>
      <c r="D12" s="3"/>
      <c r="E12" s="43">
        <f>+DATA!$F21</f>
        <v>24772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112480994</v>
      </c>
      <c r="F14" s="3"/>
      <c r="G14" s="3"/>
      <c r="H14" s="3" t="s">
        <v>21</v>
      </c>
      <c r="I14" s="3"/>
      <c r="J14" s="3"/>
      <c r="K14" s="3"/>
      <c r="L14" s="17">
        <f>SUM(L9:L11)</f>
        <v>800074.79000000039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116089802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3608808</v>
      </c>
      <c r="F17" s="3"/>
      <c r="G17" s="3"/>
      <c r="H17" s="3" t="s">
        <v>26</v>
      </c>
      <c r="I17" s="3"/>
      <c r="J17" s="3"/>
      <c r="K17" s="3"/>
      <c r="L17" s="22">
        <f>(L9/L15)</f>
        <v>9.1799794783007736E-3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JUNE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3.55</v>
      </c>
    </row>
    <row r="21" spans="1:12" ht="18.75" thickBot="1" x14ac:dyDescent="0.3">
      <c r="A21" s="3" t="s">
        <v>30</v>
      </c>
      <c r="B21" s="3"/>
      <c r="C21" s="3"/>
      <c r="D21" s="3"/>
      <c r="E21" s="45">
        <f>+'APR22'!L32</f>
        <v>0.97099999999999997</v>
      </c>
      <c r="F21" s="26"/>
      <c r="G21" s="3"/>
      <c r="H21" s="3" t="s">
        <v>31</v>
      </c>
      <c r="I21" s="3"/>
      <c r="J21" s="3"/>
      <c r="K21" s="3"/>
      <c r="L21" s="27" t="str">
        <f>E6</f>
        <v>JUNE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112493301</v>
      </c>
      <c r="F23" s="3"/>
      <c r="G23" s="3"/>
      <c r="H23" s="3" t="s">
        <v>35</v>
      </c>
      <c r="I23" s="3"/>
      <c r="J23" s="3"/>
      <c r="K23" s="3"/>
      <c r="L23" s="29">
        <f>ROUND(E17/E8*100,2)</f>
        <v>3.11</v>
      </c>
    </row>
    <row r="24" spans="1:12" ht="18" x14ac:dyDescent="0.25">
      <c r="A24" s="3" t="s">
        <v>36</v>
      </c>
      <c r="B24" s="3"/>
      <c r="C24" s="3"/>
      <c r="D24" s="3"/>
      <c r="E24" s="51">
        <f>+DATA!$G$21</f>
        <v>-37079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112456222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+'APR22'!L14</f>
        <v>830516.32000000041</v>
      </c>
      <c r="F28" s="3"/>
      <c r="G28" s="3"/>
      <c r="H28" s="3" t="s">
        <v>43</v>
      </c>
      <c r="I28" s="3"/>
      <c r="J28" s="3"/>
      <c r="K28" s="3"/>
      <c r="L28" s="24">
        <f>SUM(100-+(L20))</f>
        <v>96.45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+DATA!$H$21</f>
        <v>1096143.53</v>
      </c>
      <c r="F30" s="17"/>
      <c r="G30" s="3"/>
      <c r="H30" s="3" t="s">
        <v>47</v>
      </c>
      <c r="I30" s="3"/>
      <c r="J30" s="3"/>
      <c r="K30" s="3"/>
      <c r="L30" s="22">
        <f>ROUND(L14/L15,5)</f>
        <v>6.8900000000000003E-3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7.1399999999999996E-3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-265627.20999999961</v>
      </c>
      <c r="F32" s="3"/>
      <c r="G32" s="3"/>
      <c r="H32" s="3" t="s">
        <v>51</v>
      </c>
      <c r="I32" s="3"/>
      <c r="J32" s="3"/>
      <c r="K32" s="3"/>
      <c r="L32" s="32">
        <f>ROUND(L31*100,3)</f>
        <v>0.71399999999999997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0.71399999999999997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143</v>
      </c>
      <c r="C38" s="41"/>
      <c r="D38" s="38"/>
      <c r="E38" s="38"/>
      <c r="F38" s="38"/>
      <c r="G38" s="38"/>
      <c r="H38" s="38" t="s">
        <v>54</v>
      </c>
      <c r="I38" s="47" t="s">
        <v>144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198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199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142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+'MAY22'!H64</f>
        <v>1292702432</v>
      </c>
      <c r="I58" s="43">
        <f>+'MAY22'!I64</f>
        <v>1244663955</v>
      </c>
      <c r="J58" s="43">
        <f>+'MAY22'!J64</f>
        <v>402990</v>
      </c>
      <c r="K58" s="20">
        <f>H58-I58-J58</f>
        <v>47635487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43">
        <f>+'JUN21'!H62</f>
        <v>110672285</v>
      </c>
      <c r="I60" s="43">
        <f>+'JUN21'!I62</f>
        <v>105435632</v>
      </c>
      <c r="J60" s="43">
        <f>+'JUN21'!J62</f>
        <v>26449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116089802</v>
      </c>
      <c r="I62" s="44">
        <f>+E10</f>
        <v>112456222</v>
      </c>
      <c r="J62" s="44">
        <f>+E12</f>
        <v>24772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1298119949</v>
      </c>
      <c r="I64" s="20">
        <f>SUM(I58-I60+I62)</f>
        <v>1251684545</v>
      </c>
      <c r="J64" s="20">
        <f>SUM(J58-J60+J62)</f>
        <v>401313</v>
      </c>
      <c r="K64" s="20">
        <f>SUM(H64-I64-J64)</f>
        <v>46034091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46034091</v>
      </c>
      <c r="C70" s="3" t="s">
        <v>80</v>
      </c>
      <c r="D70" s="20">
        <f>(H64)</f>
        <v>1298119949</v>
      </c>
      <c r="E70" s="3" t="s">
        <v>81</v>
      </c>
      <c r="F70" s="24">
        <f>ROUND(B70/D70*100,2)</f>
        <v>3.55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482AA-AAB4-41A2-9581-9B08B7289927}">
  <sheetPr>
    <tabColor theme="9" tint="0.59999389629810485"/>
    <pageSetUpPr fitToPage="1"/>
  </sheetPr>
  <dimension ref="A1:L70"/>
  <sheetViews>
    <sheetView topLeftCell="A39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111</v>
      </c>
      <c r="F6" s="3"/>
      <c r="G6" s="3"/>
      <c r="H6" s="9" t="s">
        <v>9</v>
      </c>
      <c r="I6" s="3"/>
      <c r="J6" s="3"/>
      <c r="K6" s="3"/>
      <c r="L6" s="7" t="str">
        <f>E6</f>
        <v>JULY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+DATA!$B22</f>
        <v>127682361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+DATA!$I$22</f>
        <v>2104202</v>
      </c>
    </row>
    <row r="10" spans="1:12" ht="18" x14ac:dyDescent="0.25">
      <c r="A10" s="3" t="s">
        <v>13</v>
      </c>
      <c r="B10" s="3"/>
      <c r="C10" s="3"/>
      <c r="D10" s="3"/>
      <c r="E10" s="43">
        <f>+DATA!$E22</f>
        <v>120886455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-206831.52000000002</v>
      </c>
    </row>
    <row r="12" spans="1:12" ht="18" x14ac:dyDescent="0.25">
      <c r="A12" s="3" t="s">
        <v>16</v>
      </c>
      <c r="B12" s="3"/>
      <c r="C12" s="3"/>
      <c r="D12" s="3"/>
      <c r="E12" s="43">
        <f>+DATA!$F22</f>
        <v>24879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120911334</v>
      </c>
      <c r="F14" s="3"/>
      <c r="G14" s="3"/>
      <c r="H14" s="3" t="s">
        <v>21</v>
      </c>
      <c r="I14" s="3"/>
      <c r="J14" s="3"/>
      <c r="K14" s="3"/>
      <c r="L14" s="17">
        <f>SUM(L9:L11)</f>
        <v>1897370.48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127682361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6771027</v>
      </c>
      <c r="F17" s="3"/>
      <c r="G17" s="3"/>
      <c r="H17" s="3" t="s">
        <v>26</v>
      </c>
      <c r="I17" s="3"/>
      <c r="J17" s="3"/>
      <c r="K17" s="3"/>
      <c r="L17" s="22">
        <f>(L9/L15)</f>
        <v>1.6479974081932899E-2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JULY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3.7</v>
      </c>
    </row>
    <row r="21" spans="1:12" ht="18.75" thickBot="1" x14ac:dyDescent="0.3">
      <c r="A21" s="3" t="s">
        <v>30</v>
      </c>
      <c r="B21" s="3"/>
      <c r="C21" s="3"/>
      <c r="D21" s="3"/>
      <c r="E21" s="45">
        <f>+'MAY22'!L32</f>
        <v>0.76200000000000001</v>
      </c>
      <c r="F21" s="26"/>
      <c r="G21" s="3"/>
      <c r="H21" s="3" t="s">
        <v>31</v>
      </c>
      <c r="I21" s="3"/>
      <c r="J21" s="3"/>
      <c r="K21" s="3"/>
      <c r="L21" s="27" t="str">
        <f>E6</f>
        <v>JULY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120958614</v>
      </c>
      <c r="F23" s="3"/>
      <c r="G23" s="3"/>
      <c r="H23" s="3" t="s">
        <v>35</v>
      </c>
      <c r="I23" s="3"/>
      <c r="J23" s="3"/>
      <c r="K23" s="3"/>
      <c r="L23" s="29">
        <f>ROUND(E17/E8*100,2)</f>
        <v>5.3</v>
      </c>
    </row>
    <row r="24" spans="1:12" ht="18" x14ac:dyDescent="0.25">
      <c r="A24" s="3" t="s">
        <v>36</v>
      </c>
      <c r="B24" s="3"/>
      <c r="C24" s="3"/>
      <c r="D24" s="3"/>
      <c r="E24" s="51">
        <f>+DATA!$G$22</f>
        <v>-72159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120886455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+'MAY22'!L14</f>
        <v>718495.25</v>
      </c>
      <c r="F28" s="3"/>
      <c r="G28" s="3"/>
      <c r="H28" s="3" t="s">
        <v>43</v>
      </c>
      <c r="I28" s="3"/>
      <c r="J28" s="3"/>
      <c r="K28" s="3"/>
      <c r="L28" s="24">
        <f>SUM(100-+(L20))</f>
        <v>96.3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+DATA!$H$22</f>
        <v>925326.77</v>
      </c>
      <c r="F30" s="17"/>
      <c r="G30" s="3"/>
      <c r="H30" s="3" t="s">
        <v>47</v>
      </c>
      <c r="I30" s="3"/>
      <c r="J30" s="3"/>
      <c r="K30" s="3"/>
      <c r="L30" s="22">
        <f>ROUND(L14/L15,5)</f>
        <v>1.486E-2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1.5429999999999999E-2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-206831.52000000002</v>
      </c>
      <c r="F32" s="3"/>
      <c r="G32" s="3"/>
      <c r="H32" s="3" t="s">
        <v>51</v>
      </c>
      <c r="I32" s="3"/>
      <c r="J32" s="3"/>
      <c r="K32" s="3"/>
      <c r="L32" s="32">
        <f>ROUND(L31*100,3)</f>
        <v>1.5429999999999999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1.5429999999999999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145</v>
      </c>
      <c r="C38" s="41"/>
      <c r="D38" s="38"/>
      <c r="E38" s="38"/>
      <c r="F38" s="38"/>
      <c r="G38" s="38"/>
      <c r="H38" s="38" t="s">
        <v>54</v>
      </c>
      <c r="I38" s="47" t="s">
        <v>146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198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199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147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+'JUN22'!H64</f>
        <v>1298119949</v>
      </c>
      <c r="I58" s="43">
        <f>+'JUN22'!I64</f>
        <v>1251684545</v>
      </c>
      <c r="J58" s="43">
        <f>+'JUN22'!J64</f>
        <v>401313</v>
      </c>
      <c r="K58" s="20">
        <f>H58-I58-J58</f>
        <v>46034091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43">
        <f>+'JUL21'!H62</f>
        <v>119731177</v>
      </c>
      <c r="I60" s="43">
        <f>+'JUL21'!I62</f>
        <v>115157381</v>
      </c>
      <c r="J60" s="43">
        <f>+'JUL21'!J62</f>
        <v>29336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127682361</v>
      </c>
      <c r="I62" s="44">
        <f>+E10</f>
        <v>120886455</v>
      </c>
      <c r="J62" s="44">
        <f>+E12</f>
        <v>24879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1306071133</v>
      </c>
      <c r="I64" s="20">
        <f>SUM(I58-I60+I62)</f>
        <v>1257413619</v>
      </c>
      <c r="J64" s="20">
        <f>SUM(J58-J60+J62)</f>
        <v>396856</v>
      </c>
      <c r="K64" s="20">
        <f>SUM(H64-I64-J64)</f>
        <v>48260658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48260658</v>
      </c>
      <c r="C70" s="3" t="s">
        <v>80</v>
      </c>
      <c r="D70" s="20">
        <f>(H64)</f>
        <v>1306071133</v>
      </c>
      <c r="E70" s="3" t="s">
        <v>81</v>
      </c>
      <c r="F70" s="24">
        <f>ROUND(B70/D70*100,2)</f>
        <v>3.7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74BF2-9F03-41A3-B0CE-A40AF979C850}">
  <sheetPr>
    <tabColor theme="9" tint="0.59999389629810485"/>
    <pageSetUpPr fitToPage="1"/>
  </sheetPr>
  <dimension ref="A1:L70"/>
  <sheetViews>
    <sheetView topLeftCell="A39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118</v>
      </c>
      <c r="F6" s="3"/>
      <c r="G6" s="3"/>
      <c r="H6" s="9" t="s">
        <v>9</v>
      </c>
      <c r="I6" s="3"/>
      <c r="J6" s="3"/>
      <c r="K6" s="3"/>
      <c r="L6" s="7" t="str">
        <f>E6</f>
        <v>AUGUST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+DATA!$B23</f>
        <v>123843876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+DATA!$I$23</f>
        <v>1840320</v>
      </c>
    </row>
    <row r="10" spans="1:12" ht="18" x14ac:dyDescent="0.25">
      <c r="A10" s="3" t="s">
        <v>13</v>
      </c>
      <c r="B10" s="3"/>
      <c r="C10" s="3"/>
      <c r="D10" s="3"/>
      <c r="E10" s="43">
        <f>+DATA!$E23</f>
        <v>119047530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-55427.879999999655</v>
      </c>
    </row>
    <row r="12" spans="1:12" ht="18" x14ac:dyDescent="0.25">
      <c r="A12" s="3" t="s">
        <v>16</v>
      </c>
      <c r="B12" s="3"/>
      <c r="C12" s="3"/>
      <c r="D12" s="3"/>
      <c r="E12" s="43">
        <f>+DATA!$F23</f>
        <v>26298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119073828</v>
      </c>
      <c r="F14" s="3"/>
      <c r="G14" s="3"/>
      <c r="H14" s="3" t="s">
        <v>21</v>
      </c>
      <c r="I14" s="3"/>
      <c r="J14" s="3"/>
      <c r="K14" s="3"/>
      <c r="L14" s="17">
        <f>SUM(L9:L11)</f>
        <v>1784892.1200000003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123843876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4770048</v>
      </c>
      <c r="F17" s="3"/>
      <c r="G17" s="3"/>
      <c r="H17" s="3" t="s">
        <v>26</v>
      </c>
      <c r="I17" s="3"/>
      <c r="J17" s="3"/>
      <c r="K17" s="3"/>
      <c r="L17" s="22">
        <f>(L9/L15)</f>
        <v>1.4860000021317162E-2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AUGUST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3.74</v>
      </c>
    </row>
    <row r="21" spans="1:12" ht="18.75" thickBot="1" x14ac:dyDescent="0.3">
      <c r="A21" s="3" t="s">
        <v>30</v>
      </c>
      <c r="B21" s="3"/>
      <c r="C21" s="3"/>
      <c r="D21" s="3"/>
      <c r="E21" s="45">
        <f>+'JUN22'!L32</f>
        <v>0.71399999999999997</v>
      </c>
      <c r="F21" s="26"/>
      <c r="G21" s="3"/>
      <c r="H21" s="3" t="s">
        <v>31</v>
      </c>
      <c r="I21" s="3"/>
      <c r="J21" s="3"/>
      <c r="K21" s="3"/>
      <c r="L21" s="27" t="str">
        <f>E6</f>
        <v>AUGUST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118570589</v>
      </c>
      <c r="F23" s="3"/>
      <c r="G23" s="3"/>
      <c r="H23" s="3" t="s">
        <v>35</v>
      </c>
      <c r="I23" s="3"/>
      <c r="J23" s="3"/>
      <c r="K23" s="3"/>
      <c r="L23" s="29">
        <f>ROUND(E17/E8*100,2)</f>
        <v>3.85</v>
      </c>
    </row>
    <row r="24" spans="1:12" ht="18" x14ac:dyDescent="0.25">
      <c r="A24" s="3" t="s">
        <v>36</v>
      </c>
      <c r="B24" s="3"/>
      <c r="C24" s="3"/>
      <c r="D24" s="3"/>
      <c r="E24" s="51">
        <f>+DATA!$G$23</f>
        <v>476941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119047530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+'JUN22'!L14</f>
        <v>800074.79000000039</v>
      </c>
      <c r="F28" s="3"/>
      <c r="G28" s="3"/>
      <c r="H28" s="3" t="s">
        <v>43</v>
      </c>
      <c r="I28" s="3"/>
      <c r="J28" s="3"/>
      <c r="K28" s="3"/>
      <c r="L28" s="24">
        <f>SUM(100-+(L20))</f>
        <v>96.26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+DATA!$H$23</f>
        <v>855502.67</v>
      </c>
      <c r="F30" s="17"/>
      <c r="G30" s="3"/>
      <c r="H30" s="3" t="s">
        <v>47</v>
      </c>
      <c r="I30" s="3"/>
      <c r="J30" s="3"/>
      <c r="K30" s="3"/>
      <c r="L30" s="22">
        <f>ROUND(L14/L15,5)</f>
        <v>1.4409999999999999E-2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1.4970000000000001E-2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-55427.879999999655</v>
      </c>
      <c r="F32" s="3"/>
      <c r="G32" s="3"/>
      <c r="H32" s="3" t="s">
        <v>51</v>
      </c>
      <c r="I32" s="3"/>
      <c r="J32" s="3"/>
      <c r="K32" s="3"/>
      <c r="L32" s="32">
        <f>ROUND(L31*100,3)</f>
        <v>1.4970000000000001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1.4970000000000001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149</v>
      </c>
      <c r="C38" s="41"/>
      <c r="D38" s="38"/>
      <c r="E38" s="38"/>
      <c r="F38" s="38"/>
      <c r="G38" s="38"/>
      <c r="H38" s="38" t="s">
        <v>54</v>
      </c>
      <c r="I38" s="47" t="s">
        <v>150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198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199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148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+'JUL22'!H64</f>
        <v>1306071133</v>
      </c>
      <c r="I58" s="43">
        <f>+'JUL22'!I64</f>
        <v>1257413619</v>
      </c>
      <c r="J58" s="43">
        <f>+'JUL22'!J64</f>
        <v>396856</v>
      </c>
      <c r="K58" s="20">
        <f>H58-I58-J58</f>
        <v>48260658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43">
        <f>+'AUG21'!H62</f>
        <v>124644740</v>
      </c>
      <c r="I60" s="43">
        <f>+'AUG21'!I62</f>
        <v>120358597</v>
      </c>
      <c r="J60" s="43">
        <f>+'AUG21'!J62</f>
        <v>28754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123843876</v>
      </c>
      <c r="I62" s="44">
        <f>+E10</f>
        <v>119047530</v>
      </c>
      <c r="J62" s="44">
        <f>+E12</f>
        <v>26298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1305270269</v>
      </c>
      <c r="I64" s="20">
        <f>SUM(I58-I60+I62)</f>
        <v>1256102552</v>
      </c>
      <c r="J64" s="20">
        <f>SUM(J58-J60+J62)</f>
        <v>394400</v>
      </c>
      <c r="K64" s="20">
        <f>SUM(H64-I64-J64)</f>
        <v>48773317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48773317</v>
      </c>
      <c r="C70" s="3" t="s">
        <v>80</v>
      </c>
      <c r="D70" s="20">
        <f>(H64)</f>
        <v>1305270269</v>
      </c>
      <c r="E70" s="3" t="s">
        <v>81</v>
      </c>
      <c r="F70" s="24">
        <f>ROUND(B70/D70*100,2)</f>
        <v>3.74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274FD-EEC5-4513-AB2F-47B4AEE06132}">
  <sheetPr>
    <tabColor theme="9" tint="0.59999389629810485"/>
    <pageSetUpPr fitToPage="1"/>
  </sheetPr>
  <dimension ref="A1:L70"/>
  <sheetViews>
    <sheetView topLeftCell="A36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119</v>
      </c>
      <c r="F6" s="3"/>
      <c r="G6" s="3"/>
      <c r="H6" s="9" t="s">
        <v>9</v>
      </c>
      <c r="I6" s="3"/>
      <c r="J6" s="3"/>
      <c r="K6" s="3"/>
      <c r="L6" s="7" t="str">
        <f>E6</f>
        <v>SEPTEMBER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+DATA!$B24</f>
        <v>100318052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+DATA!$I$24</f>
        <v>1975263</v>
      </c>
    </row>
    <row r="10" spans="1:12" ht="18" x14ac:dyDescent="0.25">
      <c r="A10" s="3" t="s">
        <v>13</v>
      </c>
      <c r="B10" s="3"/>
      <c r="C10" s="3"/>
      <c r="D10" s="3"/>
      <c r="E10" s="43">
        <f>+DATA!$E24</f>
        <v>98933936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363164.84000000008</v>
      </c>
    </row>
    <row r="12" spans="1:12" ht="18" x14ac:dyDescent="0.25">
      <c r="A12" s="3" t="s">
        <v>16</v>
      </c>
      <c r="B12" s="3"/>
      <c r="C12" s="3"/>
      <c r="D12" s="3"/>
      <c r="E12" s="43">
        <f>+DATA!$F24</f>
        <v>25765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98959701</v>
      </c>
      <c r="F14" s="3"/>
      <c r="G14" s="3"/>
      <c r="H14" s="3" t="s">
        <v>21</v>
      </c>
      <c r="I14" s="3"/>
      <c r="J14" s="3"/>
      <c r="K14" s="3"/>
      <c r="L14" s="17">
        <f>SUM(L9:L11)</f>
        <v>2338427.84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100318052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1358351</v>
      </c>
      <c r="F17" s="3"/>
      <c r="G17" s="3"/>
      <c r="H17" s="3" t="s">
        <v>26</v>
      </c>
      <c r="I17" s="3"/>
      <c r="J17" s="3"/>
      <c r="K17" s="3"/>
      <c r="L17" s="22">
        <f>(L9/L15)</f>
        <v>1.9690005543568569E-2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SEPTEMBER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3.81</v>
      </c>
    </row>
    <row r="21" spans="1:12" ht="18.75" thickBot="1" x14ac:dyDescent="0.3">
      <c r="A21" s="3" t="s">
        <v>30</v>
      </c>
      <c r="B21" s="3"/>
      <c r="C21" s="3"/>
      <c r="D21" s="3"/>
      <c r="E21" s="45">
        <f>+'JUL22'!L32</f>
        <v>1.5429999999999999</v>
      </c>
      <c r="F21" s="26"/>
      <c r="G21" s="3"/>
      <c r="H21" s="3" t="s">
        <v>31</v>
      </c>
      <c r="I21" s="3"/>
      <c r="J21" s="3"/>
      <c r="K21" s="3"/>
      <c r="L21" s="27" t="str">
        <f>E6</f>
        <v>SEPTEMBER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98936027</v>
      </c>
      <c r="F23" s="3"/>
      <c r="G23" s="3"/>
      <c r="H23" s="3" t="s">
        <v>35</v>
      </c>
      <c r="I23" s="3"/>
      <c r="J23" s="3"/>
      <c r="K23" s="3"/>
      <c r="L23" s="29">
        <f>ROUND(E17/E8*100,2)</f>
        <v>1.35</v>
      </c>
    </row>
    <row r="24" spans="1:12" ht="18" x14ac:dyDescent="0.25">
      <c r="A24" s="3" t="s">
        <v>36</v>
      </c>
      <c r="B24" s="3"/>
      <c r="C24" s="3"/>
      <c r="D24" s="3"/>
      <c r="E24" s="51">
        <f>+DATA!$G$24</f>
        <v>-2091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98933936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+'JUL22'!L14</f>
        <v>1897370.48</v>
      </c>
      <c r="F28" s="3"/>
      <c r="G28" s="3"/>
      <c r="H28" s="3" t="s">
        <v>43</v>
      </c>
      <c r="I28" s="3"/>
      <c r="J28" s="3"/>
      <c r="K28" s="3"/>
      <c r="L28" s="24">
        <f>SUM(100-+(L20))</f>
        <v>96.19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+DATA!$H$24</f>
        <v>1534205.64</v>
      </c>
      <c r="F30" s="17"/>
      <c r="G30" s="3"/>
      <c r="H30" s="3" t="s">
        <v>47</v>
      </c>
      <c r="I30" s="3"/>
      <c r="J30" s="3"/>
      <c r="K30" s="3"/>
      <c r="L30" s="22">
        <f>ROUND(L14/L15,5)</f>
        <v>2.3310000000000001E-2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2.4230000000000002E-2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363164.84000000008</v>
      </c>
      <c r="F32" s="3"/>
      <c r="G32" s="3"/>
      <c r="H32" s="3" t="s">
        <v>51</v>
      </c>
      <c r="I32" s="3"/>
      <c r="J32" s="3"/>
      <c r="K32" s="3"/>
      <c r="L32" s="32">
        <f>ROUND(L31*100,3)</f>
        <v>2.423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2.423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152</v>
      </c>
      <c r="C38" s="41"/>
      <c r="D38" s="38"/>
      <c r="E38" s="38"/>
      <c r="F38" s="38"/>
      <c r="G38" s="38"/>
      <c r="H38" s="38" t="s">
        <v>54</v>
      </c>
      <c r="I38" s="47" t="s">
        <v>153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198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199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151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+'AUG22'!H64</f>
        <v>1305270269</v>
      </c>
      <c r="I58" s="43">
        <f>+'AUG22'!I64</f>
        <v>1256102552</v>
      </c>
      <c r="J58" s="43">
        <f>+'AUG22'!J64</f>
        <v>394400</v>
      </c>
      <c r="K58" s="20">
        <f>H58-I58-J58</f>
        <v>48773317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43">
        <f>+'SEP21'!H62</f>
        <v>99280116</v>
      </c>
      <c r="I60" s="43">
        <f>+'SEP21'!I62</f>
        <v>98867894</v>
      </c>
      <c r="J60" s="43">
        <f>+'SEP21'!J62</f>
        <v>25461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100318052</v>
      </c>
      <c r="I62" s="44">
        <f>+E10</f>
        <v>98933936</v>
      </c>
      <c r="J62" s="44">
        <f>+E12</f>
        <v>25765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1306308205</v>
      </c>
      <c r="I64" s="20">
        <f>SUM(I58-I60+I62)</f>
        <v>1256168594</v>
      </c>
      <c r="J64" s="20">
        <f>SUM(J58-J60+J62)</f>
        <v>394704</v>
      </c>
      <c r="K64" s="20">
        <f>SUM(H64-I64-J64)</f>
        <v>49744907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49744907</v>
      </c>
      <c r="C70" s="3" t="s">
        <v>80</v>
      </c>
      <c r="D70" s="20">
        <f>(H64)</f>
        <v>1306308205</v>
      </c>
      <c r="E70" s="3" t="s">
        <v>81</v>
      </c>
      <c r="F70" s="24">
        <f>ROUND(B70/D70*100,2)</f>
        <v>3.81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D5146-4328-4CED-99E9-5EACAADB9399}">
  <sheetPr>
    <tabColor theme="9" tint="0.59999389629810485"/>
    <pageSetUpPr fitToPage="1"/>
  </sheetPr>
  <dimension ref="A1:L70"/>
  <sheetViews>
    <sheetView tabSelected="1" topLeftCell="A13" zoomScale="80" zoomScaleNormal="80" workbookViewId="0">
      <selection activeCell="E28" sqref="E28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120</v>
      </c>
      <c r="F6" s="3"/>
      <c r="G6" s="3"/>
      <c r="H6" s="9" t="s">
        <v>9</v>
      </c>
      <c r="I6" s="3"/>
      <c r="J6" s="3"/>
      <c r="K6" s="3"/>
      <c r="L6" s="7" t="str">
        <f>E6</f>
        <v>OCTOBER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+DATA!$B25</f>
        <v>87292807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+DATA!$I$25</f>
        <v>1857590</v>
      </c>
    </row>
    <row r="10" spans="1:12" ht="18" x14ac:dyDescent="0.25">
      <c r="A10" s="3" t="s">
        <v>13</v>
      </c>
      <c r="B10" s="3"/>
      <c r="C10" s="3"/>
      <c r="D10" s="3"/>
      <c r="E10" s="43">
        <f>+DATA!$E25</f>
        <v>82927872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544707.78000000026</v>
      </c>
    </row>
    <row r="12" spans="1:12" ht="18" x14ac:dyDescent="0.25">
      <c r="A12" s="3" t="s">
        <v>16</v>
      </c>
      <c r="B12" s="3"/>
      <c r="C12" s="3"/>
      <c r="D12" s="3"/>
      <c r="E12" s="43">
        <f>+DATA!$F25</f>
        <v>21166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82949038</v>
      </c>
      <c r="F14" s="3"/>
      <c r="G14" s="3"/>
      <c r="H14" s="3" t="s">
        <v>21</v>
      </c>
      <c r="I14" s="3"/>
      <c r="J14" s="3"/>
      <c r="K14" s="3"/>
      <c r="L14" s="17">
        <f>SUM(L9:L11)</f>
        <v>2402297.7800000003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87292807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4343769</v>
      </c>
      <c r="F17" s="3"/>
      <c r="G17" s="3"/>
      <c r="H17" s="3" t="s">
        <v>26</v>
      </c>
      <c r="I17" s="3"/>
      <c r="J17" s="3"/>
      <c r="K17" s="3"/>
      <c r="L17" s="22">
        <f>(L9/L15)</f>
        <v>2.1279989312292365E-2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OCTOBER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4.0199999999999996</v>
      </c>
    </row>
    <row r="21" spans="1:12" ht="18.75" thickBot="1" x14ac:dyDescent="0.3">
      <c r="A21" s="3" t="s">
        <v>30</v>
      </c>
      <c r="B21" s="3"/>
      <c r="C21" s="3"/>
      <c r="D21" s="3"/>
      <c r="E21" s="45">
        <f>+'AUG22'!L32</f>
        <v>1.4970000000000001</v>
      </c>
      <c r="F21" s="26"/>
      <c r="G21" s="3"/>
      <c r="H21" s="3" t="s">
        <v>31</v>
      </c>
      <c r="I21" s="3"/>
      <c r="J21" s="3"/>
      <c r="K21" s="3"/>
      <c r="L21" s="27" t="str">
        <f>E6</f>
        <v>OCTOBER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83872943</v>
      </c>
      <c r="F23" s="3"/>
      <c r="G23" s="3"/>
      <c r="H23" s="3" t="s">
        <v>35</v>
      </c>
      <c r="I23" s="3"/>
      <c r="J23" s="3"/>
      <c r="K23" s="3"/>
      <c r="L23" s="29">
        <f>ROUND(E17/E8*100,2)</f>
        <v>4.9800000000000004</v>
      </c>
    </row>
    <row r="24" spans="1:12" ht="18" x14ac:dyDescent="0.25">
      <c r="A24" s="3" t="s">
        <v>36</v>
      </c>
      <c r="B24" s="3"/>
      <c r="C24" s="3"/>
      <c r="D24" s="3"/>
      <c r="E24" s="51">
        <f>+DATA!$G$25</f>
        <v>-945071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82927872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+'AUG22'!L14</f>
        <v>1784892.1200000003</v>
      </c>
      <c r="F28" s="3"/>
      <c r="G28" s="3"/>
      <c r="H28" s="3" t="s">
        <v>43</v>
      </c>
      <c r="I28" s="3"/>
      <c r="J28" s="3"/>
      <c r="K28" s="3"/>
      <c r="L28" s="24">
        <f>SUM(100-+(L20))</f>
        <v>95.98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+DATA!$H$25</f>
        <v>1240184.3400000001</v>
      </c>
      <c r="F30" s="17"/>
      <c r="G30" s="3"/>
      <c r="H30" s="3" t="s">
        <v>47</v>
      </c>
      <c r="I30" s="3"/>
      <c r="J30" s="3"/>
      <c r="K30" s="3"/>
      <c r="L30" s="22">
        <f>ROUND(L14/L15,5)</f>
        <v>2.7519999999999999E-2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2.8670000000000001E-2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544707.78000000026</v>
      </c>
      <c r="F32" s="3"/>
      <c r="G32" s="3"/>
      <c r="H32" s="3" t="s">
        <v>51</v>
      </c>
      <c r="I32" s="3"/>
      <c r="J32" s="3"/>
      <c r="K32" s="3"/>
      <c r="L32" s="32">
        <f>ROUND(L31*100,3)</f>
        <v>2.867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2.867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155</v>
      </c>
      <c r="C38" s="41"/>
      <c r="D38" s="38"/>
      <c r="E38" s="38"/>
      <c r="F38" s="38"/>
      <c r="G38" s="38"/>
      <c r="H38" s="38" t="s">
        <v>54</v>
      </c>
      <c r="I38" s="47" t="s">
        <v>156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198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199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154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+'SEP22'!H64</f>
        <v>1306308205</v>
      </c>
      <c r="I58" s="43">
        <f>+'SEP22'!I64</f>
        <v>1256168594</v>
      </c>
      <c r="J58" s="43">
        <f>+'SEP22'!J64</f>
        <v>394704</v>
      </c>
      <c r="K58" s="20">
        <f>H58-I58-J58</f>
        <v>49744907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43">
        <f>+'OCT21'!H62</f>
        <v>88510839</v>
      </c>
      <c r="I60" s="43">
        <f>+'OCT21'!I62</f>
        <v>86872783</v>
      </c>
      <c r="J60" s="43">
        <f>+'OCT21'!J62</f>
        <v>19416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87292807</v>
      </c>
      <c r="I62" s="44">
        <f>+E10</f>
        <v>82927872</v>
      </c>
      <c r="J62" s="44">
        <f>+E12</f>
        <v>21166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1305090173</v>
      </c>
      <c r="I64" s="20">
        <f>SUM(I58-I60+I62)</f>
        <v>1252223683</v>
      </c>
      <c r="J64" s="20">
        <f>SUM(J58-J60+J62)</f>
        <v>396454</v>
      </c>
      <c r="K64" s="20">
        <f>SUM(H64-I64-J64)</f>
        <v>52470036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52470036</v>
      </c>
      <c r="C70" s="3" t="s">
        <v>80</v>
      </c>
      <c r="D70" s="20">
        <f>(H64)</f>
        <v>1305090173</v>
      </c>
      <c r="E70" s="3" t="s">
        <v>81</v>
      </c>
      <c r="F70" s="24">
        <f>ROUND(B70/D70*100,2)</f>
        <v>4.0199999999999996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CA633-5C67-4766-A56D-2AC5101DCE87}">
  <sheetPr>
    <tabColor theme="9" tint="0.59999389629810485"/>
    <pageSetUpPr fitToPage="1"/>
  </sheetPr>
  <dimension ref="A1:L70"/>
  <sheetViews>
    <sheetView topLeftCell="A24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85</v>
      </c>
      <c r="F6" s="3"/>
      <c r="G6" s="3"/>
      <c r="H6" s="9" t="s">
        <v>9</v>
      </c>
      <c r="I6" s="3"/>
      <c r="J6" s="3"/>
      <c r="K6" s="3"/>
      <c r="L6" s="7" t="str">
        <f>E6</f>
        <v>DECEMBER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+DATA!$B$3</f>
        <v>122631761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+DATA!$I$3</f>
        <v>-609479</v>
      </c>
    </row>
    <row r="10" spans="1:12" ht="18" x14ac:dyDescent="0.25">
      <c r="A10" s="3" t="s">
        <v>13</v>
      </c>
      <c r="B10" s="3"/>
      <c r="C10" s="3"/>
      <c r="D10" s="3"/>
      <c r="E10" s="43">
        <f>+DATA!$E$3</f>
        <v>111548750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308869.31000000006</v>
      </c>
    </row>
    <row r="12" spans="1:12" ht="18" x14ac:dyDescent="0.25">
      <c r="A12" s="3" t="s">
        <v>16</v>
      </c>
      <c r="B12" s="3"/>
      <c r="C12" s="3"/>
      <c r="D12" s="3"/>
      <c r="E12" s="43">
        <f>+DATA!$F$3</f>
        <v>51955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111600705</v>
      </c>
      <c r="F14" s="3"/>
      <c r="G14" s="3"/>
      <c r="H14" s="3" t="s">
        <v>21</v>
      </c>
      <c r="I14" s="3"/>
      <c r="J14" s="3"/>
      <c r="K14" s="3"/>
      <c r="L14" s="17">
        <f>SUM(L9:L11)</f>
        <v>-300609.68999999994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122631761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11031056</v>
      </c>
      <c r="F17" s="3"/>
      <c r="G17" s="3"/>
      <c r="H17" s="3" t="s">
        <v>26</v>
      </c>
      <c r="I17" s="3"/>
      <c r="J17" s="3"/>
      <c r="K17" s="3"/>
      <c r="L17" s="22">
        <f>(L9/L15)</f>
        <v>-4.9699930509845653E-3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DECEMBER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4.1900000000000004</v>
      </c>
    </row>
    <row r="21" spans="1:12" ht="18.75" thickBot="1" x14ac:dyDescent="0.3">
      <c r="A21" s="3" t="s">
        <v>30</v>
      </c>
      <c r="B21" s="3"/>
      <c r="C21" s="3"/>
      <c r="D21" s="3"/>
      <c r="E21" s="25">
        <v>-0.93500000000000005</v>
      </c>
      <c r="F21" s="26"/>
      <c r="G21" s="3"/>
      <c r="H21" s="3" t="s">
        <v>31</v>
      </c>
      <c r="I21" s="3"/>
      <c r="J21" s="3"/>
      <c r="K21" s="3"/>
      <c r="L21" s="27" t="str">
        <f>E6</f>
        <v>DECEMBER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111653511</v>
      </c>
      <c r="F23" s="3"/>
      <c r="G23" s="3"/>
      <c r="H23" s="3" t="s">
        <v>35</v>
      </c>
      <c r="I23" s="3"/>
      <c r="J23" s="3"/>
      <c r="K23" s="3"/>
      <c r="L23" s="29">
        <f>ROUND(E17/E8*100,2)</f>
        <v>9</v>
      </c>
    </row>
    <row r="24" spans="1:12" ht="18" x14ac:dyDescent="0.25">
      <c r="A24" s="3" t="s">
        <v>36</v>
      </c>
      <c r="B24" s="3"/>
      <c r="C24" s="3"/>
      <c r="D24" s="3"/>
      <c r="E24" s="51">
        <f>+DATA!$G$3</f>
        <v>-104761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111548750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30">
        <v>-744747.5</v>
      </c>
      <c r="F28" s="3"/>
      <c r="G28" s="3"/>
      <c r="H28" s="3" t="s">
        <v>43</v>
      </c>
      <c r="I28" s="3"/>
      <c r="J28" s="3"/>
      <c r="K28" s="3"/>
      <c r="L28" s="24">
        <f>SUM(100-+(L20))</f>
        <v>95.81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+DATA!$H$3</f>
        <v>-1053616.81</v>
      </c>
      <c r="F30" s="17"/>
      <c r="G30" s="3"/>
      <c r="H30" s="3" t="s">
        <v>47</v>
      </c>
      <c r="I30" s="3"/>
      <c r="J30" s="3"/>
      <c r="K30" s="3"/>
      <c r="L30" s="22">
        <f>ROUND(L14/L15,5)</f>
        <v>-2.4499999999999999E-3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-2.5600000000000002E-3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308869.31000000006</v>
      </c>
      <c r="F32" s="3"/>
      <c r="G32" s="3"/>
      <c r="H32" s="3" t="s">
        <v>51</v>
      </c>
      <c r="I32" s="3"/>
      <c r="J32" s="3"/>
      <c r="K32" s="3"/>
      <c r="L32" s="32">
        <f>ROUND(L31*100,3)</f>
        <v>-0.25600000000000001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-0.25600000000000001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90</v>
      </c>
      <c r="C38" s="41"/>
      <c r="D38" s="38"/>
      <c r="E38" s="38"/>
      <c r="F38" s="38"/>
      <c r="G38" s="38"/>
      <c r="H38" s="38" t="s">
        <v>54</v>
      </c>
      <c r="I38" s="34" t="s">
        <v>91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92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+'NOV20'!H64</f>
        <v>1213907884</v>
      </c>
      <c r="I58" s="43">
        <f>+'NOV20'!I64</f>
        <v>1167094370</v>
      </c>
      <c r="J58" s="43">
        <f>+'NOV20'!J64</f>
        <v>385064</v>
      </c>
      <c r="K58" s="20">
        <f>H58-I58-J58</f>
        <v>46428450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39">
        <v>111102272</v>
      </c>
      <c r="I60" s="39">
        <v>104982880</v>
      </c>
      <c r="J60" s="39">
        <v>45496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122631761</v>
      </c>
      <c r="I62" s="44">
        <f>+E10</f>
        <v>111548750</v>
      </c>
      <c r="J62" s="44">
        <f>+E12</f>
        <v>51955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1225437373</v>
      </c>
      <c r="I64" s="20">
        <f>SUM(I58-I60+I62)</f>
        <v>1173660240</v>
      </c>
      <c r="J64" s="20">
        <f>SUM(J58-J60+J62)</f>
        <v>391523</v>
      </c>
      <c r="K64" s="20">
        <f>SUM(H64-I64-J64)</f>
        <v>51385610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51385610</v>
      </c>
      <c r="C70" s="3" t="s">
        <v>80</v>
      </c>
      <c r="D70" s="20">
        <f>(H64)</f>
        <v>1225437373</v>
      </c>
      <c r="E70" s="3" t="s">
        <v>81</v>
      </c>
      <c r="F70" s="24">
        <f>ROUND(B70/D70*100,2)</f>
        <v>4.1900000000000004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F455D-A71E-40D6-9342-98CF24DF5351}">
  <sheetPr>
    <tabColor theme="9" tint="0.59999389629810485"/>
    <pageSetUpPr fitToPage="1"/>
  </sheetPr>
  <dimension ref="A1:L70"/>
  <sheetViews>
    <sheetView topLeftCell="A36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83</v>
      </c>
      <c r="F6" s="3"/>
      <c r="G6" s="3"/>
      <c r="H6" s="9" t="s">
        <v>9</v>
      </c>
      <c r="I6" s="3"/>
      <c r="J6" s="3"/>
      <c r="K6" s="3"/>
      <c r="L6" s="7" t="str">
        <f>E6</f>
        <v>JANUARY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+DATA!$B$4</f>
        <v>127950059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+DATA!$I$4</f>
        <v>-507963</v>
      </c>
    </row>
    <row r="10" spans="1:12" ht="18" x14ac:dyDescent="0.25">
      <c r="A10" s="3" t="s">
        <v>13</v>
      </c>
      <c r="B10" s="3"/>
      <c r="C10" s="3"/>
      <c r="D10" s="3"/>
      <c r="E10" s="43">
        <f>+DATA!$E$4</f>
        <v>124847159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215785.52000000002</v>
      </c>
    </row>
    <row r="12" spans="1:12" ht="18" x14ac:dyDescent="0.25">
      <c r="A12" s="3" t="s">
        <v>16</v>
      </c>
      <c r="B12" s="3"/>
      <c r="C12" s="3"/>
      <c r="D12" s="3"/>
      <c r="E12" s="43">
        <f>+DATA!$F$4</f>
        <v>61570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124908729</v>
      </c>
      <c r="F14" s="3"/>
      <c r="G14" s="3"/>
      <c r="H14" s="3" t="s">
        <v>21</v>
      </c>
      <c r="I14" s="3"/>
      <c r="J14" s="3"/>
      <c r="K14" s="3"/>
      <c r="L14" s="17">
        <f>SUM(L9:L11)</f>
        <v>-292177.48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127950059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3041330</v>
      </c>
      <c r="F17" s="3"/>
      <c r="G17" s="3"/>
      <c r="H17" s="3" t="s">
        <v>26</v>
      </c>
      <c r="I17" s="3"/>
      <c r="J17" s="3"/>
      <c r="K17" s="3"/>
      <c r="L17" s="22">
        <f>(L9/L15)</f>
        <v>-3.9700098926878967E-3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JANUARY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3.8</v>
      </c>
    </row>
    <row r="21" spans="1:12" ht="18.75" thickBot="1" x14ac:dyDescent="0.3">
      <c r="A21" s="3" t="s">
        <v>30</v>
      </c>
      <c r="B21" s="3"/>
      <c r="C21" s="3"/>
      <c r="D21" s="3"/>
      <c r="E21" s="45">
        <f>+'NOV20'!L32</f>
        <v>-0.55100000000000005</v>
      </c>
      <c r="F21" s="26"/>
      <c r="G21" s="3"/>
      <c r="H21" s="3" t="s">
        <v>31</v>
      </c>
      <c r="I21" s="3"/>
      <c r="J21" s="3"/>
      <c r="K21" s="3"/>
      <c r="L21" s="27" t="str">
        <f>E6</f>
        <v>JANUARY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125162629</v>
      </c>
      <c r="F23" s="3"/>
      <c r="G23" s="3"/>
      <c r="H23" s="3" t="s">
        <v>35</v>
      </c>
      <c r="I23" s="3"/>
      <c r="J23" s="3"/>
      <c r="K23" s="3"/>
      <c r="L23" s="29">
        <f>ROUND(E17/E8*100,2)</f>
        <v>2.38</v>
      </c>
    </row>
    <row r="24" spans="1:12" ht="18" x14ac:dyDescent="0.25">
      <c r="A24" s="3" t="s">
        <v>36</v>
      </c>
      <c r="B24" s="3"/>
      <c r="C24" s="3"/>
      <c r="D24" s="3"/>
      <c r="E24" s="51">
        <f>+[1]DATA!$G$4</f>
        <v>-315470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124847159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+'NOV20'!L14</f>
        <v>-477124.65</v>
      </c>
      <c r="F28" s="3"/>
      <c r="G28" s="3"/>
      <c r="H28" s="3" t="s">
        <v>43</v>
      </c>
      <c r="I28" s="3"/>
      <c r="J28" s="3"/>
      <c r="K28" s="3"/>
      <c r="L28" s="24">
        <f>SUM(100-+(L20))</f>
        <v>96.2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+DATA!$H$4</f>
        <v>-692910.17</v>
      </c>
      <c r="F30" s="17"/>
      <c r="G30" s="3"/>
      <c r="H30" s="3" t="s">
        <v>47</v>
      </c>
      <c r="I30" s="3"/>
      <c r="J30" s="3"/>
      <c r="K30" s="3"/>
      <c r="L30" s="22">
        <f>ROUND(L14/L15,5)</f>
        <v>-2.2799999999999999E-3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-2.3700000000000001E-3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215785.52000000002</v>
      </c>
      <c r="F32" s="3"/>
      <c r="G32" s="3"/>
      <c r="H32" s="3" t="s">
        <v>51</v>
      </c>
      <c r="I32" s="3"/>
      <c r="J32" s="3"/>
      <c r="K32" s="3"/>
      <c r="L32" s="32">
        <f>ROUND(L31*100,3)</f>
        <v>-0.23699999999999999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-0.23699999999999999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93</v>
      </c>
      <c r="C38" s="41"/>
      <c r="D38" s="38"/>
      <c r="E38" s="38"/>
      <c r="F38" s="38"/>
      <c r="G38" s="38"/>
      <c r="H38" s="38" t="s">
        <v>54</v>
      </c>
      <c r="I38" s="34" t="s">
        <v>90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95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+'DEC20'!H64</f>
        <v>1225437373</v>
      </c>
      <c r="I58" s="43">
        <f>+'DEC20'!I64</f>
        <v>1173660240</v>
      </c>
      <c r="J58" s="43">
        <f>+'DEC20'!J64</f>
        <v>391523</v>
      </c>
      <c r="K58" s="20">
        <f>H58-I58-J58</f>
        <v>51385610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39">
        <v>113198873</v>
      </c>
      <c r="I60" s="39">
        <v>105817172</v>
      </c>
      <c r="J60" s="39">
        <v>52136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127950059</v>
      </c>
      <c r="I62" s="44">
        <f>+E10</f>
        <v>124847159</v>
      </c>
      <c r="J62" s="44">
        <f>+E12</f>
        <v>61570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1240188559</v>
      </c>
      <c r="I64" s="20">
        <f>SUM(I58-I60+I62)</f>
        <v>1192690227</v>
      </c>
      <c r="J64" s="20">
        <f>SUM(J58-J60+J62)</f>
        <v>400957</v>
      </c>
      <c r="K64" s="20">
        <f>SUM(H64-I64-J64)</f>
        <v>47097375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47097375</v>
      </c>
      <c r="C70" s="3" t="s">
        <v>80</v>
      </c>
      <c r="D70" s="20">
        <f>(H64)</f>
        <v>1240188559</v>
      </c>
      <c r="E70" s="3" t="s">
        <v>81</v>
      </c>
      <c r="F70" s="24">
        <f>ROUND(B70/D70*100,2)</f>
        <v>3.8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7008D-D699-4468-AA7A-C67DADE5FB5E}">
  <sheetPr>
    <tabColor theme="9" tint="0.59999389629810485"/>
    <pageSetUpPr fitToPage="1"/>
  </sheetPr>
  <dimension ref="A1:L70"/>
  <sheetViews>
    <sheetView topLeftCell="A36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96</v>
      </c>
      <c r="F6" s="3"/>
      <c r="G6" s="3"/>
      <c r="H6" s="9" t="s">
        <v>9</v>
      </c>
      <c r="I6" s="3"/>
      <c r="J6" s="3"/>
      <c r="K6" s="3"/>
      <c r="L6" s="7" t="str">
        <f>E6</f>
        <v>FEBRUARY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+DATA!$B$5</f>
        <v>125978703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+DATA!$I$5</f>
        <v>-614772</v>
      </c>
    </row>
    <row r="10" spans="1:12" ht="18" x14ac:dyDescent="0.25">
      <c r="A10" s="3" t="s">
        <v>13</v>
      </c>
      <c r="B10" s="3"/>
      <c r="C10" s="3"/>
      <c r="D10" s="3"/>
      <c r="E10" s="43">
        <f>+DATA!$E$5</f>
        <v>124577333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19832.920000000042</v>
      </c>
    </row>
    <row r="12" spans="1:12" ht="18" x14ac:dyDescent="0.25">
      <c r="A12" s="3" t="s">
        <v>16</v>
      </c>
      <c r="B12" s="3"/>
      <c r="C12" s="3"/>
      <c r="D12" s="3"/>
      <c r="E12" s="43">
        <f>+DATA!$F$5</f>
        <v>68478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124645811</v>
      </c>
      <c r="F14" s="3"/>
      <c r="G14" s="3"/>
      <c r="H14" s="3" t="s">
        <v>21</v>
      </c>
      <c r="I14" s="3"/>
      <c r="J14" s="3"/>
      <c r="K14" s="3"/>
      <c r="L14" s="17">
        <f>SUM(L9:L11)</f>
        <v>-594939.07999999996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125978703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1332892</v>
      </c>
      <c r="F17" s="3"/>
      <c r="G17" s="3"/>
      <c r="H17" s="3" t="s">
        <v>26</v>
      </c>
      <c r="I17" s="3"/>
      <c r="J17" s="3"/>
      <c r="K17" s="3"/>
      <c r="L17" s="22">
        <f>(L9/L15)</f>
        <v>-4.879967687871814E-3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FEBRUARY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3.7</v>
      </c>
    </row>
    <row r="21" spans="1:12" ht="18.75" thickBot="1" x14ac:dyDescent="0.3">
      <c r="A21" s="3" t="s">
        <v>30</v>
      </c>
      <c r="B21" s="3"/>
      <c r="C21" s="3"/>
      <c r="D21" s="3"/>
      <c r="E21" s="45">
        <f>+'DEC20'!L32</f>
        <v>-0.25600000000000001</v>
      </c>
      <c r="F21" s="26"/>
      <c r="G21" s="3"/>
      <c r="H21" s="3" t="s">
        <v>31</v>
      </c>
      <c r="I21" s="3"/>
      <c r="J21" s="3"/>
      <c r="K21" s="3"/>
      <c r="L21" s="27" t="str">
        <f>E6</f>
        <v>FEBRUARY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124644865</v>
      </c>
      <c r="F23" s="3"/>
      <c r="G23" s="3"/>
      <c r="H23" s="3" t="s">
        <v>35</v>
      </c>
      <c r="I23" s="3"/>
      <c r="J23" s="3"/>
      <c r="K23" s="3"/>
      <c r="L23" s="29">
        <f>ROUND(E17/E8*100,2)</f>
        <v>1.06</v>
      </c>
    </row>
    <row r="24" spans="1:12" ht="18" x14ac:dyDescent="0.25">
      <c r="A24" s="3" t="s">
        <v>36</v>
      </c>
      <c r="B24" s="3"/>
      <c r="C24" s="3"/>
      <c r="D24" s="3"/>
      <c r="E24" s="51">
        <f>+[1]DATA!$G$5</f>
        <v>-67532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124577333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+'DEC20'!L14</f>
        <v>-300609.68999999994</v>
      </c>
      <c r="F28" s="3"/>
      <c r="G28" s="3"/>
      <c r="H28" s="3" t="s">
        <v>43</v>
      </c>
      <c r="I28" s="3"/>
      <c r="J28" s="3"/>
      <c r="K28" s="3"/>
      <c r="L28" s="24">
        <f>SUM(100-+(L20))</f>
        <v>96.3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+DATA!$H$5</f>
        <v>-320442.61</v>
      </c>
      <c r="F30" s="17"/>
      <c r="G30" s="3"/>
      <c r="H30" s="3" t="s">
        <v>47</v>
      </c>
      <c r="I30" s="3"/>
      <c r="J30" s="3"/>
      <c r="K30" s="3"/>
      <c r="L30" s="22">
        <f>ROUND(L14/L15,5)</f>
        <v>-4.7200000000000002E-3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-4.8999999999999998E-3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19832.920000000042</v>
      </c>
      <c r="F32" s="3"/>
      <c r="G32" s="3"/>
      <c r="H32" s="3" t="s">
        <v>51</v>
      </c>
      <c r="I32" s="3"/>
      <c r="J32" s="3"/>
      <c r="K32" s="3"/>
      <c r="L32" s="32">
        <f>ROUND(L31*100,3)</f>
        <v>-0.49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-0.49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97</v>
      </c>
      <c r="C38" s="41"/>
      <c r="D38" s="38"/>
      <c r="E38" s="38"/>
      <c r="F38" s="38"/>
      <c r="G38" s="38"/>
      <c r="H38" s="38" t="s">
        <v>54</v>
      </c>
      <c r="I38" s="34" t="s">
        <v>93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98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+'JAN21'!H64+40</f>
        <v>1240188599</v>
      </c>
      <c r="I58" s="43">
        <f>+'JAN21'!I64</f>
        <v>1192690227</v>
      </c>
      <c r="J58" s="43">
        <f>+'JAN21'!J64</f>
        <v>400957</v>
      </c>
      <c r="K58" s="20">
        <f>H58-I58-J58</f>
        <v>47097415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39">
        <v>109821294</v>
      </c>
      <c r="I60" s="39">
        <v>107793425</v>
      </c>
      <c r="J60" s="39">
        <v>47899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125978703</v>
      </c>
      <c r="I62" s="44">
        <f>+E10</f>
        <v>124577333</v>
      </c>
      <c r="J62" s="44">
        <f>+E12</f>
        <v>68478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1256346008</v>
      </c>
      <c r="I64" s="20">
        <f>SUM(I58-I60+I62)</f>
        <v>1209474135</v>
      </c>
      <c r="J64" s="20">
        <f>SUM(J58-J60+J62)</f>
        <v>421536</v>
      </c>
      <c r="K64" s="20">
        <f>SUM(H64-I64-J64)</f>
        <v>46450337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46450337</v>
      </c>
      <c r="C70" s="3" t="s">
        <v>80</v>
      </c>
      <c r="D70" s="20">
        <f>(H64)</f>
        <v>1256346008</v>
      </c>
      <c r="E70" s="3" t="s">
        <v>81</v>
      </c>
      <c r="F70" s="24">
        <f>ROUND(B70/D70*100,2)</f>
        <v>3.7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36EF-8FDB-4030-B5FA-2AC39F9C240A}">
  <sheetPr>
    <tabColor theme="9" tint="0.59999389629810485"/>
    <pageSetUpPr fitToPage="1"/>
  </sheetPr>
  <dimension ref="A1:L70"/>
  <sheetViews>
    <sheetView topLeftCell="A39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100</v>
      </c>
      <c r="F6" s="3"/>
      <c r="G6" s="3"/>
      <c r="H6" s="9" t="s">
        <v>9</v>
      </c>
      <c r="I6" s="3"/>
      <c r="J6" s="3"/>
      <c r="K6" s="3"/>
      <c r="L6" s="7" t="str">
        <f>E6</f>
        <v>MARCH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+DATA!$B$6</f>
        <v>95410451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+DATA!$I$6</f>
        <v>205131</v>
      </c>
    </row>
    <row r="10" spans="1:12" ht="18" x14ac:dyDescent="0.25">
      <c r="A10" s="3" t="s">
        <v>13</v>
      </c>
      <c r="B10" s="3"/>
      <c r="C10" s="3"/>
      <c r="D10" s="3"/>
      <c r="E10" s="43">
        <f>+DATA!$E$6</f>
        <v>90627033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-76179.049999999988</v>
      </c>
    </row>
    <row r="12" spans="1:12" ht="18" x14ac:dyDescent="0.25">
      <c r="A12" s="3" t="s">
        <v>16</v>
      </c>
      <c r="B12" s="3"/>
      <c r="C12" s="3"/>
      <c r="D12" s="3"/>
      <c r="E12" s="43">
        <f>+DATA!$F$6</f>
        <v>38620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90665653</v>
      </c>
      <c r="F14" s="3"/>
      <c r="G14" s="3"/>
      <c r="H14" s="3" t="s">
        <v>21</v>
      </c>
      <c r="I14" s="3"/>
      <c r="J14" s="3"/>
      <c r="K14" s="3"/>
      <c r="L14" s="17">
        <f>SUM(L9:L11)</f>
        <v>128951.95000000001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95410451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4744798</v>
      </c>
      <c r="F17" s="3"/>
      <c r="G17" s="3"/>
      <c r="H17" s="3" t="s">
        <v>26</v>
      </c>
      <c r="I17" s="3"/>
      <c r="J17" s="3"/>
      <c r="K17" s="3"/>
      <c r="L17" s="22">
        <f>(L9/L15)</f>
        <v>2.149984596551168E-3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MARCH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3.84</v>
      </c>
    </row>
    <row r="21" spans="1:12" ht="18.75" thickBot="1" x14ac:dyDescent="0.3">
      <c r="A21" s="3" t="s">
        <v>30</v>
      </c>
      <c r="B21" s="3"/>
      <c r="C21" s="3"/>
      <c r="D21" s="3"/>
      <c r="E21" s="45">
        <f>+'JAN21'!L32</f>
        <v>-0.23699999999999999</v>
      </c>
      <c r="F21" s="26"/>
      <c r="G21" s="3"/>
      <c r="H21" s="3" t="s">
        <v>31</v>
      </c>
      <c r="I21" s="3"/>
      <c r="J21" s="3"/>
      <c r="K21" s="3"/>
      <c r="L21" s="27" t="str">
        <f>E6</f>
        <v>MARCH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91067825</v>
      </c>
      <c r="F23" s="3"/>
      <c r="G23" s="3"/>
      <c r="H23" s="3" t="s">
        <v>35</v>
      </c>
      <c r="I23" s="3"/>
      <c r="J23" s="3"/>
      <c r="K23" s="3"/>
      <c r="L23" s="29">
        <f>ROUND(E17/E8*100,2)</f>
        <v>4.97</v>
      </c>
    </row>
    <row r="24" spans="1:12" ht="18" x14ac:dyDescent="0.25">
      <c r="A24" s="3" t="s">
        <v>36</v>
      </c>
      <c r="B24" s="3"/>
      <c r="C24" s="3"/>
      <c r="D24" s="3"/>
      <c r="E24" s="51">
        <f>+DATA!$G$6</f>
        <v>-440792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90627033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+'JAN21'!L14</f>
        <v>-292177.48</v>
      </c>
      <c r="F28" s="3"/>
      <c r="G28" s="3"/>
      <c r="H28" s="3" t="s">
        <v>43</v>
      </c>
      <c r="I28" s="3"/>
      <c r="J28" s="3"/>
      <c r="K28" s="3"/>
      <c r="L28" s="24">
        <f>SUM(100-+(L20))</f>
        <v>96.16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+DATA!$H$6</f>
        <v>-215998.43</v>
      </c>
      <c r="F30" s="17"/>
      <c r="G30" s="3"/>
      <c r="H30" s="3" t="s">
        <v>47</v>
      </c>
      <c r="I30" s="3"/>
      <c r="J30" s="3"/>
      <c r="K30" s="3"/>
      <c r="L30" s="22">
        <f>ROUND(L14/L15,5)</f>
        <v>1.3500000000000001E-3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1.4E-3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-76179.049999999988</v>
      </c>
      <c r="F32" s="3"/>
      <c r="G32" s="3"/>
      <c r="H32" s="3" t="s">
        <v>51</v>
      </c>
      <c r="I32" s="3"/>
      <c r="J32" s="3"/>
      <c r="K32" s="3"/>
      <c r="L32" s="32">
        <f>ROUND(L31*100,3)</f>
        <v>0.14000000000000001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0.14000000000000001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102</v>
      </c>
      <c r="C38" s="41"/>
      <c r="D38" s="38"/>
      <c r="E38" s="38"/>
      <c r="F38" s="38"/>
      <c r="G38" s="38"/>
      <c r="H38" s="38" t="s">
        <v>54</v>
      </c>
      <c r="I38" s="47" t="s">
        <v>97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99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+'FEB21'!H64-40</f>
        <v>1256345968</v>
      </c>
      <c r="I58" s="43">
        <f>+'FEB21'!I64</f>
        <v>1209474135</v>
      </c>
      <c r="J58" s="43">
        <f>+'FEB21'!J64</f>
        <v>421536</v>
      </c>
      <c r="K58" s="20">
        <f>H58-I58-J58</f>
        <v>46450297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39">
        <v>94078390</v>
      </c>
      <c r="I60" s="39">
        <v>91106611</v>
      </c>
      <c r="J60" s="39">
        <v>32755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95410451</v>
      </c>
      <c r="I62" s="44">
        <f>+E10</f>
        <v>90627033</v>
      </c>
      <c r="J62" s="44">
        <f>+E12</f>
        <v>38620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1257678029</v>
      </c>
      <c r="I64" s="20">
        <f>SUM(I58-I60+I62)</f>
        <v>1208994557</v>
      </c>
      <c r="J64" s="20">
        <f>SUM(J58-J60+J62)</f>
        <v>427401</v>
      </c>
      <c r="K64" s="20">
        <f>SUM(H64-I64-J64)</f>
        <v>48256071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48256071</v>
      </c>
      <c r="C70" s="3" t="s">
        <v>80</v>
      </c>
      <c r="D70" s="20">
        <f>(H64)</f>
        <v>1257678029</v>
      </c>
      <c r="E70" s="3" t="s">
        <v>81</v>
      </c>
      <c r="F70" s="24">
        <f>ROUND(B70/D70*100,2)</f>
        <v>3.84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1A89C-A149-44E0-AC96-96C04789AAFF}">
  <sheetPr>
    <tabColor theme="9" tint="0.59999389629810485"/>
    <pageSetUpPr fitToPage="1"/>
  </sheetPr>
  <dimension ref="A1:L70"/>
  <sheetViews>
    <sheetView topLeftCell="A42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104</v>
      </c>
      <c r="F6" s="3"/>
      <c r="G6" s="3"/>
      <c r="H6" s="9" t="s">
        <v>9</v>
      </c>
      <c r="I6" s="3"/>
      <c r="J6" s="3"/>
      <c r="K6" s="3"/>
      <c r="L6" s="7" t="str">
        <f>E6</f>
        <v>APRIL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+DATA!$B$7</f>
        <v>85599350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+DATA!$I$7</f>
        <v>-358663</v>
      </c>
    </row>
    <row r="10" spans="1:12" ht="18" x14ac:dyDescent="0.25">
      <c r="A10" s="3" t="s">
        <v>13</v>
      </c>
      <c r="B10" s="3"/>
      <c r="C10" s="3"/>
      <c r="D10" s="3"/>
      <c r="E10" s="43">
        <f>+DATA!$E$7</f>
        <v>80771300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-192651.07999999996</v>
      </c>
    </row>
    <row r="12" spans="1:12" ht="18" x14ac:dyDescent="0.25">
      <c r="A12" s="3" t="s">
        <v>16</v>
      </c>
      <c r="B12" s="3"/>
      <c r="C12" s="3"/>
      <c r="D12" s="3"/>
      <c r="E12" s="43">
        <f>+DATA!$F$7</f>
        <v>23430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80794730</v>
      </c>
      <c r="F14" s="3"/>
      <c r="G14" s="3"/>
      <c r="H14" s="3" t="s">
        <v>21</v>
      </c>
      <c r="I14" s="3"/>
      <c r="J14" s="3"/>
      <c r="K14" s="3"/>
      <c r="L14" s="17">
        <f>SUM(L9:L11)</f>
        <v>-551314.07999999996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85599350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4804620</v>
      </c>
      <c r="F17" s="3"/>
      <c r="G17" s="3"/>
      <c r="H17" s="3" t="s">
        <v>26</v>
      </c>
      <c r="I17" s="3"/>
      <c r="J17" s="3"/>
      <c r="K17" s="3"/>
      <c r="L17" s="22">
        <f>(L9/L15)</f>
        <v>-4.1900201344986848E-3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APRIL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4.07</v>
      </c>
    </row>
    <row r="21" spans="1:12" ht="18.75" thickBot="1" x14ac:dyDescent="0.3">
      <c r="A21" s="3" t="s">
        <v>30</v>
      </c>
      <c r="B21" s="3"/>
      <c r="C21" s="3"/>
      <c r="D21" s="3"/>
      <c r="E21" s="45">
        <f>+'FEB21'!L32</f>
        <v>-0.49</v>
      </c>
      <c r="F21" s="26"/>
      <c r="G21" s="3"/>
      <c r="H21" s="3" t="s">
        <v>31</v>
      </c>
      <c r="I21" s="3"/>
      <c r="J21" s="3"/>
      <c r="K21" s="3"/>
      <c r="L21" s="27" t="str">
        <f>E6</f>
        <v>APRIL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81647793</v>
      </c>
      <c r="F23" s="3"/>
      <c r="G23" s="3"/>
      <c r="H23" s="3" t="s">
        <v>35</v>
      </c>
      <c r="I23" s="3"/>
      <c r="J23" s="3"/>
      <c r="K23" s="3"/>
      <c r="L23" s="29">
        <f>ROUND(E17/E8*100,2)</f>
        <v>5.61</v>
      </c>
    </row>
    <row r="24" spans="1:12" ht="18" x14ac:dyDescent="0.25">
      <c r="A24" s="3" t="s">
        <v>36</v>
      </c>
      <c r="B24" s="3"/>
      <c r="C24" s="3"/>
      <c r="D24" s="3"/>
      <c r="E24" s="51">
        <f>+DATA!$G$7</f>
        <v>-876493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80771300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+'FEB21'!L14</f>
        <v>-594939.07999999996</v>
      </c>
      <c r="F28" s="3"/>
      <c r="G28" s="3"/>
      <c r="H28" s="3" t="s">
        <v>43</v>
      </c>
      <c r="I28" s="3"/>
      <c r="J28" s="3"/>
      <c r="K28" s="3"/>
      <c r="L28" s="24">
        <f>SUM(100-+(L20))</f>
        <v>95.93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+DATA!$H$7</f>
        <v>-402288</v>
      </c>
      <c r="F30" s="17"/>
      <c r="G30" s="3"/>
      <c r="H30" s="3" t="s">
        <v>47</v>
      </c>
      <c r="I30" s="3"/>
      <c r="J30" s="3"/>
      <c r="K30" s="3"/>
      <c r="L30" s="22">
        <f>ROUND(L14/L15,5)</f>
        <v>-6.4400000000000004E-3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-6.7099999999999998E-3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-192651.07999999996</v>
      </c>
      <c r="F32" s="3"/>
      <c r="G32" s="3"/>
      <c r="H32" s="3" t="s">
        <v>51</v>
      </c>
      <c r="I32" s="3"/>
      <c r="J32" s="3"/>
      <c r="K32" s="3"/>
      <c r="L32" s="32">
        <f>ROUND(L31*100,3)</f>
        <v>-0.67100000000000004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-0.67100000000000004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103</v>
      </c>
      <c r="C38" s="41"/>
      <c r="D38" s="38"/>
      <c r="E38" s="38"/>
      <c r="F38" s="38"/>
      <c r="G38" s="38"/>
      <c r="H38" s="38" t="s">
        <v>54</v>
      </c>
      <c r="I38" s="47" t="s">
        <v>102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101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+'MAR21'!H64</f>
        <v>1257678029</v>
      </c>
      <c r="I58" s="43">
        <f>+'MAR21'!I64</f>
        <v>1208994557</v>
      </c>
      <c r="J58" s="43">
        <f>+'MAR21'!J64</f>
        <v>427401</v>
      </c>
      <c r="K58" s="20">
        <f>H58-I58-J58</f>
        <v>48256071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39">
        <v>82278229</v>
      </c>
      <c r="I60" s="39">
        <v>80542632</v>
      </c>
      <c r="J60" s="39">
        <v>26996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85599350</v>
      </c>
      <c r="I62" s="44">
        <f>+E10</f>
        <v>80771300</v>
      </c>
      <c r="J62" s="44">
        <f>+E12</f>
        <v>23430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1260999150</v>
      </c>
      <c r="I64" s="20">
        <f>SUM(I58-I60+I62)</f>
        <v>1209223225</v>
      </c>
      <c r="J64" s="20">
        <f>SUM(J58-J60+J62)</f>
        <v>423835</v>
      </c>
      <c r="K64" s="20">
        <f>SUM(H64-I64-J64)</f>
        <v>51352090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51352090</v>
      </c>
      <c r="C70" s="3" t="s">
        <v>80</v>
      </c>
      <c r="D70" s="20">
        <f>(H64)</f>
        <v>1260999150</v>
      </c>
      <c r="E70" s="3" t="s">
        <v>81</v>
      </c>
      <c r="F70" s="24">
        <f>ROUND(B70/D70*100,2)</f>
        <v>4.07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42C66-BADA-4E1B-936A-564757A97DD9}">
  <sheetPr>
    <tabColor theme="9" tint="0.59999389629810485"/>
    <pageSetUpPr fitToPage="1"/>
  </sheetPr>
  <dimension ref="A1:L70"/>
  <sheetViews>
    <sheetView topLeftCell="A39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107</v>
      </c>
      <c r="F6" s="3"/>
      <c r="G6" s="3"/>
      <c r="H6" s="9" t="s">
        <v>9</v>
      </c>
      <c r="I6" s="3"/>
      <c r="J6" s="3"/>
      <c r="K6" s="3"/>
      <c r="L6" s="7" t="str">
        <f>E6</f>
        <v>MAY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+DATA!$B$8</f>
        <v>90793778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+DATA!$I$8</f>
        <v>-641912</v>
      </c>
    </row>
    <row r="10" spans="1:12" ht="18" x14ac:dyDescent="0.25">
      <c r="A10" s="3" t="s">
        <v>13</v>
      </c>
      <c r="B10" s="3"/>
      <c r="C10" s="3"/>
      <c r="D10" s="3"/>
      <c r="E10" s="43">
        <f>+DATA!$E$8</f>
        <v>87609976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7373.6700000000128</v>
      </c>
    </row>
    <row r="12" spans="1:12" ht="18" x14ac:dyDescent="0.25">
      <c r="A12" s="3" t="s">
        <v>16</v>
      </c>
      <c r="B12" s="3"/>
      <c r="C12" s="3"/>
      <c r="D12" s="3"/>
      <c r="E12" s="43">
        <f>+DATA!$F$8</f>
        <v>22996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87632972</v>
      </c>
      <c r="F14" s="3"/>
      <c r="G14" s="3"/>
      <c r="H14" s="3" t="s">
        <v>21</v>
      </c>
      <c r="I14" s="3"/>
      <c r="J14" s="3"/>
      <c r="K14" s="3"/>
      <c r="L14" s="17">
        <f>SUM(L9:L11)</f>
        <v>-634538.32999999996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90793778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3160806</v>
      </c>
      <c r="F17" s="3"/>
      <c r="G17" s="3"/>
      <c r="H17" s="3" t="s">
        <v>26</v>
      </c>
      <c r="I17" s="3"/>
      <c r="J17" s="3"/>
      <c r="K17" s="3"/>
      <c r="L17" s="22">
        <f>(L9/L15)</f>
        <v>-7.0699998847938679E-3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MAY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4.07</v>
      </c>
    </row>
    <row r="21" spans="1:12" ht="18.75" thickBot="1" x14ac:dyDescent="0.3">
      <c r="A21" s="3" t="s">
        <v>30</v>
      </c>
      <c r="B21" s="3"/>
      <c r="C21" s="3"/>
      <c r="D21" s="3"/>
      <c r="E21" s="45">
        <f>+'MAR21'!L32</f>
        <v>0.14000000000000001</v>
      </c>
      <c r="F21" s="26"/>
      <c r="G21" s="3"/>
      <c r="H21" s="3" t="s">
        <v>31</v>
      </c>
      <c r="I21" s="3"/>
      <c r="J21" s="3"/>
      <c r="K21" s="3"/>
      <c r="L21" s="27" t="str">
        <f>E6</f>
        <v>MAY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87379734</v>
      </c>
      <c r="F23" s="3"/>
      <c r="G23" s="3"/>
      <c r="H23" s="3" t="s">
        <v>35</v>
      </c>
      <c r="I23" s="3"/>
      <c r="J23" s="3"/>
      <c r="K23" s="3"/>
      <c r="L23" s="29">
        <f>ROUND(E17/E8*100,2)</f>
        <v>3.48</v>
      </c>
    </row>
    <row r="24" spans="1:12" ht="18" x14ac:dyDescent="0.25">
      <c r="A24" s="3" t="s">
        <v>36</v>
      </c>
      <c r="B24" s="3"/>
      <c r="C24" s="3"/>
      <c r="D24" s="3"/>
      <c r="E24" s="51">
        <f>+DATA!$G$8</f>
        <v>230242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87609976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+'MAR21'!L14</f>
        <v>128951.95000000001</v>
      </c>
      <c r="F28" s="3"/>
      <c r="G28" s="3"/>
      <c r="H28" s="3" t="s">
        <v>43</v>
      </c>
      <c r="I28" s="3"/>
      <c r="J28" s="3"/>
      <c r="K28" s="3"/>
      <c r="L28" s="24">
        <f>SUM(100-+(L20))</f>
        <v>95.93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+DATA!$H$8</f>
        <v>121578.28</v>
      </c>
      <c r="F30" s="17"/>
      <c r="G30" s="3"/>
      <c r="H30" s="3" t="s">
        <v>47</v>
      </c>
      <c r="I30" s="3"/>
      <c r="J30" s="3"/>
      <c r="K30" s="3"/>
      <c r="L30" s="22">
        <f>ROUND(L14/L15,5)</f>
        <v>-6.9899999999999997E-3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-7.2899999999999996E-3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7373.6700000000128</v>
      </c>
      <c r="F32" s="3"/>
      <c r="G32" s="3"/>
      <c r="H32" s="3" t="s">
        <v>51</v>
      </c>
      <c r="I32" s="3"/>
      <c r="J32" s="3"/>
      <c r="K32" s="3"/>
      <c r="L32" s="32">
        <f>ROUND(L31*100,3)</f>
        <v>-0.72899999999999998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-0.72899999999999998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106</v>
      </c>
      <c r="C38" s="41"/>
      <c r="D38" s="38"/>
      <c r="E38" s="38"/>
      <c r="F38" s="38"/>
      <c r="G38" s="38"/>
      <c r="H38" s="38" t="s">
        <v>54</v>
      </c>
      <c r="I38" s="47" t="s">
        <v>103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105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+'APR21'!H64</f>
        <v>1260999150</v>
      </c>
      <c r="I58" s="43">
        <f>+'APR21'!I64</f>
        <v>1209223225</v>
      </c>
      <c r="J58" s="43">
        <f>+'APR21'!J64</f>
        <v>423835</v>
      </c>
      <c r="K58" s="20">
        <f>H58-I58-J58</f>
        <v>51352090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39">
        <v>89282094</v>
      </c>
      <c r="I60" s="39">
        <v>86147227</v>
      </c>
      <c r="J60" s="39">
        <v>24046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90793778</v>
      </c>
      <c r="I62" s="44">
        <f>+E10</f>
        <v>87609976</v>
      </c>
      <c r="J62" s="44">
        <f>+E12</f>
        <v>22996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1262510834</v>
      </c>
      <c r="I64" s="20">
        <f>SUM(I58-I60+I62)</f>
        <v>1210685974</v>
      </c>
      <c r="J64" s="20">
        <f>SUM(J58-J60+J62)</f>
        <v>422785</v>
      </c>
      <c r="K64" s="20">
        <f>SUM(H64-I64-J64)</f>
        <v>51402075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51402075</v>
      </c>
      <c r="C70" s="3" t="s">
        <v>80</v>
      </c>
      <c r="D70" s="20">
        <f>(H64)</f>
        <v>1262510834</v>
      </c>
      <c r="E70" s="3" t="s">
        <v>81</v>
      </c>
      <c r="F70" s="24">
        <f>ROUND(B70/D70*100,2)</f>
        <v>4.07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1F41-BFD6-487F-A2D2-90B76AE066CF}">
  <sheetPr>
    <tabColor theme="9" tint="0.59999389629810485"/>
    <pageSetUpPr fitToPage="1"/>
  </sheetPr>
  <dimension ref="A1:L70"/>
  <sheetViews>
    <sheetView topLeftCell="A39" zoomScale="80" zoomScaleNormal="80" workbookViewId="0">
      <selection activeCell="A43" sqref="A43:XFD43"/>
    </sheetView>
  </sheetViews>
  <sheetFormatPr defaultRowHeight="15" x14ac:dyDescent="0.25"/>
  <cols>
    <col min="1" max="1" width="33.42578125" style="1" bestFit="1" customWidth="1"/>
    <col min="2" max="2" width="14.5703125" style="1" customWidth="1"/>
    <col min="3" max="3" width="16.28515625" style="2" bestFit="1" customWidth="1"/>
    <col min="4" max="4" width="19.28515625" style="2" customWidth="1"/>
    <col min="5" max="5" width="19.140625" style="1" customWidth="1"/>
    <col min="6" max="6" width="15.5703125" style="1" bestFit="1" customWidth="1"/>
    <col min="7" max="7" width="16.28515625" style="1" bestFit="1" customWidth="1"/>
    <col min="8" max="8" width="22.5703125" style="1" bestFit="1" customWidth="1"/>
    <col min="9" max="9" width="19.28515625" style="1" customWidth="1"/>
    <col min="10" max="10" width="13.5703125" style="1" bestFit="1" customWidth="1"/>
    <col min="11" max="11" width="17.85546875" style="1" customWidth="1"/>
    <col min="12" max="12" width="19.42578125" style="1" bestFit="1" customWidth="1"/>
    <col min="13" max="13" width="16.5703125" style="1" bestFit="1" customWidth="1"/>
    <col min="14" max="14" width="33.28515625" style="1" bestFit="1" customWidth="1"/>
    <col min="15" max="15" width="16.7109375" style="1" bestFit="1" customWidth="1"/>
    <col min="16" max="16" width="21.5703125" style="1" bestFit="1" customWidth="1"/>
    <col min="17" max="16384" width="9.140625" style="1"/>
  </cols>
  <sheetData>
    <row r="1" spans="1:12" ht="18" x14ac:dyDescent="0.25">
      <c r="A1" s="3"/>
      <c r="B1" s="3"/>
      <c r="C1" s="3"/>
      <c r="D1" s="4"/>
      <c r="E1" s="5" t="s">
        <v>1</v>
      </c>
      <c r="F1" s="4"/>
      <c r="G1" s="3"/>
      <c r="H1" s="3"/>
      <c r="I1" s="3"/>
      <c r="J1" s="3"/>
      <c r="K1" s="3"/>
      <c r="L1" s="3" t="s">
        <v>2</v>
      </c>
    </row>
    <row r="2" spans="1:12" ht="18.75" x14ac:dyDescent="0.3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 t="s">
        <v>3</v>
      </c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4</v>
      </c>
      <c r="B4" s="3" t="s">
        <v>5</v>
      </c>
      <c r="C4" s="3"/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</row>
    <row r="5" spans="1:12" ht="18" x14ac:dyDescent="0.25">
      <c r="A5" s="3"/>
      <c r="B5" s="8"/>
      <c r="C5" s="8"/>
      <c r="D5" s="8"/>
      <c r="E5" s="8"/>
      <c r="F5" s="8"/>
      <c r="G5" s="8"/>
      <c r="H5" s="3"/>
      <c r="I5" s="3"/>
      <c r="J5" s="8"/>
      <c r="K5" s="8"/>
      <c r="L5" s="8"/>
    </row>
    <row r="6" spans="1:12" ht="18.75" thickBot="1" x14ac:dyDescent="0.3">
      <c r="A6" s="9" t="s">
        <v>8</v>
      </c>
      <c r="B6" s="9"/>
      <c r="C6" s="9"/>
      <c r="D6" s="9"/>
      <c r="E6" s="40" t="s">
        <v>110</v>
      </c>
      <c r="F6" s="3"/>
      <c r="G6" s="3"/>
      <c r="H6" s="9" t="s">
        <v>9</v>
      </c>
      <c r="I6" s="3"/>
      <c r="J6" s="3"/>
      <c r="K6" s="3"/>
      <c r="L6" s="7" t="str">
        <f>E6</f>
        <v>JUNE</v>
      </c>
    </row>
    <row r="7" spans="1:12" ht="18.75" thickTop="1" x14ac:dyDescent="0.25">
      <c r="A7" s="3"/>
      <c r="B7" s="3"/>
      <c r="C7" s="3"/>
      <c r="D7" s="3"/>
      <c r="E7" s="10"/>
      <c r="F7" s="3"/>
      <c r="G7" s="3"/>
      <c r="H7" s="3"/>
      <c r="I7" s="3"/>
      <c r="J7" s="3"/>
      <c r="K7" s="3"/>
      <c r="L7" s="11"/>
    </row>
    <row r="8" spans="1:12" ht="18.75" thickBot="1" x14ac:dyDescent="0.3">
      <c r="A8" s="3" t="s">
        <v>10</v>
      </c>
      <c r="B8" s="3"/>
      <c r="C8" s="3"/>
      <c r="D8" s="3"/>
      <c r="E8" s="43">
        <f>+DATA!$B$9</f>
        <v>110672285</v>
      </c>
      <c r="F8" s="3"/>
      <c r="G8" s="3"/>
      <c r="H8" s="3" t="s">
        <v>11</v>
      </c>
      <c r="I8" s="3"/>
      <c r="J8" s="3"/>
      <c r="K8" s="3"/>
      <c r="L8" s="13"/>
    </row>
    <row r="9" spans="1:12" ht="18.75" thickTop="1" x14ac:dyDescent="0.25">
      <c r="A9" s="3"/>
      <c r="B9" s="3"/>
      <c r="C9" s="3"/>
      <c r="D9" s="3"/>
      <c r="E9" s="14"/>
      <c r="F9" s="3"/>
      <c r="G9" s="3"/>
      <c r="H9" s="3" t="s">
        <v>12</v>
      </c>
      <c r="I9" s="3"/>
      <c r="J9" s="3"/>
      <c r="K9" s="3"/>
      <c r="L9" s="46">
        <f>+DATA!$I$9</f>
        <v>-515734</v>
      </c>
    </row>
    <row r="10" spans="1:12" ht="18" x14ac:dyDescent="0.25">
      <c r="A10" s="3" t="s">
        <v>13</v>
      </c>
      <c r="B10" s="3"/>
      <c r="C10" s="3"/>
      <c r="D10" s="3"/>
      <c r="E10" s="43">
        <f>+DATA!$E$9</f>
        <v>105435632</v>
      </c>
      <c r="F10" s="20"/>
      <c r="G10" s="3"/>
      <c r="H10" s="3" t="s">
        <v>14</v>
      </c>
      <c r="I10" s="3"/>
      <c r="J10" s="3"/>
      <c r="K10" s="3"/>
      <c r="L10" s="15"/>
    </row>
    <row r="11" spans="1:12" ht="18" x14ac:dyDescent="0.25">
      <c r="A11" s="3"/>
      <c r="B11" s="3"/>
      <c r="C11" s="3"/>
      <c r="D11" s="3"/>
      <c r="E11" s="16"/>
      <c r="F11" s="3"/>
      <c r="G11" s="3"/>
      <c r="H11" s="3" t="s">
        <v>15</v>
      </c>
      <c r="I11" s="3"/>
      <c r="J11" s="3"/>
      <c r="K11" s="3"/>
      <c r="L11" s="17">
        <f>(E32)</f>
        <v>161964.66000000003</v>
      </c>
    </row>
    <row r="12" spans="1:12" ht="18" x14ac:dyDescent="0.25">
      <c r="A12" s="3" t="s">
        <v>16</v>
      </c>
      <c r="B12" s="3"/>
      <c r="C12" s="3"/>
      <c r="D12" s="3"/>
      <c r="E12" s="43">
        <f>+DATA!$F$9</f>
        <v>26449</v>
      </c>
      <c r="F12" s="3"/>
      <c r="G12" s="3"/>
      <c r="H12" s="3" t="s">
        <v>17</v>
      </c>
      <c r="I12" s="3"/>
      <c r="J12" s="3"/>
      <c r="K12" s="3"/>
      <c r="L12" s="18" t="s">
        <v>18</v>
      </c>
    </row>
    <row r="13" spans="1:12" ht="18" x14ac:dyDescent="0.25">
      <c r="A13" s="3"/>
      <c r="B13" s="3"/>
      <c r="C13" s="3"/>
      <c r="D13" s="3"/>
      <c r="E13" s="19"/>
      <c r="F13" s="3"/>
      <c r="G13" s="3"/>
      <c r="H13" s="3" t="s">
        <v>19</v>
      </c>
      <c r="I13" s="3"/>
      <c r="J13" s="3"/>
      <c r="K13" s="3"/>
      <c r="L13" s="8"/>
    </row>
    <row r="14" spans="1:12" ht="18.75" thickBot="1" x14ac:dyDescent="0.3">
      <c r="A14" s="3" t="s">
        <v>20</v>
      </c>
      <c r="B14" s="3"/>
      <c r="C14" s="3"/>
      <c r="D14" s="3"/>
      <c r="E14" s="20">
        <f>SUM(E10:E12)</f>
        <v>105462081</v>
      </c>
      <c r="F14" s="3"/>
      <c r="G14" s="3"/>
      <c r="H14" s="3" t="s">
        <v>21</v>
      </c>
      <c r="I14" s="3"/>
      <c r="J14" s="3"/>
      <c r="K14" s="3"/>
      <c r="L14" s="17">
        <f>SUM(L9:L11)</f>
        <v>-353769.33999999997</v>
      </c>
    </row>
    <row r="15" spans="1:12" ht="18.75" thickTop="1" x14ac:dyDescent="0.25">
      <c r="A15" s="3"/>
      <c r="B15" s="3"/>
      <c r="C15" s="3"/>
      <c r="D15" s="3"/>
      <c r="E15" s="19"/>
      <c r="F15" s="3"/>
      <c r="G15" s="3"/>
      <c r="H15" s="3" t="s">
        <v>22</v>
      </c>
      <c r="I15" s="3"/>
      <c r="J15" s="3"/>
      <c r="K15" s="3"/>
      <c r="L15" s="21">
        <f>(E8)</f>
        <v>110672285</v>
      </c>
    </row>
    <row r="16" spans="1:12" ht="18" x14ac:dyDescent="0.25">
      <c r="A16" s="3" t="s">
        <v>23</v>
      </c>
      <c r="B16" s="3"/>
      <c r="C16" s="3"/>
      <c r="D16" s="3"/>
      <c r="E16" s="20"/>
      <c r="F16" s="3"/>
      <c r="G16" s="3"/>
      <c r="H16" s="3" t="s">
        <v>24</v>
      </c>
      <c r="I16" s="3"/>
      <c r="J16" s="3"/>
      <c r="K16" s="3"/>
      <c r="L16" s="8"/>
    </row>
    <row r="17" spans="1:12" ht="18.75" thickBot="1" x14ac:dyDescent="0.3">
      <c r="A17" s="3" t="s">
        <v>25</v>
      </c>
      <c r="B17" s="3"/>
      <c r="C17" s="3"/>
      <c r="D17" s="3"/>
      <c r="E17" s="20">
        <f>SUM(E8-E14)</f>
        <v>5210204</v>
      </c>
      <c r="F17" s="3"/>
      <c r="G17" s="3"/>
      <c r="H17" s="3" t="s">
        <v>26</v>
      </c>
      <c r="I17" s="3"/>
      <c r="J17" s="3"/>
      <c r="K17" s="3"/>
      <c r="L17" s="22">
        <f>(L9/L15)</f>
        <v>-4.6600104082065354E-3</v>
      </c>
    </row>
    <row r="18" spans="1:12" ht="18.75" thickTop="1" x14ac:dyDescent="0.25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23"/>
    </row>
    <row r="19" spans="1:12" ht="18.75" thickBot="1" x14ac:dyDescent="0.3">
      <c r="A19" s="9" t="s">
        <v>27</v>
      </c>
      <c r="B19" s="3"/>
      <c r="C19" s="3"/>
      <c r="D19" s="3"/>
      <c r="E19" s="7" t="str">
        <f>E6</f>
        <v>JUNE</v>
      </c>
      <c r="F19" s="3"/>
      <c r="G19" s="3"/>
      <c r="H19" s="9" t="s">
        <v>28</v>
      </c>
      <c r="I19" s="3"/>
      <c r="J19" s="3"/>
      <c r="K19" s="3"/>
      <c r="L19" s="3"/>
    </row>
    <row r="20" spans="1:12" ht="18.75" thickTop="1" x14ac:dyDescent="0.25">
      <c r="A20" s="3"/>
      <c r="B20" s="3"/>
      <c r="C20" s="3"/>
      <c r="D20" s="3"/>
      <c r="E20" s="10"/>
      <c r="F20" s="3"/>
      <c r="G20" s="3"/>
      <c r="H20" s="3" t="s">
        <v>29</v>
      </c>
      <c r="I20" s="3"/>
      <c r="J20" s="3"/>
      <c r="K20" s="3"/>
      <c r="L20" s="24">
        <f>(F70)</f>
        <v>4.2699999999999996</v>
      </c>
    </row>
    <row r="21" spans="1:12" ht="18.75" thickBot="1" x14ac:dyDescent="0.3">
      <c r="A21" s="3" t="s">
        <v>30</v>
      </c>
      <c r="B21" s="3"/>
      <c r="C21" s="3"/>
      <c r="D21" s="3"/>
      <c r="E21" s="45">
        <f>+'APR21'!L32</f>
        <v>-0.67100000000000004</v>
      </c>
      <c r="F21" s="26"/>
      <c r="G21" s="3"/>
      <c r="H21" s="3" t="s">
        <v>31</v>
      </c>
      <c r="I21" s="3"/>
      <c r="J21" s="3"/>
      <c r="K21" s="3"/>
      <c r="L21" s="27" t="str">
        <f>E6</f>
        <v>JUNE</v>
      </c>
    </row>
    <row r="22" spans="1:12" ht="18.75" thickTop="1" x14ac:dyDescent="0.25">
      <c r="A22" s="3" t="s">
        <v>32</v>
      </c>
      <c r="B22" s="3"/>
      <c r="C22" s="3"/>
      <c r="D22" s="3"/>
      <c r="E22" s="28"/>
      <c r="F22" s="3"/>
      <c r="G22" s="3"/>
      <c r="H22" s="3" t="s">
        <v>33</v>
      </c>
      <c r="I22" s="3"/>
      <c r="J22" s="3"/>
      <c r="K22" s="3"/>
      <c r="L22" s="10"/>
    </row>
    <row r="23" spans="1:12" ht="18" x14ac:dyDescent="0.25">
      <c r="A23" s="3" t="s">
        <v>34</v>
      </c>
      <c r="B23" s="3"/>
      <c r="C23" s="3"/>
      <c r="D23" s="3"/>
      <c r="E23" s="12">
        <f>E10-E24</f>
        <v>105526779</v>
      </c>
      <c r="F23" s="3"/>
      <c r="G23" s="3"/>
      <c r="H23" s="3" t="s">
        <v>35</v>
      </c>
      <c r="I23" s="3"/>
      <c r="J23" s="3"/>
      <c r="K23" s="3"/>
      <c r="L23" s="29">
        <f>ROUND(E17/E8*100,2)</f>
        <v>4.71</v>
      </c>
    </row>
    <row r="24" spans="1:12" ht="18" x14ac:dyDescent="0.25">
      <c r="A24" s="3" t="s">
        <v>36</v>
      </c>
      <c r="B24" s="3"/>
      <c r="C24" s="3"/>
      <c r="D24" s="3"/>
      <c r="E24" s="51">
        <f>+DATA!$G$9</f>
        <v>-91147</v>
      </c>
      <c r="F24" s="3"/>
      <c r="G24" s="3"/>
      <c r="H24" s="3"/>
      <c r="I24" s="3"/>
      <c r="J24" s="3"/>
      <c r="K24" s="3"/>
      <c r="L24" s="8"/>
    </row>
    <row r="25" spans="1:12" ht="18" x14ac:dyDescent="0.25">
      <c r="A25" s="3" t="s">
        <v>37</v>
      </c>
      <c r="B25" s="3"/>
      <c r="C25" s="3"/>
      <c r="D25" s="3"/>
      <c r="E25" s="19"/>
      <c r="F25" s="3"/>
      <c r="G25" s="3"/>
      <c r="H25" s="9" t="s">
        <v>38</v>
      </c>
      <c r="I25" s="3"/>
      <c r="J25" s="3"/>
      <c r="K25" s="3"/>
      <c r="L25" s="3"/>
    </row>
    <row r="26" spans="1:12" ht="18.75" thickBot="1" x14ac:dyDescent="0.3">
      <c r="A26" s="3" t="s">
        <v>39</v>
      </c>
      <c r="B26" s="3"/>
      <c r="C26" s="3"/>
      <c r="D26" s="3"/>
      <c r="E26" s="20">
        <f>SUM(E23:E25)</f>
        <v>105435632</v>
      </c>
      <c r="F26" s="3"/>
      <c r="G26" s="3"/>
      <c r="H26" s="3"/>
      <c r="I26" s="3"/>
      <c r="J26" s="3"/>
      <c r="K26" s="3"/>
      <c r="L26" s="3"/>
    </row>
    <row r="27" spans="1:12" ht="18.75" thickTop="1" x14ac:dyDescent="0.25">
      <c r="A27" s="3" t="s">
        <v>40</v>
      </c>
      <c r="B27" s="3"/>
      <c r="C27" s="3"/>
      <c r="D27" s="3"/>
      <c r="E27" s="10"/>
      <c r="F27" s="3"/>
      <c r="G27" s="3"/>
      <c r="H27" s="3" t="s">
        <v>41</v>
      </c>
      <c r="I27" s="3"/>
      <c r="J27" s="3"/>
      <c r="K27" s="3"/>
      <c r="L27" s="3"/>
    </row>
    <row r="28" spans="1:12" ht="18" x14ac:dyDescent="0.25">
      <c r="A28" s="3" t="s">
        <v>42</v>
      </c>
      <c r="B28" s="3"/>
      <c r="C28" s="3"/>
      <c r="D28" s="3"/>
      <c r="E28" s="46">
        <f>+'APR21'!L14</f>
        <v>-551314.07999999996</v>
      </c>
      <c r="F28" s="3"/>
      <c r="G28" s="3"/>
      <c r="H28" s="3" t="s">
        <v>43</v>
      </c>
      <c r="I28" s="3"/>
      <c r="J28" s="3"/>
      <c r="K28" s="3"/>
      <c r="L28" s="24">
        <f>SUM(100-+(L20))</f>
        <v>95.73</v>
      </c>
    </row>
    <row r="29" spans="1:12" ht="18" x14ac:dyDescent="0.25">
      <c r="A29" s="3" t="s">
        <v>44</v>
      </c>
      <c r="B29" s="3"/>
      <c r="C29" s="3"/>
      <c r="D29" s="3"/>
      <c r="E29" s="31"/>
      <c r="F29" s="3"/>
      <c r="G29" s="3"/>
      <c r="H29" s="3" t="s">
        <v>45</v>
      </c>
      <c r="I29" s="3"/>
      <c r="J29" s="3"/>
      <c r="K29" s="3"/>
      <c r="L29" s="8"/>
    </row>
    <row r="30" spans="1:12" ht="18" x14ac:dyDescent="0.25">
      <c r="A30" s="3" t="s">
        <v>46</v>
      </c>
      <c r="B30" s="3"/>
      <c r="C30" s="3"/>
      <c r="D30" s="3"/>
      <c r="E30" s="46">
        <f>+DATA!$H$9</f>
        <v>-713278.74</v>
      </c>
      <c r="F30" s="17"/>
      <c r="G30" s="3"/>
      <c r="H30" s="3" t="s">
        <v>47</v>
      </c>
      <c r="I30" s="3"/>
      <c r="J30" s="3"/>
      <c r="K30" s="3"/>
      <c r="L30" s="22">
        <f>ROUND(L14/L15,5)</f>
        <v>-3.2000000000000002E-3</v>
      </c>
    </row>
    <row r="31" spans="1:12" ht="18" x14ac:dyDescent="0.25">
      <c r="A31" s="3" t="s">
        <v>48</v>
      </c>
      <c r="B31" s="3"/>
      <c r="C31" s="3"/>
      <c r="D31" s="3"/>
      <c r="E31" s="15"/>
      <c r="F31" s="17"/>
      <c r="G31" s="3"/>
      <c r="H31" s="3" t="s">
        <v>49</v>
      </c>
      <c r="I31" s="3"/>
      <c r="J31" s="3"/>
      <c r="K31" s="3"/>
      <c r="L31" s="23">
        <f>ROUND(L30/L28*100,5)</f>
        <v>-3.3400000000000001E-3</v>
      </c>
    </row>
    <row r="32" spans="1:12" ht="18.75" thickBot="1" x14ac:dyDescent="0.3">
      <c r="A32" s="3" t="s">
        <v>50</v>
      </c>
      <c r="B32" s="3"/>
      <c r="C32" s="3"/>
      <c r="D32" s="3"/>
      <c r="E32" s="17">
        <f>SUM(E28-E30)</f>
        <v>161964.66000000003</v>
      </c>
      <c r="F32" s="3"/>
      <c r="G32" s="3"/>
      <c r="H32" s="3" t="s">
        <v>51</v>
      </c>
      <c r="I32" s="3"/>
      <c r="J32" s="3"/>
      <c r="K32" s="3"/>
      <c r="L32" s="32">
        <f>ROUND(L31*100,3)</f>
        <v>-0.33400000000000002</v>
      </c>
    </row>
    <row r="33" spans="1:12" ht="18.75" thickTop="1" x14ac:dyDescent="0.25">
      <c r="A33" s="3"/>
      <c r="B33" s="3"/>
      <c r="C33" s="3"/>
      <c r="D33" s="3"/>
      <c r="E33" s="10"/>
      <c r="F33" s="3"/>
      <c r="G33" s="3"/>
      <c r="H33" s="3"/>
      <c r="I33" s="3"/>
      <c r="J33" s="3"/>
      <c r="K33" s="3"/>
      <c r="L33" s="10"/>
    </row>
    <row r="34" spans="1:12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" x14ac:dyDescent="0.25">
      <c r="A36" s="3"/>
      <c r="B36" s="3" t="s">
        <v>52</v>
      </c>
      <c r="C36" s="3"/>
      <c r="D36" s="3"/>
      <c r="E36" s="3"/>
      <c r="F36" s="33">
        <f>(L32)</f>
        <v>-0.33400000000000002</v>
      </c>
      <c r="G36" s="3" t="s">
        <v>53</v>
      </c>
      <c r="H36" s="3"/>
      <c r="I36" s="3"/>
      <c r="J36" s="3"/>
      <c r="K36" s="3"/>
      <c r="L36" s="3"/>
    </row>
    <row r="37" spans="1:12" ht="18" x14ac:dyDescent="0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</row>
    <row r="38" spans="1:12" ht="18" x14ac:dyDescent="0.25">
      <c r="A38" s="3"/>
      <c r="B38" s="47" t="s">
        <v>109</v>
      </c>
      <c r="C38" s="41"/>
      <c r="D38" s="38"/>
      <c r="E38" s="38"/>
      <c r="F38" s="38"/>
      <c r="G38" s="38"/>
      <c r="H38" s="38" t="s">
        <v>54</v>
      </c>
      <c r="I38" s="47" t="s">
        <v>106</v>
      </c>
      <c r="J38" s="41"/>
      <c r="K38" s="3"/>
      <c r="L38" s="3"/>
    </row>
    <row r="39" spans="1:12" ht="18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3"/>
      <c r="L39" s="3"/>
    </row>
    <row r="40" spans="1:12" ht="18" x14ac:dyDescent="0.25">
      <c r="A40" s="3"/>
      <c r="B40" s="3" t="s">
        <v>55</v>
      </c>
      <c r="C40" s="3" t="s">
        <v>88</v>
      </c>
      <c r="D40" s="3"/>
      <c r="E40" s="3"/>
      <c r="F40" s="3"/>
      <c r="G40" s="3"/>
      <c r="H40" s="3" t="s">
        <v>56</v>
      </c>
      <c r="I40" s="35" t="s">
        <v>57</v>
      </c>
      <c r="J40" s="9"/>
      <c r="K40" s="3"/>
      <c r="L40" s="3"/>
    </row>
    <row r="41" spans="1:12" ht="18" x14ac:dyDescent="0.25">
      <c r="A41" s="3"/>
      <c r="B41" s="3"/>
      <c r="C41" s="8"/>
      <c r="D41" s="8"/>
      <c r="E41" s="8"/>
      <c r="F41" s="8"/>
      <c r="G41" s="3"/>
      <c r="H41" s="3"/>
      <c r="I41" s="9"/>
      <c r="J41" s="9"/>
      <c r="K41" s="3"/>
      <c r="L41" s="3"/>
    </row>
    <row r="42" spans="1:12" ht="18" x14ac:dyDescent="0.25">
      <c r="A42" s="3"/>
      <c r="B42" s="3" t="s">
        <v>58</v>
      </c>
      <c r="C42" s="36" t="s">
        <v>59</v>
      </c>
      <c r="D42" s="36"/>
      <c r="E42" s="36"/>
      <c r="F42" s="36"/>
      <c r="G42" s="3"/>
      <c r="H42" s="3" t="s">
        <v>60</v>
      </c>
      <c r="I42" s="9" t="s">
        <v>94</v>
      </c>
      <c r="J42" s="9"/>
      <c r="K42" s="3"/>
      <c r="L42" s="3"/>
    </row>
    <row r="43" spans="1:12" ht="18" x14ac:dyDescent="0.25">
      <c r="A43" s="3"/>
      <c r="B43" s="3"/>
      <c r="C43" s="37"/>
      <c r="D43" s="37"/>
      <c r="E43" s="37"/>
      <c r="F43" s="37"/>
      <c r="G43" s="3"/>
      <c r="H43" s="3"/>
      <c r="I43" s="3"/>
      <c r="J43" s="3"/>
      <c r="K43" s="3"/>
      <c r="L43" s="3"/>
    </row>
    <row r="44" spans="1:12" ht="18" x14ac:dyDescent="0.25">
      <c r="A44" s="3"/>
      <c r="B44" s="3"/>
      <c r="C44" s="37"/>
      <c r="D44" s="37"/>
      <c r="E44" s="37"/>
      <c r="F44" s="37"/>
      <c r="G44" s="3"/>
      <c r="H44" s="3"/>
      <c r="I44" s="3"/>
      <c r="J44" s="3"/>
      <c r="K44" s="3"/>
      <c r="L44" s="3"/>
    </row>
    <row r="45" spans="1:12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x14ac:dyDescent="0.25">
      <c r="A46" s="3"/>
      <c r="B46" s="3"/>
      <c r="C46" s="3"/>
      <c r="D46" s="3"/>
      <c r="E46" s="5" t="s">
        <v>61</v>
      </c>
      <c r="F46" s="4"/>
      <c r="G46" s="3"/>
      <c r="H46" s="3"/>
      <c r="I46" s="3"/>
      <c r="J46" s="3"/>
      <c r="K46" s="3"/>
      <c r="L46" s="3"/>
    </row>
    <row r="47" spans="1:12" ht="18" x14ac:dyDescent="0.25">
      <c r="A47" s="3"/>
      <c r="B47" s="3"/>
      <c r="C47" s="3"/>
      <c r="D47" s="3"/>
      <c r="E47" s="5" t="s">
        <v>62</v>
      </c>
      <c r="F47" s="4"/>
      <c r="G47" s="3"/>
      <c r="H47" s="3"/>
      <c r="I47" s="3"/>
      <c r="J47" s="3"/>
      <c r="K47" s="3"/>
      <c r="L47" s="3"/>
    </row>
    <row r="48" spans="1:12" ht="18" x14ac:dyDescent="0.25">
      <c r="A48" s="3"/>
      <c r="B48" s="3"/>
      <c r="C48" s="3"/>
      <c r="D48" s="3"/>
      <c r="E48" s="5" t="s">
        <v>63</v>
      </c>
      <c r="F48" s="4"/>
      <c r="G48" s="3"/>
      <c r="H48" s="3"/>
      <c r="I48" s="3"/>
      <c r="J48" s="3"/>
      <c r="K48" s="3"/>
      <c r="L48" s="3"/>
    </row>
    <row r="49" spans="1:12" ht="18" x14ac:dyDescent="0.25">
      <c r="A49" s="3"/>
      <c r="B49" s="3"/>
      <c r="C49" s="3"/>
      <c r="D49" s="3"/>
      <c r="E49" s="83" t="s">
        <v>108</v>
      </c>
      <c r="F49" s="84"/>
      <c r="G49" s="84"/>
      <c r="H49" s="84"/>
      <c r="I49" s="3"/>
      <c r="J49" s="3"/>
      <c r="K49" s="3"/>
      <c r="L49" s="3"/>
    </row>
    <row r="50" spans="1:12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x14ac:dyDescent="0.25">
      <c r="A54" s="3"/>
      <c r="B54" s="3"/>
      <c r="C54" s="3"/>
      <c r="D54" s="3"/>
      <c r="E54" s="3"/>
      <c r="F54" s="3"/>
      <c r="G54" s="3"/>
      <c r="H54" s="26" t="s">
        <v>64</v>
      </c>
      <c r="I54" s="26" t="s">
        <v>65</v>
      </c>
      <c r="J54" s="26" t="s">
        <v>66</v>
      </c>
      <c r="K54" s="26" t="s">
        <v>67</v>
      </c>
      <c r="L54" s="3"/>
    </row>
    <row r="55" spans="1:12" ht="18" x14ac:dyDescent="0.25">
      <c r="A55" s="3"/>
      <c r="B55" s="3"/>
      <c r="C55" s="3"/>
      <c r="D55" s="3"/>
      <c r="E55" s="3"/>
      <c r="F55" s="3"/>
      <c r="G55" s="3"/>
      <c r="H55" s="26" t="s">
        <v>0</v>
      </c>
      <c r="I55" s="26" t="s">
        <v>0</v>
      </c>
      <c r="J55" s="26" t="s">
        <v>68</v>
      </c>
      <c r="K55" s="26" t="s">
        <v>0</v>
      </c>
      <c r="L55" s="3"/>
    </row>
    <row r="56" spans="1:12" ht="18" x14ac:dyDescent="0.25">
      <c r="A56" s="3"/>
      <c r="B56" s="3"/>
      <c r="C56" s="3"/>
      <c r="D56" s="3"/>
      <c r="E56" s="3"/>
      <c r="F56" s="3"/>
      <c r="G56" s="3"/>
      <c r="H56" s="26" t="s">
        <v>69</v>
      </c>
      <c r="I56" s="26" t="s">
        <v>70</v>
      </c>
      <c r="J56" s="26" t="s">
        <v>71</v>
      </c>
      <c r="K56" s="26" t="s">
        <v>72</v>
      </c>
      <c r="L56" s="3"/>
    </row>
    <row r="57" spans="1:12" ht="18" x14ac:dyDescent="0.25">
      <c r="A57" s="3"/>
      <c r="B57" s="3"/>
      <c r="C57" s="3"/>
      <c r="D57" s="3"/>
      <c r="E57" s="3"/>
      <c r="F57" s="3"/>
      <c r="G57" s="3"/>
      <c r="H57" s="8"/>
      <c r="I57" s="8"/>
      <c r="J57" s="8"/>
      <c r="K57" s="8"/>
      <c r="L57" s="3"/>
    </row>
    <row r="58" spans="1:12" ht="18" x14ac:dyDescent="0.25">
      <c r="A58" s="3"/>
      <c r="B58" s="3" t="s">
        <v>73</v>
      </c>
      <c r="C58" s="3"/>
      <c r="D58" s="3"/>
      <c r="E58" s="3"/>
      <c r="F58" s="3"/>
      <c r="G58" s="3"/>
      <c r="H58" s="43">
        <f>+'MAY21'!H64</f>
        <v>1262510834</v>
      </c>
      <c r="I58" s="43">
        <f>+'MAY21'!I64</f>
        <v>1210685974</v>
      </c>
      <c r="J58" s="43">
        <f>+'MAY21'!J64</f>
        <v>422785</v>
      </c>
      <c r="K58" s="20">
        <f>H58-I58-J58</f>
        <v>51402075</v>
      </c>
      <c r="L58" s="20"/>
    </row>
    <row r="59" spans="1:12" ht="18" x14ac:dyDescent="0.25">
      <c r="A59" s="3"/>
      <c r="B59" s="3"/>
      <c r="C59" s="3"/>
      <c r="D59" s="3"/>
      <c r="E59" s="3"/>
      <c r="F59" s="3"/>
      <c r="G59" s="3"/>
      <c r="H59" s="12"/>
      <c r="I59" s="12"/>
      <c r="J59" s="12"/>
      <c r="K59" s="3"/>
      <c r="L59" s="3"/>
    </row>
    <row r="60" spans="1:12" ht="18" x14ac:dyDescent="0.25">
      <c r="A60" s="3"/>
      <c r="B60" s="3" t="s">
        <v>74</v>
      </c>
      <c r="C60" s="3"/>
      <c r="D60" s="3"/>
      <c r="E60" s="3"/>
      <c r="F60" s="3"/>
      <c r="G60" s="3"/>
      <c r="H60" s="39">
        <v>105354832</v>
      </c>
      <c r="I60" s="39">
        <v>102866544</v>
      </c>
      <c r="J60" s="39">
        <v>26487</v>
      </c>
      <c r="K60" s="3"/>
      <c r="L60" s="3"/>
    </row>
    <row r="61" spans="1:12" ht="18" x14ac:dyDescent="0.25">
      <c r="A61" s="3"/>
      <c r="B61" s="3"/>
      <c r="C61" s="3"/>
      <c r="D61" s="3"/>
      <c r="E61" s="3"/>
      <c r="F61" s="3"/>
      <c r="G61" s="3"/>
      <c r="H61" s="12"/>
      <c r="I61" s="12"/>
      <c r="J61" s="12"/>
      <c r="K61" s="3"/>
      <c r="L61" s="3"/>
    </row>
    <row r="62" spans="1:12" ht="18" x14ac:dyDescent="0.25">
      <c r="A62" s="3"/>
      <c r="B62" s="3" t="s">
        <v>75</v>
      </c>
      <c r="C62" s="3"/>
      <c r="D62" s="3"/>
      <c r="E62" s="3"/>
      <c r="F62" s="3"/>
      <c r="G62" s="3"/>
      <c r="H62" s="44">
        <f>+E8</f>
        <v>110672285</v>
      </c>
      <c r="I62" s="44">
        <f>+E10</f>
        <v>105435632</v>
      </c>
      <c r="J62" s="44">
        <f>+E12</f>
        <v>26449</v>
      </c>
      <c r="K62" s="3"/>
      <c r="L62" s="3"/>
    </row>
    <row r="63" spans="1:12" ht="18" x14ac:dyDescent="0.25">
      <c r="A63" s="3"/>
      <c r="B63" s="3"/>
      <c r="C63" s="3"/>
      <c r="D63" s="3"/>
      <c r="E63" s="3"/>
      <c r="F63" s="3"/>
      <c r="G63" s="3"/>
      <c r="H63" s="20"/>
      <c r="I63" s="3"/>
      <c r="J63" s="3"/>
      <c r="K63" s="3"/>
      <c r="L63" s="3"/>
    </row>
    <row r="64" spans="1:12" ht="18" x14ac:dyDescent="0.25">
      <c r="A64" s="3"/>
      <c r="B64" s="3" t="s">
        <v>76</v>
      </c>
      <c r="C64" s="3"/>
      <c r="D64" s="3"/>
      <c r="E64" s="3"/>
      <c r="F64" s="3"/>
      <c r="G64" s="3"/>
      <c r="H64" s="20">
        <f>SUM(H58-H60+H62)</f>
        <v>1267828287</v>
      </c>
      <c r="I64" s="20">
        <f>SUM(I58-I60+I62)</f>
        <v>1213255062</v>
      </c>
      <c r="J64" s="20">
        <f>SUM(J58-J60+J62)</f>
        <v>422747</v>
      </c>
      <c r="K64" s="20">
        <f>SUM(H64-I64-J64)</f>
        <v>54150478</v>
      </c>
      <c r="L64" s="20"/>
    </row>
    <row r="65" spans="1:12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 x14ac:dyDescent="0.25">
      <c r="A67" s="3"/>
      <c r="B67" s="26" t="s">
        <v>77</v>
      </c>
      <c r="C67" s="3"/>
      <c r="D67" s="26" t="s">
        <v>77</v>
      </c>
      <c r="E67" s="3"/>
      <c r="F67" s="3"/>
      <c r="G67" s="3"/>
      <c r="H67" s="3"/>
      <c r="I67" s="3"/>
      <c r="J67" s="3"/>
      <c r="K67" s="3"/>
      <c r="L67" s="3"/>
    </row>
    <row r="68" spans="1:12" ht="18" x14ac:dyDescent="0.25">
      <c r="A68" s="3"/>
      <c r="B68" s="26" t="s">
        <v>78</v>
      </c>
      <c r="C68" s="3"/>
      <c r="D68" s="26" t="s">
        <v>79</v>
      </c>
      <c r="E68" s="3"/>
      <c r="F68" s="3"/>
      <c r="G68" s="3"/>
      <c r="H68" s="3"/>
      <c r="I68" s="3"/>
      <c r="J68" s="3"/>
      <c r="K68" s="3"/>
      <c r="L68" s="3"/>
    </row>
    <row r="69" spans="1:12" ht="18" x14ac:dyDescent="0.25">
      <c r="A69" s="3"/>
      <c r="B69" s="8"/>
      <c r="C69" s="3"/>
      <c r="D69" s="8"/>
      <c r="E69" s="3"/>
      <c r="F69" s="3"/>
      <c r="G69" s="3"/>
      <c r="H69" s="3"/>
      <c r="I69" s="3"/>
      <c r="J69" s="3"/>
      <c r="K69" s="3"/>
      <c r="L69" s="3"/>
    </row>
    <row r="70" spans="1:12" ht="18" x14ac:dyDescent="0.25">
      <c r="A70" s="3"/>
      <c r="B70" s="20">
        <f>(K64)</f>
        <v>54150478</v>
      </c>
      <c r="C70" s="3" t="s">
        <v>80</v>
      </c>
      <c r="D70" s="20">
        <f>(H64)</f>
        <v>1267828287</v>
      </c>
      <c r="E70" s="3" t="s">
        <v>81</v>
      </c>
      <c r="F70" s="24">
        <f>ROUND(B70/D70*100,2)</f>
        <v>4.2699999999999996</v>
      </c>
      <c r="G70" s="3" t="s">
        <v>82</v>
      </c>
      <c r="H70" s="3"/>
      <c r="I70" s="3"/>
      <c r="J70" s="3"/>
      <c r="K70" s="3"/>
      <c r="L70" s="3"/>
    </row>
  </sheetData>
  <mergeCells count="1">
    <mergeCell ref="E49:H49"/>
  </mergeCells>
  <pageMargins left="0.7" right="0.7" top="0.75" bottom="0.75" header="0.3" footer="0.3"/>
  <pageSetup scale="53" fitToHeight="0" orientation="landscape" r:id="rId1"/>
  <rowBreaks count="1" manualBreakCount="1">
    <brk id="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24</vt:i4>
      </vt:variant>
    </vt:vector>
  </HeadingPairs>
  <TitlesOfParts>
    <vt:vector size="49" baseType="lpstr">
      <vt:lpstr>DATA</vt:lpstr>
      <vt:lpstr>NOV20</vt:lpstr>
      <vt:lpstr>DEC20</vt:lpstr>
      <vt:lpstr>JAN21</vt:lpstr>
      <vt:lpstr>FEB21</vt:lpstr>
      <vt:lpstr>MAR21</vt:lpstr>
      <vt:lpstr>APR21</vt:lpstr>
      <vt:lpstr>MAY21</vt:lpstr>
      <vt:lpstr>JUN21</vt:lpstr>
      <vt:lpstr>JUL21</vt:lpstr>
      <vt:lpstr>AUG21</vt:lpstr>
      <vt:lpstr>SEP21</vt:lpstr>
      <vt:lpstr>OCT21</vt:lpstr>
      <vt:lpstr>NOV21</vt:lpstr>
      <vt:lpstr>DEC21</vt:lpstr>
      <vt:lpstr>JAN22</vt:lpstr>
      <vt:lpstr>FEB22</vt:lpstr>
      <vt:lpstr>MAR22</vt:lpstr>
      <vt:lpstr>APR22</vt:lpstr>
      <vt:lpstr>MAY22</vt:lpstr>
      <vt:lpstr>JUN22</vt:lpstr>
      <vt:lpstr>JUL22</vt:lpstr>
      <vt:lpstr>AUG22</vt:lpstr>
      <vt:lpstr>SEP22</vt:lpstr>
      <vt:lpstr>OCT22</vt:lpstr>
      <vt:lpstr>'APR21'!Print_Area</vt:lpstr>
      <vt:lpstr>'APR22'!Print_Area</vt:lpstr>
      <vt:lpstr>'AUG21'!Print_Area</vt:lpstr>
      <vt:lpstr>'AUG22'!Print_Area</vt:lpstr>
      <vt:lpstr>'DEC20'!Print_Area</vt:lpstr>
      <vt:lpstr>'DEC21'!Print_Area</vt:lpstr>
      <vt:lpstr>'FEB21'!Print_Area</vt:lpstr>
      <vt:lpstr>'FEB22'!Print_Area</vt:lpstr>
      <vt:lpstr>'JAN21'!Print_Area</vt:lpstr>
      <vt:lpstr>'JAN22'!Print_Area</vt:lpstr>
      <vt:lpstr>'JUL21'!Print_Area</vt:lpstr>
      <vt:lpstr>'JUL22'!Print_Area</vt:lpstr>
      <vt:lpstr>'JUN21'!Print_Area</vt:lpstr>
      <vt:lpstr>'JUN22'!Print_Area</vt:lpstr>
      <vt:lpstr>'MAR21'!Print_Area</vt:lpstr>
      <vt:lpstr>'MAR22'!Print_Area</vt:lpstr>
      <vt:lpstr>'MAY21'!Print_Area</vt:lpstr>
      <vt:lpstr>'MAY22'!Print_Area</vt:lpstr>
      <vt:lpstr>'NOV20'!Print_Area</vt:lpstr>
      <vt:lpstr>'NOV21'!Print_Area</vt:lpstr>
      <vt:lpstr>'OCT21'!Print_Area</vt:lpstr>
      <vt:lpstr>'OCT22'!Print_Area</vt:lpstr>
      <vt:lpstr>'SEP21'!Print_Area</vt:lpstr>
      <vt:lpstr>'SEP22'!Print_Area</vt:lpstr>
    </vt:vector>
  </TitlesOfParts>
  <Company>Salt River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Roby</dc:creator>
  <cp:lastModifiedBy>Diana K. Edwards</cp:lastModifiedBy>
  <cp:lastPrinted>2024-06-14T16:31:31Z</cp:lastPrinted>
  <dcterms:created xsi:type="dcterms:W3CDTF">2023-09-18T12:04:57Z</dcterms:created>
  <dcterms:modified xsi:type="dcterms:W3CDTF">2024-06-14T16:51:44Z</dcterms:modified>
</cp:coreProperties>
</file>