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2nd Set Data Requests/"/>
    </mc:Choice>
  </mc:AlternateContent>
  <xr:revisionPtr revIDLastSave="0" documentId="13_ncr:1_{4F4EC748-5212-4A81-AB28-43F81560F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-02-0014 Attachment" sheetId="1" r:id="rId1"/>
    <sheet name="Coal Spec" sheetId="4" state="hidden" r:id="rId2"/>
  </sheets>
  <externalReferences>
    <externalReference r:id="rId3"/>
  </externalReferences>
  <definedNames>
    <definedName name="Amount">'[1]Sup Data'!$K$2:$K$1259</definedName>
    <definedName name="BegDate">'DR-02-0014 Attachment'!#REF!</definedName>
    <definedName name="CoalSpecs">#REF!</definedName>
    <definedName name="Contract">'[1]Sup Data'!$G$2:$G$1259</definedName>
    <definedName name="Date">'[1]Sup Data'!$C$2:$C$1259</definedName>
    <definedName name="EndDate">'DR-02-0014 Attachment'!#REF!</definedName>
    <definedName name="MonthTable">'[1]DR-01-025, PJM Costs'!$E$1:$G$19</definedName>
    <definedName name="PJM_EnergyCost">'[1]DR-01-025, PJM Costs'!$B$2:$B$19</definedName>
    <definedName name="PJM_Month">'[1]DR-01-025, PJM Costs'!$E$2:$E$19</definedName>
    <definedName name="PJM_NonNative">'[1]DR-01-025, PJM Costs'!$D$2:$D$19</definedName>
    <definedName name="PJM_Type">'[1]DR-01-025, PJM Costs'!$A$2:$A$19</definedName>
    <definedName name="_xlnm.Print_Area" localSheetId="0">'DR-02-0014 Attachment'!$A$2:$I$15</definedName>
    <definedName name="PurchType">'DR-02-0014 Attachment'!#REF!</definedName>
    <definedName name="PurTons">'DR-02-0014 Attachment'!#REF!</definedName>
    <definedName name="Type">'[1]Sup Data'!$B$2:$B$1259</definedName>
    <definedName name="Vendor">'[1]Sup Data'!$E$2:$E$1259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1" i="1"/>
  <c r="K99" i="4" l="1"/>
  <c r="K96" i="4"/>
  <c r="C96" i="4"/>
  <c r="L89" i="4" l="1"/>
  <c r="K89" i="4" s="1"/>
  <c r="L88" i="4"/>
  <c r="K88" i="4" s="1"/>
  <c r="L87" i="4"/>
  <c r="K87" i="4" s="1"/>
  <c r="L86" i="4"/>
  <c r="K86" i="4" s="1"/>
  <c r="L85" i="4"/>
  <c r="K85" i="4" s="1"/>
  <c r="X33" i="4" l="1"/>
  <c r="Z33" i="4" s="1"/>
  <c r="T33" i="4"/>
  <c r="AB33" i="4" s="1"/>
  <c r="R33" i="4"/>
  <c r="X32" i="4"/>
  <c r="T32" i="4"/>
  <c r="V32" i="4" s="1"/>
  <c r="R32" i="4"/>
  <c r="AD31" i="4"/>
  <c r="AB31" i="4"/>
  <c r="Z31" i="4"/>
  <c r="X31" i="4"/>
  <c r="V31" i="4"/>
  <c r="T31" i="4"/>
  <c r="R31" i="4"/>
  <c r="X30" i="4"/>
  <c r="Z30" i="4" s="1"/>
  <c r="T30" i="4"/>
  <c r="V30" i="4" s="1"/>
  <c r="R30" i="4"/>
  <c r="AD29" i="4"/>
  <c r="AB29" i="4"/>
  <c r="Z29" i="4"/>
  <c r="X29" i="4"/>
  <c r="V29" i="4"/>
  <c r="T29" i="4"/>
  <c r="R29" i="4"/>
  <c r="AD28" i="4"/>
  <c r="AB28" i="4"/>
  <c r="Z28" i="4"/>
  <c r="X28" i="4"/>
  <c r="V28" i="4"/>
  <c r="T28" i="4"/>
  <c r="R28" i="4"/>
  <c r="X27" i="4"/>
  <c r="Z27" i="4" s="1"/>
  <c r="T27" i="4"/>
  <c r="AB27" i="4" s="1"/>
  <c r="R27" i="4"/>
  <c r="X26" i="4"/>
  <c r="Z26" i="4" s="1"/>
  <c r="T26" i="4"/>
  <c r="R26" i="4"/>
  <c r="AB32" i="4" l="1"/>
  <c r="AB30" i="4"/>
  <c r="AB26" i="4"/>
  <c r="AD30" i="4"/>
  <c r="Z32" i="4"/>
  <c r="AD32" i="4" s="1"/>
  <c r="V27" i="4"/>
  <c r="AD27" i="4" s="1"/>
  <c r="V33" i="4"/>
  <c r="AD33" i="4" s="1"/>
  <c r="V26" i="4"/>
  <c r="AD26" i="4" s="1"/>
  <c r="X23" i="4" l="1"/>
  <c r="Z23" i="4" s="1"/>
  <c r="T23" i="4"/>
  <c r="AB23" i="4" s="1"/>
  <c r="R23" i="4"/>
  <c r="X22" i="4"/>
  <c r="Z22" i="4" s="1"/>
  <c r="T22" i="4"/>
  <c r="R22" i="4"/>
  <c r="AD21" i="4"/>
  <c r="AB21" i="4"/>
  <c r="Z21" i="4"/>
  <c r="X21" i="4"/>
  <c r="V21" i="4"/>
  <c r="T21" i="4"/>
  <c r="R21" i="4"/>
  <c r="X20" i="4"/>
  <c r="Z20" i="4" s="1"/>
  <c r="T20" i="4"/>
  <c r="V20" i="4" s="1"/>
  <c r="R20" i="4"/>
  <c r="AD19" i="4"/>
  <c r="AB19" i="4"/>
  <c r="Z19" i="4"/>
  <c r="X19" i="4"/>
  <c r="V19" i="4"/>
  <c r="T19" i="4"/>
  <c r="R19" i="4"/>
  <c r="AD18" i="4"/>
  <c r="AB18" i="4"/>
  <c r="Z18" i="4"/>
  <c r="X18" i="4"/>
  <c r="V18" i="4"/>
  <c r="T18" i="4"/>
  <c r="R18" i="4"/>
  <c r="X17" i="4"/>
  <c r="Z17" i="4" s="1"/>
  <c r="T17" i="4"/>
  <c r="V17" i="4" s="1"/>
  <c r="R17" i="4"/>
  <c r="X16" i="4"/>
  <c r="Z16" i="4" s="1"/>
  <c r="T16" i="4"/>
  <c r="R16" i="4"/>
  <c r="X15" i="4"/>
  <c r="T15" i="4"/>
  <c r="V15" i="4" s="1"/>
  <c r="R15" i="4"/>
  <c r="AD17" i="4" l="1"/>
  <c r="AB22" i="4"/>
  <c r="V22" i="4"/>
  <c r="AD22" i="4" s="1"/>
  <c r="AD20" i="4"/>
  <c r="AB16" i="4"/>
  <c r="AB20" i="4"/>
  <c r="AB15" i="4"/>
  <c r="Z15" i="4"/>
  <c r="AD15" i="4" s="1"/>
  <c r="V23" i="4"/>
  <c r="AD23" i="4" s="1"/>
  <c r="V16" i="4"/>
  <c r="AD16" i="4" s="1"/>
  <c r="AB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Yu, Amy C</author>
  </authors>
  <commentList>
    <comment ref="P27" authorId="0" shapeId="0" xr:uid="{E4D40AC4-6ABA-42C0-8245-DDE6AA0E7333}">
      <text>
        <r>
          <rPr>
            <b/>
            <sz val="9"/>
            <color indexed="81"/>
            <rFont val="Tahoma"/>
            <family val="2"/>
          </rPr>
          <t>Yu, Amy C:</t>
        </r>
        <r>
          <rPr>
            <sz val="9"/>
            <color indexed="81"/>
            <rFont val="Tahoma"/>
            <family val="2"/>
          </rPr>
          <t xml:space="preserve">
from WP2</t>
        </r>
      </text>
    </comment>
  </commentList>
</comments>
</file>

<file path=xl/sharedStrings.xml><?xml version="1.0" encoding="utf-8"?>
<sst xmlns="http://schemas.openxmlformats.org/spreadsheetml/2006/main" count="586" uniqueCount="90">
  <si>
    <t>Duke Energy Kentucky</t>
  </si>
  <si>
    <t xml:space="preserve"> </t>
  </si>
  <si>
    <t>Contract</t>
  </si>
  <si>
    <t>Spot</t>
  </si>
  <si>
    <t>Vendor</t>
  </si>
  <si>
    <t>Tonnage</t>
  </si>
  <si>
    <t>Alliance Coal LLC</t>
  </si>
  <si>
    <t>24 months</t>
  </si>
  <si>
    <t>Central Coal Co</t>
  </si>
  <si>
    <t>25 months</t>
  </si>
  <si>
    <t>Iron Coal Sales</t>
  </si>
  <si>
    <t>Foresight Coal Sales</t>
  </si>
  <si>
    <t>Case Coal Sales LLC</t>
  </si>
  <si>
    <t>DEK 34716</t>
  </si>
  <si>
    <t>DEK 34704</t>
  </si>
  <si>
    <t>DEK 34495</t>
  </si>
  <si>
    <t>DEK 34725</t>
  </si>
  <si>
    <t>DEK 34466</t>
  </si>
  <si>
    <t>DEK 35085</t>
  </si>
  <si>
    <t>DEK 35005</t>
  </si>
  <si>
    <t>DEK 35111</t>
  </si>
  <si>
    <t>1/1/2022-1/31/2024</t>
  </si>
  <si>
    <t>1/1/2022-1/31/2023</t>
  </si>
  <si>
    <t>1/1/2022-12/31/2023</t>
  </si>
  <si>
    <t>7/1/2022-3/31/2024</t>
  </si>
  <si>
    <t>13 months</t>
  </si>
  <si>
    <t>21 months</t>
  </si>
  <si>
    <t>Over Received</t>
  </si>
  <si>
    <t>under Received</t>
  </si>
  <si>
    <t>Knighthawk</t>
  </si>
  <si>
    <t>DEK 33097</t>
  </si>
  <si>
    <t>39 months</t>
  </si>
  <si>
    <t>1/1/2019-03/31/2022</t>
  </si>
  <si>
    <t>under received</t>
  </si>
  <si>
    <t xml:space="preserve">Expired in march </t>
  </si>
  <si>
    <t>DEK33982</t>
  </si>
  <si>
    <t>27 months</t>
  </si>
  <si>
    <t>1/1/2020-3/31/2022</t>
  </si>
  <si>
    <t>12 months</t>
  </si>
  <si>
    <t>1/1/2022-12/31/2022</t>
  </si>
  <si>
    <t>Over received</t>
  </si>
  <si>
    <t>36 months</t>
  </si>
  <si>
    <t>1/1/2019-12/31/2021</t>
  </si>
  <si>
    <t>Complete</t>
  </si>
  <si>
    <t>DEK32262</t>
  </si>
  <si>
    <t>1/1/2019-12/31/2020</t>
  </si>
  <si>
    <t>DEK33073</t>
  </si>
  <si>
    <t>Forsight Coal Sales</t>
  </si>
  <si>
    <t>DEK32274</t>
  </si>
  <si>
    <t>1/1/2020-12/31/2021</t>
  </si>
  <si>
    <t>Rollover tons to 2022</t>
  </si>
  <si>
    <t>DEK 34548</t>
  </si>
  <si>
    <t>2022-00040  May 1, 2021 - October 31, 2021</t>
  </si>
  <si>
    <t>FAC 267 November 1, 2021 - April 30, 2022</t>
  </si>
  <si>
    <t>East Bend _1/</t>
  </si>
  <si>
    <t>F</t>
  </si>
  <si>
    <t>WV</t>
  </si>
  <si>
    <t>G</t>
  </si>
  <si>
    <t>C</t>
  </si>
  <si>
    <t>DEK 32262</t>
  </si>
  <si>
    <t>Barge</t>
  </si>
  <si>
    <r>
      <rPr>
        <b/>
        <i/>
        <sz val="10"/>
        <color rgb="FFFF0000"/>
        <rFont val="Arial"/>
        <family val="2"/>
      </rPr>
      <t>F</t>
    </r>
    <r>
      <rPr>
        <b/>
        <i/>
        <sz val="10"/>
        <color indexed="12"/>
        <rFont val="Arial"/>
        <family val="2"/>
      </rPr>
      <t xml:space="preserve"> / ton</t>
    </r>
  </si>
  <si>
    <t>DEK 33073</t>
  </si>
  <si>
    <t>KY</t>
  </si>
  <si>
    <t>S</t>
  </si>
  <si>
    <t>DEK 33148</t>
  </si>
  <si>
    <t/>
  </si>
  <si>
    <t xml:space="preserve">                    -</t>
  </si>
  <si>
    <t xml:space="preserve">              -</t>
  </si>
  <si>
    <t>DEK 33335</t>
  </si>
  <si>
    <t>IL</t>
  </si>
  <si>
    <t>DEK 33982</t>
  </si>
  <si>
    <t>Contura Coal Sales</t>
  </si>
  <si>
    <t>PA</t>
  </si>
  <si>
    <t>DEK 33327</t>
  </si>
  <si>
    <t>DEK 32274</t>
  </si>
  <si>
    <r>
      <rPr>
        <b/>
        <i/>
        <sz val="10"/>
        <color rgb="FFFF0000"/>
        <rFont val="Arial"/>
        <family val="2"/>
      </rPr>
      <t>H</t>
    </r>
    <r>
      <rPr>
        <b/>
        <i/>
        <sz val="10"/>
        <color indexed="12"/>
        <rFont val="Arial"/>
        <family val="2"/>
      </rPr>
      <t xml:space="preserve"> / ton</t>
    </r>
  </si>
  <si>
    <t>ü</t>
  </si>
  <si>
    <t>F / ton</t>
  </si>
  <si>
    <t>FAC 296-November 1, 2020 - April 30, 2021</t>
  </si>
  <si>
    <t>FAC 00012 May 1 2022 -October 31, 2022</t>
  </si>
  <si>
    <t>DEK 34697</t>
  </si>
  <si>
    <t>07/1/21-08/31/21</t>
  </si>
  <si>
    <t>$/ton</t>
  </si>
  <si>
    <t>$/Mmbtu</t>
  </si>
  <si>
    <t>Contract #</t>
  </si>
  <si>
    <t>Case No. 2023-00012- Staff Second Set Data Requests</t>
  </si>
  <si>
    <t xml:space="preserve">Purchased </t>
  </si>
  <si>
    <t>Btu</t>
  </si>
  <si>
    <t>Coal purchased November 1, 2020 -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</si>
</sst>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Arial"/>
      <family val="2"/>
    </font>
    <font>
      <sz val="10"/>
      <name val="Wingdings"/>
      <charset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3" tint="0.39997558519241921"/>
      <name val="Arial"/>
      <family val="2"/>
    </font>
    <font>
      <b/>
      <sz val="12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10" fillId="0" borderId="0" xfId="0" applyFont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quotePrefix="1" applyFont="1" applyFill="1"/>
    <xf numFmtId="0" fontId="8" fillId="0" borderId="0" xfId="68" applyFont="1" applyFill="1"/>
    <xf numFmtId="0" fontId="9" fillId="0" borderId="0" xfId="68" applyFont="1" applyFill="1"/>
    <xf numFmtId="0" fontId="8" fillId="0" borderId="0" xfId="68" applyFont="1" applyFill="1" applyBorder="1"/>
    <xf numFmtId="0" fontId="8" fillId="0" borderId="0" xfId="68" applyFont="1" applyFill="1" applyBorder="1" applyAlignment="1">
      <alignment horizontal="center"/>
    </xf>
    <xf numFmtId="0" fontId="8" fillId="0" borderId="0" xfId="68" applyFont="1" applyFill="1" applyAlignment="1">
      <alignment horizontal="center"/>
    </xf>
    <xf numFmtId="0" fontId="8" fillId="0" borderId="0" xfId="68" applyFont="1" applyFill="1" applyAlignment="1"/>
    <xf numFmtId="0" fontId="8" fillId="0" borderId="0" xfId="68" quotePrefix="1" applyFont="1" applyFill="1"/>
    <xf numFmtId="0" fontId="10" fillId="0" borderId="0" xfId="0" applyFont="1" applyFill="1"/>
    <xf numFmtId="0" fontId="7" fillId="0" borderId="0" xfId="0" applyFont="1" applyFill="1" applyBorder="1" applyAlignment="1">
      <alignment horizontal="center"/>
    </xf>
    <xf numFmtId="0" fontId="6" fillId="0" borderId="0" xfId="58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8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0" fillId="0" borderId="0" xfId="0" applyNumberFormat="1" applyFill="1"/>
    <xf numFmtId="0" fontId="2" fillId="0" borderId="0" xfId="0" applyFont="1" applyFill="1" applyAlignment="1">
      <alignment horizontal="center"/>
    </xf>
    <xf numFmtId="3" fontId="0" fillId="0" borderId="0" xfId="0" applyNumberFormat="1" applyFont="1" applyFill="1"/>
    <xf numFmtId="8" fontId="8" fillId="0" borderId="0" xfId="0" applyNumberFormat="1" applyFont="1" applyFill="1" applyBorder="1"/>
    <xf numFmtId="8" fontId="8" fillId="0" borderId="0" xfId="0" applyNumberFormat="1" applyFont="1" applyFill="1"/>
    <xf numFmtId="8" fontId="8" fillId="0" borderId="0" xfId="68" applyNumberFormat="1" applyFont="1" applyFill="1"/>
    <xf numFmtId="3" fontId="0" fillId="0" borderId="0" xfId="0" applyNumberFormat="1" applyFont="1" applyFill="1" applyBorder="1" applyAlignment="1">
      <alignment horizontal="left" indent="1"/>
    </xf>
    <xf numFmtId="0" fontId="0" fillId="15" borderId="0" xfId="0" applyFill="1"/>
    <xf numFmtId="3" fontId="0" fillId="15" borderId="0" xfId="0" applyNumberFormat="1" applyFill="1"/>
    <xf numFmtId="0" fontId="8" fillId="17" borderId="0" xfId="0" applyFont="1" applyFill="1" applyAlignment="1">
      <alignment horizontal="center"/>
    </xf>
    <xf numFmtId="0" fontId="8" fillId="17" borderId="0" xfId="0" applyFont="1" applyFill="1"/>
    <xf numFmtId="0" fontId="8" fillId="0" borderId="0" xfId="0" applyFont="1"/>
    <xf numFmtId="0" fontId="9" fillId="0" borderId="0" xfId="0" applyFont="1"/>
    <xf numFmtId="0" fontId="13" fillId="0" borderId="0" xfId="123"/>
    <xf numFmtId="0" fontId="8" fillId="0" borderId="0" xfId="123" applyFont="1"/>
    <xf numFmtId="43" fontId="8" fillId="0" borderId="0" xfId="26" applyFont="1"/>
    <xf numFmtId="43" fontId="8" fillId="16" borderId="0" xfId="26" applyFont="1" applyFill="1"/>
    <xf numFmtId="166" fontId="8" fillId="16" borderId="0" xfId="26" applyNumberFormat="1" applyFont="1" applyFill="1"/>
    <xf numFmtId="0" fontId="14" fillId="0" borderId="0" xfId="123" applyFont="1" applyFill="1"/>
    <xf numFmtId="0" fontId="14" fillId="0" borderId="0" xfId="123" applyFont="1"/>
    <xf numFmtId="0" fontId="8" fillId="0" borderId="0" xfId="123" quotePrefix="1" applyFont="1"/>
    <xf numFmtId="0" fontId="8" fillId="17" borderId="0" xfId="123" applyFont="1" applyFill="1"/>
    <xf numFmtId="0" fontId="8" fillId="17" borderId="0" xfId="123" applyFont="1" applyFill="1" applyAlignment="1"/>
    <xf numFmtId="0" fontId="8" fillId="17" borderId="0" xfId="123" applyFont="1" applyFill="1" applyAlignment="1">
      <alignment horizontal="center"/>
    </xf>
    <xf numFmtId="43" fontId="8" fillId="15" borderId="0" xfId="26" applyFont="1" applyFill="1"/>
    <xf numFmtId="165" fontId="8" fillId="15" borderId="0" xfId="26" applyNumberFormat="1" applyFont="1" applyFill="1"/>
    <xf numFmtId="2" fontId="8" fillId="15" borderId="0" xfId="26" applyNumberFormat="1" applyFont="1" applyFill="1"/>
    <xf numFmtId="0" fontId="16" fillId="0" borderId="0" xfId="123" applyFont="1"/>
    <xf numFmtId="43" fontId="8" fillId="15" borderId="0" xfId="26" applyNumberFormat="1" applyFont="1" applyFill="1"/>
    <xf numFmtId="0" fontId="8" fillId="17" borderId="0" xfId="123" applyFont="1" applyFill="1" applyBorder="1" applyAlignment="1">
      <alignment horizontal="center"/>
    </xf>
    <xf numFmtId="0" fontId="9" fillId="0" borderId="0" xfId="123" applyFont="1"/>
    <xf numFmtId="165" fontId="8" fillId="15" borderId="0" xfId="26" applyNumberFormat="1" applyFont="1" applyFill="1" applyBorder="1"/>
    <xf numFmtId="0" fontId="8" fillId="15" borderId="0" xfId="26" applyNumberFormat="1" applyFont="1" applyFill="1"/>
    <xf numFmtId="0" fontId="14" fillId="0" borderId="0" xfId="123" applyFont="1" applyBorder="1"/>
    <xf numFmtId="10" fontId="8" fillId="15" borderId="0" xfId="93" applyNumberFormat="1" applyFont="1" applyFill="1" applyBorder="1"/>
    <xf numFmtId="43" fontId="8" fillId="15" borderId="0" xfId="26" applyFont="1" applyFill="1" applyBorder="1"/>
    <xf numFmtId="0" fontId="8" fillId="17" borderId="0" xfId="123" applyFont="1" applyFill="1" applyBorder="1"/>
    <xf numFmtId="0" fontId="15" fillId="0" borderId="0" xfId="123" applyFont="1" applyAlignment="1">
      <alignment horizontal="left" vertical="top"/>
    </xf>
    <xf numFmtId="0" fontId="8" fillId="0" borderId="0" xfId="0" quotePrefix="1" applyFont="1"/>
    <xf numFmtId="0" fontId="14" fillId="0" borderId="0" xfId="0" applyFont="1"/>
    <xf numFmtId="0" fontId="15" fillId="0" borderId="0" xfId="0" applyFont="1" applyAlignment="1">
      <alignment horizontal="center"/>
    </xf>
    <xf numFmtId="166" fontId="8" fillId="16" borderId="0" xfId="26" applyNumberFormat="1" applyFont="1" applyFill="1" applyBorder="1"/>
    <xf numFmtId="2" fontId="8" fillId="15" borderId="0" xfId="26" applyNumberFormat="1" applyFont="1" applyFill="1" applyBorder="1"/>
    <xf numFmtId="43" fontId="8" fillId="0" borderId="0" xfId="26" applyFont="1" applyBorder="1"/>
    <xf numFmtId="43" fontId="8" fillId="16" borderId="0" xfId="26" applyFont="1" applyFill="1" applyBorder="1"/>
    <xf numFmtId="0" fontId="16" fillId="0" borderId="0" xfId="0" applyFont="1"/>
    <xf numFmtId="17" fontId="9" fillId="0" borderId="0" xfId="123" applyNumberFormat="1" applyFont="1" applyFill="1" applyAlignment="1">
      <alignment horizontal="center"/>
    </xf>
    <xf numFmtId="17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8" fillId="18" borderId="0" xfId="123" applyFont="1" applyFill="1" applyBorder="1"/>
    <xf numFmtId="0" fontId="8" fillId="18" borderId="0" xfId="123" applyFont="1" applyFill="1"/>
    <xf numFmtId="0" fontId="9" fillId="18" borderId="0" xfId="123" applyFont="1" applyFill="1"/>
    <xf numFmtId="43" fontId="8" fillId="0" borderId="0" xfId="26" applyFont="1"/>
    <xf numFmtId="43" fontId="8" fillId="16" borderId="0" xfId="26" applyFont="1" applyFill="1"/>
    <xf numFmtId="166" fontId="8" fillId="16" borderId="0" xfId="26" applyNumberFormat="1" applyFont="1" applyFill="1"/>
    <xf numFmtId="43" fontId="8" fillId="15" borderId="0" xfId="26" applyFont="1" applyFill="1"/>
    <xf numFmtId="165" fontId="8" fillId="15" borderId="0" xfId="26" applyNumberFormat="1" applyFont="1" applyFill="1"/>
    <xf numFmtId="2" fontId="8" fillId="15" borderId="0" xfId="26" applyNumberFormat="1" applyFont="1" applyFill="1"/>
    <xf numFmtId="10" fontId="8" fillId="15" borderId="0" xfId="93" applyNumberFormat="1" applyFont="1" applyFill="1" applyBorder="1"/>
    <xf numFmtId="0" fontId="8" fillId="18" borderId="0" xfId="123" applyFont="1" applyFill="1" applyBorder="1" applyAlignment="1">
      <alignment horizontal="center"/>
    </xf>
    <xf numFmtId="0" fontId="8" fillId="18" borderId="0" xfId="123" applyFont="1" applyFill="1" applyAlignment="1">
      <alignment horizontal="center"/>
    </xf>
    <xf numFmtId="0" fontId="8" fillId="18" borderId="0" xfId="123" applyFont="1" applyFill="1" applyAlignment="1"/>
    <xf numFmtId="0" fontId="8" fillId="18" borderId="0" xfId="123" quotePrefix="1" applyFont="1" applyFill="1"/>
    <xf numFmtId="43" fontId="8" fillId="18" borderId="0" xfId="26" applyFont="1" applyFill="1" applyBorder="1"/>
    <xf numFmtId="165" fontId="8" fillId="18" borderId="0" xfId="26" applyNumberFormat="1" applyFont="1" applyFill="1"/>
    <xf numFmtId="166" fontId="8" fillId="18" borderId="0" xfId="26" applyNumberFormat="1" applyFont="1" applyFill="1"/>
    <xf numFmtId="0" fontId="14" fillId="18" borderId="0" xfId="123" applyFont="1" applyFill="1"/>
    <xf numFmtId="2" fontId="8" fillId="18" borderId="0" xfId="26" applyNumberFormat="1" applyFont="1" applyFill="1"/>
    <xf numFmtId="43" fontId="8" fillId="18" borderId="0" xfId="26" applyFont="1" applyFill="1"/>
    <xf numFmtId="43" fontId="8" fillId="18" borderId="0" xfId="26" applyNumberFormat="1" applyFont="1" applyFill="1"/>
    <xf numFmtId="10" fontId="8" fillId="18" borderId="0" xfId="93" applyNumberFormat="1" applyFont="1" applyFill="1" applyBorder="1"/>
    <xf numFmtId="0" fontId="14" fillId="18" borderId="0" xfId="123" applyFont="1" applyFill="1" applyBorder="1"/>
    <xf numFmtId="17" fontId="9" fillId="18" borderId="0" xfId="123" applyNumberFormat="1" applyFont="1" applyFill="1" applyAlignment="1">
      <alignment horizontal="center"/>
    </xf>
    <xf numFmtId="0" fontId="15" fillId="18" borderId="0" xfId="123" applyFont="1" applyFill="1" applyAlignment="1">
      <alignment horizontal="left" vertical="top"/>
    </xf>
    <xf numFmtId="0" fontId="13" fillId="18" borderId="0" xfId="123" applyFill="1"/>
    <xf numFmtId="0" fontId="0" fillId="18" borderId="0" xfId="0" applyFill="1"/>
    <xf numFmtId="0" fontId="8" fillId="18" borderId="0" xfId="26" applyNumberFormat="1" applyFont="1" applyFill="1"/>
    <xf numFmtId="9" fontId="0" fillId="19" borderId="0" xfId="122" applyFont="1" applyFill="1"/>
    <xf numFmtId="165" fontId="0" fillId="0" borderId="0" xfId="125" applyNumberFormat="1" applyFont="1"/>
    <xf numFmtId="0" fontId="2" fillId="0" borderId="0" xfId="0" applyFont="1" applyFill="1" applyAlignment="1">
      <alignment horizontal="center"/>
    </xf>
    <xf numFmtId="14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37" fontId="0" fillId="0" borderId="0" xfId="0" applyNumberFormat="1"/>
    <xf numFmtId="37" fontId="0" fillId="0" borderId="0" xfId="0" applyNumberFormat="1" applyFill="1" applyAlignment="1">
      <alignment horizontal="center"/>
    </xf>
    <xf numFmtId="8" fontId="1" fillId="0" borderId="0" xfId="0" applyNumberFormat="1" applyFont="1"/>
    <xf numFmtId="8" fontId="1" fillId="0" borderId="0" xfId="68" applyNumberFormat="1" applyFont="1"/>
    <xf numFmtId="0" fontId="0" fillId="0" borderId="2" xfId="0" applyFont="1" applyFill="1" applyBorder="1" applyAlignment="1">
      <alignment horizontal="center"/>
    </xf>
    <xf numFmtId="0" fontId="0" fillId="0" borderId="0" xfId="0" applyBorder="1"/>
    <xf numFmtId="0" fontId="19" fillId="0" borderId="0" xfId="0" applyFont="1" applyBorder="1"/>
    <xf numFmtId="0" fontId="0" fillId="0" borderId="0" xfId="0" applyBorder="1" applyAlignment="1"/>
    <xf numFmtId="0" fontId="2" fillId="0" borderId="0" xfId="0" applyFont="1" applyFill="1" applyBorder="1" applyAlignment="1">
      <alignment horizontal="center"/>
    </xf>
    <xf numFmtId="8" fontId="9" fillId="0" borderId="0" xfId="0" applyNumberFormat="1" applyFont="1" applyFill="1" applyBorder="1"/>
    <xf numFmtId="8" fontId="20" fillId="0" borderId="0" xfId="0" applyNumberFormat="1" applyFont="1" applyFill="1"/>
    <xf numFmtId="0" fontId="21" fillId="0" borderId="0" xfId="0" applyFont="1" applyFill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</cellXfs>
  <cellStyles count="126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Comma" xfId="125" builtinId="3"/>
    <cellStyle name="Comma 10" xfId="26" xr:uid="{00000000-0005-0000-0000-000018000000}"/>
    <cellStyle name="Comma 11" xfId="27" xr:uid="{00000000-0005-0000-0000-000019000000}"/>
    <cellStyle name="Comma 12" xfId="28" xr:uid="{00000000-0005-0000-0000-00001A000000}"/>
    <cellStyle name="Comma 19" xfId="29" xr:uid="{00000000-0005-0000-0000-00001B000000}"/>
    <cellStyle name="Comma 2" xfId="30" xr:uid="{00000000-0005-0000-0000-00001C000000}"/>
    <cellStyle name="Comma 2 10" xfId="31" xr:uid="{00000000-0005-0000-0000-00001D000000}"/>
    <cellStyle name="Comma 2 11" xfId="32" xr:uid="{00000000-0005-0000-0000-00001E000000}"/>
    <cellStyle name="Comma 2 12" xfId="33" xr:uid="{00000000-0005-0000-0000-00001F000000}"/>
    <cellStyle name="Comma 2 13" xfId="34" xr:uid="{00000000-0005-0000-0000-000020000000}"/>
    <cellStyle name="Comma 2 14" xfId="35" xr:uid="{00000000-0005-0000-0000-000021000000}"/>
    <cellStyle name="Comma 2 15" xfId="36" xr:uid="{00000000-0005-0000-0000-000022000000}"/>
    <cellStyle name="Comma 2 16" xfId="37" xr:uid="{00000000-0005-0000-0000-000023000000}"/>
    <cellStyle name="Comma 2 17" xfId="38" xr:uid="{00000000-0005-0000-0000-000024000000}"/>
    <cellStyle name="Comma 2 18" xfId="39" xr:uid="{00000000-0005-0000-0000-000025000000}"/>
    <cellStyle name="Comma 2 19" xfId="40" xr:uid="{00000000-0005-0000-0000-000026000000}"/>
    <cellStyle name="Comma 2 2" xfId="41" xr:uid="{00000000-0005-0000-0000-000027000000}"/>
    <cellStyle name="Comma 2 20" xfId="42" xr:uid="{00000000-0005-0000-0000-000028000000}"/>
    <cellStyle name="Comma 2 21" xfId="43" xr:uid="{00000000-0005-0000-0000-000029000000}"/>
    <cellStyle name="Comma 2 22" xfId="44" xr:uid="{00000000-0005-0000-0000-00002A000000}"/>
    <cellStyle name="Comma 2 23" xfId="45" xr:uid="{00000000-0005-0000-0000-00002B000000}"/>
    <cellStyle name="Comma 2 24" xfId="124" xr:uid="{347507A4-870F-48B4-9FB7-A63723ECF484}"/>
    <cellStyle name="Comma 2 3" xfId="46" xr:uid="{00000000-0005-0000-0000-00002C000000}"/>
    <cellStyle name="Comma 2 4" xfId="47" xr:uid="{00000000-0005-0000-0000-00002D000000}"/>
    <cellStyle name="Comma 2 5" xfId="48" xr:uid="{00000000-0005-0000-0000-00002E000000}"/>
    <cellStyle name="Comma 2 6" xfId="49" xr:uid="{00000000-0005-0000-0000-00002F000000}"/>
    <cellStyle name="Comma 2 7" xfId="50" xr:uid="{00000000-0005-0000-0000-000030000000}"/>
    <cellStyle name="Comma 2 8" xfId="51" xr:uid="{00000000-0005-0000-0000-000031000000}"/>
    <cellStyle name="Comma 2 9" xfId="52" xr:uid="{00000000-0005-0000-0000-000032000000}"/>
    <cellStyle name="Comma 20" xfId="53" xr:uid="{00000000-0005-0000-0000-000033000000}"/>
    <cellStyle name="Comma 3" xfId="54" xr:uid="{00000000-0005-0000-0000-000034000000}"/>
    <cellStyle name="Comma 3 2" xfId="55" xr:uid="{00000000-0005-0000-0000-000035000000}"/>
    <cellStyle name="Comma 9" xfId="56" xr:uid="{00000000-0005-0000-0000-000036000000}"/>
    <cellStyle name="Currency 2" xfId="57" xr:uid="{00000000-0005-0000-0000-000037000000}"/>
    <cellStyle name="Normal" xfId="0" builtinId="0"/>
    <cellStyle name="Normal 10" xfId="58" xr:uid="{00000000-0005-0000-0000-000039000000}"/>
    <cellStyle name="Normal 11" xfId="59" xr:uid="{00000000-0005-0000-0000-00003A000000}"/>
    <cellStyle name="Normal 12" xfId="60" xr:uid="{00000000-0005-0000-0000-00003B000000}"/>
    <cellStyle name="Normal 13" xfId="61" xr:uid="{00000000-0005-0000-0000-00003C000000}"/>
    <cellStyle name="Normal 14" xfId="62" xr:uid="{00000000-0005-0000-0000-00003D000000}"/>
    <cellStyle name="Normal 15" xfId="63" xr:uid="{00000000-0005-0000-0000-00003E000000}"/>
    <cellStyle name="Normal 16" xfId="64" xr:uid="{00000000-0005-0000-0000-00003F000000}"/>
    <cellStyle name="Normal 17" xfId="65" xr:uid="{00000000-0005-0000-0000-000040000000}"/>
    <cellStyle name="Normal 18" xfId="66" xr:uid="{00000000-0005-0000-0000-000041000000}"/>
    <cellStyle name="Normal 19" xfId="67" xr:uid="{00000000-0005-0000-0000-000042000000}"/>
    <cellStyle name="Normal 2" xfId="68" xr:uid="{00000000-0005-0000-0000-000043000000}"/>
    <cellStyle name="Normal 2 2" xfId="69" xr:uid="{00000000-0005-0000-0000-000044000000}"/>
    <cellStyle name="Normal 20" xfId="70" xr:uid="{00000000-0005-0000-0000-000045000000}"/>
    <cellStyle name="Normal 21" xfId="71" xr:uid="{00000000-0005-0000-0000-000046000000}"/>
    <cellStyle name="Normal 22" xfId="72" xr:uid="{00000000-0005-0000-0000-000047000000}"/>
    <cellStyle name="Normal 22 2" xfId="73" xr:uid="{00000000-0005-0000-0000-000048000000}"/>
    <cellStyle name="Normal 23" xfId="74" xr:uid="{00000000-0005-0000-0000-000049000000}"/>
    <cellStyle name="Normal 23 2" xfId="75" xr:uid="{00000000-0005-0000-0000-00004A000000}"/>
    <cellStyle name="Normal 24" xfId="76" xr:uid="{00000000-0005-0000-0000-00004B000000}"/>
    <cellStyle name="Normal 24 2" xfId="77" xr:uid="{00000000-0005-0000-0000-00004C000000}"/>
    <cellStyle name="Normal 25" xfId="1" xr:uid="{00000000-0005-0000-0000-00004D000000}"/>
    <cellStyle name="Normal 25 2" xfId="78" xr:uid="{00000000-0005-0000-0000-00004E000000}"/>
    <cellStyle name="Normal 25 3" xfId="79" xr:uid="{00000000-0005-0000-0000-00004F000000}"/>
    <cellStyle name="Normal 26" xfId="80" xr:uid="{00000000-0005-0000-0000-000050000000}"/>
    <cellStyle name="Normal 26 2" xfId="81" xr:uid="{00000000-0005-0000-0000-000051000000}"/>
    <cellStyle name="Normal 27" xfId="123" xr:uid="{31CE6D90-DDFB-40DC-9F96-8D9FF5C126F2}"/>
    <cellStyle name="Normal 3" xfId="82" xr:uid="{00000000-0005-0000-0000-000052000000}"/>
    <cellStyle name="Normal 4" xfId="83" xr:uid="{00000000-0005-0000-0000-000053000000}"/>
    <cellStyle name="Normal 5" xfId="84" xr:uid="{00000000-0005-0000-0000-000054000000}"/>
    <cellStyle name="Normal 6" xfId="85" xr:uid="{00000000-0005-0000-0000-000055000000}"/>
    <cellStyle name="Normal 7" xfId="86" xr:uid="{00000000-0005-0000-0000-000056000000}"/>
    <cellStyle name="Normal 8" xfId="87" xr:uid="{00000000-0005-0000-0000-000057000000}"/>
    <cellStyle name="Normal 9" xfId="88" xr:uid="{00000000-0005-0000-0000-000058000000}"/>
    <cellStyle name="Normal 9 2" xfId="89" xr:uid="{00000000-0005-0000-0000-000059000000}"/>
    <cellStyle name="Note 2" xfId="90" xr:uid="{00000000-0005-0000-0000-00005A000000}"/>
    <cellStyle name="Note 2 2" xfId="91" xr:uid="{00000000-0005-0000-0000-00005B000000}"/>
    <cellStyle name="Note 2 3" xfId="92" xr:uid="{00000000-0005-0000-0000-00005C000000}"/>
    <cellStyle name="Percent" xfId="122" builtinId="5"/>
    <cellStyle name="Percent 10" xfId="93" xr:uid="{00000000-0005-0000-0000-00005D000000}"/>
    <cellStyle name="Percent 11" xfId="94" xr:uid="{00000000-0005-0000-0000-00005E000000}"/>
    <cellStyle name="Percent 12" xfId="95" xr:uid="{00000000-0005-0000-0000-00005F000000}"/>
    <cellStyle name="Percent 19" xfId="96" xr:uid="{00000000-0005-0000-0000-000060000000}"/>
    <cellStyle name="Percent 2" xfId="97" xr:uid="{00000000-0005-0000-0000-000061000000}"/>
    <cellStyle name="Percent 2 10" xfId="98" xr:uid="{00000000-0005-0000-0000-000062000000}"/>
    <cellStyle name="Percent 2 11" xfId="99" xr:uid="{00000000-0005-0000-0000-000063000000}"/>
    <cellStyle name="Percent 2 12" xfId="100" xr:uid="{00000000-0005-0000-0000-000064000000}"/>
    <cellStyle name="Percent 2 13" xfId="101" xr:uid="{00000000-0005-0000-0000-000065000000}"/>
    <cellStyle name="Percent 2 14" xfId="102" xr:uid="{00000000-0005-0000-0000-000066000000}"/>
    <cellStyle name="Percent 2 15" xfId="103" xr:uid="{00000000-0005-0000-0000-000067000000}"/>
    <cellStyle name="Percent 2 16" xfId="104" xr:uid="{00000000-0005-0000-0000-000068000000}"/>
    <cellStyle name="Percent 2 17" xfId="105" xr:uid="{00000000-0005-0000-0000-000069000000}"/>
    <cellStyle name="Percent 2 18" xfId="106" xr:uid="{00000000-0005-0000-0000-00006A000000}"/>
    <cellStyle name="Percent 2 19" xfId="107" xr:uid="{00000000-0005-0000-0000-00006B000000}"/>
    <cellStyle name="Percent 2 2" xfId="108" xr:uid="{00000000-0005-0000-0000-00006C000000}"/>
    <cellStyle name="Percent 2 20" xfId="109" xr:uid="{00000000-0005-0000-0000-00006D000000}"/>
    <cellStyle name="Percent 2 21" xfId="110" xr:uid="{00000000-0005-0000-0000-00006E000000}"/>
    <cellStyle name="Percent 2 22" xfId="111" xr:uid="{00000000-0005-0000-0000-00006F000000}"/>
    <cellStyle name="Percent 2 23" xfId="112" xr:uid="{00000000-0005-0000-0000-000070000000}"/>
    <cellStyle name="Percent 2 3" xfId="113" xr:uid="{00000000-0005-0000-0000-000071000000}"/>
    <cellStyle name="Percent 2 4" xfId="114" xr:uid="{00000000-0005-0000-0000-000072000000}"/>
    <cellStyle name="Percent 2 5" xfId="115" xr:uid="{00000000-0005-0000-0000-000073000000}"/>
    <cellStyle name="Percent 2 6" xfId="116" xr:uid="{00000000-0005-0000-0000-000074000000}"/>
    <cellStyle name="Percent 2 7" xfId="117" xr:uid="{00000000-0005-0000-0000-000075000000}"/>
    <cellStyle name="Percent 2 8" xfId="118" xr:uid="{00000000-0005-0000-0000-000076000000}"/>
    <cellStyle name="Percent 2 9" xfId="119" xr:uid="{00000000-0005-0000-0000-000077000000}"/>
    <cellStyle name="Percent 20" xfId="120" xr:uid="{00000000-0005-0000-0000-000078000000}"/>
    <cellStyle name="Percent 9" xfId="121" xr:uid="{00000000-0005-0000-0000-00007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urph\AppData\Local\Microsoft\Windows\Temporary%20Internet%20Files\Content.Outlook\VA3JU5SW\Rates%20-%20FAC%20audit%20prep%20(May15-Oct15)%20-%20Case%20No.%202016-00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-01-001 Coal Vendors"/>
      <sheetName val="Supp Pivot"/>
      <sheetName val="Sup Data"/>
      <sheetName val="DR-01-002 Nat Gas"/>
      <sheetName val="DR-01-004 Coal burned &amp; purch"/>
      <sheetName val="Gen Detail"/>
      <sheetName val="Coal Detail"/>
      <sheetName val="DR-01-006, Econ Sales"/>
      <sheetName val="DR-01-025, PJM Costs"/>
      <sheetName val="May 2015"/>
      <sheetName val="June 2015"/>
      <sheetName val="July 2015"/>
      <sheetName val="Aug 2015"/>
      <sheetName val="Sep 2015"/>
      <sheetName val="Oct 2015"/>
    </sheetNames>
    <sheetDataSet>
      <sheetData sheetId="0" refreshError="1"/>
      <sheetData sheetId="1" refreshError="1"/>
      <sheetData sheetId="2" refreshError="1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Corp.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28376TR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28376TR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28376TR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Month</v>
          </cell>
          <cell r="F1" t="str">
            <v>Year</v>
          </cell>
          <cell r="G1" t="str">
            <v>Date</v>
          </cell>
        </row>
        <row r="2">
          <cell r="A2" t="str">
            <v>PJM Bal Opr Rsrv Crd</v>
          </cell>
          <cell r="B2">
            <v>0</v>
          </cell>
          <cell r="D2">
            <v>0</v>
          </cell>
          <cell r="E2">
            <v>5</v>
          </cell>
          <cell r="F2">
            <v>2015</v>
          </cell>
          <cell r="G2">
            <v>42125</v>
          </cell>
        </row>
        <row r="3">
          <cell r="A3" t="str">
            <v>PJM DA Opr Rsrv Cred</v>
          </cell>
          <cell r="B3">
            <v>0</v>
          </cell>
          <cell r="D3">
            <v>0</v>
          </cell>
          <cell r="E3">
            <v>5</v>
          </cell>
          <cell r="F3">
            <v>2015</v>
          </cell>
          <cell r="G3">
            <v>42125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E4">
            <v>6</v>
          </cell>
          <cell r="F4">
            <v>2015</v>
          </cell>
          <cell r="G4">
            <v>42156</v>
          </cell>
        </row>
        <row r="5">
          <cell r="A5" t="str">
            <v>PJM DA Opr Rsrv Cred</v>
          </cell>
          <cell r="B5">
            <v>0</v>
          </cell>
          <cell r="D5">
            <v>0</v>
          </cell>
          <cell r="E5">
            <v>6</v>
          </cell>
          <cell r="F5">
            <v>2015</v>
          </cell>
          <cell r="G5">
            <v>42156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E6">
            <v>7</v>
          </cell>
          <cell r="F6">
            <v>2015</v>
          </cell>
          <cell r="G6">
            <v>42186</v>
          </cell>
        </row>
        <row r="7">
          <cell r="A7" t="str">
            <v>PJM DA Opr Rsrv Cred</v>
          </cell>
          <cell r="B7">
            <v>0</v>
          </cell>
          <cell r="D7">
            <v>0</v>
          </cell>
          <cell r="E7">
            <v>7</v>
          </cell>
          <cell r="F7">
            <v>2015</v>
          </cell>
          <cell r="G7">
            <v>42186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E8">
            <v>8</v>
          </cell>
          <cell r="F8">
            <v>2015</v>
          </cell>
          <cell r="G8">
            <v>42217</v>
          </cell>
        </row>
        <row r="9">
          <cell r="A9" t="str">
            <v>PJM DA Opr Rsrv Cred</v>
          </cell>
          <cell r="B9">
            <v>0</v>
          </cell>
          <cell r="D9">
            <v>0</v>
          </cell>
          <cell r="E9">
            <v>8</v>
          </cell>
          <cell r="F9">
            <v>2015</v>
          </cell>
          <cell r="G9">
            <v>42217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E10">
            <v>9</v>
          </cell>
          <cell r="F10">
            <v>2015</v>
          </cell>
          <cell r="G10">
            <v>42248</v>
          </cell>
        </row>
        <row r="11">
          <cell r="A11" t="str">
            <v>PJM DA Opr Rsrv Cred</v>
          </cell>
          <cell r="B11">
            <v>0</v>
          </cell>
          <cell r="D11">
            <v>0</v>
          </cell>
          <cell r="E11">
            <v>9</v>
          </cell>
          <cell r="F11">
            <v>2015</v>
          </cell>
          <cell r="G11">
            <v>42248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E12">
            <v>10</v>
          </cell>
          <cell r="F12">
            <v>2015</v>
          </cell>
          <cell r="G12">
            <v>42278</v>
          </cell>
        </row>
        <row r="13">
          <cell r="A13" t="str">
            <v>PJM DA Opr Rsrv Cred</v>
          </cell>
          <cell r="B13">
            <v>0</v>
          </cell>
          <cell r="D13">
            <v>0</v>
          </cell>
          <cell r="E13">
            <v>10</v>
          </cell>
          <cell r="F13">
            <v>2015</v>
          </cell>
          <cell r="G13">
            <v>42278</v>
          </cell>
        </row>
        <row r="14">
          <cell r="A14" t="str">
            <v>Economic Purchases</v>
          </cell>
          <cell r="B14">
            <v>0</v>
          </cell>
          <cell r="D14">
            <v>0</v>
          </cell>
          <cell r="E14">
            <v>5</v>
          </cell>
          <cell r="F14">
            <v>2015</v>
          </cell>
          <cell r="G14">
            <v>42125</v>
          </cell>
        </row>
        <row r="15">
          <cell r="A15" t="str">
            <v>Economic Purchases</v>
          </cell>
          <cell r="B15">
            <v>0</v>
          </cell>
          <cell r="D15">
            <v>0</v>
          </cell>
          <cell r="E15">
            <v>6</v>
          </cell>
          <cell r="F15">
            <v>2015</v>
          </cell>
          <cell r="G15">
            <v>42156</v>
          </cell>
        </row>
        <row r="16">
          <cell r="A16" t="str">
            <v>Economic Purchases</v>
          </cell>
          <cell r="B16">
            <v>0</v>
          </cell>
          <cell r="D16">
            <v>0</v>
          </cell>
          <cell r="E16">
            <v>7</v>
          </cell>
          <cell r="F16">
            <v>2015</v>
          </cell>
          <cell r="G16">
            <v>42186</v>
          </cell>
        </row>
        <row r="17">
          <cell r="A17" t="str">
            <v>Economic Purchases</v>
          </cell>
          <cell r="B17">
            <v>0</v>
          </cell>
          <cell r="D17">
            <v>0</v>
          </cell>
          <cell r="E17">
            <v>8</v>
          </cell>
          <cell r="F17">
            <v>2015</v>
          </cell>
          <cell r="G17">
            <v>42217</v>
          </cell>
        </row>
        <row r="18">
          <cell r="A18" t="str">
            <v>Economic Purchases</v>
          </cell>
          <cell r="B18">
            <v>0</v>
          </cell>
          <cell r="D18">
            <v>0</v>
          </cell>
          <cell r="E18">
            <v>9</v>
          </cell>
          <cell r="F18">
            <v>2015</v>
          </cell>
          <cell r="G18">
            <v>42248</v>
          </cell>
        </row>
        <row r="19">
          <cell r="A19" t="str">
            <v>Economic Purchases</v>
          </cell>
          <cell r="B19">
            <v>0</v>
          </cell>
          <cell r="D19">
            <v>0</v>
          </cell>
          <cell r="E19">
            <v>10</v>
          </cell>
          <cell r="F19">
            <v>2015</v>
          </cell>
          <cell r="G19">
            <v>42278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Y18"/>
  <sheetViews>
    <sheetView tabSelected="1" view="pageLayout" zoomScale="75" zoomScaleNormal="100" zoomScalePageLayoutView="75" workbookViewId="0">
      <selection activeCell="C1" sqref="C1"/>
    </sheetView>
  </sheetViews>
  <sheetFormatPr defaultRowHeight="15"/>
  <cols>
    <col min="1" max="1" width="30.42578125" customWidth="1"/>
    <col min="2" max="2" width="1.28515625" customWidth="1"/>
    <col min="3" max="3" width="17.42578125" customWidth="1"/>
    <col min="4" max="4" width="1" customWidth="1"/>
    <col min="5" max="5" width="13.28515625" customWidth="1"/>
    <col min="6" max="6" width="1.140625" customWidth="1"/>
    <col min="7" max="7" width="11.42578125" customWidth="1"/>
    <col min="8" max="8" width="1" customWidth="1"/>
    <col min="9" max="9" width="9.5703125" customWidth="1"/>
    <col min="10" max="10" width="1.28515625" style="123" customWidth="1"/>
    <col min="14" max="14" width="20.42578125" customWidth="1"/>
    <col min="18" max="18" width="4.5703125" customWidth="1"/>
    <col min="19" max="19" width="6.140625" customWidth="1"/>
    <col min="20" max="20" width="3.85546875" customWidth="1"/>
    <col min="21" max="21" width="13.5703125" customWidth="1"/>
  </cols>
  <sheetData>
    <row r="2" spans="1:25" ht="15.75" customHeight="1">
      <c r="A2" s="1"/>
      <c r="B2" s="1"/>
      <c r="C2" s="1"/>
      <c r="D2" s="1"/>
      <c r="E2" s="1"/>
      <c r="F2" s="1"/>
      <c r="G2" s="1"/>
      <c r="H2" s="1"/>
      <c r="I2" s="130"/>
      <c r="J2" s="124"/>
    </row>
    <row r="3" spans="1:25">
      <c r="A3" s="134" t="s">
        <v>0</v>
      </c>
      <c r="B3" s="135"/>
      <c r="C3" s="135"/>
      <c r="D3" s="135"/>
      <c r="E3" s="135"/>
      <c r="F3" s="135"/>
      <c r="G3" s="135"/>
      <c r="H3" s="135"/>
      <c r="I3" s="135"/>
      <c r="J3" s="125"/>
    </row>
    <row r="4" spans="1:25">
      <c r="A4" s="134" t="s">
        <v>86</v>
      </c>
      <c r="B4" s="135"/>
      <c r="C4" s="135"/>
      <c r="D4" s="135"/>
      <c r="E4" s="135"/>
      <c r="F4" s="135"/>
      <c r="G4" s="113"/>
      <c r="H4" s="115"/>
      <c r="I4" s="35"/>
      <c r="J4" s="126"/>
    </row>
    <row r="5" spans="1:25">
      <c r="A5" s="132"/>
      <c r="B5" s="133"/>
      <c r="C5" s="133"/>
      <c r="D5" s="133"/>
      <c r="E5" s="133"/>
      <c r="F5" s="133"/>
      <c r="G5" s="131"/>
      <c r="H5" s="131"/>
      <c r="I5" s="131"/>
      <c r="J5" s="126"/>
    </row>
    <row r="6" spans="1:25">
      <c r="A6" s="136" t="s">
        <v>89</v>
      </c>
      <c r="B6" s="136"/>
      <c r="C6" s="136"/>
      <c r="D6" s="136"/>
      <c r="E6" s="136"/>
      <c r="F6" s="136"/>
      <c r="G6" s="136"/>
      <c r="H6" s="136"/>
      <c r="I6" s="136"/>
      <c r="J6" s="126"/>
    </row>
    <row r="7" spans="1:25">
      <c r="A7" s="4"/>
      <c r="B7" s="1"/>
      <c r="C7" s="1"/>
      <c r="D7" s="1"/>
      <c r="E7" s="1"/>
      <c r="F7" s="1"/>
      <c r="G7" s="1"/>
      <c r="H7" s="1"/>
      <c r="I7" s="1"/>
      <c r="J7" s="117"/>
    </row>
    <row r="8" spans="1:25">
      <c r="A8" s="5" t="s">
        <v>1</v>
      </c>
      <c r="B8" s="1"/>
      <c r="D8" s="1"/>
      <c r="E8" s="2" t="s">
        <v>87</v>
      </c>
      <c r="F8" s="1"/>
      <c r="H8" s="1"/>
    </row>
    <row r="9" spans="1:25">
      <c r="A9" s="6" t="s">
        <v>4</v>
      </c>
      <c r="B9" s="1"/>
      <c r="C9" s="3" t="s">
        <v>85</v>
      </c>
      <c r="D9" s="1"/>
      <c r="E9" s="3" t="s">
        <v>5</v>
      </c>
      <c r="F9" s="1"/>
      <c r="G9" s="3" t="s">
        <v>83</v>
      </c>
      <c r="H9" s="116"/>
      <c r="I9" s="3" t="s">
        <v>84</v>
      </c>
      <c r="J9" s="116"/>
      <c r="K9" s="122" t="s">
        <v>88</v>
      </c>
    </row>
    <row r="10" spans="1:25" ht="18.75" customHeight="1">
      <c r="A10" s="10"/>
      <c r="E10" s="118"/>
      <c r="F10" s="1"/>
      <c r="G10" s="1"/>
      <c r="H10" s="117"/>
      <c r="I10" s="1"/>
      <c r="J10" s="117"/>
      <c r="K10" s="10"/>
      <c r="L10" s="19"/>
      <c r="M10" s="20"/>
      <c r="N10" s="21"/>
      <c r="O10" s="22"/>
      <c r="P10" s="23"/>
      <c r="Q10" s="24"/>
      <c r="R10" s="20"/>
      <c r="S10" s="22"/>
      <c r="T10" s="20"/>
      <c r="U10" s="19"/>
      <c r="V10" s="25"/>
      <c r="W10" s="13"/>
      <c r="X10" s="26"/>
      <c r="Y10" s="10"/>
    </row>
    <row r="11" spans="1:25">
      <c r="A11" s="10" t="s">
        <v>6</v>
      </c>
      <c r="B11" s="10"/>
      <c r="C11" s="8" t="s">
        <v>14</v>
      </c>
      <c r="E11" s="119">
        <v>162395.19999999998</v>
      </c>
      <c r="G11" s="120">
        <v>55</v>
      </c>
      <c r="H11" s="114"/>
      <c r="I11" s="128">
        <f>G11/(K11*0.002)</f>
        <v>2.1825396825396828</v>
      </c>
      <c r="J11" s="127"/>
      <c r="K11" s="129">
        <v>12600</v>
      </c>
      <c r="N11" s="38"/>
      <c r="O11" s="15"/>
      <c r="P11" s="16"/>
      <c r="Q11" s="17"/>
      <c r="R11" s="13"/>
      <c r="S11" s="16"/>
      <c r="T11" s="13"/>
      <c r="U11" s="14"/>
      <c r="V11" s="18"/>
      <c r="W11" s="13"/>
      <c r="X11" s="26"/>
      <c r="Y11" s="10"/>
    </row>
    <row r="12" spans="1:25">
      <c r="A12" s="10" t="s">
        <v>8</v>
      </c>
      <c r="B12" s="10"/>
      <c r="C12" s="8" t="s">
        <v>15</v>
      </c>
      <c r="E12" s="119">
        <v>57824.98</v>
      </c>
      <c r="G12" s="120">
        <v>33.9</v>
      </c>
      <c r="H12" s="114"/>
      <c r="I12" s="128">
        <f>G12/(K12*0.002)</f>
        <v>1.513392857142857</v>
      </c>
      <c r="J12" s="127"/>
      <c r="K12" s="129">
        <v>11200</v>
      </c>
      <c r="N12" s="38"/>
      <c r="O12" s="15"/>
      <c r="P12" s="16"/>
      <c r="Q12" s="17"/>
      <c r="R12" s="13"/>
      <c r="S12" s="16"/>
      <c r="T12" s="13"/>
      <c r="U12" s="14"/>
      <c r="V12" s="18"/>
      <c r="W12" s="13"/>
      <c r="X12" s="26"/>
      <c r="Y12" s="10"/>
    </row>
    <row r="13" spans="1:25">
      <c r="A13" s="10" t="s">
        <v>8</v>
      </c>
      <c r="B13" s="10"/>
      <c r="C13" s="8" t="s">
        <v>16</v>
      </c>
      <c r="E13" s="119">
        <v>20285.560000000001</v>
      </c>
      <c r="G13" s="120">
        <v>44</v>
      </c>
      <c r="H13" s="114"/>
      <c r="I13" s="128">
        <f>G13/(K13*0.002)</f>
        <v>1.9642857142857142</v>
      </c>
      <c r="J13" s="127"/>
      <c r="K13" s="129">
        <v>11200</v>
      </c>
      <c r="N13" s="38"/>
      <c r="O13" s="15"/>
      <c r="P13" s="16"/>
      <c r="Q13" s="17"/>
      <c r="R13" s="13"/>
      <c r="S13" s="16"/>
      <c r="T13" s="13"/>
      <c r="U13" s="14"/>
      <c r="V13" s="18"/>
      <c r="W13" s="13"/>
      <c r="X13" s="26"/>
      <c r="Y13" s="10"/>
    </row>
    <row r="14" spans="1:25">
      <c r="A14" s="10" t="s">
        <v>6</v>
      </c>
      <c r="B14" s="10"/>
      <c r="C14" s="8" t="s">
        <v>17</v>
      </c>
      <c r="E14" s="119">
        <v>263997.55</v>
      </c>
      <c r="G14" s="121">
        <v>39</v>
      </c>
      <c r="H14" s="114"/>
      <c r="I14" s="128">
        <f>G14/(K14*0.002)</f>
        <v>1.5476190476190477</v>
      </c>
      <c r="J14" s="127"/>
      <c r="K14" s="129">
        <v>12600</v>
      </c>
      <c r="N14" s="38"/>
      <c r="O14" s="15"/>
      <c r="P14" s="16"/>
      <c r="Q14" s="17"/>
      <c r="R14" s="13"/>
      <c r="S14" s="16"/>
      <c r="T14" s="13"/>
      <c r="U14" s="14"/>
      <c r="V14" s="18"/>
      <c r="W14" s="13"/>
      <c r="X14" s="26"/>
      <c r="Y14" s="10"/>
    </row>
    <row r="15" spans="1:25">
      <c r="A15" s="10" t="s">
        <v>12</v>
      </c>
      <c r="B15" s="10"/>
      <c r="C15" s="8" t="s">
        <v>20</v>
      </c>
      <c r="E15" s="119">
        <v>1542.87</v>
      </c>
      <c r="G15" s="120">
        <v>118</v>
      </c>
      <c r="H15" s="114"/>
      <c r="I15" s="128">
        <f>G15/(K15*0.002)</f>
        <v>5.0862068965517242</v>
      </c>
      <c r="J15" s="127"/>
      <c r="K15" s="129">
        <v>11600</v>
      </c>
      <c r="N15" s="38"/>
      <c r="O15" s="15"/>
      <c r="P15" s="16"/>
      <c r="Q15" s="17"/>
      <c r="R15" s="13"/>
      <c r="S15" s="16"/>
      <c r="T15" s="13"/>
      <c r="U15" s="14"/>
      <c r="V15" s="18"/>
      <c r="W15" s="13"/>
      <c r="X15" s="26"/>
      <c r="Y15" s="10"/>
    </row>
    <row r="16" spans="1:25">
      <c r="A16" s="33"/>
      <c r="B16" s="32"/>
      <c r="C16" s="30"/>
      <c r="D16" s="31"/>
    </row>
    <row r="17" spans="1:4">
      <c r="A17" s="33"/>
      <c r="B17" s="32"/>
      <c r="C17" s="30"/>
      <c r="D17" s="31"/>
    </row>
    <row r="18" spans="1:4">
      <c r="A18" s="29"/>
      <c r="B18" s="32"/>
      <c r="C18" s="30"/>
      <c r="D18" s="31"/>
    </row>
  </sheetData>
  <mergeCells count="3">
    <mergeCell ref="A3:I3"/>
    <mergeCell ref="A6:I6"/>
    <mergeCell ref="A4:F4"/>
  </mergeCells>
  <pageMargins left="1" right="0.7" top="0.96" bottom="0.75" header="0.48" footer="0.3"/>
  <pageSetup scale="89" orientation="portrait" r:id="rId1"/>
  <headerFooter>
    <oddHeader>&amp;R&amp;"Times New Roman,Bold"KyPSC Case No. 2023-00012
STAFF-DR-02-014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4B72-ABE2-4EA2-BAD2-B680971F0AA9}">
  <dimension ref="A6:AN99"/>
  <sheetViews>
    <sheetView workbookViewId="0">
      <selection activeCell="M53" sqref="M53"/>
    </sheetView>
  </sheetViews>
  <sheetFormatPr defaultRowHeight="15"/>
  <cols>
    <col min="3" max="3" width="11" customWidth="1"/>
    <col min="9" max="9" width="9.7109375" bestFit="1" customWidth="1"/>
    <col min="13" max="13" width="10.42578125" customWidth="1"/>
    <col min="14" max="14" width="31" customWidth="1"/>
  </cols>
  <sheetData>
    <row r="6" spans="1:40">
      <c r="A6" s="48" t="s">
        <v>54</v>
      </c>
      <c r="B6" s="64" t="s">
        <v>55</v>
      </c>
      <c r="C6" s="70" t="s">
        <v>6</v>
      </c>
      <c r="D6" s="63">
        <v>4608864</v>
      </c>
      <c r="E6" s="57">
        <v>3</v>
      </c>
      <c r="F6" s="56" t="s">
        <v>56</v>
      </c>
      <c r="G6" s="64" t="s">
        <v>57</v>
      </c>
      <c r="H6" s="63" t="s">
        <v>58</v>
      </c>
      <c r="I6" s="64" t="s">
        <v>55</v>
      </c>
      <c r="J6" s="55" t="s">
        <v>59</v>
      </c>
      <c r="K6" s="54"/>
      <c r="L6" s="57" t="s">
        <v>60</v>
      </c>
      <c r="M6" s="64" t="s">
        <v>55</v>
      </c>
      <c r="N6" s="69">
        <v>13389.05</v>
      </c>
      <c r="O6" s="64" t="s">
        <v>55</v>
      </c>
      <c r="P6" s="59">
        <v>12660</v>
      </c>
      <c r="Q6" s="48"/>
      <c r="R6" s="51">
        <v>25.32</v>
      </c>
      <c r="S6" s="52" t="s">
        <v>61</v>
      </c>
      <c r="T6" s="60">
        <v>40.042525795332757</v>
      </c>
      <c r="U6" s="49"/>
      <c r="V6" s="50">
        <v>1.5814583647445797</v>
      </c>
      <c r="W6" s="52" t="s">
        <v>61</v>
      </c>
      <c r="X6" s="62">
        <v>3.0900004107834387</v>
      </c>
      <c r="Y6" s="49"/>
      <c r="Z6" s="50">
        <v>0.12203793091561764</v>
      </c>
      <c r="AA6" s="49"/>
      <c r="AB6" s="50">
        <v>43.132526206116196</v>
      </c>
      <c r="AC6" s="49"/>
      <c r="AD6" s="50">
        <v>1.7034962956601973</v>
      </c>
      <c r="AE6" s="53"/>
      <c r="AF6" s="68">
        <v>3.1899999999999998E-2</v>
      </c>
      <c r="AG6" s="67"/>
      <c r="AH6" s="68">
        <v>8.3099999999999993E-2</v>
      </c>
      <c r="AI6" s="67"/>
      <c r="AJ6" s="68">
        <v>6.7100000000000007E-2</v>
      </c>
      <c r="AK6" s="80">
        <v>44136</v>
      </c>
      <c r="AL6" s="71"/>
      <c r="AM6" s="47"/>
    </row>
    <row r="7" spans="1:40">
      <c r="A7" s="48" t="s">
        <v>54</v>
      </c>
      <c r="B7" s="64" t="s">
        <v>55</v>
      </c>
      <c r="C7" s="70" t="s">
        <v>6</v>
      </c>
      <c r="D7" s="63">
        <v>4608864</v>
      </c>
      <c r="E7" s="57">
        <v>3</v>
      </c>
      <c r="F7" s="56" t="s">
        <v>56</v>
      </c>
      <c r="G7" s="64" t="s">
        <v>57</v>
      </c>
      <c r="H7" s="57" t="s">
        <v>58</v>
      </c>
      <c r="I7" s="64" t="s">
        <v>55</v>
      </c>
      <c r="J7" s="55" t="s">
        <v>62</v>
      </c>
      <c r="K7" s="54"/>
      <c r="L7" s="57" t="s">
        <v>60</v>
      </c>
      <c r="M7" s="64" t="s">
        <v>55</v>
      </c>
      <c r="N7" s="69">
        <v>3263</v>
      </c>
      <c r="O7" s="64" t="s">
        <v>55</v>
      </c>
      <c r="P7" s="59">
        <v>12620</v>
      </c>
      <c r="Q7" s="48"/>
      <c r="R7" s="51">
        <v>25.24</v>
      </c>
      <c r="S7" s="52" t="s">
        <v>61</v>
      </c>
      <c r="T7" s="60">
        <v>46.323398712840941</v>
      </c>
      <c r="U7" s="49"/>
      <c r="V7" s="50">
        <v>1.8353169062139836</v>
      </c>
      <c r="W7" s="52" t="s">
        <v>61</v>
      </c>
      <c r="X7" s="62">
        <v>3.09</v>
      </c>
      <c r="Y7" s="49"/>
      <c r="Z7" s="50">
        <v>0.12242472266244057</v>
      </c>
      <c r="AA7" s="49"/>
      <c r="AB7" s="50">
        <v>49.413398712840944</v>
      </c>
      <c r="AC7" s="49"/>
      <c r="AD7" s="50">
        <v>1.9577416288764242</v>
      </c>
      <c r="AE7" s="53"/>
      <c r="AF7" s="68">
        <v>3.1399999999999997E-2</v>
      </c>
      <c r="AG7" s="67"/>
      <c r="AH7" s="68">
        <v>8.3599999999999994E-2</v>
      </c>
      <c r="AI7" s="67"/>
      <c r="AJ7" s="68">
        <v>6.8900000000000003E-2</v>
      </c>
      <c r="AK7" s="80">
        <v>44136</v>
      </c>
      <c r="AL7" s="71"/>
      <c r="AM7" s="61"/>
    </row>
    <row r="8" spans="1:40" s="109" customFormat="1">
      <c r="A8" s="84" t="s">
        <v>54</v>
      </c>
      <c r="B8" s="85" t="s">
        <v>55</v>
      </c>
      <c r="C8" s="83" t="s">
        <v>6</v>
      </c>
      <c r="D8" s="93">
        <v>1519374</v>
      </c>
      <c r="E8" s="94">
        <v>10</v>
      </c>
      <c r="F8" s="95" t="s">
        <v>63</v>
      </c>
      <c r="G8" s="85" t="s">
        <v>57</v>
      </c>
      <c r="H8" s="93" t="s">
        <v>64</v>
      </c>
      <c r="I8" s="85" t="s">
        <v>55</v>
      </c>
      <c r="J8" s="84" t="s">
        <v>65</v>
      </c>
      <c r="K8" s="96"/>
      <c r="L8" s="94" t="s">
        <v>60</v>
      </c>
      <c r="M8" s="85" t="s">
        <v>55</v>
      </c>
      <c r="N8" s="97">
        <v>0</v>
      </c>
      <c r="O8" s="85" t="s">
        <v>55</v>
      </c>
      <c r="P8" s="98">
        <v>0</v>
      </c>
      <c r="Q8" s="84"/>
      <c r="R8" s="99">
        <v>0</v>
      </c>
      <c r="S8" s="100" t="s">
        <v>61</v>
      </c>
      <c r="T8" s="101" t="s">
        <v>66</v>
      </c>
      <c r="U8" s="102"/>
      <c r="V8" s="102" t="s">
        <v>67</v>
      </c>
      <c r="W8" s="100" t="s">
        <v>61</v>
      </c>
      <c r="X8" s="103" t="s">
        <v>1</v>
      </c>
      <c r="Y8" s="102"/>
      <c r="Z8" s="102" t="s">
        <v>67</v>
      </c>
      <c r="AA8" s="102"/>
      <c r="AB8" s="102" t="s">
        <v>66</v>
      </c>
      <c r="AC8" s="102"/>
      <c r="AD8" s="102" t="s">
        <v>68</v>
      </c>
      <c r="AE8" s="100"/>
      <c r="AF8" s="104">
        <v>0</v>
      </c>
      <c r="AG8" s="105"/>
      <c r="AH8" s="104">
        <v>0</v>
      </c>
      <c r="AI8" s="105"/>
      <c r="AJ8" s="104">
        <v>0</v>
      </c>
      <c r="AK8" s="106">
        <v>44136</v>
      </c>
      <c r="AL8" s="107"/>
      <c r="AM8" s="108"/>
    </row>
    <row r="9" spans="1:40" s="109" customFormat="1">
      <c r="A9" s="84" t="s">
        <v>54</v>
      </c>
      <c r="B9" s="85" t="s">
        <v>55</v>
      </c>
      <c r="C9" s="83" t="s">
        <v>6</v>
      </c>
      <c r="D9" s="93">
        <v>4608864</v>
      </c>
      <c r="E9" s="94">
        <v>3</v>
      </c>
      <c r="F9" s="95" t="s">
        <v>56</v>
      </c>
      <c r="G9" s="85" t="s">
        <v>57</v>
      </c>
      <c r="H9" s="93" t="s">
        <v>64</v>
      </c>
      <c r="I9" s="85" t="s">
        <v>55</v>
      </c>
      <c r="J9" s="84" t="s">
        <v>69</v>
      </c>
      <c r="K9" s="96"/>
      <c r="L9" s="94" t="s">
        <v>60</v>
      </c>
      <c r="M9" s="85" t="s">
        <v>55</v>
      </c>
      <c r="N9" s="97">
        <v>0</v>
      </c>
      <c r="O9" s="85" t="s">
        <v>55</v>
      </c>
      <c r="P9" s="98">
        <v>0</v>
      </c>
      <c r="Q9" s="84"/>
      <c r="R9" s="99">
        <v>0</v>
      </c>
      <c r="S9" s="100" t="s">
        <v>61</v>
      </c>
      <c r="T9" s="101" t="s">
        <v>66</v>
      </c>
      <c r="U9" s="102"/>
      <c r="V9" s="102" t="s">
        <v>67</v>
      </c>
      <c r="W9" s="100" t="s">
        <v>61</v>
      </c>
      <c r="X9" s="110" t="s">
        <v>1</v>
      </c>
      <c r="Y9" s="102"/>
      <c r="Z9" s="102" t="s">
        <v>67</v>
      </c>
      <c r="AA9" s="102"/>
      <c r="AB9" s="102" t="s">
        <v>66</v>
      </c>
      <c r="AC9" s="102"/>
      <c r="AD9" s="102" t="s">
        <v>68</v>
      </c>
      <c r="AE9" s="100"/>
      <c r="AF9" s="104">
        <v>0</v>
      </c>
      <c r="AG9" s="105"/>
      <c r="AH9" s="104">
        <v>0</v>
      </c>
      <c r="AI9" s="105"/>
      <c r="AJ9" s="104">
        <v>0</v>
      </c>
      <c r="AK9" s="106">
        <v>44136</v>
      </c>
      <c r="AL9" s="107"/>
      <c r="AM9" s="108"/>
    </row>
    <row r="10" spans="1:40">
      <c r="A10" s="48" t="s">
        <v>54</v>
      </c>
      <c r="B10" s="64" t="s">
        <v>55</v>
      </c>
      <c r="C10" s="55" t="s">
        <v>8</v>
      </c>
      <c r="D10" s="63">
        <v>1103143</v>
      </c>
      <c r="E10" s="57">
        <v>8</v>
      </c>
      <c r="F10" s="56" t="s">
        <v>70</v>
      </c>
      <c r="G10" s="64" t="s">
        <v>57</v>
      </c>
      <c r="H10" s="57" t="s">
        <v>58</v>
      </c>
      <c r="I10" s="64" t="s">
        <v>55</v>
      </c>
      <c r="J10" s="55" t="s">
        <v>71</v>
      </c>
      <c r="K10" s="54"/>
      <c r="L10" s="57" t="s">
        <v>60</v>
      </c>
      <c r="M10" s="64" t="s">
        <v>55</v>
      </c>
      <c r="N10" s="58">
        <v>12945.78</v>
      </c>
      <c r="O10" s="64" t="s">
        <v>55</v>
      </c>
      <c r="P10" s="59">
        <v>11225</v>
      </c>
      <c r="Q10" s="48"/>
      <c r="R10" s="51">
        <v>22.45</v>
      </c>
      <c r="S10" s="52" t="s">
        <v>61</v>
      </c>
      <c r="T10" s="60">
        <v>31.951101440005932</v>
      </c>
      <c r="U10" s="49"/>
      <c r="V10" s="50">
        <v>1.4232116454345627</v>
      </c>
      <c r="W10" s="52" t="s">
        <v>61</v>
      </c>
      <c r="X10" s="62">
        <v>5.6400008342486894</v>
      </c>
      <c r="Y10" s="49"/>
      <c r="Z10" s="50">
        <v>0.25122498148101069</v>
      </c>
      <c r="AA10" s="49"/>
      <c r="AB10" s="50">
        <v>37.591102274254624</v>
      </c>
      <c r="AC10" s="49"/>
      <c r="AD10" s="50">
        <v>1.6744366269155733</v>
      </c>
      <c r="AE10" s="53"/>
      <c r="AF10" s="68">
        <v>2.9899999999999999E-2</v>
      </c>
      <c r="AG10" s="53"/>
      <c r="AH10" s="68">
        <v>8.1600000000000006E-2</v>
      </c>
      <c r="AI10" s="53"/>
      <c r="AJ10" s="68">
        <v>0.1308</v>
      </c>
      <c r="AK10" s="80">
        <v>44136</v>
      </c>
      <c r="AL10" s="71"/>
      <c r="AM10" s="61"/>
      <c r="AN10" s="61"/>
    </row>
    <row r="11" spans="1:40" s="109" customFormat="1">
      <c r="A11" s="84" t="s">
        <v>54</v>
      </c>
      <c r="B11" s="85" t="s">
        <v>55</v>
      </c>
      <c r="C11" s="83" t="s">
        <v>72</v>
      </c>
      <c r="D11" s="93">
        <v>3605018</v>
      </c>
      <c r="E11" s="94">
        <v>2</v>
      </c>
      <c r="F11" s="95" t="s">
        <v>73</v>
      </c>
      <c r="G11" s="85" t="s">
        <v>57</v>
      </c>
      <c r="H11" s="93" t="s">
        <v>64</v>
      </c>
      <c r="I11" s="85" t="s">
        <v>55</v>
      </c>
      <c r="J11" s="84" t="s">
        <v>74</v>
      </c>
      <c r="K11" s="96"/>
      <c r="L11" s="94" t="s">
        <v>60</v>
      </c>
      <c r="M11" s="85" t="s">
        <v>55</v>
      </c>
      <c r="N11" s="97"/>
      <c r="O11" s="85" t="s">
        <v>55</v>
      </c>
      <c r="P11" s="98">
        <v>0</v>
      </c>
      <c r="Q11" s="84"/>
      <c r="R11" s="99">
        <v>0</v>
      </c>
      <c r="S11" s="100" t="s">
        <v>61</v>
      </c>
      <c r="T11" s="101" t="s">
        <v>66</v>
      </c>
      <c r="U11" s="102"/>
      <c r="V11" s="102" t="s">
        <v>67</v>
      </c>
      <c r="W11" s="100" t="s">
        <v>61</v>
      </c>
      <c r="X11" s="110" t="s">
        <v>1</v>
      </c>
      <c r="Y11" s="102"/>
      <c r="Z11" s="102" t="s">
        <v>67</v>
      </c>
      <c r="AA11" s="102"/>
      <c r="AB11" s="102" t="s">
        <v>66</v>
      </c>
      <c r="AC11" s="102"/>
      <c r="AD11" s="102" t="s">
        <v>68</v>
      </c>
      <c r="AE11" s="100"/>
      <c r="AF11" s="104">
        <v>0</v>
      </c>
      <c r="AG11" s="105"/>
      <c r="AH11" s="104">
        <v>0</v>
      </c>
      <c r="AI11" s="105"/>
      <c r="AJ11" s="104">
        <v>0</v>
      </c>
      <c r="AK11" s="106">
        <v>44136</v>
      </c>
      <c r="AL11" s="107"/>
      <c r="AM11" s="108"/>
      <c r="AN11" s="108"/>
    </row>
    <row r="12" spans="1:40">
      <c r="A12" s="48" t="s">
        <v>54</v>
      </c>
      <c r="B12" s="64" t="s">
        <v>55</v>
      </c>
      <c r="C12" s="70" t="s">
        <v>11</v>
      </c>
      <c r="D12" s="63">
        <v>1100726</v>
      </c>
      <c r="E12" s="57">
        <v>8</v>
      </c>
      <c r="F12" s="56" t="s">
        <v>70</v>
      </c>
      <c r="G12" s="64" t="s">
        <v>57</v>
      </c>
      <c r="H12" s="57" t="s">
        <v>58</v>
      </c>
      <c r="I12" s="64" t="s">
        <v>55</v>
      </c>
      <c r="J12" s="55" t="s">
        <v>75</v>
      </c>
      <c r="K12" s="54"/>
      <c r="L12" s="57" t="s">
        <v>60</v>
      </c>
      <c r="M12" s="64" t="s">
        <v>55</v>
      </c>
      <c r="N12" s="69">
        <v>8110.47</v>
      </c>
      <c r="O12" s="64" t="s">
        <v>55</v>
      </c>
      <c r="P12" s="59">
        <v>11167</v>
      </c>
      <c r="Q12" s="48"/>
      <c r="R12" s="51">
        <v>22.334</v>
      </c>
      <c r="S12" s="52" t="s">
        <v>61</v>
      </c>
      <c r="T12" s="60">
        <v>34.516333825290026</v>
      </c>
      <c r="U12" s="49"/>
      <c r="V12" s="50">
        <v>1.5454613515398059</v>
      </c>
      <c r="W12" s="52" t="s">
        <v>61</v>
      </c>
      <c r="X12" s="62">
        <v>3.0700008754116594</v>
      </c>
      <c r="Y12" s="49"/>
      <c r="Z12" s="50">
        <v>0.13745862252223781</v>
      </c>
      <c r="AA12" s="49"/>
      <c r="AB12" s="50">
        <v>37.586334700701684</v>
      </c>
      <c r="AC12" s="49"/>
      <c r="AD12" s="50">
        <v>1.6829199740620437</v>
      </c>
      <c r="AE12" s="53"/>
      <c r="AF12" s="68">
        <v>3.04E-2</v>
      </c>
      <c r="AG12" s="67"/>
      <c r="AH12" s="68">
        <v>8.3400000000000002E-2</v>
      </c>
      <c r="AI12" s="67"/>
      <c r="AJ12" s="68">
        <v>0.1245</v>
      </c>
      <c r="AK12" s="80">
        <v>44136</v>
      </c>
      <c r="AL12" s="71"/>
      <c r="AM12" s="61"/>
      <c r="AN12" s="47"/>
    </row>
    <row r="13" spans="1:40">
      <c r="A13" s="48" t="s">
        <v>54</v>
      </c>
      <c r="B13" s="64" t="s">
        <v>55</v>
      </c>
      <c r="C13" s="55" t="s">
        <v>29</v>
      </c>
      <c r="D13" s="63">
        <v>1103143</v>
      </c>
      <c r="E13" s="57">
        <v>8</v>
      </c>
      <c r="F13" s="56" t="s">
        <v>70</v>
      </c>
      <c r="G13" s="64" t="s">
        <v>57</v>
      </c>
      <c r="H13" s="57" t="s">
        <v>58</v>
      </c>
      <c r="I13" s="64" t="s">
        <v>55</v>
      </c>
      <c r="J13" s="55" t="s">
        <v>30</v>
      </c>
      <c r="K13" s="54"/>
      <c r="L13" s="57" t="s">
        <v>60</v>
      </c>
      <c r="M13" s="64" t="s">
        <v>55</v>
      </c>
      <c r="N13" s="58">
        <v>9684.6299999999992</v>
      </c>
      <c r="O13" s="64" t="s">
        <v>55</v>
      </c>
      <c r="P13" s="59">
        <v>11193</v>
      </c>
      <c r="Q13" s="48"/>
      <c r="R13" s="51">
        <v>22.385999999999999</v>
      </c>
      <c r="S13" s="52" t="s">
        <v>61</v>
      </c>
      <c r="T13" s="60">
        <v>39.379875121713482</v>
      </c>
      <c r="U13" s="49"/>
      <c r="V13" s="50">
        <v>1.7591295953593087</v>
      </c>
      <c r="W13" s="52" t="s">
        <v>61</v>
      </c>
      <c r="X13" s="62">
        <v>5.63999966957953</v>
      </c>
      <c r="Y13" s="49"/>
      <c r="Z13" s="50">
        <v>0.25194316401230815</v>
      </c>
      <c r="AA13" s="49"/>
      <c r="AB13" s="50">
        <v>45.019874791293013</v>
      </c>
      <c r="AC13" s="49"/>
      <c r="AD13" s="50">
        <v>2.0110727593716167</v>
      </c>
      <c r="AE13" s="53"/>
      <c r="AF13" s="68">
        <v>2.98E-2</v>
      </c>
      <c r="AG13" s="53"/>
      <c r="AH13" s="68">
        <v>8.3900000000000002E-2</v>
      </c>
      <c r="AI13" s="53"/>
      <c r="AJ13" s="68">
        <v>0.1303</v>
      </c>
      <c r="AK13" s="80">
        <v>44136</v>
      </c>
      <c r="AL13" s="71"/>
      <c r="AM13" s="61"/>
      <c r="AN13" s="61"/>
    </row>
    <row r="15" spans="1:40" ht="18" customHeight="1">
      <c r="A15" s="45" t="s">
        <v>54</v>
      </c>
      <c r="B15" s="46" t="s">
        <v>55</v>
      </c>
      <c r="C15" s="44" t="s">
        <v>6</v>
      </c>
      <c r="D15" s="43">
        <v>1519374</v>
      </c>
      <c r="E15" s="43">
        <v>10</v>
      </c>
      <c r="F15" s="44" t="s">
        <v>63</v>
      </c>
      <c r="G15" s="46" t="s">
        <v>57</v>
      </c>
      <c r="H15" s="43" t="s">
        <v>58</v>
      </c>
      <c r="I15" s="46" t="s">
        <v>55</v>
      </c>
      <c r="J15" s="44" t="s">
        <v>59</v>
      </c>
      <c r="K15" s="72"/>
      <c r="L15" s="43" t="s">
        <v>60</v>
      </c>
      <c r="M15" s="46" t="s">
        <v>55</v>
      </c>
      <c r="N15" s="69">
        <v>1717</v>
      </c>
      <c r="O15" s="46" t="s">
        <v>55</v>
      </c>
      <c r="P15" s="59">
        <v>12610</v>
      </c>
      <c r="Q15" s="45"/>
      <c r="R15" s="51">
        <f t="shared" ref="R15:R22" si="0">+P15*2000/1000000</f>
        <v>25.22</v>
      </c>
      <c r="S15" s="73" t="s">
        <v>76</v>
      </c>
      <c r="T15" s="60">
        <f>IF(N15=0,"",((73020.92)/N15))</f>
        <v>42.528200349446706</v>
      </c>
      <c r="U15" s="49"/>
      <c r="V15" s="50">
        <f t="shared" ref="V15:V23" si="1">IF(N15=0,"                    -",((N15*T15)/(N15*0.002*P15)))</f>
        <v>1.6862886736497504</v>
      </c>
      <c r="W15" s="73" t="s">
        <v>76</v>
      </c>
      <c r="X15" s="58">
        <f>IF(N15=0," ",(5305.53)/N15)</f>
        <v>3.09</v>
      </c>
      <c r="Y15" s="49"/>
      <c r="Z15" s="50">
        <f t="shared" ref="Z15:Z23" si="2">IF(N15=0,"                    -",((N15*X15)/(N15*0.002*P15)))</f>
        <v>0.12252180808881838</v>
      </c>
      <c r="AA15" s="49"/>
      <c r="AB15" s="50">
        <f t="shared" ref="AB15:AB23" si="3">IF(N15=0,"",(T15+X15))</f>
        <v>45.61820034944671</v>
      </c>
      <c r="AC15" s="49"/>
      <c r="AD15" s="50">
        <f t="shared" ref="AD15:AD23" si="4">IF(N15=0,"              -",(V15+Z15))</f>
        <v>1.8088104817385688</v>
      </c>
      <c r="AE15" s="73"/>
      <c r="AF15" s="68">
        <v>3.0800000000000001E-2</v>
      </c>
      <c r="AG15" s="73"/>
      <c r="AH15" s="68">
        <v>8.4900000000000003E-2</v>
      </c>
      <c r="AI15" s="73"/>
      <c r="AJ15" s="68">
        <v>6.9500000000000006E-2</v>
      </c>
      <c r="AK15" s="81">
        <v>44166</v>
      </c>
      <c r="AL15" s="74"/>
    </row>
    <row r="16" spans="1:40" ht="12" customHeight="1">
      <c r="A16" s="45" t="s">
        <v>54</v>
      </c>
      <c r="B16" s="46" t="s">
        <v>55</v>
      </c>
      <c r="C16" s="44" t="s">
        <v>6</v>
      </c>
      <c r="D16" s="43">
        <v>4608864</v>
      </c>
      <c r="E16" s="43">
        <v>3</v>
      </c>
      <c r="F16" s="44" t="s">
        <v>56</v>
      </c>
      <c r="G16" s="46" t="s">
        <v>57</v>
      </c>
      <c r="H16" s="43" t="s">
        <v>58</v>
      </c>
      <c r="I16" s="46" t="s">
        <v>55</v>
      </c>
      <c r="J16" s="44" t="s">
        <v>59</v>
      </c>
      <c r="K16" s="72"/>
      <c r="L16" s="43" t="s">
        <v>60</v>
      </c>
      <c r="M16" s="46" t="s">
        <v>55</v>
      </c>
      <c r="N16" s="69">
        <v>28365.55</v>
      </c>
      <c r="O16" s="46" t="s">
        <v>55</v>
      </c>
      <c r="P16" s="65">
        <v>12668</v>
      </c>
      <c r="Q16" s="45"/>
      <c r="R16" s="75">
        <f>+P16*2000/1000000</f>
        <v>25.335999999999999</v>
      </c>
      <c r="S16" s="73" t="s">
        <v>61</v>
      </c>
      <c r="T16" s="76">
        <f>IF(N16=0,"",((1185622.01)/N16))</f>
        <v>41.797955971239759</v>
      </c>
      <c r="U16" s="77"/>
      <c r="V16" s="78">
        <f t="shared" si="1"/>
        <v>1.6497456572165994</v>
      </c>
      <c r="W16" s="73" t="s">
        <v>61</v>
      </c>
      <c r="X16" s="69">
        <f>IF(N16=0," ",(87649.54)/N16)</f>
        <v>3.0899996650866983</v>
      </c>
      <c r="Y16" s="77"/>
      <c r="Z16" s="78">
        <f t="shared" si="2"/>
        <v>0.12196083300784254</v>
      </c>
      <c r="AA16" s="77"/>
      <c r="AB16" s="78">
        <f t="shared" si="3"/>
        <v>44.88795563632646</v>
      </c>
      <c r="AC16" s="77"/>
      <c r="AD16" s="78">
        <f t="shared" si="4"/>
        <v>1.7717064902244419</v>
      </c>
      <c r="AE16" s="73"/>
      <c r="AF16" s="68">
        <v>3.0970000000000001E-2</v>
      </c>
      <c r="AG16" s="73"/>
      <c r="AH16" s="68">
        <v>8.4229999999999999E-2</v>
      </c>
      <c r="AI16" s="73"/>
      <c r="AJ16" s="68">
        <v>6.5799999999999997E-2</v>
      </c>
      <c r="AK16" s="81">
        <v>44166</v>
      </c>
      <c r="AL16" s="74"/>
    </row>
    <row r="17" spans="1:40" ht="12" customHeight="1">
      <c r="A17" s="45" t="s">
        <v>54</v>
      </c>
      <c r="B17" s="46" t="s">
        <v>55</v>
      </c>
      <c r="C17" s="44" t="s">
        <v>6</v>
      </c>
      <c r="D17" s="43">
        <v>4608864</v>
      </c>
      <c r="E17" s="43">
        <v>3</v>
      </c>
      <c r="F17" s="44" t="s">
        <v>56</v>
      </c>
      <c r="G17" s="46" t="s">
        <v>57</v>
      </c>
      <c r="H17" s="43" t="s">
        <v>58</v>
      </c>
      <c r="I17" s="46" t="s">
        <v>55</v>
      </c>
      <c r="J17" s="44" t="s">
        <v>62</v>
      </c>
      <c r="K17" s="72"/>
      <c r="L17" s="43" t="s">
        <v>60</v>
      </c>
      <c r="M17" s="46" t="s">
        <v>55</v>
      </c>
      <c r="N17" s="69">
        <v>32616.05</v>
      </c>
      <c r="O17" s="46" t="s">
        <v>55</v>
      </c>
      <c r="P17" s="59">
        <v>12705</v>
      </c>
      <c r="Q17" s="45"/>
      <c r="R17" s="51">
        <f t="shared" si="0"/>
        <v>25.41</v>
      </c>
      <c r="S17" s="73" t="s">
        <v>61</v>
      </c>
      <c r="T17" s="60">
        <f>IF(N17=0,"",((1513355.23)/N17))</f>
        <v>46.399095843917337</v>
      </c>
      <c r="U17" s="49"/>
      <c r="V17" s="50">
        <f t="shared" si="1"/>
        <v>1.8260171524564082</v>
      </c>
      <c r="W17" s="73" t="s">
        <v>61</v>
      </c>
      <c r="X17" s="58">
        <f>IF(N17=0," ",(100783.59)/N17)</f>
        <v>3.0899998620311164</v>
      </c>
      <c r="Y17" s="49"/>
      <c r="Z17" s="50">
        <f t="shared" si="2"/>
        <v>0.12160566163050437</v>
      </c>
      <c r="AA17" s="49"/>
      <c r="AB17" s="50">
        <f t="shared" si="3"/>
        <v>49.489095705948451</v>
      </c>
      <c r="AC17" s="49"/>
      <c r="AD17" s="50">
        <f t="shared" si="4"/>
        <v>1.9476228140869125</v>
      </c>
      <c r="AE17" s="73"/>
      <c r="AF17" s="68">
        <v>3.04E-2</v>
      </c>
      <c r="AG17" s="73"/>
      <c r="AH17" s="68">
        <v>8.2900000000000001E-2</v>
      </c>
      <c r="AI17" s="73"/>
      <c r="AJ17" s="68">
        <v>6.4600000000000005E-2</v>
      </c>
      <c r="AK17" s="81">
        <v>44166</v>
      </c>
      <c r="AL17" s="74"/>
      <c r="AM17" s="79"/>
    </row>
    <row r="18" spans="1:40" ht="14.45" hidden="1" customHeight="1">
      <c r="A18" s="45" t="s">
        <v>54</v>
      </c>
      <c r="B18" s="46" t="s">
        <v>55</v>
      </c>
      <c r="C18" s="44" t="s">
        <v>6</v>
      </c>
      <c r="D18" s="43">
        <v>1519374</v>
      </c>
      <c r="E18" s="43">
        <v>10</v>
      </c>
      <c r="F18" s="44" t="s">
        <v>63</v>
      </c>
      <c r="G18" s="46" t="s">
        <v>57</v>
      </c>
      <c r="H18" s="43" t="s">
        <v>64</v>
      </c>
      <c r="I18" s="46" t="s">
        <v>55</v>
      </c>
      <c r="J18" s="44" t="s">
        <v>65</v>
      </c>
      <c r="K18" s="72"/>
      <c r="L18" s="43" t="s">
        <v>60</v>
      </c>
      <c r="M18" s="46" t="s">
        <v>55</v>
      </c>
      <c r="N18" s="69">
        <v>0</v>
      </c>
      <c r="O18" s="46" t="s">
        <v>55</v>
      </c>
      <c r="P18" s="59">
        <v>0</v>
      </c>
      <c r="Q18" s="45"/>
      <c r="R18" s="51">
        <f>+P18*2000/1000000</f>
        <v>0</v>
      </c>
      <c r="S18" s="73" t="s">
        <v>61</v>
      </c>
      <c r="T18" s="60" t="str">
        <f>IF(N18=0,"",((0)/N18))</f>
        <v/>
      </c>
      <c r="U18" s="49"/>
      <c r="V18" s="50" t="str">
        <f t="shared" si="1"/>
        <v xml:space="preserve">                    -</v>
      </c>
      <c r="W18" s="73" t="s">
        <v>61</v>
      </c>
      <c r="X18" s="58" t="str">
        <f>IF(N18=0," ",(0)/N18)</f>
        <v xml:space="preserve"> </v>
      </c>
      <c r="Y18" s="49"/>
      <c r="Z18" s="50" t="str">
        <f t="shared" si="2"/>
        <v xml:space="preserve">                    -</v>
      </c>
      <c r="AA18" s="49"/>
      <c r="AB18" s="50" t="str">
        <f t="shared" si="3"/>
        <v/>
      </c>
      <c r="AC18" s="49"/>
      <c r="AD18" s="50" t="str">
        <f t="shared" si="4"/>
        <v xml:space="preserve">              -</v>
      </c>
      <c r="AE18" s="73"/>
      <c r="AF18" s="68">
        <v>0</v>
      </c>
      <c r="AG18" s="73"/>
      <c r="AH18" s="68">
        <v>0</v>
      </c>
      <c r="AI18" s="73"/>
      <c r="AJ18" s="68">
        <v>0</v>
      </c>
      <c r="AK18" s="81">
        <v>44166</v>
      </c>
      <c r="AL18" s="74"/>
    </row>
    <row r="19" spans="1:40" ht="13.5" hidden="1" customHeight="1">
      <c r="A19" s="45" t="s">
        <v>54</v>
      </c>
      <c r="B19" s="46" t="s">
        <v>55</v>
      </c>
      <c r="C19" s="44" t="s">
        <v>6</v>
      </c>
      <c r="D19" s="43">
        <v>4608864</v>
      </c>
      <c r="E19" s="43">
        <v>3</v>
      </c>
      <c r="F19" s="44" t="s">
        <v>56</v>
      </c>
      <c r="G19" s="46" t="s">
        <v>57</v>
      </c>
      <c r="H19" s="43" t="s">
        <v>64</v>
      </c>
      <c r="I19" s="46" t="s">
        <v>55</v>
      </c>
      <c r="J19" s="44" t="s">
        <v>69</v>
      </c>
      <c r="K19" s="72"/>
      <c r="L19" s="43" t="s">
        <v>60</v>
      </c>
      <c r="M19" s="46" t="s">
        <v>55</v>
      </c>
      <c r="N19" s="69">
        <v>0</v>
      </c>
      <c r="O19" s="46" t="s">
        <v>55</v>
      </c>
      <c r="P19" s="59">
        <v>0</v>
      </c>
      <c r="Q19" s="45"/>
      <c r="R19" s="51">
        <f>+P19*2000/1000000</f>
        <v>0</v>
      </c>
      <c r="S19" s="73" t="s">
        <v>61</v>
      </c>
      <c r="T19" s="60" t="str">
        <f>IF(N19=0,"",((0)/N19))</f>
        <v/>
      </c>
      <c r="U19" s="49"/>
      <c r="V19" s="50" t="str">
        <f t="shared" si="1"/>
        <v xml:space="preserve">                    -</v>
      </c>
      <c r="W19" s="73" t="s">
        <v>61</v>
      </c>
      <c r="X19" s="66" t="str">
        <f>IF(N19=0," ",(0)/N19)</f>
        <v xml:space="preserve"> </v>
      </c>
      <c r="Y19" s="49"/>
      <c r="Z19" s="50" t="str">
        <f t="shared" si="2"/>
        <v xml:space="preserve">                    -</v>
      </c>
      <c r="AA19" s="49"/>
      <c r="AB19" s="50" t="str">
        <f t="shared" si="3"/>
        <v/>
      </c>
      <c r="AC19" s="49"/>
      <c r="AD19" s="50" t="str">
        <f t="shared" si="4"/>
        <v xml:space="preserve">              -</v>
      </c>
      <c r="AE19" s="73"/>
      <c r="AF19" s="68">
        <v>0</v>
      </c>
      <c r="AG19" s="73"/>
      <c r="AH19" s="68">
        <v>0</v>
      </c>
      <c r="AI19" s="73"/>
      <c r="AJ19" s="68">
        <v>0</v>
      </c>
      <c r="AK19" s="81">
        <v>44166</v>
      </c>
      <c r="AL19" s="74"/>
    </row>
    <row r="20" spans="1:40" ht="14.45" customHeight="1">
      <c r="A20" s="45" t="s">
        <v>54</v>
      </c>
      <c r="B20" s="46" t="s">
        <v>55</v>
      </c>
      <c r="C20" s="44" t="s">
        <v>8</v>
      </c>
      <c r="D20" s="43">
        <v>1103143</v>
      </c>
      <c r="E20" s="43">
        <v>8</v>
      </c>
      <c r="F20" s="44" t="s">
        <v>70</v>
      </c>
      <c r="G20" s="46" t="s">
        <v>57</v>
      </c>
      <c r="H20" s="43" t="s">
        <v>58</v>
      </c>
      <c r="I20" s="46" t="s">
        <v>55</v>
      </c>
      <c r="J20" s="44" t="s">
        <v>71</v>
      </c>
      <c r="K20" s="72"/>
      <c r="L20" s="43" t="s">
        <v>60</v>
      </c>
      <c r="M20" s="46" t="s">
        <v>55</v>
      </c>
      <c r="N20" s="58">
        <v>38738.050000000003</v>
      </c>
      <c r="O20" s="46" t="s">
        <v>55</v>
      </c>
      <c r="P20" s="59">
        <v>11288</v>
      </c>
      <c r="Q20" s="45"/>
      <c r="R20" s="51">
        <f t="shared" si="0"/>
        <v>22.576000000000001</v>
      </c>
      <c r="S20" s="73" t="s">
        <v>61</v>
      </c>
      <c r="T20" s="60">
        <f>IF(N20=0,"",((1238035.23)/N20))</f>
        <v>31.959152048180016</v>
      </c>
      <c r="U20" s="49"/>
      <c r="V20" s="50">
        <f t="shared" si="1"/>
        <v>1.4156250907237782</v>
      </c>
      <c r="W20" s="73" t="s">
        <v>61</v>
      </c>
      <c r="X20" s="58">
        <f>IF(N20=0," ",(218482.61)/N20)</f>
        <v>5.6400002065152988</v>
      </c>
      <c r="Y20" s="49"/>
      <c r="Z20" s="50">
        <f t="shared" si="2"/>
        <v>0.24982282984210219</v>
      </c>
      <c r="AA20" s="49"/>
      <c r="AB20" s="50">
        <f t="shared" si="3"/>
        <v>37.599152254695312</v>
      </c>
      <c r="AC20" s="49"/>
      <c r="AD20" s="50">
        <f t="shared" si="4"/>
        <v>1.6654479205658803</v>
      </c>
      <c r="AE20" s="73"/>
      <c r="AF20" s="68">
        <v>2.8899999999999999E-2</v>
      </c>
      <c r="AG20" s="73"/>
      <c r="AH20" s="68">
        <v>7.7499999999999999E-2</v>
      </c>
      <c r="AI20" s="73"/>
      <c r="AJ20" s="68">
        <v>0.1313</v>
      </c>
      <c r="AK20" s="81">
        <v>44166</v>
      </c>
      <c r="AL20" s="74"/>
      <c r="AM20" s="79"/>
      <c r="AN20" s="79"/>
    </row>
    <row r="21" spans="1:40" ht="13.5" hidden="1" customHeight="1">
      <c r="A21" s="45" t="s">
        <v>54</v>
      </c>
      <c r="B21" s="46" t="s">
        <v>55</v>
      </c>
      <c r="C21" s="44" t="s">
        <v>72</v>
      </c>
      <c r="D21" s="43">
        <v>3605018</v>
      </c>
      <c r="E21" s="43">
        <v>2</v>
      </c>
      <c r="F21" s="44" t="s">
        <v>73</v>
      </c>
      <c r="G21" s="46" t="s">
        <v>57</v>
      </c>
      <c r="H21" s="43" t="s">
        <v>64</v>
      </c>
      <c r="I21" s="46" t="s">
        <v>55</v>
      </c>
      <c r="J21" s="44" t="s">
        <v>74</v>
      </c>
      <c r="K21" s="72"/>
      <c r="L21" s="43" t="s">
        <v>60</v>
      </c>
      <c r="M21" s="46" t="s">
        <v>55</v>
      </c>
      <c r="N21" s="69"/>
      <c r="O21" s="46" t="s">
        <v>55</v>
      </c>
      <c r="P21" s="59">
        <v>0</v>
      </c>
      <c r="Q21" s="45"/>
      <c r="R21" s="51">
        <f>+P21*2000/1000000</f>
        <v>0</v>
      </c>
      <c r="S21" s="73" t="s">
        <v>61</v>
      </c>
      <c r="T21" s="60" t="str">
        <f>IF(N21=0,"",((0)/N21))</f>
        <v/>
      </c>
      <c r="U21" s="49"/>
      <c r="V21" s="50" t="str">
        <f t="shared" si="1"/>
        <v xml:space="preserve">                    -</v>
      </c>
      <c r="W21" s="73" t="s">
        <v>61</v>
      </c>
      <c r="X21" s="66" t="str">
        <f>IF(N21=0," ",(0)/N21)</f>
        <v xml:space="preserve"> </v>
      </c>
      <c r="Y21" s="49"/>
      <c r="Z21" s="50" t="str">
        <f t="shared" si="2"/>
        <v xml:space="preserve">                    -</v>
      </c>
      <c r="AA21" s="49"/>
      <c r="AB21" s="50" t="str">
        <f t="shared" si="3"/>
        <v/>
      </c>
      <c r="AC21" s="49"/>
      <c r="AD21" s="50" t="str">
        <f t="shared" si="4"/>
        <v xml:space="preserve">              -</v>
      </c>
      <c r="AE21" s="73"/>
      <c r="AF21" s="68">
        <v>0</v>
      </c>
      <c r="AG21" s="73"/>
      <c r="AH21" s="68">
        <v>0</v>
      </c>
      <c r="AI21" s="73"/>
      <c r="AJ21" s="68">
        <v>0</v>
      </c>
      <c r="AK21" s="81">
        <v>44166</v>
      </c>
      <c r="AL21" s="74"/>
    </row>
    <row r="22" spans="1:40" ht="12" customHeight="1">
      <c r="A22" s="45" t="s">
        <v>54</v>
      </c>
      <c r="B22" s="46" t="s">
        <v>55</v>
      </c>
      <c r="C22" s="44" t="s">
        <v>11</v>
      </c>
      <c r="D22" s="43">
        <v>1100726</v>
      </c>
      <c r="E22" s="43">
        <v>8</v>
      </c>
      <c r="F22" s="44" t="s">
        <v>70</v>
      </c>
      <c r="G22" s="46" t="s">
        <v>57</v>
      </c>
      <c r="H22" s="43" t="s">
        <v>58</v>
      </c>
      <c r="I22" s="46" t="s">
        <v>55</v>
      </c>
      <c r="J22" s="44" t="s">
        <v>75</v>
      </c>
      <c r="K22" s="72"/>
      <c r="L22" s="43" t="s">
        <v>60</v>
      </c>
      <c r="M22" s="46" t="s">
        <v>55</v>
      </c>
      <c r="N22" s="69">
        <v>14553.9</v>
      </c>
      <c r="O22" s="46" t="s">
        <v>55</v>
      </c>
      <c r="P22" s="59">
        <v>11581</v>
      </c>
      <c r="Q22" s="45"/>
      <c r="R22" s="51">
        <f t="shared" si="0"/>
        <v>23.161999999999999</v>
      </c>
      <c r="S22" s="73" t="s">
        <v>61</v>
      </c>
      <c r="T22" s="60">
        <f>IF(N22=0,"",((511874.81)/N22))</f>
        <v>35.170972041858199</v>
      </c>
      <c r="U22" s="49"/>
      <c r="V22" s="50">
        <f t="shared" si="1"/>
        <v>1.5184773353707883</v>
      </c>
      <c r="W22" s="73" t="s">
        <v>61</v>
      </c>
      <c r="X22" s="58">
        <f>IF(N22=0," ",(44680.47)/N22)</f>
        <v>3.0699997938696844</v>
      </c>
      <c r="Y22" s="49"/>
      <c r="Z22" s="50">
        <f t="shared" si="2"/>
        <v>0.13254467636083603</v>
      </c>
      <c r="AA22" s="49"/>
      <c r="AB22" s="50">
        <f t="shared" si="3"/>
        <v>38.240971835727883</v>
      </c>
      <c r="AC22" s="49"/>
      <c r="AD22" s="50">
        <f t="shared" si="4"/>
        <v>1.6510220117316243</v>
      </c>
      <c r="AE22" s="73"/>
      <c r="AF22" s="68">
        <v>2.9600000000000001E-2</v>
      </c>
      <c r="AG22" s="73"/>
      <c r="AH22" s="68">
        <v>8.1100000000000005E-2</v>
      </c>
      <c r="AI22" s="73"/>
      <c r="AJ22" s="68">
        <v>0.12570000000000001</v>
      </c>
      <c r="AK22" s="81">
        <v>44166</v>
      </c>
      <c r="AL22" s="74"/>
      <c r="AM22" s="79"/>
    </row>
    <row r="23" spans="1:40" ht="12.95" customHeight="1">
      <c r="A23" s="45" t="s">
        <v>54</v>
      </c>
      <c r="B23" s="46" t="s">
        <v>55</v>
      </c>
      <c r="C23" s="44" t="s">
        <v>29</v>
      </c>
      <c r="D23" s="43">
        <v>1103143</v>
      </c>
      <c r="E23" s="43">
        <v>8</v>
      </c>
      <c r="F23" s="44" t="s">
        <v>70</v>
      </c>
      <c r="G23" s="46" t="s">
        <v>57</v>
      </c>
      <c r="H23" s="43" t="s">
        <v>58</v>
      </c>
      <c r="I23" s="46" t="s">
        <v>55</v>
      </c>
      <c r="J23" s="44" t="s">
        <v>30</v>
      </c>
      <c r="K23" s="72"/>
      <c r="L23" s="43" t="s">
        <v>60</v>
      </c>
      <c r="M23" s="46" t="s">
        <v>55</v>
      </c>
      <c r="N23" s="58">
        <v>57962.34</v>
      </c>
      <c r="O23" s="46" t="s">
        <v>55</v>
      </c>
      <c r="P23" s="59">
        <v>11250</v>
      </c>
      <c r="Q23" s="45"/>
      <c r="R23" s="51">
        <f>+P23*2000/1000000</f>
        <v>22.5</v>
      </c>
      <c r="S23" s="73" t="s">
        <v>61</v>
      </c>
      <c r="T23" s="60">
        <f>IF(N23=0,"",((2283410.11)/N23))</f>
        <v>39.39471922631143</v>
      </c>
      <c r="U23" s="49"/>
      <c r="V23" s="50">
        <f t="shared" si="1"/>
        <v>1.7508764100582859</v>
      </c>
      <c r="W23" s="73" t="s">
        <v>61</v>
      </c>
      <c r="X23" s="58">
        <f>IF(N23=0," ",(326907.58)/N23)</f>
        <v>5.6399996963545647</v>
      </c>
      <c r="Y23" s="49"/>
      <c r="Z23" s="50">
        <f t="shared" si="2"/>
        <v>0.25066665317131398</v>
      </c>
      <c r="AA23" s="49"/>
      <c r="AB23" s="50">
        <f t="shared" si="3"/>
        <v>45.034718922665995</v>
      </c>
      <c r="AC23" s="49"/>
      <c r="AD23" s="50">
        <f t="shared" si="4"/>
        <v>2.0015430632296001</v>
      </c>
      <c r="AE23" s="73"/>
      <c r="AF23" s="68">
        <v>2.98E-2</v>
      </c>
      <c r="AG23" s="73"/>
      <c r="AH23" s="68">
        <v>8.3900000000000002E-2</v>
      </c>
      <c r="AI23" s="73"/>
      <c r="AJ23" s="68">
        <v>0.1303</v>
      </c>
      <c r="AK23" s="81">
        <v>44166</v>
      </c>
      <c r="AL23" s="74"/>
      <c r="AM23" s="79"/>
      <c r="AN23" s="79"/>
    </row>
    <row r="26" spans="1:40" ht="12" customHeight="1">
      <c r="A26" s="45" t="s">
        <v>54</v>
      </c>
      <c r="B26" s="46" t="s">
        <v>55</v>
      </c>
      <c r="C26" s="44" t="s">
        <v>6</v>
      </c>
      <c r="D26" s="43">
        <v>4608864</v>
      </c>
      <c r="E26" s="43">
        <v>3</v>
      </c>
      <c r="F26" s="44" t="s">
        <v>56</v>
      </c>
      <c r="G26" s="46" t="s">
        <v>57</v>
      </c>
      <c r="H26" s="43" t="s">
        <v>58</v>
      </c>
      <c r="I26" s="46" t="s">
        <v>55</v>
      </c>
      <c r="J26" s="44" t="s">
        <v>59</v>
      </c>
      <c r="K26" s="72"/>
      <c r="L26" s="43" t="s">
        <v>60</v>
      </c>
      <c r="M26" s="46" t="s">
        <v>55</v>
      </c>
      <c r="N26" s="69">
        <v>16819.349999999999</v>
      </c>
      <c r="O26" s="46" t="s">
        <v>55</v>
      </c>
      <c r="P26" s="65">
        <v>12728</v>
      </c>
      <c r="Q26" s="45"/>
      <c r="R26" s="75">
        <f>+P26*2000/1000000</f>
        <v>25.456</v>
      </c>
      <c r="S26" s="73" t="s">
        <v>61</v>
      </c>
      <c r="T26" s="76">
        <f>IF(N26=0,"",((775388.96)/N26))</f>
        <v>46.101006281455589</v>
      </c>
      <c r="U26" s="77"/>
      <c r="V26" s="78">
        <f t="shared" ref="V26:V33" si="5">IF(N26=0,"                    -",((N26*T26)/(N26*0.002*P26)))</f>
        <v>1.8110074749157599</v>
      </c>
      <c r="W26" s="73" t="s">
        <v>61</v>
      </c>
      <c r="X26" s="69">
        <f>IF(N26=0," ",(51971.78)/N26)</f>
        <v>3.0899993162637083</v>
      </c>
      <c r="Y26" s="77"/>
      <c r="Z26" s="78">
        <f t="shared" ref="Z26:Z33" si="6">IF(N26=0,"                    -",((N26*X26)/(N26*0.002*P26)))</f>
        <v>0.12138589394499168</v>
      </c>
      <c r="AA26" s="77"/>
      <c r="AB26" s="78">
        <f t="shared" ref="AB26:AB33" si="7">IF(N26=0,"",(T26+X26))</f>
        <v>49.191005597719297</v>
      </c>
      <c r="AC26" s="77"/>
      <c r="AD26" s="78">
        <f t="shared" ref="AD26:AD33" si="8">IF(N26=0,"              -",(V26+Z26))</f>
        <v>1.9323933688607515</v>
      </c>
      <c r="AE26" s="73"/>
      <c r="AF26" s="68">
        <v>3.0700000000000002E-2</v>
      </c>
      <c r="AG26" s="73"/>
      <c r="AH26" s="68">
        <v>8.1000000000000003E-2</v>
      </c>
      <c r="AI26" s="73"/>
      <c r="AJ26" s="68">
        <v>6.4600000000000005E-2</v>
      </c>
      <c r="AK26" s="81">
        <v>44197</v>
      </c>
      <c r="AL26" s="82" t="s">
        <v>77</v>
      </c>
    </row>
    <row r="27" spans="1:40" ht="12" customHeight="1">
      <c r="A27" s="45" t="s">
        <v>54</v>
      </c>
      <c r="B27" s="46" t="s">
        <v>55</v>
      </c>
      <c r="C27" s="44" t="s">
        <v>6</v>
      </c>
      <c r="D27" s="43">
        <v>4608864</v>
      </c>
      <c r="E27" s="43">
        <v>3</v>
      </c>
      <c r="F27" s="44" t="s">
        <v>56</v>
      </c>
      <c r="G27" s="46" t="s">
        <v>57</v>
      </c>
      <c r="H27" s="43" t="s">
        <v>58</v>
      </c>
      <c r="I27" s="46" t="s">
        <v>55</v>
      </c>
      <c r="J27" s="44" t="s">
        <v>62</v>
      </c>
      <c r="K27" s="72"/>
      <c r="L27" s="43" t="s">
        <v>60</v>
      </c>
      <c r="M27" s="46" t="s">
        <v>55</v>
      </c>
      <c r="N27" s="69">
        <v>6291.15</v>
      </c>
      <c r="O27" s="46" t="s">
        <v>55</v>
      </c>
      <c r="P27" s="59">
        <v>12734</v>
      </c>
      <c r="Q27" s="45"/>
      <c r="R27" s="51">
        <f t="shared" ref="R27:R32" si="9">+P27*2000/1000000</f>
        <v>25.468</v>
      </c>
      <c r="S27" s="73" t="s">
        <v>61</v>
      </c>
      <c r="T27" s="60">
        <f>IF(N27=0,"",((162016.34+120372)/N27))</f>
        <v>44.886601018891618</v>
      </c>
      <c r="U27" s="49"/>
      <c r="V27" s="50">
        <f t="shared" si="5"/>
        <v>1.762470591286776</v>
      </c>
      <c r="W27" s="73" t="s">
        <v>61</v>
      </c>
      <c r="X27" s="58">
        <f>IF(N27=0," ",(10140.92+10020.97)/N27)</f>
        <v>3.204801983739062</v>
      </c>
      <c r="Y27" s="49"/>
      <c r="Z27" s="50">
        <f t="shared" si="6"/>
        <v>0.1258364215383643</v>
      </c>
      <c r="AA27" s="49"/>
      <c r="AB27" s="50">
        <f t="shared" si="7"/>
        <v>48.091403002630678</v>
      </c>
      <c r="AC27" s="49"/>
      <c r="AD27" s="50">
        <f t="shared" si="8"/>
        <v>1.8883070128251402</v>
      </c>
      <c r="AE27" s="73"/>
      <c r="AF27" s="68">
        <v>2.9430000000000001E-2</v>
      </c>
      <c r="AG27" s="73"/>
      <c r="AH27" s="68">
        <v>8.1110000000000002E-2</v>
      </c>
      <c r="AI27" s="73"/>
      <c r="AJ27" s="68">
        <v>6.4000000000000001E-2</v>
      </c>
      <c r="AK27" s="81">
        <v>44197</v>
      </c>
      <c r="AL27" s="82" t="s">
        <v>77</v>
      </c>
      <c r="AM27" s="79"/>
    </row>
    <row r="28" spans="1:40" ht="14.45" hidden="1" customHeight="1">
      <c r="A28" s="45" t="s">
        <v>54</v>
      </c>
      <c r="B28" s="46" t="s">
        <v>55</v>
      </c>
      <c r="C28" s="44" t="s">
        <v>6</v>
      </c>
      <c r="D28" s="43">
        <v>1519374</v>
      </c>
      <c r="E28" s="43">
        <v>10</v>
      </c>
      <c r="F28" s="44" t="s">
        <v>63</v>
      </c>
      <c r="G28" s="46" t="s">
        <v>57</v>
      </c>
      <c r="H28" s="43" t="s">
        <v>64</v>
      </c>
      <c r="I28" s="46" t="s">
        <v>55</v>
      </c>
      <c r="J28" s="44" t="s">
        <v>65</v>
      </c>
      <c r="K28" s="72"/>
      <c r="L28" s="43" t="s">
        <v>60</v>
      </c>
      <c r="M28" s="46" t="s">
        <v>55</v>
      </c>
      <c r="N28" s="69">
        <v>0</v>
      </c>
      <c r="O28" s="46" t="s">
        <v>55</v>
      </c>
      <c r="P28" s="59">
        <v>0</v>
      </c>
      <c r="Q28" s="45"/>
      <c r="R28" s="51">
        <f>+P28*2000/1000000</f>
        <v>0</v>
      </c>
      <c r="S28" s="73" t="s">
        <v>61</v>
      </c>
      <c r="T28" s="60" t="str">
        <f>IF(N28=0,"",((0)/N28))</f>
        <v/>
      </c>
      <c r="U28" s="49"/>
      <c r="V28" s="50" t="str">
        <f t="shared" si="5"/>
        <v xml:space="preserve">                    -</v>
      </c>
      <c r="W28" s="73" t="s">
        <v>61</v>
      </c>
      <c r="X28" s="58" t="str">
        <f>IF(N28=0," ",(0)/N28)</f>
        <v xml:space="preserve"> </v>
      </c>
      <c r="Y28" s="49"/>
      <c r="Z28" s="50" t="str">
        <f t="shared" si="6"/>
        <v xml:space="preserve">                    -</v>
      </c>
      <c r="AA28" s="49"/>
      <c r="AB28" s="50" t="str">
        <f t="shared" si="7"/>
        <v/>
      </c>
      <c r="AC28" s="49"/>
      <c r="AD28" s="50" t="str">
        <f t="shared" si="8"/>
        <v xml:space="preserve">              -</v>
      </c>
      <c r="AE28" s="73"/>
      <c r="AF28" s="68">
        <v>0</v>
      </c>
      <c r="AG28" s="73"/>
      <c r="AH28" s="68">
        <v>0</v>
      </c>
      <c r="AI28" s="73"/>
      <c r="AJ28" s="68">
        <v>0</v>
      </c>
      <c r="AK28" s="81">
        <v>44197</v>
      </c>
      <c r="AL28" s="82"/>
    </row>
    <row r="29" spans="1:40" ht="13.5" hidden="1" customHeight="1">
      <c r="A29" s="45" t="s">
        <v>54</v>
      </c>
      <c r="B29" s="46" t="s">
        <v>55</v>
      </c>
      <c r="C29" s="44" t="s">
        <v>6</v>
      </c>
      <c r="D29" s="43">
        <v>4608864</v>
      </c>
      <c r="E29" s="43">
        <v>3</v>
      </c>
      <c r="F29" s="44" t="s">
        <v>56</v>
      </c>
      <c r="G29" s="46" t="s">
        <v>57</v>
      </c>
      <c r="H29" s="43" t="s">
        <v>64</v>
      </c>
      <c r="I29" s="46" t="s">
        <v>55</v>
      </c>
      <c r="J29" s="44" t="s">
        <v>69</v>
      </c>
      <c r="K29" s="72"/>
      <c r="L29" s="43" t="s">
        <v>60</v>
      </c>
      <c r="M29" s="46" t="s">
        <v>55</v>
      </c>
      <c r="N29" s="69">
        <v>0</v>
      </c>
      <c r="O29" s="46" t="s">
        <v>55</v>
      </c>
      <c r="P29" s="59">
        <v>0</v>
      </c>
      <c r="Q29" s="45"/>
      <c r="R29" s="51">
        <f>+P29*2000/1000000</f>
        <v>0</v>
      </c>
      <c r="S29" s="73" t="s">
        <v>61</v>
      </c>
      <c r="T29" s="60" t="str">
        <f>IF(N29=0,"",((0)/N29))</f>
        <v/>
      </c>
      <c r="U29" s="49"/>
      <c r="V29" s="50" t="str">
        <f t="shared" si="5"/>
        <v xml:space="preserve">                    -</v>
      </c>
      <c r="W29" s="73" t="s">
        <v>61</v>
      </c>
      <c r="X29" s="66" t="str">
        <f>IF(N29=0," ",(0)/N29)</f>
        <v xml:space="preserve"> </v>
      </c>
      <c r="Y29" s="49"/>
      <c r="Z29" s="50" t="str">
        <f t="shared" si="6"/>
        <v xml:space="preserve">                    -</v>
      </c>
      <c r="AA29" s="49"/>
      <c r="AB29" s="50" t="str">
        <f t="shared" si="7"/>
        <v/>
      </c>
      <c r="AC29" s="49"/>
      <c r="AD29" s="50" t="str">
        <f t="shared" si="8"/>
        <v xml:space="preserve">              -</v>
      </c>
      <c r="AE29" s="73"/>
      <c r="AF29" s="68">
        <v>0</v>
      </c>
      <c r="AG29" s="73"/>
      <c r="AH29" s="68">
        <v>0</v>
      </c>
      <c r="AI29" s="73"/>
      <c r="AJ29" s="68">
        <v>0</v>
      </c>
      <c r="AK29" s="81">
        <v>44197</v>
      </c>
      <c r="AL29" s="82"/>
    </row>
    <row r="30" spans="1:40" ht="14.45" customHeight="1">
      <c r="A30" s="45" t="s">
        <v>54</v>
      </c>
      <c r="B30" s="46" t="s">
        <v>55</v>
      </c>
      <c r="C30" s="44" t="s">
        <v>8</v>
      </c>
      <c r="D30" s="43">
        <v>1103143</v>
      </c>
      <c r="E30" s="43">
        <v>8</v>
      </c>
      <c r="F30" s="44" t="s">
        <v>70</v>
      </c>
      <c r="G30" s="46" t="s">
        <v>57</v>
      </c>
      <c r="H30" s="43" t="s">
        <v>58</v>
      </c>
      <c r="I30" s="46" t="s">
        <v>55</v>
      </c>
      <c r="J30" s="44" t="s">
        <v>71</v>
      </c>
      <c r="K30" s="72"/>
      <c r="L30" s="43" t="s">
        <v>60</v>
      </c>
      <c r="M30" s="46" t="s">
        <v>55</v>
      </c>
      <c r="N30" s="58">
        <v>49948.74</v>
      </c>
      <c r="O30" s="46" t="s">
        <v>55</v>
      </c>
      <c r="P30" s="59">
        <v>11261</v>
      </c>
      <c r="Q30" s="45"/>
      <c r="R30" s="51">
        <f t="shared" si="9"/>
        <v>22.521999999999998</v>
      </c>
      <c r="S30" s="73" t="s">
        <v>61</v>
      </c>
      <c r="T30" s="60">
        <f>IF(N30=0,"",((1609765.24)/N30))</f>
        <v>32.228345299601152</v>
      </c>
      <c r="U30" s="49"/>
      <c r="V30" s="50">
        <f t="shared" si="5"/>
        <v>1.4309717298464237</v>
      </c>
      <c r="W30" s="73" t="s">
        <v>61</v>
      </c>
      <c r="X30" s="58">
        <f>IF(N30=0," ",(283902.06)/N30)</f>
        <v>5.6838683017829883</v>
      </c>
      <c r="Y30" s="49"/>
      <c r="Z30" s="50">
        <f t="shared" si="6"/>
        <v>0.25236960757406041</v>
      </c>
      <c r="AA30" s="49"/>
      <c r="AB30" s="50">
        <f t="shared" si="7"/>
        <v>37.912213601384138</v>
      </c>
      <c r="AC30" s="49"/>
      <c r="AD30" s="50">
        <f t="shared" si="8"/>
        <v>1.6833413374204842</v>
      </c>
      <c r="AE30" s="73"/>
      <c r="AF30" s="68">
        <v>2.87E-2</v>
      </c>
      <c r="AG30" s="73"/>
      <c r="AH30" s="68">
        <v>7.9100000000000004E-2</v>
      </c>
      <c r="AI30" s="73"/>
      <c r="AJ30" s="68">
        <v>0.1308</v>
      </c>
      <c r="AK30" s="81">
        <v>44197</v>
      </c>
      <c r="AL30" s="82" t="s">
        <v>77</v>
      </c>
      <c r="AM30" s="79"/>
      <c r="AN30" s="79"/>
    </row>
    <row r="31" spans="1:40" ht="13.5" hidden="1" customHeight="1">
      <c r="A31" s="45" t="s">
        <v>54</v>
      </c>
      <c r="B31" s="46" t="s">
        <v>55</v>
      </c>
      <c r="C31" s="44" t="s">
        <v>72</v>
      </c>
      <c r="D31" s="43">
        <v>3605018</v>
      </c>
      <c r="E31" s="43">
        <v>2</v>
      </c>
      <c r="F31" s="44" t="s">
        <v>73</v>
      </c>
      <c r="G31" s="46" t="s">
        <v>57</v>
      </c>
      <c r="H31" s="43" t="s">
        <v>64</v>
      </c>
      <c r="I31" s="46" t="s">
        <v>55</v>
      </c>
      <c r="J31" s="44" t="s">
        <v>74</v>
      </c>
      <c r="K31" s="72"/>
      <c r="L31" s="43" t="s">
        <v>60</v>
      </c>
      <c r="M31" s="46" t="s">
        <v>55</v>
      </c>
      <c r="N31" s="69"/>
      <c r="O31" s="46" t="s">
        <v>55</v>
      </c>
      <c r="P31" s="59">
        <v>0</v>
      </c>
      <c r="Q31" s="45"/>
      <c r="R31" s="51">
        <f>+P31*2000/1000000</f>
        <v>0</v>
      </c>
      <c r="S31" s="73" t="s">
        <v>61</v>
      </c>
      <c r="T31" s="60" t="str">
        <f>IF(N31=0,"",((0)/N31))</f>
        <v/>
      </c>
      <c r="U31" s="49"/>
      <c r="V31" s="50" t="str">
        <f t="shared" si="5"/>
        <v xml:space="preserve">                    -</v>
      </c>
      <c r="W31" s="73" t="s">
        <v>61</v>
      </c>
      <c r="X31" s="66" t="str">
        <f>IF(N31=0," ",(0)/N31)</f>
        <v xml:space="preserve"> </v>
      </c>
      <c r="Y31" s="49"/>
      <c r="Z31" s="50" t="str">
        <f t="shared" si="6"/>
        <v xml:space="preserve">                    -</v>
      </c>
      <c r="AA31" s="49"/>
      <c r="AB31" s="50" t="str">
        <f t="shared" si="7"/>
        <v/>
      </c>
      <c r="AC31" s="49"/>
      <c r="AD31" s="50" t="str">
        <f t="shared" si="8"/>
        <v xml:space="preserve">              -</v>
      </c>
      <c r="AE31" s="73"/>
      <c r="AF31" s="68"/>
      <c r="AG31" s="73"/>
      <c r="AH31" s="68"/>
      <c r="AI31" s="73"/>
      <c r="AJ31" s="68"/>
      <c r="AK31" s="81">
        <v>44197</v>
      </c>
      <c r="AL31" s="82"/>
    </row>
    <row r="32" spans="1:40" ht="12" customHeight="1">
      <c r="A32" s="45" t="s">
        <v>54</v>
      </c>
      <c r="B32" s="46" t="s">
        <v>55</v>
      </c>
      <c r="C32" s="44" t="s">
        <v>11</v>
      </c>
      <c r="D32" s="43">
        <v>1100726</v>
      </c>
      <c r="E32" s="43">
        <v>8</v>
      </c>
      <c r="F32" s="44" t="s">
        <v>70</v>
      </c>
      <c r="G32" s="46" t="s">
        <v>57</v>
      </c>
      <c r="H32" s="43" t="s">
        <v>58</v>
      </c>
      <c r="I32" s="46" t="s">
        <v>55</v>
      </c>
      <c r="J32" s="44" t="s">
        <v>75</v>
      </c>
      <c r="K32" s="72"/>
      <c r="L32" s="43" t="s">
        <v>60</v>
      </c>
      <c r="M32" s="46" t="s">
        <v>55</v>
      </c>
      <c r="N32" s="69">
        <v>12997.28</v>
      </c>
      <c r="O32" s="46" t="s">
        <v>55</v>
      </c>
      <c r="P32" s="59">
        <v>11526</v>
      </c>
      <c r="Q32" s="45"/>
      <c r="R32" s="51">
        <f t="shared" si="9"/>
        <v>23.052</v>
      </c>
      <c r="S32" s="73" t="s">
        <v>61</v>
      </c>
      <c r="T32" s="60">
        <f>IF(N32=0,"",((469687.97)/N32))</f>
        <v>36.137404903179736</v>
      </c>
      <c r="U32" s="49"/>
      <c r="V32" s="50">
        <f t="shared" si="5"/>
        <v>1.5676472715243681</v>
      </c>
      <c r="W32" s="73" t="s">
        <v>61</v>
      </c>
      <c r="X32" s="58">
        <f>IF(N32=0," ",(39901.64)/N32)</f>
        <v>3.06999926138392</v>
      </c>
      <c r="Y32" s="49"/>
      <c r="Z32" s="50">
        <f t="shared" si="6"/>
        <v>0.13317713262987679</v>
      </c>
      <c r="AA32" s="49"/>
      <c r="AB32" s="50">
        <f t="shared" si="7"/>
        <v>39.207404164563656</v>
      </c>
      <c r="AC32" s="49"/>
      <c r="AD32" s="50">
        <f t="shared" si="8"/>
        <v>1.7008244041542449</v>
      </c>
      <c r="AE32" s="73"/>
      <c r="AF32" s="68">
        <v>2.92E-2</v>
      </c>
      <c r="AG32" s="73"/>
      <c r="AH32" s="68">
        <v>8.1299999999999997E-2</v>
      </c>
      <c r="AI32" s="73"/>
      <c r="AJ32" s="68">
        <v>0.12</v>
      </c>
      <c r="AK32" s="81">
        <v>44197</v>
      </c>
      <c r="AL32" s="82" t="s">
        <v>77</v>
      </c>
      <c r="AM32" s="79"/>
    </row>
    <row r="33" spans="1:40" ht="12.95" customHeight="1">
      <c r="A33" s="45" t="s">
        <v>54</v>
      </c>
      <c r="B33" s="46" t="s">
        <v>55</v>
      </c>
      <c r="C33" s="44" t="s">
        <v>29</v>
      </c>
      <c r="D33" s="43">
        <v>1103143</v>
      </c>
      <c r="E33" s="43">
        <v>8</v>
      </c>
      <c r="F33" s="44" t="s">
        <v>70</v>
      </c>
      <c r="G33" s="46" t="s">
        <v>57</v>
      </c>
      <c r="H33" s="43" t="s">
        <v>58</v>
      </c>
      <c r="I33" s="46" t="s">
        <v>55</v>
      </c>
      <c r="J33" s="44" t="s">
        <v>30</v>
      </c>
      <c r="K33" s="72"/>
      <c r="L33" s="43" t="s">
        <v>60</v>
      </c>
      <c r="M33" s="46" t="s">
        <v>55</v>
      </c>
      <c r="N33" s="58">
        <v>36931.370000000003</v>
      </c>
      <c r="O33" s="46" t="s">
        <v>55</v>
      </c>
      <c r="P33" s="59">
        <v>11245</v>
      </c>
      <c r="Q33" s="45"/>
      <c r="R33" s="51">
        <f>+P33*2000/1000000</f>
        <v>22.49</v>
      </c>
      <c r="S33" s="73" t="s">
        <v>61</v>
      </c>
      <c r="T33" s="60">
        <f>IF(N33=0,"",((1516477.8)/N33))</f>
        <v>41.062051042244029</v>
      </c>
      <c r="U33" s="49"/>
      <c r="V33" s="50">
        <f t="shared" si="5"/>
        <v>1.8257915092149415</v>
      </c>
      <c r="W33" s="73" t="s">
        <v>61</v>
      </c>
      <c r="X33" s="58">
        <f>IF(N33=0," ",(209746.09)/N33)</f>
        <v>5.6793476656836717</v>
      </c>
      <c r="Y33" s="49"/>
      <c r="Z33" s="50">
        <f t="shared" si="6"/>
        <v>0.25252768633542338</v>
      </c>
      <c r="AA33" s="49"/>
      <c r="AB33" s="50">
        <f t="shared" si="7"/>
        <v>46.741398707927701</v>
      </c>
      <c r="AC33" s="49"/>
      <c r="AD33" s="50">
        <f t="shared" si="8"/>
        <v>2.0783191955503648</v>
      </c>
      <c r="AE33" s="73"/>
      <c r="AF33" s="68">
        <v>2.8649999999999998E-2</v>
      </c>
      <c r="AG33" s="73"/>
      <c r="AH33" s="68">
        <v>7.8960000000000002E-2</v>
      </c>
      <c r="AI33" s="73"/>
      <c r="AJ33" s="68">
        <v>0.13236000000000001</v>
      </c>
      <c r="AK33" s="81">
        <v>44197</v>
      </c>
      <c r="AL33" s="82" t="s">
        <v>77</v>
      </c>
      <c r="AM33" s="79"/>
      <c r="AN33" s="79"/>
    </row>
    <row r="34" spans="1:40" ht="12.95" customHeight="1">
      <c r="A34" s="45"/>
      <c r="B34" s="46"/>
      <c r="C34" s="44"/>
      <c r="D34" s="43"/>
      <c r="E34" s="43"/>
      <c r="F34" s="44"/>
      <c r="G34" s="46"/>
      <c r="H34" s="43"/>
      <c r="I34" s="46"/>
      <c r="J34" s="44"/>
      <c r="K34" s="72"/>
      <c r="L34" s="43"/>
      <c r="M34" s="46"/>
      <c r="N34" s="89"/>
      <c r="O34" s="46"/>
      <c r="P34" s="90"/>
      <c r="Q34" s="45"/>
      <c r="R34" s="88"/>
      <c r="S34" s="73"/>
      <c r="T34" s="91"/>
      <c r="U34" s="86"/>
      <c r="V34" s="87"/>
      <c r="W34" s="73"/>
      <c r="X34" s="89"/>
      <c r="Y34" s="86"/>
      <c r="Z34" s="87"/>
      <c r="AA34" s="86"/>
      <c r="AB34" s="87"/>
      <c r="AC34" s="86"/>
      <c r="AD34" s="87"/>
      <c r="AE34" s="73"/>
      <c r="AF34" s="92"/>
      <c r="AG34" s="73"/>
      <c r="AH34" s="92"/>
      <c r="AI34" s="73"/>
      <c r="AJ34" s="92"/>
      <c r="AK34" s="81"/>
      <c r="AL34" s="82"/>
      <c r="AM34" s="79"/>
      <c r="AN34" s="79"/>
    </row>
    <row r="35" spans="1:40" ht="12.95" customHeight="1">
      <c r="A35" s="45"/>
      <c r="B35" s="46"/>
      <c r="C35" s="44"/>
      <c r="D35" s="43"/>
      <c r="E35" s="43"/>
      <c r="F35" s="44"/>
      <c r="G35" s="46"/>
      <c r="H35" s="43"/>
      <c r="I35" s="46"/>
      <c r="J35" s="44"/>
      <c r="K35" s="72"/>
      <c r="L35" s="43"/>
      <c r="M35" s="46"/>
      <c r="N35" s="89"/>
      <c r="O35" s="46"/>
      <c r="P35" s="90"/>
      <c r="Q35" s="45"/>
      <c r="R35" s="88"/>
      <c r="S35" s="73"/>
      <c r="T35" s="91"/>
      <c r="U35" s="86"/>
      <c r="V35" s="87"/>
      <c r="W35" s="73"/>
      <c r="X35" s="89"/>
      <c r="Y35" s="86"/>
      <c r="Z35" s="87"/>
      <c r="AA35" s="86"/>
      <c r="AB35" s="87"/>
      <c r="AC35" s="86"/>
      <c r="AD35" s="87"/>
      <c r="AE35" s="73"/>
      <c r="AF35" s="92"/>
      <c r="AG35" s="73"/>
      <c r="AH35" s="92"/>
      <c r="AI35" s="73"/>
      <c r="AJ35" s="92"/>
      <c r="AK35" s="81"/>
      <c r="AL35" s="82"/>
      <c r="AM35" s="79"/>
      <c r="AN35" s="79"/>
    </row>
    <row r="36" spans="1:40" ht="12.95" customHeight="1">
      <c r="A36" s="45"/>
      <c r="B36" s="46"/>
      <c r="C36" s="44"/>
      <c r="D36" s="43"/>
      <c r="E36" s="43"/>
      <c r="F36" s="44"/>
      <c r="G36" s="46"/>
      <c r="H36" s="43"/>
      <c r="I36" s="46"/>
      <c r="J36" s="44"/>
      <c r="K36" s="72"/>
      <c r="L36" s="43"/>
      <c r="M36" s="46"/>
      <c r="N36" s="89"/>
      <c r="O36" s="46"/>
      <c r="P36" s="90"/>
      <c r="Q36" s="45"/>
      <c r="R36" s="88"/>
      <c r="S36" s="73"/>
      <c r="T36" s="91"/>
      <c r="U36" s="86"/>
      <c r="V36" s="87"/>
      <c r="W36" s="73"/>
      <c r="X36" s="89"/>
      <c r="Y36" s="86"/>
      <c r="Z36" s="87"/>
      <c r="AA36" s="86"/>
      <c r="AB36" s="87"/>
      <c r="AC36" s="86"/>
      <c r="AD36" s="87"/>
      <c r="AE36" s="73"/>
      <c r="AF36" s="92"/>
      <c r="AG36" s="73"/>
      <c r="AH36" s="92"/>
      <c r="AI36" s="73"/>
      <c r="AJ36" s="92"/>
      <c r="AK36" s="81"/>
      <c r="AL36" s="82"/>
      <c r="AM36" s="79"/>
      <c r="AN36" s="79"/>
    </row>
    <row r="37" spans="1:40" ht="12.95" customHeight="1">
      <c r="A37" s="45"/>
      <c r="B37" s="46"/>
      <c r="C37" s="44"/>
      <c r="D37" s="43"/>
      <c r="E37" s="43"/>
      <c r="F37" s="44"/>
      <c r="G37" s="46"/>
      <c r="H37" s="43"/>
      <c r="I37" s="46"/>
      <c r="J37" s="44"/>
      <c r="K37" s="72"/>
      <c r="L37" s="43"/>
      <c r="M37" s="46"/>
      <c r="N37" s="89"/>
      <c r="O37" s="46"/>
      <c r="P37" s="90"/>
      <c r="Q37" s="45"/>
      <c r="R37" s="88"/>
      <c r="S37" s="73"/>
      <c r="T37" s="91"/>
      <c r="U37" s="86"/>
      <c r="V37" s="87"/>
      <c r="W37" s="73"/>
      <c r="X37" s="89"/>
      <c r="Y37" s="86"/>
      <c r="Z37" s="87"/>
      <c r="AA37" s="86"/>
      <c r="AB37" s="87"/>
      <c r="AC37" s="86"/>
      <c r="AD37" s="87"/>
      <c r="AE37" s="73"/>
      <c r="AF37" s="92"/>
      <c r="AG37" s="73"/>
      <c r="AH37" s="92"/>
      <c r="AI37" s="73"/>
      <c r="AJ37" s="92"/>
      <c r="AK37" s="81"/>
      <c r="AL37" s="82"/>
      <c r="AM37" s="79"/>
      <c r="AN37" s="79"/>
    </row>
    <row r="38" spans="1:40" ht="12.95" customHeight="1">
      <c r="A38" s="45"/>
      <c r="B38" s="46"/>
      <c r="C38" s="44"/>
      <c r="D38" s="43"/>
      <c r="E38" s="43"/>
      <c r="F38" s="44"/>
      <c r="G38" s="46"/>
      <c r="H38" s="43"/>
      <c r="I38" s="46"/>
      <c r="J38" s="44"/>
      <c r="K38" s="72"/>
      <c r="L38" s="43"/>
      <c r="M38" s="46"/>
      <c r="N38" s="89"/>
      <c r="O38" s="46"/>
      <c r="P38" s="90"/>
      <c r="Q38" s="45"/>
      <c r="R38" s="88"/>
      <c r="S38" s="73"/>
      <c r="T38" s="91"/>
      <c r="U38" s="86"/>
      <c r="V38" s="87"/>
      <c r="W38" s="73"/>
      <c r="X38" s="89"/>
      <c r="Y38" s="86"/>
      <c r="Z38" s="87"/>
      <c r="AA38" s="86"/>
      <c r="AB38" s="87"/>
      <c r="AC38" s="86"/>
      <c r="AD38" s="87"/>
      <c r="AE38" s="73"/>
      <c r="AF38" s="92"/>
      <c r="AG38" s="73"/>
      <c r="AH38" s="92"/>
      <c r="AI38" s="73"/>
      <c r="AJ38" s="92"/>
      <c r="AK38" s="81"/>
      <c r="AL38" s="82"/>
      <c r="AM38" s="79"/>
      <c r="AN38" s="79"/>
    </row>
    <row r="39" spans="1:40" ht="12.95" customHeight="1">
      <c r="A39" s="45"/>
      <c r="B39" s="46"/>
      <c r="C39" s="44"/>
      <c r="D39" s="43"/>
      <c r="E39" s="43"/>
      <c r="F39" s="44"/>
      <c r="G39" s="46"/>
      <c r="H39" s="43"/>
      <c r="I39" s="46"/>
      <c r="J39" s="44"/>
      <c r="K39" s="72"/>
      <c r="L39" s="43"/>
      <c r="M39" s="46"/>
      <c r="N39" s="89"/>
      <c r="O39" s="46"/>
      <c r="P39" s="90"/>
      <c r="Q39" s="45"/>
      <c r="R39" s="88"/>
      <c r="S39" s="73"/>
      <c r="T39" s="91"/>
      <c r="U39" s="86"/>
      <c r="V39" s="87"/>
      <c r="W39" s="73"/>
      <c r="X39" s="89"/>
      <c r="Y39" s="86"/>
      <c r="Z39" s="87"/>
      <c r="AA39" s="86"/>
      <c r="AB39" s="87"/>
      <c r="AC39" s="86"/>
      <c r="AD39" s="87"/>
      <c r="AE39" s="73"/>
      <c r="AF39" s="92"/>
      <c r="AG39" s="73"/>
      <c r="AH39" s="92"/>
      <c r="AI39" s="73"/>
      <c r="AJ39" s="92"/>
      <c r="AK39" s="81"/>
      <c r="AL39" s="82"/>
      <c r="AM39" s="79"/>
      <c r="AN39" s="79"/>
    </row>
    <row r="42" spans="1:40" ht="14.45" customHeight="1">
      <c r="A42" s="45" t="s">
        <v>54</v>
      </c>
      <c r="B42" s="46" t="s">
        <v>55</v>
      </c>
      <c r="C42" s="44" t="s">
        <v>6</v>
      </c>
      <c r="D42" s="43">
        <v>4608864</v>
      </c>
      <c r="E42" s="43">
        <v>3</v>
      </c>
      <c r="F42" s="44" t="s">
        <v>56</v>
      </c>
      <c r="G42" s="46" t="s">
        <v>57</v>
      </c>
      <c r="H42" s="43" t="s">
        <v>58</v>
      </c>
      <c r="I42" s="46" t="s">
        <v>55</v>
      </c>
      <c r="J42" s="44" t="s">
        <v>62</v>
      </c>
      <c r="K42" s="72"/>
      <c r="L42" s="43" t="s">
        <v>60</v>
      </c>
      <c r="M42" s="46" t="s">
        <v>55</v>
      </c>
      <c r="N42" s="89">
        <v>36312.300000000003</v>
      </c>
      <c r="O42" s="46" t="s">
        <v>55</v>
      </c>
      <c r="P42" s="90">
        <v>12635</v>
      </c>
      <c r="Q42" s="45"/>
      <c r="R42" s="88">
        <v>25.27</v>
      </c>
      <c r="S42" s="73" t="s">
        <v>78</v>
      </c>
      <c r="T42" s="91">
        <v>40.130000000000003</v>
      </c>
      <c r="U42" s="86"/>
      <c r="V42" s="87">
        <v>1.59</v>
      </c>
      <c r="W42" s="73" t="s">
        <v>78</v>
      </c>
      <c r="X42" s="89">
        <v>3.33</v>
      </c>
      <c r="Y42" s="86"/>
      <c r="Z42" s="87">
        <v>0.13</v>
      </c>
      <c r="AA42" s="86"/>
      <c r="AB42" s="87">
        <v>43.46</v>
      </c>
      <c r="AC42" s="86"/>
      <c r="AD42" s="87">
        <v>1.72</v>
      </c>
      <c r="AE42" s="73"/>
      <c r="AF42" s="92">
        <v>0.03</v>
      </c>
      <c r="AG42" s="73"/>
      <c r="AH42" s="92">
        <v>8.5599999999999996E-2</v>
      </c>
      <c r="AI42" s="73"/>
      <c r="AJ42" s="92">
        <v>6.6199999999999995E-2</v>
      </c>
      <c r="AK42" s="81">
        <v>44228</v>
      </c>
      <c r="AL42" s="82"/>
      <c r="AM42" s="79"/>
      <c r="AN42" s="79"/>
    </row>
    <row r="43" spans="1:40" ht="14.45" customHeight="1">
      <c r="A43" s="45" t="s">
        <v>54</v>
      </c>
      <c r="B43" s="46" t="s">
        <v>55</v>
      </c>
      <c r="C43" s="44" t="s">
        <v>8</v>
      </c>
      <c r="D43" s="43">
        <v>1103143</v>
      </c>
      <c r="E43" s="43">
        <v>8</v>
      </c>
      <c r="F43" s="44" t="s">
        <v>70</v>
      </c>
      <c r="G43" s="46" t="s">
        <v>57</v>
      </c>
      <c r="H43" s="43" t="s">
        <v>58</v>
      </c>
      <c r="I43" s="46" t="s">
        <v>55</v>
      </c>
      <c r="J43" s="44" t="s">
        <v>71</v>
      </c>
      <c r="K43" s="72"/>
      <c r="L43" s="43" t="s">
        <v>60</v>
      </c>
      <c r="M43" s="46" t="s">
        <v>55</v>
      </c>
      <c r="N43" s="89">
        <v>46325.83</v>
      </c>
      <c r="O43" s="46" t="s">
        <v>55</v>
      </c>
      <c r="P43" s="90">
        <v>11275</v>
      </c>
      <c r="Q43" s="45"/>
      <c r="R43" s="88">
        <v>22.55</v>
      </c>
      <c r="S43" s="73" t="s">
        <v>78</v>
      </c>
      <c r="T43" s="91">
        <v>32.14</v>
      </c>
      <c r="U43" s="86"/>
      <c r="V43" s="87">
        <v>1.43</v>
      </c>
      <c r="W43" s="73" t="s">
        <v>78</v>
      </c>
      <c r="X43" s="89">
        <v>6.09</v>
      </c>
      <c r="Y43" s="86"/>
      <c r="Z43" s="87">
        <v>0.27</v>
      </c>
      <c r="AA43" s="86"/>
      <c r="AB43" s="87">
        <v>38.229999999999997</v>
      </c>
      <c r="AC43" s="86"/>
      <c r="AD43" s="87">
        <v>1.7</v>
      </c>
      <c r="AE43" s="73"/>
      <c r="AF43" s="92">
        <v>2.8899999999999999E-2</v>
      </c>
      <c r="AG43" s="73"/>
      <c r="AH43" s="92">
        <v>8.0600000000000005E-2</v>
      </c>
      <c r="AI43" s="73"/>
      <c r="AJ43" s="92">
        <v>0.13089999999999999</v>
      </c>
      <c r="AK43" s="81">
        <v>44256</v>
      </c>
      <c r="AL43" s="82"/>
      <c r="AM43" s="79"/>
      <c r="AN43" s="79"/>
    </row>
    <row r="44" spans="1:40" ht="14.45" customHeight="1">
      <c r="A44" s="45" t="s">
        <v>54</v>
      </c>
      <c r="B44" s="46" t="s">
        <v>55</v>
      </c>
      <c r="C44" s="44" t="s">
        <v>29</v>
      </c>
      <c r="D44" s="43">
        <v>1103143</v>
      </c>
      <c r="E44" s="43">
        <v>8</v>
      </c>
      <c r="F44" s="44" t="s">
        <v>70</v>
      </c>
      <c r="G44" s="46" t="s">
        <v>57</v>
      </c>
      <c r="H44" s="43" t="s">
        <v>58</v>
      </c>
      <c r="I44" s="46" t="s">
        <v>55</v>
      </c>
      <c r="J44" s="44" t="s">
        <v>30</v>
      </c>
      <c r="K44" s="72"/>
      <c r="L44" s="43" t="s">
        <v>60</v>
      </c>
      <c r="M44" s="46" t="s">
        <v>55</v>
      </c>
      <c r="N44" s="89">
        <v>51484.57</v>
      </c>
      <c r="O44" s="46" t="s">
        <v>55</v>
      </c>
      <c r="P44" s="90">
        <v>11255</v>
      </c>
      <c r="Q44" s="45"/>
      <c r="R44" s="88">
        <v>22.51</v>
      </c>
      <c r="S44" s="73" t="s">
        <v>78</v>
      </c>
      <c r="T44" s="91">
        <v>39.950000000000003</v>
      </c>
      <c r="U44" s="86"/>
      <c r="V44" s="87">
        <v>1.77</v>
      </c>
      <c r="W44" s="73" t="s">
        <v>78</v>
      </c>
      <c r="X44" s="89">
        <v>6.09</v>
      </c>
      <c r="Y44" s="86"/>
      <c r="Z44" s="87">
        <v>0.27</v>
      </c>
      <c r="AA44" s="86"/>
      <c r="AB44" s="87">
        <v>46.04</v>
      </c>
      <c r="AC44" s="86"/>
      <c r="AD44" s="87">
        <v>2.0499999999999998</v>
      </c>
      <c r="AE44" s="73"/>
      <c r="AF44" s="92">
        <v>2.8799999999999999E-2</v>
      </c>
      <c r="AG44" s="73"/>
      <c r="AH44" s="92">
        <v>8.0699999999999994E-2</v>
      </c>
      <c r="AI44" s="73"/>
      <c r="AJ44" s="92">
        <v>0.13109999999999999</v>
      </c>
      <c r="AK44" s="81">
        <v>44287</v>
      </c>
      <c r="AL44" s="82"/>
      <c r="AM44" s="79"/>
      <c r="AN44" s="79"/>
    </row>
    <row r="47" spans="1:40" ht="14.45" customHeight="1">
      <c r="A47" s="45" t="s">
        <v>54</v>
      </c>
      <c r="B47" s="46" t="s">
        <v>55</v>
      </c>
      <c r="C47" s="44" t="s">
        <v>6</v>
      </c>
      <c r="D47" s="43">
        <v>4608864</v>
      </c>
      <c r="E47" s="43">
        <v>3</v>
      </c>
      <c r="F47" s="44" t="s">
        <v>56</v>
      </c>
      <c r="G47" s="46" t="s">
        <v>57</v>
      </c>
      <c r="H47" s="43" t="s">
        <v>58</v>
      </c>
      <c r="I47" s="46" t="s">
        <v>55</v>
      </c>
      <c r="J47" s="44" t="s">
        <v>62</v>
      </c>
      <c r="K47" s="72"/>
      <c r="L47" s="43" t="s">
        <v>60</v>
      </c>
      <c r="M47" s="46" t="s">
        <v>55</v>
      </c>
      <c r="N47" s="89">
        <v>39582.75</v>
      </c>
      <c r="O47" s="46" t="s">
        <v>55</v>
      </c>
      <c r="P47" s="90">
        <v>12592</v>
      </c>
      <c r="Q47" s="45"/>
      <c r="R47" s="88">
        <v>25.184000000000001</v>
      </c>
      <c r="S47" s="73" t="s">
        <v>78</v>
      </c>
      <c r="T47" s="91">
        <v>40.01</v>
      </c>
      <c r="U47" s="86"/>
      <c r="V47" s="87">
        <v>1.59</v>
      </c>
      <c r="W47" s="73" t="s">
        <v>78</v>
      </c>
      <c r="X47" s="89">
        <v>3.33</v>
      </c>
      <c r="Y47" s="86"/>
      <c r="Z47" s="87">
        <v>0.13</v>
      </c>
      <c r="AA47" s="86"/>
      <c r="AB47" s="87">
        <v>43.34</v>
      </c>
      <c r="AC47" s="86"/>
      <c r="AD47" s="87">
        <v>1.72</v>
      </c>
      <c r="AE47" s="73"/>
      <c r="AF47" s="92">
        <v>2.64E-2</v>
      </c>
      <c r="AG47" s="73"/>
      <c r="AH47" s="92">
        <v>0.09</v>
      </c>
      <c r="AI47" s="73"/>
      <c r="AJ47" s="92">
        <v>6.5299999999999997E-2</v>
      </c>
      <c r="AK47" s="81">
        <v>44317</v>
      </c>
      <c r="AL47" s="82"/>
      <c r="AM47" s="79"/>
      <c r="AN47" s="79"/>
    </row>
    <row r="48" spans="1:40" ht="14.45" customHeight="1">
      <c r="A48" s="45" t="s">
        <v>54</v>
      </c>
      <c r="B48" s="46" t="s">
        <v>55</v>
      </c>
      <c r="C48" s="44" t="s">
        <v>8</v>
      </c>
      <c r="D48" s="43">
        <v>1103143</v>
      </c>
      <c r="E48" s="43">
        <v>8</v>
      </c>
      <c r="F48" s="44" t="s">
        <v>70</v>
      </c>
      <c r="G48" s="46" t="s">
        <v>57</v>
      </c>
      <c r="H48" s="43" t="s">
        <v>58</v>
      </c>
      <c r="I48" s="46" t="s">
        <v>55</v>
      </c>
      <c r="J48" s="44" t="s">
        <v>71</v>
      </c>
      <c r="K48" s="72"/>
      <c r="L48" s="43" t="s">
        <v>60</v>
      </c>
      <c r="M48" s="46" t="s">
        <v>55</v>
      </c>
      <c r="N48" s="89">
        <v>43770.17</v>
      </c>
      <c r="O48" s="46" t="s">
        <v>55</v>
      </c>
      <c r="P48" s="90">
        <v>11166</v>
      </c>
      <c r="Q48" s="45"/>
      <c r="R48" s="88">
        <v>22.332000000000001</v>
      </c>
      <c r="S48" s="73" t="s">
        <v>78</v>
      </c>
      <c r="T48" s="91">
        <v>32.049999999999997</v>
      </c>
      <c r="U48" s="86"/>
      <c r="V48" s="87">
        <v>1.44</v>
      </c>
      <c r="W48" s="73" t="s">
        <v>78</v>
      </c>
      <c r="X48" s="89">
        <v>6.09</v>
      </c>
      <c r="Y48" s="86"/>
      <c r="Z48" s="87">
        <v>0.27</v>
      </c>
      <c r="AA48" s="86"/>
      <c r="AB48" s="87">
        <v>38.14</v>
      </c>
      <c r="AC48" s="86"/>
      <c r="AD48" s="87">
        <v>1.71</v>
      </c>
      <c r="AE48" s="73"/>
      <c r="AF48" s="92">
        <v>2.9600000000000001E-2</v>
      </c>
      <c r="AG48" s="73"/>
      <c r="AH48" s="92">
        <v>8.6699999999999999E-2</v>
      </c>
      <c r="AI48" s="73"/>
      <c r="AJ48" s="92">
        <v>0.13250000000000001</v>
      </c>
      <c r="AK48" s="81">
        <v>44317</v>
      </c>
      <c r="AL48" s="82"/>
      <c r="AM48" s="79"/>
      <c r="AN48" s="79"/>
    </row>
    <row r="49" spans="1:40" ht="14.45" customHeight="1">
      <c r="A49" s="45" t="s">
        <v>54</v>
      </c>
      <c r="B49" s="46" t="s">
        <v>55</v>
      </c>
      <c r="C49" s="44" t="s">
        <v>29</v>
      </c>
      <c r="D49" s="43">
        <v>1103143</v>
      </c>
      <c r="E49" s="43">
        <v>8</v>
      </c>
      <c r="F49" s="44" t="s">
        <v>70</v>
      </c>
      <c r="G49" s="46" t="s">
        <v>57</v>
      </c>
      <c r="H49" s="43" t="s">
        <v>58</v>
      </c>
      <c r="I49" s="46" t="s">
        <v>55</v>
      </c>
      <c r="J49" s="44" t="s">
        <v>30</v>
      </c>
      <c r="K49" s="72"/>
      <c r="L49" s="43" t="s">
        <v>60</v>
      </c>
      <c r="M49" s="46" t="s">
        <v>55</v>
      </c>
      <c r="N49" s="89">
        <v>41975.32</v>
      </c>
      <c r="O49" s="46" t="s">
        <v>55</v>
      </c>
      <c r="P49" s="90">
        <v>11151</v>
      </c>
      <c r="Q49" s="45"/>
      <c r="R49" s="88">
        <v>22.302</v>
      </c>
      <c r="S49" s="73" t="s">
        <v>78</v>
      </c>
      <c r="T49" s="91">
        <v>39.68</v>
      </c>
      <c r="U49" s="86"/>
      <c r="V49" s="87">
        <v>1.78</v>
      </c>
      <c r="W49" s="73" t="s">
        <v>78</v>
      </c>
      <c r="X49" s="89">
        <v>6.09</v>
      </c>
      <c r="Y49" s="86"/>
      <c r="Z49" s="87">
        <v>0.27</v>
      </c>
      <c r="AA49" s="86"/>
      <c r="AB49" s="87">
        <v>45.77</v>
      </c>
      <c r="AC49" s="86"/>
      <c r="AD49" s="87">
        <v>2.0499999999999998</v>
      </c>
      <c r="AE49" s="73"/>
      <c r="AF49" s="92">
        <v>2.9899999999999999E-2</v>
      </c>
      <c r="AG49" s="73"/>
      <c r="AH49" s="92">
        <v>8.77E-2</v>
      </c>
      <c r="AI49" s="73"/>
      <c r="AJ49" s="92">
        <v>0.13170000000000001</v>
      </c>
      <c r="AK49" s="81">
        <v>44317</v>
      </c>
      <c r="AL49" s="82"/>
      <c r="AM49" s="79"/>
      <c r="AN49" s="79"/>
    </row>
    <row r="58" spans="1:40" ht="18.75" customHeight="1">
      <c r="A58" s="41" t="s">
        <v>79</v>
      </c>
      <c r="B58" s="41"/>
      <c r="C58" s="41"/>
      <c r="D58" s="41"/>
    </row>
    <row r="59" spans="1:40">
      <c r="A59" t="s">
        <v>29</v>
      </c>
      <c r="C59">
        <v>230355.47</v>
      </c>
      <c r="E59" t="s">
        <v>2</v>
      </c>
      <c r="G59" t="s">
        <v>30</v>
      </c>
      <c r="I59" s="11">
        <v>43521</v>
      </c>
      <c r="K59">
        <v>137500</v>
      </c>
      <c r="L59">
        <v>22916.666666666668</v>
      </c>
      <c r="M59" t="s">
        <v>41</v>
      </c>
      <c r="N59" t="s">
        <v>42</v>
      </c>
      <c r="O59" t="s">
        <v>43</v>
      </c>
    </row>
    <row r="60" spans="1:40" ht="15.6" customHeight="1">
      <c r="A60" t="s">
        <v>6</v>
      </c>
      <c r="C60">
        <v>60290.95</v>
      </c>
      <c r="E60" t="s">
        <v>2</v>
      </c>
      <c r="G60" t="s">
        <v>44</v>
      </c>
      <c r="I60" s="11">
        <v>43123</v>
      </c>
      <c r="K60">
        <v>156250</v>
      </c>
      <c r="L60">
        <v>26041.666666666668</v>
      </c>
      <c r="M60" t="s">
        <v>7</v>
      </c>
      <c r="N60" t="s">
        <v>45</v>
      </c>
      <c r="O60" t="s">
        <v>43</v>
      </c>
    </row>
    <row r="61" spans="1:40">
      <c r="A61" t="s">
        <v>6</v>
      </c>
      <c r="C61">
        <v>152115.1</v>
      </c>
      <c r="E61" t="s">
        <v>2</v>
      </c>
      <c r="G61" t="s">
        <v>46</v>
      </c>
      <c r="I61" s="11">
        <v>43521</v>
      </c>
      <c r="K61">
        <v>95750</v>
      </c>
      <c r="L61">
        <v>15958.333333333334</v>
      </c>
      <c r="M61" t="s">
        <v>41</v>
      </c>
      <c r="N61" t="s">
        <v>42</v>
      </c>
      <c r="O61" t="s">
        <v>43</v>
      </c>
    </row>
    <row r="62" spans="1:40">
      <c r="A62" t="s">
        <v>47</v>
      </c>
      <c r="C62">
        <v>35661.65</v>
      </c>
      <c r="E62" t="s">
        <v>2</v>
      </c>
      <c r="G62" t="s">
        <v>48</v>
      </c>
      <c r="I62" s="11">
        <v>43195</v>
      </c>
      <c r="K62">
        <v>96500</v>
      </c>
      <c r="L62">
        <v>16083.333333333334</v>
      </c>
      <c r="M62" t="s">
        <v>7</v>
      </c>
      <c r="N62" t="s">
        <v>45</v>
      </c>
      <c r="O62" t="s">
        <v>43</v>
      </c>
    </row>
    <row r="63" spans="1:40">
      <c r="A63" t="s">
        <v>8</v>
      </c>
      <c r="C63">
        <v>225557.34</v>
      </c>
      <c r="E63" t="s">
        <v>2</v>
      </c>
      <c r="G63" t="s">
        <v>35</v>
      </c>
      <c r="K63">
        <v>162500</v>
      </c>
      <c r="L63">
        <v>27083.333333333332</v>
      </c>
      <c r="M63" t="s">
        <v>7</v>
      </c>
      <c r="N63" t="s">
        <v>49</v>
      </c>
      <c r="O63" t="s">
        <v>50</v>
      </c>
    </row>
    <row r="65" spans="1:26">
      <c r="A65" s="41" t="s">
        <v>52</v>
      </c>
      <c r="B65" s="41"/>
      <c r="C65" s="41"/>
      <c r="D65" s="41"/>
    </row>
    <row r="66" spans="1:26">
      <c r="A66" t="s">
        <v>29</v>
      </c>
      <c r="C66" s="112">
        <v>202267.05</v>
      </c>
      <c r="E66" t="s">
        <v>2</v>
      </c>
      <c r="G66" t="s">
        <v>30</v>
      </c>
      <c r="I66" s="11">
        <v>43521</v>
      </c>
      <c r="K66">
        <v>201095.5</v>
      </c>
      <c r="L66">
        <v>33515.916666666664</v>
      </c>
      <c r="M66" t="s">
        <v>38</v>
      </c>
      <c r="N66" t="s">
        <v>42</v>
      </c>
      <c r="O66" t="s">
        <v>33</v>
      </c>
    </row>
    <row r="67" spans="1:26">
      <c r="A67" t="s">
        <v>6</v>
      </c>
      <c r="C67" s="112">
        <v>158376.83000000002</v>
      </c>
      <c r="E67" t="s">
        <v>2</v>
      </c>
      <c r="G67" t="s">
        <v>46</v>
      </c>
      <c r="I67" s="11">
        <v>43521</v>
      </c>
      <c r="K67">
        <v>157500</v>
      </c>
      <c r="L67">
        <v>26250</v>
      </c>
      <c r="M67" t="s">
        <v>38</v>
      </c>
      <c r="N67" t="s">
        <v>42</v>
      </c>
      <c r="O67" t="s">
        <v>40</v>
      </c>
    </row>
    <row r="68" spans="1:26">
      <c r="A68" t="s">
        <v>6</v>
      </c>
      <c r="C68" s="112">
        <v>221460.98</v>
      </c>
      <c r="E68" t="s">
        <v>3</v>
      </c>
      <c r="G68" t="s">
        <v>51</v>
      </c>
      <c r="I68" s="11">
        <v>44628</v>
      </c>
      <c r="L68">
        <v>75000</v>
      </c>
      <c r="N68" t="s">
        <v>82</v>
      </c>
    </row>
    <row r="69" spans="1:26">
      <c r="A69" t="s">
        <v>8</v>
      </c>
      <c r="C69" s="112">
        <v>74989.850000000006</v>
      </c>
      <c r="E69" t="s">
        <v>2</v>
      </c>
      <c r="G69" t="s">
        <v>35</v>
      </c>
      <c r="I69" s="11">
        <v>43868</v>
      </c>
      <c r="K69">
        <v>237794.5</v>
      </c>
      <c r="L69">
        <v>39632.416666666664</v>
      </c>
      <c r="M69" t="s">
        <v>38</v>
      </c>
      <c r="N69" t="s">
        <v>49</v>
      </c>
      <c r="O69" t="s">
        <v>33</v>
      </c>
    </row>
    <row r="70" spans="1:26">
      <c r="I70" s="11"/>
    </row>
    <row r="71" spans="1:26">
      <c r="I71" s="11"/>
    </row>
    <row r="72" spans="1:26">
      <c r="A72" s="41" t="s">
        <v>53</v>
      </c>
      <c r="B72" s="41"/>
      <c r="C72" s="41"/>
      <c r="D72" s="41"/>
      <c r="I72" s="11"/>
      <c r="L72" s="10"/>
      <c r="M72" s="14"/>
      <c r="N72" s="13"/>
      <c r="O72" s="13"/>
      <c r="P72" s="13"/>
      <c r="Q72" s="16"/>
      <c r="R72" s="17"/>
      <c r="S72" s="13"/>
      <c r="T72" s="16"/>
      <c r="U72" s="13"/>
      <c r="V72" s="14"/>
      <c r="W72" s="18"/>
      <c r="X72" s="13"/>
      <c r="Y72" s="26"/>
      <c r="Z72" s="10"/>
    </row>
    <row r="73" spans="1:26">
      <c r="A73" t="s">
        <v>29</v>
      </c>
      <c r="C73">
        <v>72547.14</v>
      </c>
      <c r="E73" t="s">
        <v>2</v>
      </c>
      <c r="G73" t="s">
        <v>30</v>
      </c>
      <c r="I73" s="11">
        <v>43521</v>
      </c>
      <c r="K73">
        <v>125000</v>
      </c>
      <c r="L73">
        <v>20833.333333333332</v>
      </c>
      <c r="M73" s="14" t="s">
        <v>31</v>
      </c>
      <c r="N73" s="13">
        <v>41.03</v>
      </c>
      <c r="O73" s="13" t="s">
        <v>32</v>
      </c>
      <c r="P73" s="13" t="s">
        <v>33</v>
      </c>
      <c r="Q73" s="16" t="s">
        <v>34</v>
      </c>
      <c r="R73" s="17"/>
      <c r="S73" s="13"/>
      <c r="T73" s="16"/>
      <c r="U73" s="13"/>
      <c r="V73" s="14"/>
      <c r="W73" s="18"/>
      <c r="X73" s="13"/>
      <c r="Y73" s="12"/>
    </row>
    <row r="74" spans="1:26">
      <c r="A74" t="s">
        <v>8</v>
      </c>
      <c r="C74">
        <v>83963.86</v>
      </c>
      <c r="E74" t="s">
        <v>2</v>
      </c>
      <c r="G74" t="s">
        <v>71</v>
      </c>
      <c r="I74" s="11">
        <v>43868</v>
      </c>
      <c r="K74">
        <v>162500</v>
      </c>
      <c r="L74">
        <v>27083.333333333332</v>
      </c>
      <c r="M74" s="10" t="s">
        <v>36</v>
      </c>
      <c r="N74" s="13">
        <v>34.5</v>
      </c>
      <c r="O74" s="10" t="s">
        <v>37</v>
      </c>
      <c r="P74" s="10" t="s">
        <v>33</v>
      </c>
      <c r="Q74" t="s">
        <v>34</v>
      </c>
    </row>
    <row r="75" spans="1:26">
      <c r="A75" t="s">
        <v>6</v>
      </c>
      <c r="C75">
        <v>39257.649999999994</v>
      </c>
      <c r="E75" t="s">
        <v>2</v>
      </c>
      <c r="G75" t="s">
        <v>14</v>
      </c>
      <c r="I75" s="11">
        <v>44628</v>
      </c>
      <c r="K75">
        <v>100000</v>
      </c>
      <c r="L75">
        <v>25000</v>
      </c>
      <c r="M75" t="s">
        <v>38</v>
      </c>
      <c r="N75">
        <v>55</v>
      </c>
      <c r="O75" t="s">
        <v>39</v>
      </c>
      <c r="P75" t="s">
        <v>33</v>
      </c>
    </row>
    <row r="76" spans="1:26">
      <c r="A76" t="s">
        <v>6</v>
      </c>
      <c r="C76">
        <v>88111.95</v>
      </c>
      <c r="E76" t="s">
        <v>2</v>
      </c>
      <c r="G76" t="s">
        <v>17</v>
      </c>
      <c r="I76" s="11">
        <v>44351</v>
      </c>
      <c r="K76">
        <v>100000</v>
      </c>
      <c r="L76">
        <v>25000</v>
      </c>
      <c r="M76" t="s">
        <v>9</v>
      </c>
      <c r="N76">
        <v>39</v>
      </c>
      <c r="O76" t="s">
        <v>21</v>
      </c>
      <c r="P76" t="s">
        <v>33</v>
      </c>
    </row>
    <row r="77" spans="1:26">
      <c r="A77" t="s">
        <v>8</v>
      </c>
      <c r="C77">
        <v>110621.01</v>
      </c>
      <c r="E77" t="s">
        <v>2</v>
      </c>
      <c r="G77" t="s">
        <v>15</v>
      </c>
      <c r="I77" s="11">
        <v>44351</v>
      </c>
      <c r="K77">
        <v>110000</v>
      </c>
      <c r="L77">
        <v>27500</v>
      </c>
      <c r="M77" t="s">
        <v>25</v>
      </c>
      <c r="N77">
        <v>33.9</v>
      </c>
      <c r="O77" t="s">
        <v>22</v>
      </c>
      <c r="P77" t="s">
        <v>40</v>
      </c>
    </row>
    <row r="78" spans="1:26">
      <c r="A78" t="s">
        <v>8</v>
      </c>
      <c r="C78">
        <v>46416.770000000004</v>
      </c>
      <c r="E78" t="s">
        <v>2</v>
      </c>
      <c r="G78" t="s">
        <v>16</v>
      </c>
      <c r="I78" s="11">
        <v>44628</v>
      </c>
      <c r="K78">
        <v>50000</v>
      </c>
      <c r="L78">
        <v>12500</v>
      </c>
      <c r="M78" t="s">
        <v>7</v>
      </c>
      <c r="N78">
        <v>44.25</v>
      </c>
      <c r="O78" t="s">
        <v>23</v>
      </c>
      <c r="P78" t="s">
        <v>33</v>
      </c>
    </row>
    <row r="79" spans="1:26">
      <c r="A79" t="s">
        <v>6</v>
      </c>
      <c r="C79">
        <v>100808.7</v>
      </c>
      <c r="E79" t="s">
        <v>3</v>
      </c>
      <c r="G79" t="s">
        <v>81</v>
      </c>
      <c r="I79" s="11">
        <v>44628</v>
      </c>
      <c r="L79">
        <v>100000</v>
      </c>
    </row>
    <row r="80" spans="1:26">
      <c r="A80" t="s">
        <v>10</v>
      </c>
      <c r="C80">
        <v>6527.4</v>
      </c>
      <c r="E80" t="s">
        <v>3</v>
      </c>
      <c r="G80" t="s">
        <v>13</v>
      </c>
      <c r="I80" s="11">
        <v>44628</v>
      </c>
      <c r="L80">
        <v>10000</v>
      </c>
    </row>
    <row r="81" spans="1:25">
      <c r="I81" s="11"/>
    </row>
    <row r="82" spans="1:25">
      <c r="I82" s="11"/>
    </row>
    <row r="83" spans="1:25">
      <c r="A83" s="41" t="s">
        <v>80</v>
      </c>
      <c r="B83" s="41"/>
      <c r="C83" s="41"/>
      <c r="D83" s="41"/>
    </row>
    <row r="84" spans="1:25" s="10" customFormat="1"/>
    <row r="85" spans="1:25" s="10" customFormat="1">
      <c r="A85" s="10" t="s">
        <v>6</v>
      </c>
      <c r="B85" s="27"/>
      <c r="C85" s="40">
        <v>162395.19999999998</v>
      </c>
      <c r="D85" s="7"/>
      <c r="E85" s="9" t="s">
        <v>2</v>
      </c>
      <c r="F85" s="7"/>
      <c r="G85" s="28" t="s">
        <v>14</v>
      </c>
      <c r="H85" s="7"/>
      <c r="I85" s="11">
        <v>44446</v>
      </c>
      <c r="J85" s="7"/>
      <c r="K85" s="36">
        <f>6*L85</f>
        <v>148527.5</v>
      </c>
      <c r="L85" s="10">
        <f>(300000-2945)/12</f>
        <v>24754.583333333332</v>
      </c>
      <c r="M85" s="14" t="s">
        <v>25</v>
      </c>
      <c r="N85" s="13" t="s">
        <v>22</v>
      </c>
      <c r="O85" s="37">
        <v>55</v>
      </c>
      <c r="P85" s="15" t="s">
        <v>27</v>
      </c>
      <c r="Q85" s="16"/>
      <c r="R85" s="17"/>
      <c r="S85" s="13"/>
      <c r="T85" s="15"/>
      <c r="U85" s="13"/>
      <c r="V85" s="14"/>
      <c r="W85" s="18"/>
      <c r="X85" s="13"/>
      <c r="Y85" s="26"/>
    </row>
    <row r="86" spans="1:25" s="10" customFormat="1" ht="15.6" customHeight="1">
      <c r="A86" s="10" t="s">
        <v>8</v>
      </c>
      <c r="C86" s="40">
        <v>57824.98</v>
      </c>
      <c r="E86" s="9" t="s">
        <v>2</v>
      </c>
      <c r="G86" s="8" t="s">
        <v>15</v>
      </c>
      <c r="I86" s="11">
        <v>44342</v>
      </c>
      <c r="J86" s="7"/>
      <c r="K86" s="36">
        <f>6*L86</f>
        <v>166153.84615384616</v>
      </c>
      <c r="L86" s="10">
        <f>(300000+15000+15000+15000+15000)/13</f>
        <v>27692.307692307691</v>
      </c>
      <c r="M86" s="14" t="s">
        <v>25</v>
      </c>
      <c r="N86" s="13" t="s">
        <v>22</v>
      </c>
      <c r="O86" s="38">
        <v>33.9</v>
      </c>
      <c r="P86" s="15" t="s">
        <v>28</v>
      </c>
      <c r="Q86" s="16"/>
      <c r="R86" s="17"/>
      <c r="S86" s="13"/>
      <c r="T86" s="16"/>
      <c r="U86" s="13"/>
      <c r="V86" s="14"/>
      <c r="W86" s="18"/>
      <c r="X86" s="13"/>
      <c r="Y86" s="26"/>
    </row>
    <row r="87" spans="1:25" s="10" customFormat="1">
      <c r="A87" s="10" t="s">
        <v>8</v>
      </c>
      <c r="C87" s="40">
        <v>20285.560000000001</v>
      </c>
      <c r="E87" s="9" t="s">
        <v>2</v>
      </c>
      <c r="G87" s="8" t="s">
        <v>16</v>
      </c>
      <c r="I87" s="11">
        <v>44446</v>
      </c>
      <c r="J87" s="7"/>
      <c r="K87" s="36">
        <f>6*L87</f>
        <v>46619.5</v>
      </c>
      <c r="L87" s="10">
        <f>(150000-56761)/12</f>
        <v>7769.916666666667</v>
      </c>
      <c r="M87" s="14" t="s">
        <v>7</v>
      </c>
      <c r="N87" s="13" t="s">
        <v>23</v>
      </c>
      <c r="O87" s="38">
        <v>44</v>
      </c>
      <c r="P87" s="15" t="s">
        <v>27</v>
      </c>
      <c r="Q87" s="16"/>
      <c r="R87" s="17"/>
      <c r="S87" s="13"/>
      <c r="T87" s="16"/>
      <c r="U87" s="13"/>
      <c r="V87" s="14"/>
      <c r="W87" s="18"/>
      <c r="X87" s="13"/>
      <c r="Y87" s="26"/>
    </row>
    <row r="88" spans="1:25" s="10" customFormat="1">
      <c r="A88" s="10" t="s">
        <v>6</v>
      </c>
      <c r="C88" s="40">
        <v>263997.55</v>
      </c>
      <c r="E88" s="9" t="s">
        <v>2</v>
      </c>
      <c r="G88" s="8" t="s">
        <v>17</v>
      </c>
      <c r="I88" s="11">
        <v>44342</v>
      </c>
      <c r="K88" s="34">
        <f>6*L88</f>
        <v>219245.5</v>
      </c>
      <c r="L88" s="10">
        <f>((300000+37500+37500+37500+37500)-11509)/12</f>
        <v>36540.916666666664</v>
      </c>
      <c r="M88" s="14" t="s">
        <v>9</v>
      </c>
      <c r="N88" s="13" t="s">
        <v>21</v>
      </c>
      <c r="O88" s="39">
        <v>39</v>
      </c>
      <c r="P88" s="15" t="s">
        <v>27</v>
      </c>
      <c r="Q88" s="23"/>
      <c r="R88" s="24"/>
      <c r="S88" s="20"/>
      <c r="T88" s="23"/>
      <c r="U88" s="20"/>
      <c r="V88" s="19"/>
      <c r="W88" s="25"/>
      <c r="X88" s="13"/>
      <c r="Y88" s="26"/>
    </row>
    <row r="89" spans="1:25" s="10" customFormat="1">
      <c r="A89" s="10" t="s">
        <v>12</v>
      </c>
      <c r="C89" s="40">
        <v>1542.87</v>
      </c>
      <c r="E89" s="9" t="s">
        <v>2</v>
      </c>
      <c r="G89" s="8" t="s">
        <v>20</v>
      </c>
      <c r="I89" s="11">
        <v>44734</v>
      </c>
      <c r="K89" s="34">
        <f>L89*4</f>
        <v>4571.4285714285716</v>
      </c>
      <c r="L89" s="10">
        <f>24000/21</f>
        <v>1142.8571428571429</v>
      </c>
      <c r="M89" s="14" t="s">
        <v>26</v>
      </c>
      <c r="N89" s="13" t="s">
        <v>24</v>
      </c>
      <c r="O89" s="38">
        <v>118</v>
      </c>
      <c r="P89" s="15" t="s">
        <v>28</v>
      </c>
      <c r="Q89" s="16"/>
      <c r="R89" s="17"/>
      <c r="S89" s="13"/>
      <c r="T89" s="16"/>
      <c r="U89" s="13"/>
      <c r="V89" s="14"/>
      <c r="W89" s="18"/>
      <c r="X89" s="13"/>
      <c r="Y89" s="26"/>
    </row>
    <row r="90" spans="1:25" s="10" customFormat="1">
      <c r="A90" s="10" t="s">
        <v>10</v>
      </c>
      <c r="C90" s="40">
        <v>3224</v>
      </c>
      <c r="E90" s="9" t="s">
        <v>3</v>
      </c>
      <c r="G90" s="8" t="s">
        <v>13</v>
      </c>
      <c r="I90" s="11">
        <v>44628</v>
      </c>
      <c r="K90" s="34"/>
      <c r="M90" s="14"/>
      <c r="N90" s="13"/>
      <c r="O90" s="38"/>
      <c r="P90" s="15"/>
      <c r="Q90" s="16"/>
      <c r="R90" s="17"/>
      <c r="S90" s="13"/>
      <c r="T90" s="16"/>
      <c r="U90" s="13"/>
      <c r="V90" s="14"/>
      <c r="W90" s="18"/>
      <c r="X90" s="13"/>
      <c r="Y90" s="26"/>
    </row>
    <row r="91" spans="1:25" s="10" customFormat="1">
      <c r="A91" s="10" t="s">
        <v>6</v>
      </c>
      <c r="C91" s="40">
        <v>39593.550000000003</v>
      </c>
      <c r="E91" s="9" t="s">
        <v>3</v>
      </c>
      <c r="G91" s="8" t="s">
        <v>18</v>
      </c>
      <c r="I91" s="11">
        <v>45020</v>
      </c>
      <c r="K91" s="34"/>
      <c r="M91" s="14"/>
      <c r="N91" s="13"/>
      <c r="O91" s="38"/>
      <c r="P91" s="15"/>
      <c r="Q91" s="16"/>
      <c r="R91" s="17"/>
      <c r="S91" s="13"/>
      <c r="T91" s="16"/>
      <c r="U91" s="13"/>
      <c r="V91" s="14"/>
      <c r="W91" s="18"/>
      <c r="X91" s="13"/>
      <c r="Y91" s="26"/>
    </row>
    <row r="92" spans="1:25" s="10" customFormat="1">
      <c r="A92" s="10" t="s">
        <v>11</v>
      </c>
      <c r="C92" s="40">
        <v>19314.940000000002</v>
      </c>
      <c r="E92" s="9" t="s">
        <v>3</v>
      </c>
      <c r="G92" s="8" t="s">
        <v>19</v>
      </c>
      <c r="I92" s="11">
        <v>44678</v>
      </c>
      <c r="K92" s="34"/>
      <c r="M92" s="14"/>
      <c r="N92" s="13"/>
      <c r="O92" s="38"/>
      <c r="P92" s="15"/>
      <c r="Q92" s="16"/>
      <c r="R92" s="17"/>
      <c r="S92" s="13"/>
      <c r="T92" s="16"/>
      <c r="U92" s="13"/>
      <c r="V92" s="14"/>
      <c r="W92" s="18"/>
      <c r="X92" s="13"/>
      <c r="Y92" s="26"/>
    </row>
    <row r="93" spans="1:25" s="10" customFormat="1">
      <c r="C93" s="40"/>
      <c r="E93" s="9"/>
      <c r="G93" s="8"/>
      <c r="I93" s="11"/>
      <c r="K93" s="34"/>
      <c r="M93" s="14"/>
      <c r="N93" s="13"/>
      <c r="O93" s="38"/>
      <c r="P93" s="15"/>
      <c r="Q93" s="16"/>
      <c r="R93" s="17"/>
      <c r="S93" s="13"/>
      <c r="T93" s="16"/>
      <c r="U93" s="13"/>
      <c r="V93" s="14"/>
      <c r="W93" s="18"/>
      <c r="X93" s="13"/>
      <c r="Y93" s="26"/>
    </row>
    <row r="96" spans="1:25">
      <c r="C96" s="42">
        <f>SUM(C59:C63,C66:C69,C73:C80,C85:C92)</f>
        <v>2477508.3499999996</v>
      </c>
      <c r="K96" s="42">
        <f>SUM(K85:K92,K73:K80,K66:K69,K59:K63)</f>
        <v>2477507.7747252746</v>
      </c>
    </row>
    <row r="99" spans="11:11">
      <c r="K99" s="111">
        <f>K96/C96</f>
        <v>0.99999976780109545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Kimberly Hughes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B520BA-18EA-41E7-8E8A-FF6F0B655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C0BBF-9D35-43B3-A6A5-FD2729234F8D}">
  <ds:schemaRefs>
    <ds:schemaRef ds:uri="http://purl.org/dc/terms/"/>
    <ds:schemaRef ds:uri="2612a682-5ffb-4b9c-9555-017618935178"/>
    <ds:schemaRef ds:uri="http://schemas.microsoft.com/office/2006/documentManagement/types"/>
    <ds:schemaRef ds:uri="3c9d8c27-8a6d-4d9e-a15e-ef5d28c114a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5BDBE2-4B74-4B3F-A4D8-38B35ED536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DR-02-0014 Attachment</vt:lpstr>
      <vt:lpstr>Coal Spec</vt:lpstr>
      <vt:lpstr>'DR-02-0014 Attachment'!Print_Area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Czupik, Ted Jr</dc:creator>
  <cp:lastModifiedBy>Minna Sunderman</cp:lastModifiedBy>
  <cp:lastPrinted>2023-10-18T16:17:08Z</cp:lastPrinted>
  <dcterms:created xsi:type="dcterms:W3CDTF">2016-02-08T16:48:45Z</dcterms:created>
  <dcterms:modified xsi:type="dcterms:W3CDTF">2023-10-20T13:54:34Z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</Properties>
</file>