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18595\Desktop\KRWA\Judy WA\22-436 DR\"/>
    </mc:Choice>
  </mc:AlternateContent>
  <xr:revisionPtr revIDLastSave="0" documentId="8_{DAEC1C92-4076-4388-8822-828D16284EF6}" xr6:coauthVersionLast="47" xr6:coauthVersionMax="47" xr10:uidLastSave="{00000000-0000-0000-0000-000000000000}"/>
  <bookViews>
    <workbookView xWindow="28680" yWindow="270" windowWidth="25440" windowHeight="15390" tabRatio="641" xr2:uid="{00000000-000D-0000-FFFF-FFFF00000000}"/>
  </bookViews>
  <sheets>
    <sheet name="SAO" sheetId="6" r:id="rId1"/>
    <sheet name="Refrences" sheetId="58" r:id="rId2"/>
    <sheet name="Wages" sheetId="55" r:id="rId3"/>
    <sheet name="Medical" sheetId="40" r:id="rId4"/>
    <sheet name="Debt Service" sheetId="50" r:id="rId5"/>
    <sheet name="Depreciation" sheetId="51" r:id="rId6"/>
    <sheet name="Capital" sheetId="56" r:id="rId7"/>
    <sheet name="Water Loss" sheetId="54" r:id="rId8"/>
    <sheet name="Rates" sheetId="2" r:id="rId9"/>
    <sheet name="Bills" sheetId="42" r:id="rId10"/>
    <sheet name="ExBA" sheetId="52" r:id="rId11"/>
    <sheet name="PrBA" sheetId="53" r:id="rId12"/>
  </sheets>
  <definedNames>
    <definedName name="AHV">#REF!</definedName>
    <definedName name="_xlnm.Print_Area" localSheetId="9">Bills!$B$2:$I$28</definedName>
    <definedName name="_xlnm.Print_Area" localSheetId="4">'Debt Service'!$A$1:$O$23</definedName>
    <definedName name="_xlnm.Print_Area" localSheetId="5">Depreciation!$A$1:$L$47</definedName>
    <definedName name="_xlnm.Print_Area" localSheetId="11">PrBA!$A$1:$L$35</definedName>
    <definedName name="_xlnm.Print_Area" localSheetId="8">Rates!$B$2:$I$16</definedName>
    <definedName name="_xlnm.Print_Area" localSheetId="0">SAO!$A$2:$G$55</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 i="6" l="1"/>
  <c r="G61" i="6"/>
  <c r="E22" i="6"/>
  <c r="G22" i="6" s="1"/>
  <c r="D41" i="55"/>
  <c r="C41" i="55"/>
  <c r="B41" i="55"/>
  <c r="F20" i="55" l="1"/>
  <c r="F8" i="53"/>
  <c r="Q13" i="50"/>
  <c r="Q12" i="50"/>
  <c r="G33" i="55"/>
  <c r="G20" i="55" l="1"/>
  <c r="H38" i="51" l="1"/>
  <c r="G21" i="6"/>
  <c r="G33" i="6"/>
  <c r="F9" i="52" l="1"/>
  <c r="E26" i="6" l="1"/>
  <c r="K3" i="54"/>
  <c r="J3" i="54"/>
  <c r="I3" i="54"/>
  <c r="J20" i="40"/>
  <c r="D40" i="40"/>
  <c r="C40" i="40"/>
  <c r="C39" i="40"/>
  <c r="C38" i="40"/>
  <c r="C37" i="40"/>
  <c r="C36" i="40"/>
  <c r="C35" i="40"/>
  <c r="C34" i="40"/>
  <c r="B40" i="40"/>
  <c r="B10" i="40"/>
  <c r="O65" i="51" l="1"/>
  <c r="O64" i="51"/>
  <c r="O62" i="51"/>
  <c r="O60" i="51"/>
  <c r="H65" i="51"/>
  <c r="H64" i="51"/>
  <c r="L69" i="51"/>
  <c r="I66" i="51"/>
  <c r="G65" i="51"/>
  <c r="G64" i="51"/>
  <c r="E66" i="51"/>
  <c r="E67" i="51" s="1"/>
  <c r="E19" i="6"/>
  <c r="E30" i="6"/>
  <c r="C3" i="56"/>
  <c r="C18" i="52"/>
  <c r="C17" i="52"/>
  <c r="C16" i="52"/>
  <c r="C15" i="52"/>
  <c r="D18" i="52"/>
  <c r="D17" i="52"/>
  <c r="D16" i="52"/>
  <c r="D15" i="52"/>
  <c r="P13" i="50"/>
  <c r="P12" i="50"/>
  <c r="M12" i="50"/>
  <c r="E10" i="55"/>
  <c r="B11" i="55"/>
  <c r="B12" i="55"/>
  <c r="O69" i="51" l="1"/>
  <c r="G10" i="55"/>
  <c r="B29" i="53"/>
  <c r="B28" i="53"/>
  <c r="B27" i="53"/>
  <c r="B26" i="53"/>
  <c r="D20" i="53"/>
  <c r="G17" i="53"/>
  <c r="C20" i="53"/>
  <c r="F20" i="53" s="1"/>
  <c r="E25" i="52"/>
  <c r="B26" i="52"/>
  <c r="B25" i="52"/>
  <c r="B24" i="52"/>
  <c r="B23" i="52"/>
  <c r="G18" i="52"/>
  <c r="F18" i="52"/>
  <c r="E18" i="52"/>
  <c r="F17" i="52"/>
  <c r="E17" i="52"/>
  <c r="E16" i="52"/>
  <c r="G14" i="52"/>
  <c r="E25" i="42"/>
  <c r="E24" i="42"/>
  <c r="E23" i="42"/>
  <c r="E22" i="42"/>
  <c r="E21" i="42"/>
  <c r="E20" i="42"/>
  <c r="E19" i="42"/>
  <c r="E18" i="42"/>
  <c r="E17" i="42"/>
  <c r="E16" i="42"/>
  <c r="E15" i="42"/>
  <c r="E14" i="42"/>
  <c r="E13" i="42"/>
  <c r="E12" i="42"/>
  <c r="E11" i="42"/>
  <c r="H18" i="52" l="1"/>
  <c r="E20" i="53"/>
  <c r="G20" i="53" s="1"/>
  <c r="I20" i="53" s="1"/>
  <c r="G17" i="52"/>
  <c r="G19" i="52" s="1"/>
  <c r="D25" i="52" s="1"/>
  <c r="F25" i="52" s="1"/>
  <c r="I17" i="52" l="1"/>
  <c r="E8" i="40"/>
  <c r="E7" i="40"/>
  <c r="E6" i="40"/>
  <c r="E10" i="40" s="1"/>
  <c r="D8" i="40"/>
  <c r="L8" i="40" s="1"/>
  <c r="D7" i="40"/>
  <c r="L7" i="40" s="1"/>
  <c r="D9" i="40"/>
  <c r="I9" i="40" s="1"/>
  <c r="D6" i="40"/>
  <c r="I6" i="40" s="1"/>
  <c r="D21" i="53"/>
  <c r="D19" i="53"/>
  <c r="D18" i="53"/>
  <c r="E18" i="53" s="1"/>
  <c r="I18" i="53" s="1"/>
  <c r="C21" i="53"/>
  <c r="C19" i="53"/>
  <c r="E19" i="53" s="1"/>
  <c r="C18" i="53"/>
  <c r="H17" i="53"/>
  <c r="F17" i="53"/>
  <c r="E17" i="53"/>
  <c r="E23" i="52"/>
  <c r="L16" i="50"/>
  <c r="D16" i="50"/>
  <c r="K16" i="50"/>
  <c r="I16" i="50"/>
  <c r="H16" i="50"/>
  <c r="G16" i="50"/>
  <c r="F16" i="50"/>
  <c r="E16" i="50"/>
  <c r="C16" i="50"/>
  <c r="F51" i="51"/>
  <c r="J27" i="51"/>
  <c r="G27" i="55"/>
  <c r="B32" i="54"/>
  <c r="B30" i="54"/>
  <c r="A32" i="54"/>
  <c r="A31" i="54"/>
  <c r="A30" i="54"/>
  <c r="G21" i="53" l="1"/>
  <c r="G22" i="53" s="1"/>
  <c r="D28" i="53" s="1"/>
  <c r="E21" i="53"/>
  <c r="F21" i="53"/>
  <c r="F7" i="40"/>
  <c r="G7" i="40" s="1"/>
  <c r="J7" i="40" s="1"/>
  <c r="M7" i="40" s="1"/>
  <c r="F8" i="40"/>
  <c r="G8" i="40" s="1"/>
  <c r="J8" i="40" s="1"/>
  <c r="M8" i="40" s="1"/>
  <c r="C10" i="40"/>
  <c r="F6" i="40"/>
  <c r="G6" i="40" s="1"/>
  <c r="J6" i="40" s="1"/>
  <c r="D10" i="40"/>
  <c r="I8" i="40"/>
  <c r="I7" i="40"/>
  <c r="F9" i="40"/>
  <c r="G9" i="40" s="1"/>
  <c r="L9" i="40"/>
  <c r="L6" i="40"/>
  <c r="F19" i="53"/>
  <c r="D22" i="53"/>
  <c r="C22" i="53"/>
  <c r="J16" i="50"/>
  <c r="F44" i="51"/>
  <c r="J19" i="51"/>
  <c r="J18" i="51"/>
  <c r="J42" i="51"/>
  <c r="J23" i="51"/>
  <c r="K23" i="51" s="1"/>
  <c r="F22" i="53" l="1"/>
  <c r="D27" i="53" s="1"/>
  <c r="H21" i="53"/>
  <c r="H22" i="53" s="1"/>
  <c r="D29" i="53" s="1"/>
  <c r="I19" i="53"/>
  <c r="I10" i="40"/>
  <c r="M6" i="40"/>
  <c r="J9" i="40"/>
  <c r="E22" i="53"/>
  <c r="D26" i="53" s="1"/>
  <c r="D6" i="53"/>
  <c r="D7" i="53" s="1"/>
  <c r="C26" i="53"/>
  <c r="K19" i="51"/>
  <c r="K18" i="51"/>
  <c r="K42" i="51"/>
  <c r="C6" i="56"/>
  <c r="C5" i="56"/>
  <c r="E11" i="55"/>
  <c r="C21" i="54"/>
  <c r="C13" i="54"/>
  <c r="C4" i="54"/>
  <c r="E26" i="52"/>
  <c r="E24" i="52"/>
  <c r="D19" i="52"/>
  <c r="E15" i="52"/>
  <c r="E19" i="52" s="1"/>
  <c r="C19" i="52"/>
  <c r="H14" i="52"/>
  <c r="F14" i="52"/>
  <c r="E14" i="52"/>
  <c r="D6" i="52" l="1"/>
  <c r="C23" i="52"/>
  <c r="F23" i="52" s="1"/>
  <c r="D30" i="53"/>
  <c r="I21" i="53"/>
  <c r="I22" i="53" s="1"/>
  <c r="E6" i="53" s="1"/>
  <c r="E7" i="53" s="1"/>
  <c r="M9" i="40"/>
  <c r="M10" i="40" s="1"/>
  <c r="E24" i="6" s="1"/>
  <c r="J10" i="40"/>
  <c r="J19" i="40" s="1"/>
  <c r="J21" i="40" s="1"/>
  <c r="E23" i="6" s="1"/>
  <c r="G24" i="6" s="1"/>
  <c r="C30" i="53"/>
  <c r="C22" i="54"/>
  <c r="D25" i="54"/>
  <c r="D27" i="54" s="1"/>
  <c r="E12" i="55"/>
  <c r="G12" i="55" s="1"/>
  <c r="G6" i="55"/>
  <c r="G11" i="55"/>
  <c r="G9" i="55"/>
  <c r="G7" i="55"/>
  <c r="I15" i="52"/>
  <c r="F16" i="52"/>
  <c r="C27" i="52" l="1"/>
  <c r="C32" i="54"/>
  <c r="D32" i="54" s="1"/>
  <c r="C31" i="54"/>
  <c r="D31" i="54" s="1"/>
  <c r="E28" i="6" s="1"/>
  <c r="G28" i="6" s="1"/>
  <c r="C30" i="54"/>
  <c r="D30" i="54" s="1"/>
  <c r="E25" i="6" s="1"/>
  <c r="G26" i="6" s="1"/>
  <c r="M24" i="40"/>
  <c r="G8" i="55"/>
  <c r="F19" i="52"/>
  <c r="D24" i="52" s="1"/>
  <c r="F24" i="52" s="1"/>
  <c r="H19" i="52"/>
  <c r="D26" i="52" s="1"/>
  <c r="F26" i="52" s="1"/>
  <c r="I16" i="52"/>
  <c r="D23" i="52"/>
  <c r="D33" i="54" l="1"/>
  <c r="G14" i="55"/>
  <c r="D27" i="52"/>
  <c r="I18" i="52"/>
  <c r="I19" i="52" s="1"/>
  <c r="E6" i="52" s="1"/>
  <c r="F27" i="52"/>
  <c r="H44" i="51"/>
  <c r="J41" i="51"/>
  <c r="K41" i="51" s="1"/>
  <c r="J38" i="51"/>
  <c r="K38" i="51" s="1"/>
  <c r="J35" i="51"/>
  <c r="K35" i="51" s="1"/>
  <c r="J34" i="51"/>
  <c r="K34" i="51" s="1"/>
  <c r="J33" i="51"/>
  <c r="K33" i="51" s="1"/>
  <c r="K32" i="51"/>
  <c r="J31" i="51"/>
  <c r="K31" i="51" s="1"/>
  <c r="J30" i="51"/>
  <c r="K30" i="51" s="1"/>
  <c r="J29" i="51"/>
  <c r="K29" i="51" s="1"/>
  <c r="J28" i="51"/>
  <c r="K28" i="51" s="1"/>
  <c r="K27" i="51"/>
  <c r="J24" i="51"/>
  <c r="K24" i="51" s="1"/>
  <c r="J22" i="51"/>
  <c r="K22" i="51" s="1"/>
  <c r="J15" i="51"/>
  <c r="K15" i="51" s="1"/>
  <c r="J14" i="51"/>
  <c r="K14" i="51" s="1"/>
  <c r="J13" i="51"/>
  <c r="K13" i="51" s="1"/>
  <c r="J12" i="51"/>
  <c r="K12" i="51" s="1"/>
  <c r="J11" i="51"/>
  <c r="K11" i="51" s="1"/>
  <c r="J10" i="51"/>
  <c r="K10" i="51" s="1"/>
  <c r="M14" i="50"/>
  <c r="M13" i="50"/>
  <c r="G26" i="55" l="1"/>
  <c r="G28" i="55" s="1"/>
  <c r="E18" i="6" s="1"/>
  <c r="G19" i="6" s="1"/>
  <c r="G30" i="55"/>
  <c r="M16" i="50"/>
  <c r="M19" i="50" s="1"/>
  <c r="F6" i="52"/>
  <c r="F8" i="52" s="1"/>
  <c r="G32" i="55"/>
  <c r="G34" i="55" s="1"/>
  <c r="E37" i="6" s="1"/>
  <c r="K44" i="51"/>
  <c r="J44" i="51"/>
  <c r="F50" i="51" s="1"/>
  <c r="F52" i="51" s="1"/>
  <c r="P16" i="50"/>
  <c r="E36" i="6" l="1"/>
  <c r="G36" i="6" s="1"/>
  <c r="F10" i="52"/>
  <c r="M21" i="50"/>
  <c r="E10" i="42"/>
  <c r="E7" i="6" l="1"/>
  <c r="G8" i="6" s="1"/>
  <c r="P21" i="50"/>
  <c r="G37" i="6"/>
  <c r="G30" i="6"/>
  <c r="G29" i="6"/>
  <c r="G52" i="6" l="1"/>
  <c r="G68" i="6"/>
  <c r="G31" i="6"/>
  <c r="G13" i="6" l="1"/>
  <c r="F14" i="2" l="1"/>
  <c r="F11" i="2"/>
  <c r="G11" i="6" l="1"/>
  <c r="G64" i="6" s="1"/>
  <c r="D14" i="6"/>
  <c r="D34" i="6"/>
  <c r="G48" i="6" l="1"/>
  <c r="G34" i="6"/>
  <c r="D38" i="6"/>
  <c r="G38" i="6" l="1"/>
  <c r="G60" i="6" s="1"/>
  <c r="G14" i="6"/>
  <c r="D40" i="6"/>
  <c r="G44" i="6" l="1"/>
  <c r="G47" i="6" s="1"/>
  <c r="G40" i="6"/>
  <c r="G51" i="6" l="1"/>
  <c r="F10" i="53" s="1"/>
  <c r="G53" i="6" l="1"/>
  <c r="G63" i="6" l="1"/>
  <c r="G67" i="6" s="1"/>
  <c r="G69" i="6" s="1"/>
  <c r="G71" i="6" s="1"/>
  <c r="I69" i="6"/>
  <c r="G55" i="6"/>
  <c r="E13" i="2" s="1"/>
  <c r="E28" i="53" s="1"/>
  <c r="E11" i="2" l="1"/>
  <c r="E12" i="2"/>
  <c r="E14" i="2"/>
  <c r="G13" i="2"/>
  <c r="H13" i="2" s="1"/>
  <c r="F28" i="53"/>
  <c r="E29" i="53" l="1"/>
  <c r="F29" i="53" s="1"/>
  <c r="E27" i="53"/>
  <c r="F27" i="53" s="1"/>
  <c r="G11" i="2"/>
  <c r="H11" i="2" s="1"/>
  <c r="E26" i="53"/>
  <c r="F26" i="53"/>
  <c r="F10" i="42"/>
  <c r="G10" i="42" s="1"/>
  <c r="H10" i="42" s="1"/>
  <c r="F12" i="42"/>
  <c r="G12" i="42" s="1"/>
  <c r="H12" i="42" s="1"/>
  <c r="F14" i="42"/>
  <c r="G14" i="42" s="1"/>
  <c r="H14" i="42" s="1"/>
  <c r="G12" i="2"/>
  <c r="H12" i="2" s="1"/>
  <c r="F16" i="42"/>
  <c r="G16" i="42" s="1"/>
  <c r="H16" i="42" s="1"/>
  <c r="F20" i="42"/>
  <c r="G20" i="42" s="1"/>
  <c r="H20" i="42" s="1"/>
  <c r="F24" i="42"/>
  <c r="G24" i="42" s="1"/>
  <c r="H24" i="42" s="1"/>
  <c r="G14" i="2"/>
  <c r="H14" i="2" s="1"/>
  <c r="F13" i="42"/>
  <c r="G13" i="42" s="1"/>
  <c r="H13" i="42" s="1"/>
  <c r="F17" i="42"/>
  <c r="G17" i="42" s="1"/>
  <c r="H17" i="42" s="1"/>
  <c r="F21" i="42"/>
  <c r="G21" i="42" s="1"/>
  <c r="H21" i="42" s="1"/>
  <c r="F25" i="42"/>
  <c r="G25" i="42" s="1"/>
  <c r="H25" i="42" s="1"/>
  <c r="F22" i="42"/>
  <c r="G22" i="42" s="1"/>
  <c r="H22" i="42" s="1"/>
  <c r="F18" i="42"/>
  <c r="G18" i="42" s="1"/>
  <c r="H18" i="42" s="1"/>
  <c r="F11" i="42"/>
  <c r="G11" i="42" s="1"/>
  <c r="H11" i="42" s="1"/>
  <c r="F15" i="42"/>
  <c r="G15" i="42" s="1"/>
  <c r="H15" i="42" s="1"/>
  <c r="F19" i="42"/>
  <c r="G19" i="42" s="1"/>
  <c r="H19" i="42" s="1"/>
  <c r="F23" i="42"/>
  <c r="G23" i="42" s="1"/>
  <c r="H23" i="42" s="1"/>
  <c r="F30" i="53" l="1"/>
  <c r="F6" i="53" s="1"/>
  <c r="F7" i="53"/>
  <c r="F9" i="53" s="1"/>
  <c r="F11" i="53" s="1"/>
  <c r="F12" i="53" s="1"/>
</calcChain>
</file>

<file path=xl/sharedStrings.xml><?xml version="1.0" encoding="utf-8"?>
<sst xmlns="http://schemas.openxmlformats.org/spreadsheetml/2006/main" count="498" uniqueCount="343">
  <si>
    <t>Total Operating Expenses</t>
  </si>
  <si>
    <t>Taxes Other Than Income</t>
  </si>
  <si>
    <t>Salaries and Wages - Employees</t>
  </si>
  <si>
    <t>Salaries and Wages - Officers</t>
  </si>
  <si>
    <t>Employee Pensions and Benefits</t>
  </si>
  <si>
    <t>Purchased Water</t>
  </si>
  <si>
    <t>Purchased Power</t>
  </si>
  <si>
    <t>Materials and Supplies</t>
  </si>
  <si>
    <t>Contractual Services</t>
  </si>
  <si>
    <t>Miscellaneous Expenses</t>
  </si>
  <si>
    <t>Proposed</t>
  </si>
  <si>
    <t>Interest Income</t>
  </si>
  <si>
    <t>Total</t>
  </si>
  <si>
    <t>Gallons</t>
  </si>
  <si>
    <t>Operating Revenues</t>
  </si>
  <si>
    <t>Sales for Resale</t>
  </si>
  <si>
    <t>Other Water Revenues:</t>
  </si>
  <si>
    <t>Misc. Service Revenues</t>
  </si>
  <si>
    <t>Total Operating Revenues</t>
  </si>
  <si>
    <t>Operating Expenses</t>
  </si>
  <si>
    <t>Depreciation Expense</t>
  </si>
  <si>
    <t>REVENUE REQUIREMENTS</t>
  </si>
  <si>
    <t>Plus:</t>
  </si>
  <si>
    <t>Less:</t>
  </si>
  <si>
    <t>Other Operating Revenue</t>
  </si>
  <si>
    <t>Existing</t>
  </si>
  <si>
    <t>Change</t>
  </si>
  <si>
    <t>SCHEDULE OF ADJUSTED OPERATIONS</t>
  </si>
  <si>
    <t>Test Year</t>
  </si>
  <si>
    <t>Adjustments</t>
  </si>
  <si>
    <t>Ref.</t>
  </si>
  <si>
    <t>Proforma</t>
  </si>
  <si>
    <t>Operation and Maintenance</t>
  </si>
  <si>
    <t>Total Utility Operating Income</t>
  </si>
  <si>
    <t>Pro Forma Operating Expenses</t>
  </si>
  <si>
    <t>Adjustment</t>
  </si>
  <si>
    <t>Forfeited Discounts</t>
  </si>
  <si>
    <t>Total Metered Retail Sales</t>
  </si>
  <si>
    <t>DEPRECIATION EXPENSE ADJUSTMENTS</t>
  </si>
  <si>
    <t>Depreciation</t>
  </si>
  <si>
    <t>Date in</t>
  </si>
  <si>
    <t>Original</t>
  </si>
  <si>
    <t>Expense</t>
  </si>
  <si>
    <t>Service</t>
  </si>
  <si>
    <t>Life</t>
  </si>
  <si>
    <t>Depr. Exp.</t>
  </si>
  <si>
    <t>SUMMARY</t>
  </si>
  <si>
    <t>FIRST</t>
  </si>
  <si>
    <t>ALL OVER</t>
  </si>
  <si>
    <t>USAGE</t>
  </si>
  <si>
    <t>BILLS</t>
  </si>
  <si>
    <t>GALLONS</t>
  </si>
  <si>
    <t>TOTAL</t>
  </si>
  <si>
    <t>RATE</t>
  </si>
  <si>
    <t>REVENUE</t>
  </si>
  <si>
    <t>CURRENT AND PROPOSED RATES</t>
  </si>
  <si>
    <t>Current</t>
  </si>
  <si>
    <t xml:space="preserve">  RETAIL RATES  </t>
  </si>
  <si>
    <t>Private Fire Protection</t>
  </si>
  <si>
    <t>Other Water Revenues</t>
  </si>
  <si>
    <t>Revenue Required From Sales of Water</t>
  </si>
  <si>
    <t>Revenue from Sales with Present Rates</t>
  </si>
  <si>
    <t>Total Revenue Requirement</t>
  </si>
  <si>
    <t>Required Revenue Increase</t>
  </si>
  <si>
    <t>Percent Increase</t>
  </si>
  <si>
    <t>various</t>
  </si>
  <si>
    <t>Meter</t>
  </si>
  <si>
    <t>Difference</t>
  </si>
  <si>
    <t>Bill</t>
  </si>
  <si>
    <t>Percentage</t>
  </si>
  <si>
    <t>Size</t>
  </si>
  <si>
    <t>TOTALS</t>
  </si>
  <si>
    <t>per Month*</t>
  </si>
  <si>
    <t>* Highlighted usage represents the average residential bill.</t>
  </si>
  <si>
    <t>Chemicals</t>
  </si>
  <si>
    <t>Salaries &amp; Wages and Associated Adjustments</t>
  </si>
  <si>
    <t>Pro Forma</t>
  </si>
  <si>
    <t xml:space="preserve">Pro Forma </t>
  </si>
  <si>
    <t>Employee</t>
  </si>
  <si>
    <t>Reg. Hrs</t>
  </si>
  <si>
    <t>O. T. Hours</t>
  </si>
  <si>
    <t>Wage Rate</t>
  </si>
  <si>
    <t>Reg. Wages</t>
  </si>
  <si>
    <t>Wages</t>
  </si>
  <si>
    <t>Pro Forma Salaries &amp; Wages Expense</t>
  </si>
  <si>
    <t>Less: Test Year Salaries &amp; Wages Exp</t>
  </si>
  <si>
    <t xml:space="preserve"> </t>
  </si>
  <si>
    <t>Times: 7.65 Percent FICA Rate</t>
  </si>
  <si>
    <t>Pro Forma Payroll Taxes</t>
  </si>
  <si>
    <t>Less: Test Year Payroll Taxes</t>
  </si>
  <si>
    <t>Payroll Tax Adjustment</t>
  </si>
  <si>
    <t>Average Annual Principal and Interest Payments</t>
  </si>
  <si>
    <t>Additional Working Capital</t>
  </si>
  <si>
    <t>DEBT SERVICE SCHDULE</t>
  </si>
  <si>
    <t>CY 2022 - 2026</t>
  </si>
  <si>
    <t>CY 2022</t>
  </si>
  <si>
    <t>CY 2023</t>
  </si>
  <si>
    <t>CY 2024</t>
  </si>
  <si>
    <t>CY 2025</t>
  </si>
  <si>
    <t>CY 2026</t>
  </si>
  <si>
    <t>Interest</t>
  </si>
  <si>
    <t>Principal</t>
  </si>
  <si>
    <t>&amp; Fees</t>
  </si>
  <si>
    <t>Average Annual Principal &amp; Interest</t>
  </si>
  <si>
    <t>Average Annual Coverage</t>
  </si>
  <si>
    <t>General Plant</t>
  </si>
  <si>
    <t>Pumping Plant</t>
  </si>
  <si>
    <t>Transmission &amp; Distribution Plant</t>
  </si>
  <si>
    <t>Transportation Equipment</t>
  </si>
  <si>
    <t>Water Treatment Plant</t>
  </si>
  <si>
    <t>Asset</t>
  </si>
  <si>
    <t>Structures &amp; Improvements</t>
  </si>
  <si>
    <t>Office Furniture &amp; Equipment</t>
  </si>
  <si>
    <t>Power Operated Equipment</t>
  </si>
  <si>
    <t>Tools, Shop, &amp; Garage Equipment</t>
  </si>
  <si>
    <t>Tank Repairs &amp; Painting</t>
  </si>
  <si>
    <t>Telemetry</t>
  </si>
  <si>
    <t>Pumping Equipment</t>
  </si>
  <si>
    <t>Hydrants</t>
  </si>
  <si>
    <t>Transmission &amp; Distribution Mains</t>
  </si>
  <si>
    <t>Meter Installations</t>
  </si>
  <si>
    <t>Meter Change-outs</t>
  </si>
  <si>
    <t>Pump Equipment</t>
  </si>
  <si>
    <t>Tank Fence</t>
  </si>
  <si>
    <t>Services</t>
  </si>
  <si>
    <t>Reservoirs &amp; Tanks</t>
  </si>
  <si>
    <t>Tank Painting &amp; Repairs</t>
  </si>
  <si>
    <t>Entire Group</t>
  </si>
  <si>
    <t xml:space="preserve">              *  Includes only costs associated with assets that contributed to depreciation expense in the test year.</t>
  </si>
  <si>
    <t>Cost *</t>
  </si>
  <si>
    <t>Reported</t>
  </si>
  <si>
    <t>varies</t>
  </si>
  <si>
    <t>RETAIL</t>
  </si>
  <si>
    <t>RETAIL USAGE BY RATE INCREMENT</t>
  </si>
  <si>
    <t>THOUSAND</t>
  </si>
  <si>
    <t>NEXT</t>
  </si>
  <si>
    <t>RETAIL REVENUE BY RATE INCREMENT</t>
  </si>
  <si>
    <t>THOUSAND GALLONS</t>
  </si>
  <si>
    <t>Water Loss Adjustment</t>
  </si>
  <si>
    <t>Sold</t>
  </si>
  <si>
    <t>Uses:</t>
  </si>
  <si>
    <t xml:space="preserve">  water loss percentage</t>
  </si>
  <si>
    <t xml:space="preserve">  allowable in rates</t>
  </si>
  <si>
    <t xml:space="preserve">  adjustment percentage</t>
  </si>
  <si>
    <t>Produced</t>
  </si>
  <si>
    <t>Purchased</t>
  </si>
  <si>
    <t>Total Produced and Purchased</t>
  </si>
  <si>
    <t>Total Other Water Used</t>
  </si>
  <si>
    <t>Losses:</t>
  </si>
  <si>
    <t xml:space="preserve">   WTP</t>
  </si>
  <si>
    <t xml:space="preserve">   Flushing</t>
  </si>
  <si>
    <t xml:space="preserve">   Fire</t>
  </si>
  <si>
    <t xml:space="preserve">   Other</t>
  </si>
  <si>
    <t xml:space="preserve">   Tank O.F.</t>
  </si>
  <si>
    <t xml:space="preserve">   Line Brks.</t>
  </si>
  <si>
    <t xml:space="preserve">   Line Leaks</t>
  </si>
  <si>
    <t xml:space="preserve">   Unknown</t>
  </si>
  <si>
    <t>Total Losses:</t>
  </si>
  <si>
    <t>Sold, Used, and Lost</t>
  </si>
  <si>
    <t>Total Gross Wages</t>
  </si>
  <si>
    <t>Gross Wages for Full Time Employees CERS Eligible</t>
  </si>
  <si>
    <t>D</t>
  </si>
  <si>
    <t>E</t>
  </si>
  <si>
    <t>COMPONENT</t>
  </si>
  <si>
    <t>TOTAL METERED WATER SALES</t>
  </si>
  <si>
    <t>LESS ADJUSTMENTS</t>
  </si>
  <si>
    <t>DIFFERENCE</t>
  </si>
  <si>
    <t>ADJUSTMENT TO SAO BILLED RETAIL REVENUES</t>
  </si>
  <si>
    <t>H</t>
  </si>
  <si>
    <t>Labor and Materials Adjustment for New Service Installations</t>
  </si>
  <si>
    <t xml:space="preserve">Labor </t>
  </si>
  <si>
    <t xml:space="preserve">Materials </t>
  </si>
  <si>
    <t>New Meter Fees Collected</t>
  </si>
  <si>
    <t>Medical Insurance Adjustment</t>
  </si>
  <si>
    <t>MONTHLY</t>
  </si>
  <si>
    <t>Allowable</t>
  </si>
  <si>
    <t>EMPLOYEE</t>
  </si>
  <si>
    <t>Employer</t>
  </si>
  <si>
    <t>PREMIUM</t>
  </si>
  <si>
    <t>CONTRIB</t>
  </si>
  <si>
    <t>CONTRIB %</t>
  </si>
  <si>
    <t>Share</t>
  </si>
  <si>
    <t>Premium</t>
  </si>
  <si>
    <t>Structures and Improvements</t>
  </si>
  <si>
    <t>Water Treatment Equipment</t>
  </si>
  <si>
    <t>Source of Supply Plant</t>
  </si>
  <si>
    <t>Collecting &amp; Impounding Reservoirs</t>
  </si>
  <si>
    <t>Supply Mains</t>
  </si>
  <si>
    <t>Allowed Depreciation</t>
  </si>
  <si>
    <t>Less: Reported Depreciation</t>
  </si>
  <si>
    <t>Adjustment to Allowed Depreciation</t>
  </si>
  <si>
    <t>``</t>
  </si>
  <si>
    <t>Total Adjustment</t>
  </si>
  <si>
    <t>CURRENT AND PROPOSED BILLS</t>
  </si>
  <si>
    <t xml:space="preserve">   Excavation Damages</t>
  </si>
  <si>
    <t>Computation of Adjustment:</t>
  </si>
  <si>
    <t>Rate per Thousand Gallons per Month</t>
  </si>
  <si>
    <t>No. in</t>
  </si>
  <si>
    <t>Ea. Teir</t>
  </si>
  <si>
    <t>UTILITY</t>
  </si>
  <si>
    <t>Annual</t>
  </si>
  <si>
    <t>Utility Share</t>
  </si>
  <si>
    <t>Unallowable</t>
  </si>
  <si>
    <t>NET METERED WATER SALES</t>
  </si>
  <si>
    <t>*Note: Revenues not adjusted because tapping fees collected</t>
  </si>
  <si>
    <t>are closed out to Statement of Member Equity</t>
  </si>
  <si>
    <t>MEDICAL</t>
  </si>
  <si>
    <t>TOTAL UNALLOWABLE EMPLOYER PREMIUM</t>
  </si>
  <si>
    <t>LESS: MEDICAL AND DENTAL INSURANCE PREMIUM PAID IN TEST YEAR</t>
  </si>
  <si>
    <t>C</t>
  </si>
  <si>
    <t>I</t>
  </si>
  <si>
    <t>G</t>
  </si>
  <si>
    <t>Increase in salaries and wages.</t>
  </si>
  <si>
    <t>Decrease labor attributable to tapping fees.</t>
  </si>
  <si>
    <t>Decrease materials attributable to tapping fees.</t>
  </si>
  <si>
    <t>Increase in employer portion of pension contribution.</t>
  </si>
  <si>
    <t>Decrease depreciation to allowed useful lives.</t>
  </si>
  <si>
    <t>J</t>
  </si>
  <si>
    <t>Twenty percent of average of next five years debt service payments.</t>
  </si>
  <si>
    <t>JUDY WATER ASSOCIATION</t>
  </si>
  <si>
    <t>TABLE C</t>
  </si>
  <si>
    <t>Next 4,000 Gallons</t>
  </si>
  <si>
    <t>First 1,000 Gallons</t>
  </si>
  <si>
    <t>Next 5,000 Gallons</t>
  </si>
  <si>
    <t>Over 10,000 Gallons</t>
  </si>
  <si>
    <t>JUDY WATER ASSOCATION</t>
  </si>
  <si>
    <t>Judy Water Association, Inc.</t>
  </si>
  <si>
    <t>CURRENT BILLING ANALYSIS WITH 2021 USAGE &amp; EXISTING RATES</t>
  </si>
  <si>
    <t>CURRENT BILLING ANALYSIS WITH 2021 USAGE &amp; PROPOSED RATES</t>
  </si>
  <si>
    <t>REVENUE REQUIREMENT</t>
  </si>
  <si>
    <t>Chris Crain</t>
  </si>
  <si>
    <t>Judy Water Association</t>
  </si>
  <si>
    <t>Loan 5</t>
  </si>
  <si>
    <t>Loan 7</t>
  </si>
  <si>
    <t>26 new taps at $1175 each, 2 at $1,250)</t>
  </si>
  <si>
    <t>Exclude purchased water expense above 15% water loss.</t>
  </si>
  <si>
    <t>Sara Collier</t>
  </si>
  <si>
    <t>Billy Fawn</t>
  </si>
  <si>
    <t>Joel Reffitt</t>
  </si>
  <si>
    <t>KaCo</t>
  </si>
  <si>
    <t>Exclude purchased power expense above 15% water loss.</t>
  </si>
  <si>
    <t>January</t>
  </si>
  <si>
    <t>February</t>
  </si>
  <si>
    <t>March</t>
  </si>
  <si>
    <t>April</t>
  </si>
  <si>
    <t>May</t>
  </si>
  <si>
    <t>June</t>
  </si>
  <si>
    <t>July</t>
  </si>
  <si>
    <t>August</t>
  </si>
  <si>
    <t>September</t>
  </si>
  <si>
    <t>October</t>
  </si>
  <si>
    <t>November</t>
  </si>
  <si>
    <t>December</t>
  </si>
  <si>
    <t>Transamerica</t>
  </si>
  <si>
    <t>Life Ins</t>
  </si>
  <si>
    <t>HSA</t>
  </si>
  <si>
    <t>Emp. Contrib</t>
  </si>
  <si>
    <t>Account 71900</t>
  </si>
  <si>
    <t>Billy Ray Fawns</t>
  </si>
  <si>
    <t>Tim Martin</t>
  </si>
  <si>
    <t>Cameron Hall</t>
  </si>
  <si>
    <t>Janet Sargent</t>
  </si>
  <si>
    <t>Lysandra Amburgey</t>
  </si>
  <si>
    <t>Mt Sterling</t>
  </si>
  <si>
    <t>KAWC</t>
  </si>
  <si>
    <t>Reclassify purchased power expense</t>
  </si>
  <si>
    <t>Reclassify purchase power expense from Misc. expenses</t>
  </si>
  <si>
    <t>Decrease metered retail sales for misclassified surcharge revenues.</t>
  </si>
  <si>
    <t>Increase other Water Revenues for misclassified surcharge revenues</t>
  </si>
  <si>
    <t>FROM PSC ANNUAL REPORT (adjusted by surcharge revenues)</t>
  </si>
  <si>
    <t>Decrease metered retail sales to billing analysis total.</t>
  </si>
  <si>
    <t>Reclassify board member wages expense from Misc. expense</t>
  </si>
  <si>
    <t>Reclassify board member wages to Salaries and Wages - Officers</t>
  </si>
  <si>
    <t>Decrease in cost of medical insurance.</t>
  </si>
  <si>
    <t>Bonuses</t>
  </si>
  <si>
    <t>Pro Forma Salaries and Wages Expense including officers</t>
  </si>
  <si>
    <t>Decrease in employer portion of FICA taxes.</t>
  </si>
  <si>
    <t>Wholesale rate</t>
  </si>
  <si>
    <t>Increase</t>
  </si>
  <si>
    <t>A</t>
  </si>
  <si>
    <t>B</t>
  </si>
  <si>
    <t>F</t>
  </si>
  <si>
    <t>Tom Martin</t>
  </si>
  <si>
    <t xml:space="preserve">One of the utility's wholesale water suppliers increased its rate to the utility resulting in an annual increase of $28,883 in purchased water expense. </t>
  </si>
  <si>
    <t>Adjustment to revenues to match billing analysis with current rates.</t>
  </si>
  <si>
    <t>Reclassify surcharge revenues that were inadvertently included in metered sales in the utility's 2021 PSC annual report.</t>
  </si>
  <si>
    <t xml:space="preserve">Decrease in annual health insurance expense. </t>
  </si>
  <si>
    <t>Reclassify purchased power expense that was inadvertently included in Miscellaneous Expenses in 2021 PSC annual report.</t>
  </si>
  <si>
    <t>Reclassify officer salaries and wages the were inadvertently included in Miscellaneous Expenses in 2021 PSC annual report.</t>
  </si>
  <si>
    <t>K</t>
  </si>
  <si>
    <t>2021 PSC Annual Report</t>
  </si>
  <si>
    <t>L</t>
  </si>
  <si>
    <t>M</t>
  </si>
  <si>
    <t>N</t>
  </si>
  <si>
    <t xml:space="preserve"> 2021 Customer Activity Report, Leak adjustment </t>
  </si>
  <si>
    <t>Bonus Wages</t>
  </si>
  <si>
    <t>Since 2021, there have been increase in wage rates, employee turnover and an additional employee, resulting in an annual wage increase of $43,265.</t>
  </si>
  <si>
    <t>Increase in suppliers wholesale rate</t>
  </si>
  <si>
    <t>DECREASE IN UTILITY SHARE OF MEDICAL AND DENTAL INSURANCE PREMIUM OVER TEST YEAR</t>
  </si>
  <si>
    <t>TOTAL CURRENT UTILITY SHARE OF MEDICAL INSURANCE PROFORMA ANNUAL PREMIUM</t>
  </si>
  <si>
    <t>Salaries and wages - officers</t>
  </si>
  <si>
    <t>Pro Forma Salaries &amp; Wages Adjustment</t>
  </si>
  <si>
    <t>The PSC requires adjustments to a water utility's depreciation expense when asset lives fall outside the ranges recommended by NARUC in its publication titled "Depreciation Practices for small utilities".  Therefore, adjustments are included to bring asset lives to the midpoint of the recommended ranges, depreciation expense was reduced by $85,033. See Table A.</t>
  </si>
  <si>
    <t>Communication &amp; Computer Eq.</t>
  </si>
  <si>
    <t>Bonus wages and Board Salary</t>
  </si>
  <si>
    <t xml:space="preserve">                      &amp; Workers Comp.</t>
  </si>
  <si>
    <t>Insurance -Health, Gen. Liab.</t>
  </si>
  <si>
    <t>Retirement Benefit</t>
  </si>
  <si>
    <t>1st Qtr</t>
  </si>
  <si>
    <t>2nd Qtr</t>
  </si>
  <si>
    <t>3rd Qtr</t>
  </si>
  <si>
    <t>4th Qtr</t>
  </si>
  <si>
    <t>Increase in pension benefits to reflect increase in salaries.</t>
  </si>
  <si>
    <t>Increased salaries results in increased payroll taxes of $3,011.</t>
  </si>
  <si>
    <t xml:space="preserve">Divide Operating expenses by </t>
  </si>
  <si>
    <t>Operating Ratio of .88</t>
  </si>
  <si>
    <t>Debt Service Coverage Method</t>
  </si>
  <si>
    <t>Operating Ratio Method</t>
  </si>
  <si>
    <t>Average of next five years annual principal and interest payments.</t>
  </si>
  <si>
    <t>A.</t>
  </si>
  <si>
    <t>B.</t>
  </si>
  <si>
    <t>C.</t>
  </si>
  <si>
    <t>D.</t>
  </si>
  <si>
    <t>E.</t>
  </si>
  <si>
    <t>F.</t>
  </si>
  <si>
    <t>G.</t>
  </si>
  <si>
    <t>H.</t>
  </si>
  <si>
    <t>I.</t>
  </si>
  <si>
    <t>J.</t>
  </si>
  <si>
    <t>K.</t>
  </si>
  <si>
    <t>L.</t>
  </si>
  <si>
    <t>M.</t>
  </si>
  <si>
    <t>N.</t>
  </si>
  <si>
    <t>REFRENCES</t>
  </si>
  <si>
    <t>Decrease in allowable health insurance premium reflecting PSC policy.</t>
  </si>
  <si>
    <t>The utility's test year water loss was 17.52 percent. The PSC's maximum allowable loss for rate-making purposes in 15.0 percent. Therefore, the expenses for purchased water and purchased power above the 15 percent limit is not allowed in the rate base and must be deducted. Purchased water expense was decreased by $14,330 and Purchased power expense was decreased by $90.</t>
  </si>
  <si>
    <t>TABLE A</t>
  </si>
  <si>
    <t>TABLE B</t>
  </si>
  <si>
    <t>Exclude unallowable portion of employer medical premium.</t>
  </si>
  <si>
    <t>The utility collected $33,050 in tapping fees in 2021. These taps were installed by the utility and were recorded as labor and material expenses.  Labor expense has been reduced by $9,915 or 30% of the tapping fees while materials and supplies expense has been reduced by $23,135 or 70% of the tapping fees.</t>
  </si>
  <si>
    <t>TABLE D</t>
  </si>
  <si>
    <t xml:space="preserve">Revenue requirement is computed using the Operating Ratio Method. This method is used when systems have little or no debt. </t>
  </si>
  <si>
    <t>***option for calculating RR not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</si>
</sst>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 #,##0.0_);_(* \(#,##0.0\);_(* &quot;-&quot;??_);_(@_)"/>
    <numFmt numFmtId="168" formatCode="mm/dd/yy;@"/>
    <numFmt numFmtId="169" formatCode="_([$$-409]* #,##0_);_([$$-409]* \(#,##0\);_([$$-409]* &quot;-&quot;??_);_(@_)"/>
    <numFmt numFmtId="170" formatCode="[$$-409]#,##0"/>
    <numFmt numFmtId="171" formatCode="&quot;$&quot;#,##0.00"/>
    <numFmt numFmtId="172" formatCode="0_);\(0\)"/>
  </numFmts>
  <fonts count="34"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2"/>
      <name val="Arial"/>
      <family val="2"/>
    </font>
    <font>
      <sz val="11"/>
      <name val="Calibri"/>
      <family val="2"/>
      <scheme val="minor"/>
    </font>
    <font>
      <b/>
      <sz val="14"/>
      <name val="Calibri"/>
      <family val="2"/>
      <scheme val="minor"/>
    </font>
    <font>
      <b/>
      <u/>
      <sz val="14"/>
      <name val="Calibri"/>
      <family val="2"/>
      <scheme val="minor"/>
    </font>
    <font>
      <u/>
      <sz val="11"/>
      <name val="Calibri"/>
      <family val="2"/>
      <scheme val="minor"/>
    </font>
    <font>
      <b/>
      <sz val="11"/>
      <name val="Calibri"/>
      <family val="2"/>
      <scheme val="minor"/>
    </font>
    <font>
      <b/>
      <u/>
      <sz val="11"/>
      <name val="Calibri"/>
      <family val="2"/>
      <scheme val="minor"/>
    </font>
    <font>
      <u val="singleAccounting"/>
      <sz val="11"/>
      <name val="Calibri"/>
      <family val="2"/>
      <scheme val="minor"/>
    </font>
    <font>
      <b/>
      <u val="singleAccounting"/>
      <sz val="11"/>
      <name val="Calibri"/>
      <family val="2"/>
      <scheme val="minor"/>
    </font>
    <font>
      <b/>
      <sz val="12"/>
      <name val="Calibri"/>
      <family val="2"/>
      <scheme val="minor"/>
    </font>
    <font>
      <sz val="8"/>
      <color rgb="FFFF0000"/>
      <name val="Calibri"/>
      <family val="2"/>
      <scheme val="minor"/>
    </font>
    <font>
      <b/>
      <sz val="11"/>
      <color rgb="FFFF0000"/>
      <name val="Calibri"/>
      <family val="2"/>
      <scheme val="minor"/>
    </font>
    <font>
      <b/>
      <sz val="8"/>
      <color rgb="FF00B050"/>
      <name val="Calibri"/>
      <family val="2"/>
      <scheme val="minor"/>
    </font>
    <font>
      <sz val="11"/>
      <color theme="1"/>
      <name val="Calibri"/>
      <family val="2"/>
      <scheme val="minor"/>
    </font>
    <font>
      <sz val="8"/>
      <name val="Calibri"/>
      <family val="2"/>
      <scheme val="minor"/>
    </font>
    <font>
      <b/>
      <u/>
      <sz val="11"/>
      <color rgb="FFC00000"/>
      <name val="Calibri"/>
      <family val="2"/>
      <scheme val="minor"/>
    </font>
    <font>
      <u/>
      <sz val="11"/>
      <color theme="1"/>
      <name val="Calibri"/>
      <family val="2"/>
      <scheme val="minor"/>
    </font>
    <font>
      <b/>
      <sz val="16"/>
      <name val="Calibri"/>
      <family val="2"/>
      <scheme val="minor"/>
    </font>
    <font>
      <b/>
      <u/>
      <sz val="16"/>
      <name val="Calibri"/>
      <family val="2"/>
      <scheme val="minor"/>
    </font>
    <font>
      <sz val="12"/>
      <name val="Calibri"/>
      <family val="2"/>
      <scheme val="minor"/>
    </font>
    <font>
      <sz val="11"/>
      <name val="Arial"/>
      <family val="2"/>
    </font>
    <font>
      <b/>
      <i/>
      <u/>
      <sz val="14"/>
      <name val="Calibri"/>
      <family val="2"/>
      <scheme val="minor"/>
    </font>
    <font>
      <b/>
      <sz val="11"/>
      <color rgb="FF000000"/>
      <name val="Calibri"/>
      <family val="2"/>
    </font>
    <font>
      <sz val="14"/>
      <name val="Calibri"/>
      <family val="2"/>
      <scheme val="minor"/>
    </font>
    <font>
      <sz val="8"/>
      <name val="Arial"/>
    </font>
    <font>
      <u/>
      <sz val="11"/>
      <name val="Arial"/>
      <family val="2"/>
    </font>
    <font>
      <sz val="14"/>
      <name val="Arial"/>
      <family val="2"/>
    </font>
    <font>
      <b/>
      <sz val="14"/>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s>
  <cellStyleXfs count="11">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cellStyleXfs>
  <cellXfs count="343">
    <xf numFmtId="0" fontId="0" fillId="0" borderId="0" xfId="0"/>
    <xf numFmtId="0" fontId="7" fillId="0" borderId="0" xfId="0" applyFont="1"/>
    <xf numFmtId="165" fontId="7" fillId="0" borderId="0" xfId="0" applyNumberFormat="1" applyFont="1"/>
    <xf numFmtId="3" fontId="7" fillId="0" borderId="0" xfId="0" applyNumberFormat="1" applyFont="1"/>
    <xf numFmtId="0" fontId="0" fillId="0" borderId="6" xfId="0" applyBorder="1"/>
    <xf numFmtId="165" fontId="7" fillId="0" borderId="1" xfId="1" applyNumberFormat="1" applyFont="1" applyBorder="1"/>
    <xf numFmtId="165" fontId="7" fillId="0" borderId="0" xfId="1" applyNumberFormat="1" applyFont="1" applyBorder="1"/>
    <xf numFmtId="165" fontId="7" fillId="0" borderId="0" xfId="1" applyNumberFormat="1" applyFont="1"/>
    <xf numFmtId="165" fontId="7" fillId="0" borderId="3" xfId="1" applyNumberFormat="1" applyFont="1" applyBorder="1"/>
    <xf numFmtId="165" fontId="7" fillId="0" borderId="2" xfId="1" applyNumberFormat="1" applyFont="1" applyBorder="1"/>
    <xf numFmtId="165" fontId="7" fillId="0" borderId="4" xfId="1" applyNumberFormat="1" applyFont="1" applyBorder="1"/>
    <xf numFmtId="165" fontId="7" fillId="0" borderId="7" xfId="1" applyNumberFormat="1" applyFont="1" applyBorder="1"/>
    <xf numFmtId="165" fontId="7" fillId="0" borderId="8" xfId="1" applyNumberFormat="1" applyFont="1" applyBorder="1"/>
    <xf numFmtId="165" fontId="7" fillId="0" borderId="5" xfId="1" applyNumberFormat="1" applyFont="1" applyBorder="1"/>
    <xf numFmtId="165" fontId="7" fillId="0" borderId="6" xfId="1" applyNumberFormat="1" applyFont="1" applyBorder="1"/>
    <xf numFmtId="43" fontId="7" fillId="0" borderId="0" xfId="1" applyFont="1"/>
    <xf numFmtId="165" fontId="13" fillId="0" borderId="0" xfId="1" applyNumberFormat="1" applyFont="1" applyBorder="1" applyAlignment="1">
      <alignment horizontal="center"/>
    </xf>
    <xf numFmtId="43" fontId="7" fillId="0" borderId="0" xfId="1" applyFont="1" applyBorder="1"/>
    <xf numFmtId="165" fontId="7" fillId="0" borderId="0" xfId="5" applyNumberFormat="1" applyFont="1"/>
    <xf numFmtId="3" fontId="7" fillId="0" borderId="0" xfId="0" applyNumberFormat="1" applyFont="1" applyAlignment="1">
      <alignment horizontal="right"/>
    </xf>
    <xf numFmtId="165" fontId="7" fillId="0" borderId="7" xfId="5" applyNumberFormat="1" applyFont="1" applyBorder="1"/>
    <xf numFmtId="0" fontId="7" fillId="0" borderId="0" xfId="0" applyFont="1" applyAlignment="1">
      <alignment horizontal="center"/>
    </xf>
    <xf numFmtId="0" fontId="7" fillId="0" borderId="0" xfId="0" applyFont="1" applyAlignment="1">
      <alignment horizontal="right"/>
    </xf>
    <xf numFmtId="165" fontId="7" fillId="0" borderId="0" xfId="5" applyNumberFormat="1" applyFont="1" applyBorder="1"/>
    <xf numFmtId="0" fontId="17" fillId="0" borderId="0" xfId="0" applyFont="1" applyAlignment="1">
      <alignment horizontal="centerContinuous"/>
    </xf>
    <xf numFmtId="0" fontId="7" fillId="0" borderId="0" xfId="0" applyFont="1" applyAlignment="1">
      <alignment horizontal="centerContinuous"/>
    </xf>
    <xf numFmtId="165" fontId="13" fillId="0" borderId="0" xfId="1" applyNumberFormat="1" applyFont="1"/>
    <xf numFmtId="167" fontId="12" fillId="0" borderId="0" xfId="5" applyNumberFormat="1" applyFont="1" applyBorder="1" applyAlignment="1">
      <alignment horizontal="center"/>
    </xf>
    <xf numFmtId="43" fontId="7" fillId="0" borderId="0" xfId="1" applyFont="1" applyBorder="1" applyAlignment="1"/>
    <xf numFmtId="43" fontId="7" fillId="0" borderId="0" xfId="1" applyFont="1" applyBorder="1" applyAlignment="1">
      <alignment horizontal="right"/>
    </xf>
    <xf numFmtId="43" fontId="7" fillId="0" borderId="7" xfId="1" applyFont="1" applyBorder="1"/>
    <xf numFmtId="43" fontId="13" fillId="0" borderId="0" xfId="1" applyFont="1" applyBorder="1" applyAlignment="1">
      <alignment horizontal="center"/>
    </xf>
    <xf numFmtId="44" fontId="7" fillId="0" borderId="0" xfId="2" applyFont="1" applyBorder="1" applyAlignment="1"/>
    <xf numFmtId="44" fontId="7" fillId="0" borderId="0" xfId="2" applyFont="1" applyBorder="1" applyAlignment="1">
      <alignment vertical="center"/>
    </xf>
    <xf numFmtId="165" fontId="7" fillId="0" borderId="1" xfId="0" applyNumberFormat="1" applyFont="1" applyBorder="1"/>
    <xf numFmtId="164" fontId="7" fillId="0" borderId="0" xfId="6" applyNumberFormat="1" applyFont="1"/>
    <xf numFmtId="165" fontId="10" fillId="0" borderId="0" xfId="1" applyNumberFormat="1" applyFont="1"/>
    <xf numFmtId="165" fontId="13" fillId="0" borderId="8" xfId="1" applyNumberFormat="1" applyFont="1" applyBorder="1" applyAlignment="1">
      <alignment horizontal="center"/>
    </xf>
    <xf numFmtId="3" fontId="8" fillId="0" borderId="0" xfId="0" applyNumberFormat="1" applyFont="1" applyAlignment="1">
      <alignment horizontal="center" vertical="center"/>
    </xf>
    <xf numFmtId="3" fontId="15" fillId="0" borderId="7" xfId="0" applyNumberFormat="1" applyFont="1" applyBorder="1" applyAlignment="1">
      <alignment horizontal="center" vertical="center"/>
    </xf>
    <xf numFmtId="3" fontId="15" fillId="0" borderId="0" xfId="0" applyNumberFormat="1" applyFont="1" applyAlignment="1">
      <alignment horizontal="center" vertical="center"/>
    </xf>
    <xf numFmtId="3" fontId="15" fillId="0" borderId="8" xfId="0" applyNumberFormat="1" applyFont="1" applyBorder="1" applyAlignment="1">
      <alignment horizontal="center" vertical="center"/>
    </xf>
    <xf numFmtId="165" fontId="13" fillId="0" borderId="7" xfId="1" applyNumberFormat="1" applyFont="1" applyBorder="1" applyAlignment="1">
      <alignment horizontal="center"/>
    </xf>
    <xf numFmtId="43" fontId="7" fillId="0" borderId="8" xfId="1" quotePrefix="1" applyFont="1" applyBorder="1" applyAlignment="1">
      <alignment horizontal="center"/>
    </xf>
    <xf numFmtId="0" fontId="7" fillId="0" borderId="8" xfId="0" applyFont="1" applyBorder="1" applyAlignment="1">
      <alignment horizontal="center"/>
    </xf>
    <xf numFmtId="43" fontId="7" fillId="0" borderId="1" xfId="1" applyFont="1" applyBorder="1"/>
    <xf numFmtId="43" fontId="7" fillId="0" borderId="5" xfId="1" applyFont="1" applyBorder="1"/>
    <xf numFmtId="166" fontId="7" fillId="0" borderId="8" xfId="3" applyNumberFormat="1" applyFont="1" applyBorder="1"/>
    <xf numFmtId="165" fontId="7" fillId="2" borderId="0" xfId="1" applyNumberFormat="1" applyFont="1" applyFill="1" applyBorder="1"/>
    <xf numFmtId="43" fontId="7" fillId="2" borderId="8" xfId="1" quotePrefix="1" applyFont="1" applyFill="1" applyBorder="1" applyAlignment="1">
      <alignment horizontal="center"/>
    </xf>
    <xf numFmtId="43" fontId="7" fillId="2" borderId="0" xfId="1" applyFont="1" applyFill="1" applyBorder="1"/>
    <xf numFmtId="166" fontId="7" fillId="2" borderId="8" xfId="3" applyNumberFormat="1" applyFont="1" applyFill="1" applyBorder="1"/>
    <xf numFmtId="165" fontId="17" fillId="0" borderId="0" xfId="1" applyNumberFormat="1" applyFont="1"/>
    <xf numFmtId="10" fontId="7" fillId="0" borderId="0" xfId="0" applyNumberFormat="1" applyFont="1"/>
    <xf numFmtId="44" fontId="7" fillId="0" borderId="0" xfId="2" applyFont="1" applyBorder="1"/>
    <xf numFmtId="165" fontId="7" fillId="0" borderId="0" xfId="5" quotePrefix="1" applyNumberFormat="1" applyFont="1"/>
    <xf numFmtId="43" fontId="7" fillId="0" borderId="0" xfId="1" applyFont="1" applyBorder="1" applyAlignment="1">
      <alignment horizontal="center"/>
    </xf>
    <xf numFmtId="0" fontId="7" fillId="0" borderId="7" xfId="0" applyFont="1" applyBorder="1"/>
    <xf numFmtId="165" fontId="7" fillId="0" borderId="0" xfId="1" applyNumberFormat="1" applyFont="1" applyAlignment="1">
      <alignment horizontal="centerContinuous" vertical="center"/>
    </xf>
    <xf numFmtId="165" fontId="7" fillId="0" borderId="0" xfId="1" applyNumberFormat="1" applyFont="1" applyAlignment="1">
      <alignment vertical="center"/>
    </xf>
    <xf numFmtId="165" fontId="12" fillId="0" borderId="0" xfId="1" applyNumberFormat="1" applyFont="1" applyAlignment="1">
      <alignment horizontal="center" vertical="center"/>
    </xf>
    <xf numFmtId="165" fontId="10" fillId="0" borderId="0" xfId="1" applyNumberFormat="1" applyFont="1" applyAlignment="1">
      <alignment vertical="center"/>
    </xf>
    <xf numFmtId="165" fontId="7" fillId="0" borderId="0" xfId="1" applyNumberFormat="1" applyFont="1" applyAlignment="1">
      <alignment horizontal="center" vertical="center"/>
    </xf>
    <xf numFmtId="165" fontId="16" fillId="0" borderId="0" xfId="1" applyNumberFormat="1" applyFont="1" applyAlignment="1">
      <alignment vertical="center"/>
    </xf>
    <xf numFmtId="165" fontId="18" fillId="0" borderId="0" xfId="1" applyNumberFormat="1" applyFont="1" applyAlignment="1">
      <alignment vertical="center"/>
    </xf>
    <xf numFmtId="165" fontId="20" fillId="0" borderId="0" xfId="1" applyNumberFormat="1" applyFont="1" applyAlignment="1">
      <alignment vertical="center"/>
    </xf>
    <xf numFmtId="165" fontId="11" fillId="0" borderId="0" xfId="1" applyNumberFormat="1" applyFont="1" applyAlignment="1">
      <alignment vertical="center"/>
    </xf>
    <xf numFmtId="165" fontId="7" fillId="0" borderId="0" xfId="1" applyNumberFormat="1" applyFont="1" applyAlignment="1">
      <alignment horizontal="center"/>
    </xf>
    <xf numFmtId="165" fontId="16" fillId="0" borderId="0" xfId="1" applyNumberFormat="1" applyFont="1" applyAlignment="1">
      <alignment horizontal="left"/>
    </xf>
    <xf numFmtId="165" fontId="16" fillId="0" borderId="0" xfId="1" applyNumberFormat="1" applyFont="1" applyAlignment="1">
      <alignment horizontal="center"/>
    </xf>
    <xf numFmtId="165" fontId="14" fillId="0" borderId="0" xfId="1" quotePrefix="1" applyNumberFormat="1" applyFont="1" applyAlignment="1">
      <alignment horizontal="center" vertical="center"/>
    </xf>
    <xf numFmtId="165" fontId="14" fillId="0" borderId="0" xfId="1" applyNumberFormat="1" applyFont="1" applyAlignment="1">
      <alignment horizontal="center" vertical="center"/>
    </xf>
    <xf numFmtId="165" fontId="7" fillId="0" borderId="0" xfId="1" applyNumberFormat="1" applyFont="1" applyAlignment="1"/>
    <xf numFmtId="165" fontId="14" fillId="0" borderId="0" xfId="1" applyNumberFormat="1" applyFont="1" applyAlignment="1">
      <alignment vertical="center"/>
    </xf>
    <xf numFmtId="10" fontId="7" fillId="0" borderId="0" xfId="3" applyNumberFormat="1" applyFont="1" applyAlignment="1">
      <alignment vertical="center"/>
    </xf>
    <xf numFmtId="165" fontId="7" fillId="0" borderId="6" xfId="5" applyNumberFormat="1" applyFont="1" applyBorder="1"/>
    <xf numFmtId="165" fontId="7" fillId="0" borderId="0" xfId="5" applyNumberFormat="1" applyFont="1" applyBorder="1" applyAlignment="1">
      <alignment horizontal="center"/>
    </xf>
    <xf numFmtId="10" fontId="7" fillId="0" borderId="0" xfId="3" applyNumberFormat="1" applyFont="1" applyBorder="1"/>
    <xf numFmtId="10" fontId="7" fillId="2" borderId="0" xfId="3" applyNumberFormat="1" applyFont="1" applyFill="1" applyBorder="1"/>
    <xf numFmtId="165" fontId="7" fillId="0" borderId="8" xfId="5" applyNumberFormat="1" applyFont="1" applyBorder="1"/>
    <xf numFmtId="165" fontId="11" fillId="0" borderId="7" xfId="5" applyNumberFormat="1" applyFont="1" applyBorder="1" applyAlignment="1">
      <alignment horizontal="center"/>
    </xf>
    <xf numFmtId="165" fontId="7" fillId="0" borderId="0" xfId="1" applyNumberFormat="1" applyFont="1" applyBorder="1" applyAlignment="1">
      <alignment vertical="center"/>
    </xf>
    <xf numFmtId="165" fontId="13" fillId="0" borderId="0" xfId="1" applyNumberFormat="1" applyFont="1" applyBorder="1" applyAlignment="1">
      <alignment vertical="center"/>
    </xf>
    <xf numFmtId="165" fontId="7" fillId="0" borderId="0" xfId="1" applyNumberFormat="1" applyFont="1" applyBorder="1" applyAlignment="1">
      <alignment horizontal="center" vertical="center"/>
    </xf>
    <xf numFmtId="165" fontId="13" fillId="0" borderId="0" xfId="1" applyNumberFormat="1" applyFont="1" applyAlignment="1">
      <alignment vertical="center"/>
    </xf>
    <xf numFmtId="165" fontId="7" fillId="0" borderId="3" xfId="5" applyNumberFormat="1" applyFont="1" applyBorder="1"/>
    <xf numFmtId="165" fontId="7" fillId="0" borderId="2" xfId="5" applyNumberFormat="1" applyFont="1" applyBorder="1"/>
    <xf numFmtId="165" fontId="7" fillId="0" borderId="4" xfId="5" applyNumberFormat="1" applyFont="1" applyBorder="1"/>
    <xf numFmtId="165" fontId="11" fillId="0" borderId="0" xfId="5" applyNumberFormat="1" applyFont="1" applyAlignment="1">
      <alignment horizontal="centerContinuous"/>
    </xf>
    <xf numFmtId="165" fontId="9" fillId="0" borderId="7" xfId="5" applyNumberFormat="1" applyFont="1" applyBorder="1" applyAlignment="1">
      <alignment horizontal="centerContinuous"/>
    </xf>
    <xf numFmtId="165" fontId="12" fillId="0" borderId="0" xfId="5" applyNumberFormat="1" applyFont="1" applyAlignment="1">
      <alignment horizontal="centerContinuous"/>
    </xf>
    <xf numFmtId="3" fontId="15" fillId="0" borderId="7" xfId="0" applyNumberFormat="1" applyFont="1" applyBorder="1" applyAlignment="1">
      <alignment horizontal="centerContinuous" vertical="center"/>
    </xf>
    <xf numFmtId="165" fontId="25" fillId="0" borderId="7" xfId="5" applyNumberFormat="1" applyFont="1" applyBorder="1" applyAlignment="1">
      <alignment horizontal="centerContinuous"/>
    </xf>
    <xf numFmtId="165" fontId="7" fillId="0" borderId="0" xfId="5" applyNumberFormat="1" applyFont="1" applyAlignment="1">
      <alignment horizontal="centerContinuous"/>
    </xf>
    <xf numFmtId="165" fontId="7" fillId="0" borderId="7" xfId="5" applyNumberFormat="1" applyFont="1" applyBorder="1" applyAlignment="1">
      <alignment horizontal="centerContinuous"/>
    </xf>
    <xf numFmtId="165" fontId="7" fillId="0" borderId="9" xfId="5" applyNumberFormat="1" applyFont="1" applyBorder="1" applyAlignment="1">
      <alignment horizontal="left"/>
    </xf>
    <xf numFmtId="165" fontId="7" fillId="0" borderId="3" xfId="5" applyNumberFormat="1" applyFont="1" applyBorder="1" applyAlignment="1">
      <alignment horizontal="left"/>
    </xf>
    <xf numFmtId="165" fontId="7" fillId="0" borderId="2" xfId="5" applyNumberFormat="1" applyFont="1" applyBorder="1" applyAlignment="1">
      <alignment horizontal="left"/>
    </xf>
    <xf numFmtId="165" fontId="7" fillId="0" borderId="4" xfId="5" applyNumberFormat="1" applyFont="1" applyBorder="1" applyAlignment="1">
      <alignment horizontal="left"/>
    </xf>
    <xf numFmtId="165" fontId="7" fillId="0" borderId="10" xfId="5" applyNumberFormat="1" applyFont="1" applyBorder="1"/>
    <xf numFmtId="165" fontId="14" fillId="0" borderId="0" xfId="5" applyNumberFormat="1" applyFont="1" applyAlignment="1">
      <alignment horizontal="center" vertical="center"/>
    </xf>
    <xf numFmtId="165" fontId="11" fillId="0" borderId="8" xfId="5" applyNumberFormat="1" applyFont="1" applyBorder="1" applyAlignment="1">
      <alignment horizontal="center" vertical="center"/>
    </xf>
    <xf numFmtId="165" fontId="11" fillId="0" borderId="0" xfId="5" applyNumberFormat="1" applyFont="1" applyAlignment="1">
      <alignment horizontal="center" vertical="center"/>
    </xf>
    <xf numFmtId="165" fontId="14" fillId="0" borderId="8" xfId="5" applyNumberFormat="1" applyFont="1" applyBorder="1" applyAlignment="1">
      <alignment horizontal="center" vertical="center"/>
    </xf>
    <xf numFmtId="165" fontId="14" fillId="0" borderId="0" xfId="5" applyNumberFormat="1" applyFont="1" applyBorder="1" applyAlignment="1">
      <alignment horizontal="center" vertical="center"/>
    </xf>
    <xf numFmtId="165" fontId="7" fillId="0" borderId="10" xfId="5" applyNumberFormat="1" applyFont="1" applyBorder="1" applyAlignment="1">
      <alignment horizontal="left"/>
    </xf>
    <xf numFmtId="165" fontId="7" fillId="0" borderId="7" xfId="5" applyNumberFormat="1" applyFont="1" applyBorder="1" applyAlignment="1">
      <alignment horizontal="center"/>
    </xf>
    <xf numFmtId="165" fontId="7" fillId="0" borderId="8" xfId="5" applyNumberFormat="1" applyFont="1" applyBorder="1" applyAlignment="1">
      <alignment horizontal="center"/>
    </xf>
    <xf numFmtId="165" fontId="7" fillId="0" borderId="0" xfId="5" quotePrefix="1" applyNumberFormat="1" applyFont="1" applyBorder="1" applyAlignment="1">
      <alignment horizontal="center"/>
    </xf>
    <xf numFmtId="165" fontId="7" fillId="0" borderId="10" xfId="5" quotePrefix="1" applyNumberFormat="1" applyFont="1" applyBorder="1" applyAlignment="1">
      <alignment horizontal="center"/>
    </xf>
    <xf numFmtId="165" fontId="7" fillId="0" borderId="7" xfId="5" quotePrefix="1" applyNumberFormat="1" applyFont="1" applyBorder="1" applyAlignment="1">
      <alignment horizontal="left"/>
    </xf>
    <xf numFmtId="165" fontId="7" fillId="0" borderId="0" xfId="5" quotePrefix="1" applyNumberFormat="1" applyFont="1" applyAlignment="1">
      <alignment horizontal="left"/>
    </xf>
    <xf numFmtId="165" fontId="7" fillId="0" borderId="8" xfId="5" quotePrefix="1" applyNumberFormat="1" applyFont="1" applyBorder="1" applyAlignment="1">
      <alignment horizontal="left"/>
    </xf>
    <xf numFmtId="165" fontId="11" fillId="0" borderId="7" xfId="5" quotePrefix="1" applyNumberFormat="1" applyFont="1" applyBorder="1" applyAlignment="1">
      <alignment horizontal="left"/>
    </xf>
    <xf numFmtId="165" fontId="11" fillId="0" borderId="11" xfId="5" applyNumberFormat="1" applyFont="1" applyBorder="1" applyAlignment="1">
      <alignment horizontal="right"/>
    </xf>
    <xf numFmtId="165" fontId="11" fillId="0" borderId="5" xfId="5" applyNumberFormat="1" applyFont="1" applyBorder="1" applyAlignment="1">
      <alignment horizontal="right"/>
    </xf>
    <xf numFmtId="165" fontId="11" fillId="0" borderId="1" xfId="5" applyNumberFormat="1" applyFont="1" applyBorder="1" applyAlignment="1">
      <alignment horizontal="right"/>
    </xf>
    <xf numFmtId="165" fontId="11" fillId="0" borderId="6" xfId="5" applyNumberFormat="1" applyFont="1" applyBorder="1" applyAlignment="1">
      <alignment horizontal="right"/>
    </xf>
    <xf numFmtId="165" fontId="11" fillId="0" borderId="8" xfId="5" applyNumberFormat="1" applyFont="1" applyBorder="1" applyAlignment="1">
      <alignment horizontal="right"/>
    </xf>
    <xf numFmtId="165" fontId="11" fillId="0" borderId="7" xfId="5" applyNumberFormat="1" applyFont="1" applyBorder="1" applyAlignment="1">
      <alignment horizontal="right"/>
    </xf>
    <xf numFmtId="165" fontId="11" fillId="0" borderId="0" xfId="5" applyNumberFormat="1" applyFont="1" applyAlignment="1">
      <alignment horizontal="right"/>
    </xf>
    <xf numFmtId="165" fontId="11" fillId="0" borderId="2" xfId="5" applyNumberFormat="1" applyFont="1" applyBorder="1" applyAlignment="1">
      <alignment horizontal="right"/>
    </xf>
    <xf numFmtId="165" fontId="11" fillId="0" borderId="7" xfId="5" applyNumberFormat="1" applyFont="1" applyBorder="1"/>
    <xf numFmtId="164" fontId="11" fillId="0" borderId="0" xfId="6" applyNumberFormat="1" applyFont="1"/>
    <xf numFmtId="165" fontId="11" fillId="0" borderId="0" xfId="5" applyNumberFormat="1" applyFont="1"/>
    <xf numFmtId="165" fontId="11" fillId="0" borderId="0" xfId="5" applyNumberFormat="1" applyFont="1" applyBorder="1"/>
    <xf numFmtId="164" fontId="11" fillId="0" borderId="0" xfId="6" applyNumberFormat="1" applyFont="1" applyBorder="1"/>
    <xf numFmtId="165" fontId="7" fillId="0" borderId="5" xfId="5" applyNumberFormat="1" applyFont="1" applyBorder="1" applyAlignment="1">
      <alignment horizontal="center"/>
    </xf>
    <xf numFmtId="165" fontId="7" fillId="0" borderId="1" xfId="5" applyNumberFormat="1" applyFont="1" applyBorder="1" applyAlignment="1">
      <alignment horizontal="center"/>
    </xf>
    <xf numFmtId="0" fontId="7" fillId="0" borderId="3" xfId="0" applyFont="1" applyBorder="1"/>
    <xf numFmtId="0" fontId="7" fillId="0" borderId="5" xfId="0" applyFont="1" applyBorder="1"/>
    <xf numFmtId="3" fontId="7" fillId="0" borderId="2" xfId="0" applyNumberFormat="1" applyFont="1" applyBorder="1"/>
    <xf numFmtId="3" fontId="11" fillId="0" borderId="0" xfId="0" applyNumberFormat="1" applyFont="1" applyAlignment="1">
      <alignment horizontal="center"/>
    </xf>
    <xf numFmtId="3" fontId="12" fillId="0" borderId="0" xfId="0" applyNumberFormat="1" applyFont="1" applyAlignment="1">
      <alignment horizontal="center"/>
    </xf>
    <xf numFmtId="3" fontId="12" fillId="0" borderId="0" xfId="0" applyNumberFormat="1" applyFont="1"/>
    <xf numFmtId="3" fontId="11" fillId="0" borderId="0" xfId="0" applyNumberFormat="1" applyFont="1"/>
    <xf numFmtId="3" fontId="7" fillId="0" borderId="1" xfId="0" applyNumberFormat="1" applyFont="1" applyBorder="1"/>
    <xf numFmtId="44" fontId="14" fillId="0" borderId="0" xfId="0" applyNumberFormat="1" applyFont="1" applyAlignment="1">
      <alignment horizontal="center"/>
    </xf>
    <xf numFmtId="168" fontId="7" fillId="0" borderId="0" xfId="0" applyNumberFormat="1" applyFont="1" applyAlignment="1">
      <alignment horizontal="center"/>
    </xf>
    <xf numFmtId="167" fontId="7" fillId="0" borderId="0" xfId="5" applyNumberFormat="1" applyFont="1" applyAlignment="1"/>
    <xf numFmtId="167" fontId="7" fillId="0" borderId="2" xfId="5" applyNumberFormat="1" applyFont="1" applyBorder="1"/>
    <xf numFmtId="167" fontId="7" fillId="0" borderId="0" xfId="5" applyNumberFormat="1" applyFont="1" applyBorder="1" applyAlignment="1"/>
    <xf numFmtId="167" fontId="7" fillId="0" borderId="0" xfId="5" applyNumberFormat="1" applyFont="1" applyBorder="1" applyAlignment="1">
      <alignment horizontal="center"/>
    </xf>
    <xf numFmtId="167" fontId="17" fillId="0" borderId="0" xfId="5" applyNumberFormat="1" applyFont="1" applyBorder="1" applyAlignment="1"/>
    <xf numFmtId="170" fontId="7" fillId="0" borderId="0" xfId="0" applyNumberFormat="1" applyFont="1"/>
    <xf numFmtId="169" fontId="11" fillId="0" borderId="0" xfId="0" applyNumberFormat="1" applyFont="1"/>
    <xf numFmtId="167" fontId="7" fillId="0" borderId="0" xfId="5" quotePrefix="1" applyNumberFormat="1" applyFont="1" applyBorder="1" applyAlignment="1">
      <alignment horizontal="center"/>
    </xf>
    <xf numFmtId="3" fontId="7" fillId="0" borderId="4" xfId="0" applyNumberFormat="1" applyFont="1" applyBorder="1"/>
    <xf numFmtId="3" fontId="7" fillId="0" borderId="8" xfId="0" applyNumberFormat="1" applyFont="1" applyBorder="1"/>
    <xf numFmtId="3" fontId="7" fillId="0" borderId="6" xfId="0" applyNumberFormat="1" applyFont="1" applyBorder="1"/>
    <xf numFmtId="3" fontId="7" fillId="0" borderId="7" xfId="0" applyNumberFormat="1" applyFont="1" applyBorder="1"/>
    <xf numFmtId="4" fontId="7" fillId="0" borderId="7" xfId="0" applyNumberFormat="1" applyFont="1" applyBorder="1"/>
    <xf numFmtId="0" fontId="0" fillId="0" borderId="0" xfId="0" applyAlignment="1">
      <alignment vertical="top"/>
    </xf>
    <xf numFmtId="3" fontId="0" fillId="0" borderId="0" xfId="0" applyNumberFormat="1" applyAlignment="1">
      <alignment vertical="top"/>
    </xf>
    <xf numFmtId="165" fontId="11" fillId="0" borderId="0" xfId="5" applyNumberFormat="1" applyFont="1" applyBorder="1" applyAlignment="1">
      <alignment vertical="center"/>
    </xf>
    <xf numFmtId="0" fontId="7" fillId="0" borderId="0" xfId="0" applyFont="1" applyAlignment="1">
      <alignment vertical="top"/>
    </xf>
    <xf numFmtId="0" fontId="7" fillId="0" borderId="0" xfId="0" applyFont="1" applyAlignment="1">
      <alignment horizontal="center" vertical="top"/>
    </xf>
    <xf numFmtId="0" fontId="26" fillId="0" borderId="0" xfId="0" applyFont="1"/>
    <xf numFmtId="165" fontId="26" fillId="0" borderId="0" xfId="1" applyNumberFormat="1" applyFont="1"/>
    <xf numFmtId="43" fontId="7" fillId="0" borderId="0" xfId="1" applyFont="1" applyAlignment="1">
      <alignment horizontal="right"/>
    </xf>
    <xf numFmtId="10" fontId="7" fillId="0" borderId="1" xfId="3" applyNumberFormat="1" applyFont="1" applyBorder="1"/>
    <xf numFmtId="0" fontId="7" fillId="0" borderId="0" xfId="0" applyFont="1" applyAlignment="1">
      <alignment horizontal="left"/>
    </xf>
    <xf numFmtId="37" fontId="7" fillId="0" borderId="0" xfId="0" applyNumberFormat="1" applyFont="1" applyAlignment="1">
      <alignment horizontal="center"/>
    </xf>
    <xf numFmtId="165" fontId="7" fillId="0" borderId="0" xfId="1" applyNumberFormat="1" applyFont="1" applyBorder="1" applyAlignment="1"/>
    <xf numFmtId="164" fontId="7" fillId="0" borderId="0" xfId="6" applyNumberFormat="1" applyFont="1" applyBorder="1"/>
    <xf numFmtId="164" fontId="7" fillId="0" borderId="0" xfId="0" applyNumberFormat="1" applyFont="1"/>
    <xf numFmtId="164" fontId="0" fillId="0" borderId="0" xfId="0" applyNumberFormat="1" applyAlignment="1">
      <alignment vertical="top"/>
    </xf>
    <xf numFmtId="10" fontId="0" fillId="0" borderId="0" xfId="3" applyNumberFormat="1" applyFont="1" applyBorder="1" applyAlignment="1">
      <alignment vertical="top"/>
    </xf>
    <xf numFmtId="164" fontId="7" fillId="0" borderId="0" xfId="2" applyNumberFormat="1" applyFont="1" applyBorder="1" applyAlignment="1"/>
    <xf numFmtId="3" fontId="7" fillId="0" borderId="0" xfId="0" applyNumberFormat="1" applyFont="1" applyAlignment="1">
      <alignment horizontal="left"/>
    </xf>
    <xf numFmtId="37" fontId="7" fillId="0" borderId="0" xfId="0" applyNumberFormat="1" applyFont="1" applyAlignment="1">
      <alignment horizontal="center" wrapText="1"/>
    </xf>
    <xf numFmtId="37" fontId="7" fillId="0" borderId="0" xfId="0" quotePrefix="1" applyNumberFormat="1" applyFont="1"/>
    <xf numFmtId="37" fontId="7" fillId="0" borderId="0" xfId="0" applyNumberFormat="1" applyFont="1"/>
    <xf numFmtId="0" fontId="11" fillId="0" borderId="0" xfId="0" applyFont="1" applyAlignment="1">
      <alignment horizontal="left"/>
    </xf>
    <xf numFmtId="0" fontId="7" fillId="0" borderId="0" xfId="0" applyFont="1" applyAlignment="1">
      <alignment horizontal="center" wrapText="1"/>
    </xf>
    <xf numFmtId="37" fontId="7" fillId="0" borderId="0" xfId="0" applyNumberFormat="1" applyFont="1" applyAlignment="1">
      <alignment horizontal="right"/>
    </xf>
    <xf numFmtId="165" fontId="7" fillId="0" borderId="0" xfId="5" applyNumberFormat="1" applyFont="1" applyBorder="1" applyAlignment="1">
      <alignment horizontal="right"/>
    </xf>
    <xf numFmtId="165" fontId="7" fillId="0" borderId="0" xfId="0" applyNumberFormat="1" applyFont="1" applyAlignment="1">
      <alignment horizontal="right"/>
    </xf>
    <xf numFmtId="44" fontId="7" fillId="0" borderId="0" xfId="5" applyNumberFormat="1" applyFont="1" applyBorder="1"/>
    <xf numFmtId="3" fontId="7" fillId="0" borderId="0" xfId="0" applyNumberFormat="1" applyFont="1" applyAlignment="1">
      <alignment vertical="top"/>
    </xf>
    <xf numFmtId="44" fontId="7" fillId="0" borderId="0" xfId="0" applyNumberFormat="1" applyFont="1" applyAlignment="1">
      <alignment vertical="top"/>
    </xf>
    <xf numFmtId="165" fontId="13" fillId="0" borderId="0" xfId="1" applyNumberFormat="1" applyFont="1" applyBorder="1" applyAlignment="1"/>
    <xf numFmtId="164" fontId="13" fillId="0" borderId="0" xfId="2" applyNumberFormat="1" applyFont="1" applyBorder="1" applyAlignment="1"/>
    <xf numFmtId="165" fontId="7" fillId="0" borderId="0" xfId="1" applyNumberFormat="1" applyFont="1" applyFill="1" applyAlignment="1">
      <alignment vertical="center"/>
    </xf>
    <xf numFmtId="6" fontId="7" fillId="0" borderId="0" xfId="0" applyNumberFormat="1" applyFont="1"/>
    <xf numFmtId="9" fontId="7" fillId="0" borderId="0" xfId="0" applyNumberFormat="1" applyFont="1"/>
    <xf numFmtId="0" fontId="7" fillId="0" borderId="0" xfId="0" quotePrefix="1" applyFont="1"/>
    <xf numFmtId="44" fontId="7" fillId="0" borderId="0" xfId="0" applyNumberFormat="1" applyFont="1" applyAlignment="1">
      <alignment horizontal="right"/>
    </xf>
    <xf numFmtId="9" fontId="7" fillId="0" borderId="0" xfId="0" applyNumberFormat="1" applyFont="1" applyAlignment="1">
      <alignment horizontal="right"/>
    </xf>
    <xf numFmtId="166" fontId="7" fillId="0" borderId="0" xfId="3" applyNumberFormat="1" applyFont="1" applyFill="1" applyBorder="1" applyAlignment="1">
      <alignment horizontal="right"/>
    </xf>
    <xf numFmtId="9" fontId="7" fillId="0" borderId="0" xfId="3" applyFont="1" applyFill="1" applyBorder="1" applyAlignment="1">
      <alignment horizontal="right"/>
    </xf>
    <xf numFmtId="44" fontId="4" fillId="0" borderId="0" xfId="0" applyNumberFormat="1" applyFont="1" applyAlignment="1">
      <alignment horizontal="right"/>
    </xf>
    <xf numFmtId="3" fontId="7" fillId="0" borderId="2" xfId="0" applyNumberFormat="1" applyFont="1" applyBorder="1" applyAlignment="1">
      <alignment horizontal="right"/>
    </xf>
    <xf numFmtId="3" fontId="12" fillId="0" borderId="0" xfId="0" applyNumberFormat="1" applyFont="1" applyAlignment="1">
      <alignment horizontal="right"/>
    </xf>
    <xf numFmtId="0" fontId="0" fillId="0" borderId="0" xfId="0" applyAlignment="1">
      <alignment horizontal="right"/>
    </xf>
    <xf numFmtId="169" fontId="11" fillId="0" borderId="0" xfId="0" applyNumberFormat="1" applyFont="1" applyAlignment="1">
      <alignment horizontal="right"/>
    </xf>
    <xf numFmtId="167" fontId="7" fillId="0" borderId="1" xfId="5" applyNumberFormat="1" applyFont="1" applyBorder="1" applyAlignment="1">
      <alignment horizontal="right"/>
    </xf>
    <xf numFmtId="167" fontId="7" fillId="0" borderId="0" xfId="5" applyNumberFormat="1" applyFont="1" applyBorder="1" applyAlignment="1">
      <alignment horizontal="right"/>
    </xf>
    <xf numFmtId="164" fontId="7" fillId="0" borderId="0" xfId="0" applyNumberFormat="1" applyFont="1" applyAlignment="1">
      <alignment horizontal="right"/>
    </xf>
    <xf numFmtId="164" fontId="7" fillId="0" borderId="2" xfId="0" applyNumberFormat="1" applyFont="1" applyBorder="1" applyAlignment="1">
      <alignment horizontal="right"/>
    </xf>
    <xf numFmtId="164" fontId="11" fillId="0" borderId="0" xfId="0" applyNumberFormat="1" applyFont="1" applyAlignment="1">
      <alignment horizontal="center"/>
    </xf>
    <xf numFmtId="164" fontId="12" fillId="0" borderId="0" xfId="0" applyNumberFormat="1" applyFont="1" applyAlignment="1">
      <alignment horizontal="center"/>
    </xf>
    <xf numFmtId="164" fontId="12" fillId="0" borderId="0" xfId="0" applyNumberFormat="1" applyFont="1" applyAlignment="1">
      <alignment horizontal="right"/>
    </xf>
    <xf numFmtId="164" fontId="7" fillId="0" borderId="0" xfId="5" applyNumberFormat="1" applyFont="1" applyBorder="1" applyAlignment="1">
      <alignment horizontal="right"/>
    </xf>
    <xf numFmtId="164" fontId="7" fillId="0" borderId="1" xfId="0" applyNumberFormat="1" applyFont="1" applyBorder="1" applyAlignment="1">
      <alignment horizontal="right"/>
    </xf>
    <xf numFmtId="164" fontId="13" fillId="0" borderId="0" xfId="0" applyNumberFormat="1" applyFont="1" applyAlignment="1">
      <alignment horizontal="right"/>
    </xf>
    <xf numFmtId="10" fontId="7" fillId="0" borderId="0" xfId="3" applyNumberFormat="1" applyFont="1" applyBorder="1" applyAlignment="1"/>
    <xf numFmtId="43" fontId="7" fillId="0" borderId="0" xfId="1" applyFont="1" applyBorder="1" applyAlignment="1">
      <alignment vertical="center"/>
    </xf>
    <xf numFmtId="44" fontId="7" fillId="0" borderId="0" xfId="0" applyNumberFormat="1" applyFont="1"/>
    <xf numFmtId="44" fontId="7" fillId="0" borderId="0" xfId="1" applyNumberFormat="1" applyFont="1" applyBorder="1"/>
    <xf numFmtId="43" fontId="7" fillId="0" borderId="7" xfId="1" applyFont="1" applyBorder="1" applyAlignment="1"/>
    <xf numFmtId="43" fontId="7" fillId="0" borderId="8" xfId="1" applyFont="1" applyBorder="1" applyAlignment="1"/>
    <xf numFmtId="43" fontId="13" fillId="0" borderId="8" xfId="1" applyFont="1" applyBorder="1" applyAlignment="1">
      <alignment horizontal="center"/>
    </xf>
    <xf numFmtId="44" fontId="7" fillId="0" borderId="8" xfId="2" applyFont="1" applyBorder="1" applyAlignment="1"/>
    <xf numFmtId="44" fontId="7" fillId="0" borderId="1" xfId="1" applyNumberFormat="1" applyFont="1" applyBorder="1" applyAlignment="1"/>
    <xf numFmtId="43" fontId="7" fillId="0" borderId="1" xfId="1" applyFont="1" applyBorder="1" applyAlignment="1"/>
    <xf numFmtId="43" fontId="7" fillId="0" borderId="6" xfId="1" applyFont="1" applyBorder="1" applyAlignment="1"/>
    <xf numFmtId="44" fontId="7" fillId="0" borderId="0" xfId="2" applyFont="1" applyBorder="1" applyAlignment="1">
      <alignment horizontal="center"/>
    </xf>
    <xf numFmtId="10" fontId="7" fillId="0" borderId="0" xfId="3" applyNumberFormat="1" applyFont="1" applyBorder="1" applyAlignment="1">
      <alignment horizontal="center"/>
    </xf>
    <xf numFmtId="44" fontId="7" fillId="0" borderId="1" xfId="2" applyFont="1" applyBorder="1" applyAlignment="1">
      <alignment horizontal="center"/>
    </xf>
    <xf numFmtId="10" fontId="7" fillId="0" borderId="1" xfId="3" applyNumberFormat="1" applyFont="1" applyBorder="1" applyAlignment="1">
      <alignment horizontal="center"/>
    </xf>
    <xf numFmtId="164" fontId="7" fillId="0" borderId="0" xfId="2" applyNumberFormat="1" applyFont="1"/>
    <xf numFmtId="10" fontId="7" fillId="0" borderId="0" xfId="1" applyNumberFormat="1" applyFont="1"/>
    <xf numFmtId="10" fontId="7" fillId="0" borderId="0" xfId="1" applyNumberFormat="1" applyFont="1" applyBorder="1"/>
    <xf numFmtId="44" fontId="13" fillId="0" borderId="0" xfId="0" applyNumberFormat="1" applyFont="1"/>
    <xf numFmtId="44" fontId="7" fillId="0" borderId="0" xfId="1" applyNumberFormat="1" applyFont="1" applyBorder="1" applyAlignment="1"/>
    <xf numFmtId="44" fontId="7" fillId="0" borderId="0" xfId="2" applyFont="1"/>
    <xf numFmtId="165" fontId="7" fillId="0" borderId="0" xfId="5" applyNumberFormat="1" applyFont="1" applyBorder="1" applyAlignment="1">
      <alignment horizontal="center" vertical="center"/>
    </xf>
    <xf numFmtId="165" fontId="7" fillId="0" borderId="8" xfId="5" applyNumberFormat="1" applyFont="1" applyBorder="1" applyAlignment="1">
      <alignment horizontal="center" vertical="center"/>
    </xf>
    <xf numFmtId="44" fontId="7" fillId="0" borderId="0" xfId="2" applyFont="1" applyAlignment="1">
      <alignment vertical="top"/>
    </xf>
    <xf numFmtId="10" fontId="7" fillId="0" borderId="0" xfId="3" applyNumberFormat="1" applyFont="1" applyAlignment="1">
      <alignment vertical="top"/>
    </xf>
    <xf numFmtId="164" fontId="7" fillId="0" borderId="0" xfId="2" applyNumberFormat="1" applyFont="1" applyBorder="1"/>
    <xf numFmtId="166" fontId="7" fillId="0" borderId="0" xfId="0" applyNumberFormat="1" applyFont="1" applyAlignment="1">
      <alignment horizontal="right"/>
    </xf>
    <xf numFmtId="44" fontId="7" fillId="0" borderId="0" xfId="2" applyFont="1" applyFill="1" applyBorder="1" applyAlignment="1">
      <alignment horizontal="right"/>
    </xf>
    <xf numFmtId="44" fontId="22" fillId="0" borderId="0" xfId="2" applyFont="1" applyFill="1" applyBorder="1" applyAlignment="1">
      <alignment horizontal="right"/>
    </xf>
    <xf numFmtId="44" fontId="21" fillId="0" borderId="0" xfId="2" applyFont="1" applyFill="1" applyBorder="1" applyAlignment="1">
      <alignment horizontal="right"/>
    </xf>
    <xf numFmtId="44" fontId="7" fillId="0" borderId="1" xfId="2" applyFont="1" applyFill="1" applyBorder="1" applyAlignment="1">
      <alignment horizontal="right"/>
    </xf>
    <xf numFmtId="0" fontId="7" fillId="0" borderId="0" xfId="1" applyNumberFormat="1" applyFont="1" applyFill="1" applyBorder="1"/>
    <xf numFmtId="44" fontId="7" fillId="0" borderId="1" xfId="0" applyNumberFormat="1" applyFont="1" applyBorder="1" applyAlignment="1">
      <alignment horizontal="right"/>
    </xf>
    <xf numFmtId="164" fontId="13" fillId="0" borderId="0" xfId="2" applyNumberFormat="1" applyFont="1" applyFill="1" applyBorder="1" applyAlignment="1"/>
    <xf numFmtId="10" fontId="7" fillId="0" borderId="0" xfId="3" applyNumberFormat="1" applyFont="1" applyBorder="1" applyAlignment="1">
      <alignment vertical="top"/>
    </xf>
    <xf numFmtId="37" fontId="11" fillId="0" borderId="0" xfId="0" applyNumberFormat="1" applyFont="1" applyAlignment="1">
      <alignment horizontal="right"/>
    </xf>
    <xf numFmtId="0" fontId="11" fillId="0" borderId="0" xfId="0" applyFont="1" applyAlignment="1">
      <alignment horizontal="right"/>
    </xf>
    <xf numFmtId="165" fontId="7" fillId="0" borderId="0" xfId="0" applyNumberFormat="1" applyFont="1" applyAlignment="1">
      <alignment vertical="top"/>
    </xf>
    <xf numFmtId="165" fontId="7" fillId="0" borderId="0" xfId="1" applyNumberFormat="1" applyFont="1" applyFill="1" applyBorder="1" applyAlignment="1">
      <alignment horizontal="right"/>
    </xf>
    <xf numFmtId="44" fontId="3" fillId="0" borderId="0" xfId="2" applyFont="1" applyFill="1" applyBorder="1" applyAlignment="1">
      <alignment horizontal="right"/>
    </xf>
    <xf numFmtId="9" fontId="4" fillId="0" borderId="0" xfId="3" applyFont="1" applyFill="1" applyBorder="1" applyAlignment="1">
      <alignment horizontal="right"/>
    </xf>
    <xf numFmtId="0" fontId="11" fillId="0" borderId="0" xfId="0" applyFont="1"/>
    <xf numFmtId="0" fontId="11" fillId="0" borderId="0" xfId="1" applyNumberFormat="1" applyFont="1" applyFill="1" applyBorder="1"/>
    <xf numFmtId="44" fontId="11" fillId="0" borderId="12" xfId="0" applyNumberFormat="1" applyFont="1" applyBorder="1" applyAlignment="1">
      <alignment horizontal="right"/>
    </xf>
    <xf numFmtId="44" fontId="11" fillId="0" borderId="0" xfId="2" applyFont="1" applyFill="1" applyBorder="1" applyAlignment="1">
      <alignment horizontal="right"/>
    </xf>
    <xf numFmtId="43" fontId="7" fillId="0" borderId="0" xfId="1" applyFont="1" applyFill="1"/>
    <xf numFmtId="43" fontId="7" fillId="0" borderId="0" xfId="1" applyFont="1" applyFill="1" applyBorder="1"/>
    <xf numFmtId="44" fontId="7" fillId="3" borderId="0" xfId="2" applyFont="1" applyFill="1" applyBorder="1" applyAlignment="1">
      <alignment horizontal="right"/>
    </xf>
    <xf numFmtId="44" fontId="7" fillId="3" borderId="1" xfId="2" applyFont="1" applyFill="1" applyBorder="1" applyAlignment="1">
      <alignment horizontal="right"/>
    </xf>
    <xf numFmtId="43" fontId="7" fillId="0" borderId="1" xfId="1" applyFont="1" applyFill="1" applyBorder="1"/>
    <xf numFmtId="44" fontId="28" fillId="0" borderId="1" xfId="2" applyFont="1" applyBorder="1"/>
    <xf numFmtId="44" fontId="7" fillId="0" borderId="0" xfId="0" applyNumberFormat="1" applyFont="1" applyAlignment="1">
      <alignment horizontal="center"/>
    </xf>
    <xf numFmtId="0" fontId="26" fillId="0" borderId="0" xfId="0" applyFont="1" applyAlignment="1">
      <alignment horizontal="center"/>
    </xf>
    <xf numFmtId="43" fontId="7" fillId="2" borderId="7" xfId="1" applyFont="1" applyFill="1" applyBorder="1"/>
    <xf numFmtId="165" fontId="15" fillId="0" borderId="0" xfId="5" applyNumberFormat="1" applyFont="1" applyBorder="1" applyAlignment="1">
      <alignment horizontal="center" vertical="center"/>
    </xf>
    <xf numFmtId="43" fontId="7" fillId="0" borderId="7" xfId="1" applyFont="1" applyBorder="1" applyAlignment="1">
      <alignment horizontal="right"/>
    </xf>
    <xf numFmtId="43" fontId="7" fillId="0" borderId="7" xfId="1" applyFont="1" applyFill="1" applyBorder="1"/>
    <xf numFmtId="0" fontId="7" fillId="0" borderId="0" xfId="2" applyNumberFormat="1" applyFont="1" applyBorder="1" applyAlignment="1"/>
    <xf numFmtId="165" fontId="7" fillId="0" borderId="7" xfId="5" applyNumberFormat="1" applyFont="1" applyBorder="1" applyAlignment="1">
      <alignment horizontal="center" vertical="center"/>
    </xf>
    <xf numFmtId="165" fontId="29" fillId="0" borderId="0" xfId="1" applyNumberFormat="1" applyFont="1" applyAlignment="1">
      <alignment horizontal="centerContinuous" vertical="center"/>
    </xf>
    <xf numFmtId="165" fontId="8" fillId="0" borderId="0" xfId="1" applyNumberFormat="1" applyFont="1" applyAlignment="1">
      <alignment horizontal="centerContinuous" vertical="center"/>
    </xf>
    <xf numFmtId="44" fontId="7" fillId="0" borderId="0" xfId="2" applyFont="1" applyFill="1" applyBorder="1" applyAlignment="1">
      <alignment horizontal="center"/>
    </xf>
    <xf numFmtId="0" fontId="10" fillId="0" borderId="0" xfId="0" applyFont="1"/>
    <xf numFmtId="44" fontId="10" fillId="0" borderId="0" xfId="2" applyFont="1" applyFill="1" applyBorder="1" applyAlignment="1">
      <alignment horizontal="center" vertical="center"/>
    </xf>
    <xf numFmtId="44" fontId="10" fillId="0" borderId="0" xfId="2" applyFont="1" applyFill="1" applyBorder="1" applyAlignment="1">
      <alignment horizontal="center"/>
    </xf>
    <xf numFmtId="171" fontId="26" fillId="0" borderId="0" xfId="0" applyNumberFormat="1" applyFont="1"/>
    <xf numFmtId="165" fontId="7" fillId="3" borderId="0" xfId="1" applyNumberFormat="1" applyFont="1" applyFill="1" applyAlignment="1">
      <alignment vertical="center"/>
    </xf>
    <xf numFmtId="1" fontId="7" fillId="0" borderId="0" xfId="1" applyNumberFormat="1" applyFont="1" applyAlignment="1">
      <alignment horizontal="center"/>
    </xf>
    <xf numFmtId="43" fontId="7" fillId="0" borderId="0" xfId="1" applyFont="1" applyAlignment="1">
      <alignment horizontal="center"/>
    </xf>
    <xf numFmtId="4" fontId="7" fillId="0" borderId="0" xfId="0" applyNumberFormat="1" applyFont="1"/>
    <xf numFmtId="43" fontId="7" fillId="0" borderId="0" xfId="0" applyNumberFormat="1" applyFont="1"/>
    <xf numFmtId="165" fontId="13" fillId="3" borderId="0" xfId="1" applyNumberFormat="1" applyFont="1" applyFill="1" applyBorder="1" applyAlignment="1">
      <alignment vertical="center"/>
    </xf>
    <xf numFmtId="165" fontId="13" fillId="3" borderId="1" xfId="1" applyNumberFormat="1" applyFont="1" applyFill="1" applyBorder="1" applyAlignment="1">
      <alignment vertical="center"/>
    </xf>
    <xf numFmtId="2" fontId="26" fillId="0" borderId="0" xfId="0" applyNumberFormat="1" applyFont="1"/>
    <xf numFmtId="0" fontId="31" fillId="0" borderId="0" xfId="0" applyFont="1"/>
    <xf numFmtId="0" fontId="31" fillId="0" borderId="0" xfId="0" applyFont="1" applyAlignment="1">
      <alignment horizontal="center"/>
    </xf>
    <xf numFmtId="0" fontId="0" fillId="0" borderId="0" xfId="0" applyAlignment="1">
      <alignment wrapText="1"/>
    </xf>
    <xf numFmtId="172" fontId="1" fillId="0" borderId="0" xfId="2" applyNumberFormat="1" applyFont="1" applyFill="1" applyBorder="1" applyAlignment="1">
      <alignment horizontal="center"/>
    </xf>
    <xf numFmtId="44" fontId="2" fillId="0" borderId="0" xfId="2" applyFont="1" applyFill="1" applyBorder="1" applyAlignment="1">
      <alignment horizontal="center"/>
    </xf>
    <xf numFmtId="44" fontId="7" fillId="0" borderId="1" xfId="2" applyFont="1" applyFill="1" applyBorder="1" applyAlignment="1">
      <alignment horizontal="center"/>
    </xf>
    <xf numFmtId="165" fontId="0" fillId="0" borderId="0" xfId="0" applyNumberFormat="1"/>
    <xf numFmtId="164" fontId="7" fillId="3" borderId="0" xfId="2" applyNumberFormat="1" applyFont="1" applyFill="1" applyBorder="1" applyAlignment="1"/>
    <xf numFmtId="164" fontId="13" fillId="3" borderId="0" xfId="2" applyNumberFormat="1" applyFont="1" applyFill="1" applyBorder="1" applyAlignment="1"/>
    <xf numFmtId="43" fontId="7" fillId="0" borderId="0" xfId="1" applyFont="1" applyAlignment="1">
      <alignment horizontal="center" wrapText="1"/>
    </xf>
    <xf numFmtId="172" fontId="10" fillId="0" borderId="0" xfId="1" applyNumberFormat="1" applyFont="1" applyAlignment="1">
      <alignment horizontal="center"/>
    </xf>
    <xf numFmtId="0" fontId="0" fillId="0" borderId="0" xfId="0" applyAlignment="1">
      <alignment horizontal="center" vertical="top"/>
    </xf>
    <xf numFmtId="0" fontId="5" fillId="0" borderId="0" xfId="0" applyFont="1" applyAlignment="1">
      <alignment horizontal="center" vertical="top"/>
    </xf>
    <xf numFmtId="0" fontId="5" fillId="0" borderId="0" xfId="0" applyFont="1" applyAlignment="1">
      <alignment wrapText="1"/>
    </xf>
    <xf numFmtId="0" fontId="5" fillId="0" borderId="0" xfId="0" applyFont="1"/>
    <xf numFmtId="0" fontId="32" fillId="0" borderId="0" xfId="0" applyFont="1" applyAlignment="1">
      <alignment horizontal="center" wrapText="1"/>
    </xf>
    <xf numFmtId="0" fontId="33" fillId="0" borderId="0" xfId="0" applyFont="1" applyAlignment="1">
      <alignment horizontal="center" wrapText="1"/>
    </xf>
    <xf numFmtId="165" fontId="8" fillId="0" borderId="0" xfId="1" applyNumberFormat="1" applyFont="1" applyAlignment="1">
      <alignment horizontal="center" vertical="center"/>
    </xf>
    <xf numFmtId="165" fontId="14" fillId="0" borderId="7" xfId="5" applyNumberFormat="1" applyFont="1" applyBorder="1" applyAlignment="1">
      <alignment horizontal="center" vertical="center"/>
    </xf>
    <xf numFmtId="165" fontId="14" fillId="0" borderId="8" xfId="5" applyNumberFormat="1" applyFont="1" applyBorder="1" applyAlignment="1">
      <alignment horizontal="center" vertical="center"/>
    </xf>
    <xf numFmtId="3" fontId="8" fillId="0" borderId="0" xfId="0" applyNumberFormat="1" applyFont="1" applyAlignment="1">
      <alignment horizontal="center"/>
    </xf>
    <xf numFmtId="3" fontId="9" fillId="0" borderId="0" xfId="0" applyNumberFormat="1" applyFont="1" applyAlignment="1">
      <alignment horizontal="center"/>
    </xf>
    <xf numFmtId="3" fontId="15" fillId="0" borderId="0" xfId="0" applyNumberFormat="1" applyFont="1" applyAlignment="1">
      <alignment horizontal="center" vertical="center"/>
    </xf>
    <xf numFmtId="167" fontId="12" fillId="0" borderId="0" xfId="5" applyNumberFormat="1" applyFont="1" applyBorder="1" applyAlignment="1">
      <alignment horizontal="center"/>
    </xf>
    <xf numFmtId="43" fontId="10" fillId="0" borderId="7" xfId="1" applyFont="1" applyBorder="1" applyAlignment="1">
      <alignment horizontal="right"/>
    </xf>
    <xf numFmtId="43" fontId="10" fillId="0" borderId="0" xfId="1" applyFont="1" applyBorder="1" applyAlignment="1">
      <alignment horizontal="right"/>
    </xf>
    <xf numFmtId="43" fontId="10" fillId="0" borderId="5" xfId="1" applyFont="1" applyBorder="1" applyAlignment="1">
      <alignment horizontal="right"/>
    </xf>
    <xf numFmtId="43" fontId="10" fillId="0" borderId="1" xfId="1" applyFont="1" applyBorder="1" applyAlignment="1">
      <alignment horizontal="right"/>
    </xf>
    <xf numFmtId="43" fontId="8" fillId="0" borderId="3" xfId="1" applyFont="1" applyBorder="1" applyAlignment="1">
      <alignment horizontal="center"/>
    </xf>
    <xf numFmtId="43" fontId="8" fillId="0" borderId="2" xfId="1" applyFont="1" applyBorder="1" applyAlignment="1">
      <alignment horizontal="center"/>
    </xf>
    <xf numFmtId="43" fontId="8" fillId="0" borderId="4" xfId="1" applyFont="1" applyBorder="1" applyAlignment="1">
      <alignment horizontal="center"/>
    </xf>
    <xf numFmtId="3" fontId="24" fillId="0" borderId="7" xfId="0" applyNumberFormat="1" applyFont="1" applyBorder="1" applyAlignment="1">
      <alignment horizontal="center"/>
    </xf>
    <xf numFmtId="3" fontId="24" fillId="0" borderId="0" xfId="0" applyNumberFormat="1" applyFont="1" applyAlignment="1">
      <alignment horizontal="center"/>
    </xf>
    <xf numFmtId="3" fontId="24" fillId="0" borderId="8" xfId="0" applyNumberFormat="1" applyFont="1" applyBorder="1" applyAlignment="1">
      <alignment horizontal="center"/>
    </xf>
    <xf numFmtId="3" fontId="8" fillId="0" borderId="7" xfId="0" applyNumberFormat="1" applyFont="1" applyBorder="1" applyAlignment="1">
      <alignment horizontal="center" vertical="center"/>
    </xf>
    <xf numFmtId="3" fontId="8" fillId="0" borderId="0" xfId="0" applyNumberFormat="1" applyFont="1" applyAlignment="1">
      <alignment horizontal="center" vertical="center"/>
    </xf>
    <xf numFmtId="3" fontId="8" fillId="0" borderId="8" xfId="0" applyNumberFormat="1" applyFont="1" applyBorder="1" applyAlignment="1">
      <alignment horizontal="center" vertical="center"/>
    </xf>
    <xf numFmtId="43" fontId="10" fillId="0" borderId="7" xfId="1" applyFont="1" applyBorder="1" applyAlignment="1">
      <alignment horizontal="right" wrapText="1"/>
    </xf>
    <xf numFmtId="43" fontId="10" fillId="0" borderId="0" xfId="1" applyFont="1" applyBorder="1" applyAlignment="1">
      <alignment horizontal="right" wrapText="1"/>
    </xf>
    <xf numFmtId="43" fontId="13" fillId="0" borderId="0" xfId="1" applyFont="1" applyBorder="1" applyAlignment="1">
      <alignment horizontal="center"/>
    </xf>
    <xf numFmtId="44" fontId="27" fillId="0" borderId="3" xfId="2" applyFont="1" applyBorder="1" applyAlignment="1">
      <alignment horizontal="center"/>
    </xf>
    <xf numFmtId="44" fontId="27" fillId="0" borderId="2" xfId="2" applyFont="1" applyBorder="1" applyAlignment="1">
      <alignment horizontal="center"/>
    </xf>
    <xf numFmtId="44" fontId="27" fillId="0" borderId="4" xfId="2" applyFont="1" applyBorder="1" applyAlignment="1">
      <alignment horizontal="center"/>
    </xf>
    <xf numFmtId="0" fontId="27" fillId="0" borderId="7" xfId="0" applyFont="1" applyBorder="1" applyAlignment="1">
      <alignment horizontal="center"/>
    </xf>
    <xf numFmtId="0" fontId="27" fillId="0" borderId="0" xfId="0" applyFont="1" applyAlignment="1">
      <alignment horizontal="center"/>
    </xf>
    <xf numFmtId="0" fontId="27" fillId="0" borderId="8" xfId="0" applyFont="1" applyBorder="1" applyAlignment="1">
      <alignment horizontal="center"/>
    </xf>
    <xf numFmtId="43" fontId="8" fillId="0" borderId="7" xfId="1" applyFont="1" applyBorder="1" applyAlignment="1">
      <alignment horizontal="center"/>
    </xf>
    <xf numFmtId="43" fontId="8" fillId="0" borderId="0" xfId="1" applyFont="1" applyBorder="1" applyAlignment="1">
      <alignment horizontal="center"/>
    </xf>
    <xf numFmtId="43" fontId="8" fillId="0" borderId="8" xfId="1" applyFont="1" applyBorder="1" applyAlignment="1">
      <alignment horizontal="center"/>
    </xf>
    <xf numFmtId="43" fontId="7" fillId="0" borderId="7" xfId="1" applyFont="1" applyBorder="1" applyAlignment="1">
      <alignment horizontal="center"/>
    </xf>
    <xf numFmtId="43" fontId="7" fillId="0" borderId="0" xfId="1" applyFont="1" applyBorder="1" applyAlignment="1">
      <alignment horizontal="center"/>
    </xf>
    <xf numFmtId="43" fontId="7" fillId="0" borderId="8" xfId="1" applyFont="1" applyBorder="1" applyAlignment="1">
      <alignment horizontal="center"/>
    </xf>
    <xf numFmtId="165" fontId="8" fillId="0" borderId="7" xfId="1" applyNumberFormat="1" applyFont="1" applyBorder="1" applyAlignment="1">
      <alignment horizontal="center"/>
    </xf>
    <xf numFmtId="165" fontId="8" fillId="0" borderId="0" xfId="1" applyNumberFormat="1" applyFont="1" applyBorder="1" applyAlignment="1">
      <alignment horizontal="center"/>
    </xf>
    <xf numFmtId="165" fontId="8" fillId="0" borderId="8" xfId="1" applyNumberFormat="1" applyFont="1" applyBorder="1" applyAlignment="1">
      <alignment horizontal="center"/>
    </xf>
    <xf numFmtId="0" fontId="9" fillId="0" borderId="7" xfId="0" applyFont="1" applyBorder="1" applyAlignment="1">
      <alignment horizontal="center"/>
    </xf>
    <xf numFmtId="0" fontId="9" fillId="0" borderId="0" xfId="0" applyFont="1" applyAlignment="1">
      <alignment horizontal="center"/>
    </xf>
    <xf numFmtId="0" fontId="9" fillId="0" borderId="8" xfId="0" applyFont="1" applyBorder="1" applyAlignment="1">
      <alignment horizontal="center"/>
    </xf>
    <xf numFmtId="3" fontId="15" fillId="0" borderId="7" xfId="0" applyNumberFormat="1" applyFont="1" applyBorder="1" applyAlignment="1">
      <alignment horizontal="center" vertical="center"/>
    </xf>
    <xf numFmtId="3" fontId="15" fillId="0" borderId="8" xfId="0" applyNumberFormat="1" applyFont="1" applyBorder="1" applyAlignment="1">
      <alignment horizontal="center" vertical="center"/>
    </xf>
    <xf numFmtId="0" fontId="23" fillId="0" borderId="0" xfId="0" applyFont="1" applyAlignment="1">
      <alignment horizontal="center"/>
    </xf>
    <xf numFmtId="165" fontId="15" fillId="0" borderId="0" xfId="5" applyNumberFormat="1" applyFont="1" applyBorder="1" applyAlignment="1">
      <alignment horizontal="center" vertical="center"/>
    </xf>
    <xf numFmtId="0" fontId="7" fillId="0" borderId="0" xfId="0" applyFont="1" applyFill="1"/>
  </cellXfs>
  <cellStyles count="11">
    <cellStyle name="Comma" xfId="1" builtinId="3"/>
    <cellStyle name="Comma 2" xfId="5" xr:uid="{00000000-0005-0000-0000-000001000000}"/>
    <cellStyle name="Comma 3" xfId="9" xr:uid="{00000000-0005-0000-0000-000002000000}"/>
    <cellStyle name="Currency" xfId="2" builtinId="4"/>
    <cellStyle name="Currency 2" xfId="6" xr:uid="{00000000-0005-0000-0000-000004000000}"/>
    <cellStyle name="Currency 3" xfId="10" xr:uid="{00000000-0005-0000-0000-000005000000}"/>
    <cellStyle name="Normal" xfId="0" builtinId="0"/>
    <cellStyle name="Normal 2" xfId="4" xr:uid="{00000000-0005-0000-0000-000007000000}"/>
    <cellStyle name="Normal 3" xfId="8" xr:uid="{00000000-0005-0000-0000-000008000000}"/>
    <cellStyle name="Percent" xfId="3" builtinId="5"/>
    <cellStyle name="Percent 2" xfId="7" xr:uid="{00000000-0005-0000-0000-00000A00000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5"/>
  <sheetViews>
    <sheetView showGridLines="0" tabSelected="1" topLeftCell="A36" workbookViewId="0">
      <selection activeCell="A57" sqref="A57:G57"/>
    </sheetView>
  </sheetViews>
  <sheetFormatPr defaultColWidth="8.765625" defaultRowHeight="14.5" x14ac:dyDescent="0.35"/>
  <cols>
    <col min="1" max="1" width="3.69140625" style="7" customWidth="1"/>
    <col min="2" max="2" width="2.69140625" style="7" customWidth="1"/>
    <col min="3" max="3" width="34.3828125" style="7" customWidth="1"/>
    <col min="4" max="4" width="11.3046875" style="7" customWidth="1"/>
    <col min="5" max="5" width="11.53515625" style="7" customWidth="1"/>
    <col min="6" max="6" width="5.3046875" style="7" customWidth="1"/>
    <col min="7" max="7" width="11.53515625" style="7" customWidth="1"/>
    <col min="8" max="8" width="3.53515625" style="7" customWidth="1"/>
    <col min="9" max="11" width="11.3046875" style="7" customWidth="1"/>
    <col min="12" max="12" width="10.84375" style="7" customWidth="1"/>
    <col min="13" max="16384" width="8.765625" style="7"/>
  </cols>
  <sheetData>
    <row r="1" spans="1:12" ht="18.5" x14ac:dyDescent="0.35">
      <c r="A1" s="297"/>
      <c r="B1" s="297"/>
      <c r="C1" s="297"/>
      <c r="D1" s="297"/>
      <c r="E1" s="297"/>
      <c r="F1" s="297"/>
      <c r="G1" s="297"/>
    </row>
    <row r="2" spans="1:12" ht="18.5" x14ac:dyDescent="0.35">
      <c r="A2" s="297" t="s">
        <v>27</v>
      </c>
      <c r="B2" s="297"/>
      <c r="C2" s="297"/>
      <c r="D2" s="297"/>
      <c r="E2" s="297"/>
      <c r="F2" s="297"/>
      <c r="G2" s="297"/>
      <c r="H2" s="59"/>
      <c r="I2" s="59"/>
      <c r="J2" s="59"/>
      <c r="K2" s="59"/>
    </row>
    <row r="3" spans="1:12" ht="18.5" x14ac:dyDescent="0.35">
      <c r="A3" s="266" t="s">
        <v>226</v>
      </c>
      <c r="B3" s="58"/>
      <c r="C3" s="58"/>
      <c r="D3" s="265"/>
      <c r="E3" s="58"/>
      <c r="F3" s="58"/>
      <c r="G3" s="58"/>
      <c r="H3" s="59"/>
      <c r="I3" s="59"/>
      <c r="J3" s="59"/>
      <c r="K3" s="59"/>
      <c r="L3" s="59"/>
    </row>
    <row r="4" spans="1:12" x14ac:dyDescent="0.35">
      <c r="A4" s="52"/>
      <c r="B4" s="58"/>
      <c r="C4" s="58"/>
      <c r="D4" s="58"/>
      <c r="E4" s="58"/>
      <c r="F4" s="58"/>
      <c r="G4" s="58"/>
      <c r="H4" s="59"/>
      <c r="I4" s="59"/>
      <c r="J4" s="59"/>
      <c r="K4" s="59"/>
    </row>
    <row r="5" spans="1:12" ht="16" x14ac:dyDescent="0.35">
      <c r="A5" s="59"/>
      <c r="B5" s="59"/>
      <c r="C5" s="59"/>
      <c r="D5" s="60" t="s">
        <v>28</v>
      </c>
      <c r="E5" s="60" t="s">
        <v>29</v>
      </c>
      <c r="F5" s="60" t="s">
        <v>30</v>
      </c>
      <c r="G5" s="60" t="s">
        <v>31</v>
      </c>
      <c r="H5" s="59"/>
      <c r="I5" s="73" t="s">
        <v>35</v>
      </c>
      <c r="J5" s="59"/>
      <c r="K5" s="59"/>
    </row>
    <row r="6" spans="1:12" x14ac:dyDescent="0.35">
      <c r="A6" s="61" t="s">
        <v>14</v>
      </c>
      <c r="B6" s="59"/>
      <c r="C6" s="59"/>
      <c r="D6" s="59"/>
      <c r="F6" s="59"/>
      <c r="G6" s="59"/>
      <c r="H6" s="59"/>
      <c r="J6" s="59"/>
      <c r="K6" s="59"/>
    </row>
    <row r="7" spans="1:12" x14ac:dyDescent="0.35">
      <c r="A7" s="59"/>
      <c r="B7" s="59" t="s">
        <v>37</v>
      </c>
      <c r="C7" s="59"/>
      <c r="D7" s="272">
        <v>1334276</v>
      </c>
      <c r="E7" s="59">
        <f>ExBA!F10</f>
        <v>-7053.0079999999143</v>
      </c>
      <c r="F7" s="62" t="s">
        <v>279</v>
      </c>
      <c r="G7" s="59"/>
      <c r="H7" s="63"/>
      <c r="I7" s="59" t="s">
        <v>270</v>
      </c>
      <c r="J7" s="59"/>
      <c r="K7" s="59"/>
    </row>
    <row r="8" spans="1:12" x14ac:dyDescent="0.35">
      <c r="A8" s="59"/>
      <c r="B8" s="59"/>
      <c r="C8" s="59"/>
      <c r="D8" s="59"/>
      <c r="E8" s="59">
        <v>-109480.14</v>
      </c>
      <c r="F8" s="62" t="s">
        <v>280</v>
      </c>
      <c r="G8" s="59">
        <f>D7+E7+E8</f>
        <v>1217742.8520000002</v>
      </c>
      <c r="H8" s="64"/>
      <c r="I8" s="59" t="s">
        <v>267</v>
      </c>
      <c r="J8" s="59"/>
      <c r="K8" s="59"/>
    </row>
    <row r="9" spans="1:12" x14ac:dyDescent="0.35">
      <c r="A9" s="59"/>
      <c r="B9" s="59" t="s">
        <v>15</v>
      </c>
      <c r="C9" s="59"/>
      <c r="D9" s="59"/>
      <c r="E9" s="59"/>
      <c r="F9" s="62"/>
      <c r="G9" s="59"/>
      <c r="H9" s="63"/>
      <c r="I9" s="59"/>
      <c r="J9" s="59"/>
    </row>
    <row r="10" spans="1:12" x14ac:dyDescent="0.35">
      <c r="A10" s="59"/>
      <c r="B10" s="59" t="s">
        <v>16</v>
      </c>
      <c r="C10" s="59"/>
      <c r="D10" s="59"/>
      <c r="E10" s="59"/>
      <c r="F10" s="62"/>
      <c r="G10" s="59"/>
      <c r="H10" s="65"/>
      <c r="I10" s="59"/>
      <c r="J10" s="59"/>
      <c r="K10" s="59"/>
    </row>
    <row r="11" spans="1:12" x14ac:dyDescent="0.35">
      <c r="A11" s="59"/>
      <c r="B11" s="59"/>
      <c r="C11" s="59" t="s">
        <v>36</v>
      </c>
      <c r="D11" s="59">
        <v>413</v>
      </c>
      <c r="E11" s="59"/>
      <c r="F11" s="62"/>
      <c r="G11" s="59">
        <f>D11+E11</f>
        <v>413</v>
      </c>
      <c r="H11" s="63"/>
      <c r="I11" s="59"/>
      <c r="J11" s="59"/>
      <c r="K11" s="59"/>
    </row>
    <row r="12" spans="1:12" x14ac:dyDescent="0.35">
      <c r="A12" s="59"/>
      <c r="C12" s="59" t="s">
        <v>17</v>
      </c>
      <c r="D12" s="59"/>
      <c r="E12" s="59"/>
      <c r="F12" s="62"/>
      <c r="G12" s="59"/>
      <c r="H12" s="63"/>
      <c r="J12" s="59"/>
      <c r="K12" s="59"/>
    </row>
    <row r="13" spans="1:12" ht="16" x14ac:dyDescent="0.35">
      <c r="A13" s="59"/>
      <c r="C13" s="59" t="s">
        <v>59</v>
      </c>
      <c r="D13" s="82">
        <v>22000</v>
      </c>
      <c r="E13" s="59">
        <v>109480.14</v>
      </c>
      <c r="F13" s="62" t="s">
        <v>280</v>
      </c>
      <c r="G13" s="82">
        <f>D13+E13</f>
        <v>131480.14000000001</v>
      </c>
      <c r="H13" s="64"/>
      <c r="I13" s="59" t="s">
        <v>268</v>
      </c>
      <c r="J13" s="59"/>
      <c r="K13" s="59"/>
    </row>
    <row r="14" spans="1:12" x14ac:dyDescent="0.35">
      <c r="A14" s="66" t="s">
        <v>18</v>
      </c>
      <c r="B14" s="59"/>
      <c r="C14" s="59"/>
      <c r="D14" s="59">
        <f>SUM(D7:D13)</f>
        <v>1356689</v>
      </c>
      <c r="E14" s="59"/>
      <c r="F14" s="62"/>
      <c r="G14" s="59">
        <f>SUM(G7:G13)</f>
        <v>1349635.9920000001</v>
      </c>
      <c r="H14" s="65"/>
      <c r="J14" s="59"/>
      <c r="K14" s="59"/>
    </row>
    <row r="15" spans="1:12" x14ac:dyDescent="0.35">
      <c r="A15" s="59"/>
      <c r="B15" s="59"/>
      <c r="C15" s="59"/>
      <c r="D15" s="59"/>
      <c r="E15" s="59"/>
      <c r="F15" s="62"/>
      <c r="G15" s="59"/>
      <c r="H15" s="65"/>
      <c r="I15" s="59"/>
      <c r="J15" s="59"/>
      <c r="K15" s="59"/>
    </row>
    <row r="16" spans="1:12" x14ac:dyDescent="0.35">
      <c r="A16" s="61" t="s">
        <v>19</v>
      </c>
      <c r="B16" s="59"/>
      <c r="C16" s="59"/>
      <c r="D16" s="59"/>
      <c r="E16" s="59"/>
      <c r="F16" s="62"/>
      <c r="G16" s="59"/>
      <c r="H16" s="65"/>
      <c r="I16" s="59"/>
      <c r="J16" s="59"/>
      <c r="K16" s="59"/>
    </row>
    <row r="17" spans="1:11" x14ac:dyDescent="0.35">
      <c r="A17" s="59"/>
      <c r="B17" s="59" t="s">
        <v>32</v>
      </c>
      <c r="C17" s="59"/>
      <c r="D17" s="59"/>
      <c r="E17" s="59"/>
      <c r="F17" s="62"/>
      <c r="G17" s="59"/>
      <c r="H17" s="65"/>
      <c r="I17" s="59"/>
      <c r="J17" s="59"/>
      <c r="K17" s="59"/>
    </row>
    <row r="18" spans="1:11" x14ac:dyDescent="0.35">
      <c r="A18" s="59"/>
      <c r="B18" s="59"/>
      <c r="C18" s="59" t="s">
        <v>2</v>
      </c>
      <c r="D18" s="59">
        <v>182987</v>
      </c>
      <c r="E18" s="183">
        <f>Wages!G28</f>
        <v>43264.549600000028</v>
      </c>
      <c r="F18" s="67" t="s">
        <v>209</v>
      </c>
      <c r="G18" s="59"/>
      <c r="H18" s="63"/>
      <c r="I18" s="59" t="s">
        <v>212</v>
      </c>
      <c r="J18" s="59"/>
      <c r="K18" s="59"/>
    </row>
    <row r="19" spans="1:11" x14ac:dyDescent="0.35">
      <c r="A19" s="59"/>
      <c r="B19" s="59"/>
      <c r="C19" s="59"/>
      <c r="D19" s="59"/>
      <c r="E19" s="183">
        <f>-Capital!C5</f>
        <v>-9915</v>
      </c>
      <c r="F19" s="67" t="s">
        <v>161</v>
      </c>
      <c r="G19" s="59">
        <f>D18+E18+E19</f>
        <v>216336.54960000003</v>
      </c>
      <c r="H19" s="63"/>
      <c r="I19" s="59" t="s">
        <v>213</v>
      </c>
      <c r="J19" s="59"/>
      <c r="K19" s="59"/>
    </row>
    <row r="20" spans="1:11" x14ac:dyDescent="0.35">
      <c r="A20" s="59"/>
      <c r="B20" s="59"/>
      <c r="C20" s="59" t="s">
        <v>3</v>
      </c>
      <c r="D20" s="272">
        <v>87050</v>
      </c>
      <c r="E20" s="183"/>
      <c r="F20" s="62"/>
      <c r="G20" s="59"/>
      <c r="H20" s="63"/>
    </row>
    <row r="21" spans="1:11" x14ac:dyDescent="0.35">
      <c r="A21" s="59"/>
      <c r="B21" s="59"/>
      <c r="C21" s="59"/>
      <c r="D21" s="272"/>
      <c r="E21" s="183">
        <v>22200</v>
      </c>
      <c r="F21" s="62" t="s">
        <v>162</v>
      </c>
      <c r="G21" s="59">
        <f>D20+E20+E21</f>
        <v>109250</v>
      </c>
      <c r="H21" s="63"/>
      <c r="I21" s="7" t="s">
        <v>271</v>
      </c>
    </row>
    <row r="22" spans="1:11" x14ac:dyDescent="0.35">
      <c r="A22" s="59"/>
      <c r="B22" s="59"/>
      <c r="C22" s="59" t="s">
        <v>4</v>
      </c>
      <c r="D22" s="272">
        <v>34582</v>
      </c>
      <c r="E22" s="183">
        <f>Wages!D41</f>
        <v>823.91000000000349</v>
      </c>
      <c r="F22" s="67" t="s">
        <v>281</v>
      </c>
      <c r="G22" s="59">
        <f>D22+E22</f>
        <v>35405.910000000003</v>
      </c>
      <c r="H22" s="63"/>
      <c r="I22" s="59" t="s">
        <v>215</v>
      </c>
      <c r="J22" s="59"/>
      <c r="K22" s="59"/>
    </row>
    <row r="23" spans="1:11" x14ac:dyDescent="0.35">
      <c r="A23" s="59"/>
      <c r="B23" s="59"/>
      <c r="C23" s="59" t="s">
        <v>306</v>
      </c>
      <c r="D23" s="59">
        <v>71584</v>
      </c>
      <c r="E23" s="183">
        <f>Medical!J21</f>
        <v>-723.77999999999884</v>
      </c>
      <c r="F23" s="67" t="s">
        <v>211</v>
      </c>
      <c r="G23" s="272"/>
      <c r="H23" s="63"/>
      <c r="I23" s="272" t="s">
        <v>273</v>
      </c>
      <c r="J23" s="59"/>
      <c r="K23" s="59"/>
    </row>
    <row r="24" spans="1:11" x14ac:dyDescent="0.35">
      <c r="A24" s="59"/>
      <c r="B24" s="59"/>
      <c r="C24" s="59" t="s">
        <v>305</v>
      </c>
      <c r="D24" s="59"/>
      <c r="E24" s="183">
        <f>Medical!M10</f>
        <v>-6199.2251999999989</v>
      </c>
      <c r="F24" s="67" t="s">
        <v>168</v>
      </c>
      <c r="G24" s="59">
        <f>D23+E22+E23+E24</f>
        <v>65484.904800000004</v>
      </c>
      <c r="H24" s="63"/>
      <c r="I24" s="59" t="s">
        <v>338</v>
      </c>
      <c r="J24" s="59"/>
      <c r="K24" s="59"/>
    </row>
    <row r="25" spans="1:11" x14ac:dyDescent="0.35">
      <c r="A25" s="59"/>
      <c r="B25" s="59"/>
      <c r="C25" s="59" t="s">
        <v>5</v>
      </c>
      <c r="D25" s="272">
        <v>568098</v>
      </c>
      <c r="E25" s="183">
        <f>-'Water Loss'!D30</f>
        <v>-14330.247355729565</v>
      </c>
      <c r="F25" s="67" t="s">
        <v>210</v>
      </c>
      <c r="G25" s="59"/>
      <c r="H25" s="68"/>
      <c r="I25" s="7" t="s">
        <v>235</v>
      </c>
    </row>
    <row r="26" spans="1:11" x14ac:dyDescent="0.35">
      <c r="A26" s="59"/>
      <c r="B26" s="59"/>
      <c r="C26" s="59"/>
      <c r="D26" s="272"/>
      <c r="E26" s="183">
        <f>'Water Loss'!K3</f>
        <v>28882.618000000017</v>
      </c>
      <c r="F26" s="67" t="s">
        <v>217</v>
      </c>
      <c r="G26" s="59">
        <f>D25+E25+E26</f>
        <v>582650.37064427044</v>
      </c>
      <c r="H26" s="68"/>
      <c r="I26" s="7" t="s">
        <v>297</v>
      </c>
    </row>
    <row r="27" spans="1:11" x14ac:dyDescent="0.35">
      <c r="A27" s="59"/>
      <c r="B27" s="59"/>
      <c r="C27" s="59" t="s">
        <v>6</v>
      </c>
      <c r="D27" s="59">
        <v>0</v>
      </c>
      <c r="E27" s="59">
        <v>3553.74</v>
      </c>
      <c r="F27" s="67" t="s">
        <v>289</v>
      </c>
      <c r="G27" s="59"/>
      <c r="H27" s="69"/>
      <c r="I27" s="7" t="s">
        <v>266</v>
      </c>
      <c r="J27" s="59"/>
      <c r="K27" s="59"/>
    </row>
    <row r="28" spans="1:11" x14ac:dyDescent="0.35">
      <c r="A28" s="59"/>
      <c r="B28" s="59"/>
      <c r="C28" s="59"/>
      <c r="D28" s="59"/>
      <c r="E28" s="59">
        <f>-'Water Loss'!D31</f>
        <v>-89.64293702486259</v>
      </c>
      <c r="F28" s="67" t="s">
        <v>210</v>
      </c>
      <c r="G28" s="59">
        <f>E27+E28</f>
        <v>3464.0970629751373</v>
      </c>
      <c r="H28" s="69"/>
      <c r="I28" s="7" t="s">
        <v>240</v>
      </c>
      <c r="J28" s="59"/>
      <c r="K28" s="59"/>
    </row>
    <row r="29" spans="1:11" x14ac:dyDescent="0.35">
      <c r="A29" s="59"/>
      <c r="B29" s="59"/>
      <c r="C29" s="59" t="s">
        <v>74</v>
      </c>
      <c r="D29" s="59">
        <v>0</v>
      </c>
      <c r="E29" s="59"/>
      <c r="F29" s="67"/>
      <c r="G29" s="59">
        <f t="shared" ref="G29:G31" si="0">D29+E29</f>
        <v>0</v>
      </c>
      <c r="H29" s="69"/>
      <c r="J29" s="59"/>
      <c r="K29" s="59"/>
    </row>
    <row r="30" spans="1:11" x14ac:dyDescent="0.35">
      <c r="A30" s="59"/>
      <c r="B30" s="59"/>
      <c r="C30" s="59" t="s">
        <v>7</v>
      </c>
      <c r="D30" s="272">
        <v>43776</v>
      </c>
      <c r="E30" s="59">
        <f>-Capital!C6</f>
        <v>-23135</v>
      </c>
      <c r="F30" s="67" t="s">
        <v>161</v>
      </c>
      <c r="G30" s="59">
        <f t="shared" si="0"/>
        <v>20641</v>
      </c>
      <c r="H30" s="63"/>
      <c r="I30" s="59" t="s">
        <v>214</v>
      </c>
      <c r="J30" s="59"/>
      <c r="K30" s="59"/>
    </row>
    <row r="31" spans="1:11" x14ac:dyDescent="0.35">
      <c r="A31" s="59"/>
      <c r="B31" s="59"/>
      <c r="C31" s="59" t="s">
        <v>8</v>
      </c>
      <c r="D31" s="272">
        <v>14315</v>
      </c>
      <c r="E31" s="59"/>
      <c r="F31" s="67"/>
      <c r="G31" s="59">
        <f t="shared" si="0"/>
        <v>14315</v>
      </c>
      <c r="H31" s="63"/>
      <c r="I31" s="59"/>
      <c r="J31" s="59"/>
      <c r="K31" s="59"/>
    </row>
    <row r="32" spans="1:11" x14ac:dyDescent="0.35">
      <c r="A32" s="59"/>
      <c r="B32" s="59"/>
      <c r="C32" s="59" t="s">
        <v>9</v>
      </c>
      <c r="D32" s="59">
        <v>141573</v>
      </c>
      <c r="E32" s="59">
        <v>-22200</v>
      </c>
      <c r="F32" s="62" t="s">
        <v>162</v>
      </c>
      <c r="G32" s="59"/>
      <c r="H32" s="65"/>
      <c r="I32" s="59" t="s">
        <v>272</v>
      </c>
      <c r="J32" s="59"/>
      <c r="K32" s="59"/>
    </row>
    <row r="33" spans="1:11" ht="16" x14ac:dyDescent="0.35">
      <c r="A33" s="59"/>
      <c r="B33" s="59"/>
      <c r="D33" s="278"/>
      <c r="E33" s="81">
        <v>-3553.74</v>
      </c>
      <c r="F33" s="67" t="s">
        <v>217</v>
      </c>
      <c r="G33" s="82">
        <f>D32+E32+E33</f>
        <v>115819.26</v>
      </c>
      <c r="H33" s="65"/>
      <c r="I33" s="59" t="s">
        <v>265</v>
      </c>
      <c r="J33" s="59"/>
      <c r="K33" s="59"/>
    </row>
    <row r="34" spans="1:11" x14ac:dyDescent="0.35">
      <c r="A34" s="59"/>
      <c r="B34" s="59"/>
      <c r="C34" s="59"/>
      <c r="D34" s="59">
        <f>SUM(D18:D33)</f>
        <v>1143965</v>
      </c>
      <c r="E34" s="59"/>
      <c r="F34" s="62"/>
      <c r="G34" s="59">
        <f>SUM(G18:G33)</f>
        <v>1163367.0921072457</v>
      </c>
      <c r="H34" s="65"/>
      <c r="I34" s="59"/>
      <c r="J34" s="59"/>
      <c r="K34" s="59"/>
    </row>
    <row r="35" spans="1:11" ht="4" customHeight="1" x14ac:dyDescent="0.35">
      <c r="A35" s="59"/>
      <c r="B35" s="59"/>
      <c r="C35" s="59"/>
      <c r="D35" s="59"/>
      <c r="E35" s="59"/>
      <c r="F35" s="62"/>
      <c r="G35" s="59"/>
      <c r="H35" s="65"/>
      <c r="I35" s="59"/>
      <c r="J35" s="59"/>
      <c r="K35" s="59"/>
    </row>
    <row r="36" spans="1:11" x14ac:dyDescent="0.35">
      <c r="A36" s="59"/>
      <c r="B36" s="59" t="s">
        <v>20</v>
      </c>
      <c r="C36" s="59"/>
      <c r="D36" s="272">
        <v>262481</v>
      </c>
      <c r="E36" s="59">
        <f>Depreciation!F52</f>
        <v>-85033.027936507919</v>
      </c>
      <c r="F36" s="62" t="s">
        <v>291</v>
      </c>
      <c r="G36" s="59">
        <f>D36+E36</f>
        <v>177447.97206349208</v>
      </c>
      <c r="H36" s="65"/>
      <c r="I36" s="59" t="s">
        <v>216</v>
      </c>
      <c r="J36" s="59"/>
    </row>
    <row r="37" spans="1:11" ht="16" x14ac:dyDescent="0.35">
      <c r="A37" s="59"/>
      <c r="B37" s="59" t="s">
        <v>1</v>
      </c>
      <c r="C37" s="59"/>
      <c r="D37" s="277">
        <v>20957</v>
      </c>
      <c r="E37" s="81">
        <f>Wages!G34</f>
        <v>3010.568544400001</v>
      </c>
      <c r="F37" s="83" t="s">
        <v>292</v>
      </c>
      <c r="G37" s="82">
        <f>D37+E37</f>
        <v>23967.568544400001</v>
      </c>
      <c r="H37" s="65"/>
      <c r="I37" s="59" t="s">
        <v>276</v>
      </c>
      <c r="J37" s="59"/>
    </row>
    <row r="38" spans="1:11" ht="16" x14ac:dyDescent="0.35">
      <c r="A38" s="66" t="s">
        <v>0</v>
      </c>
      <c r="B38" s="59"/>
      <c r="C38" s="59"/>
      <c r="D38" s="82">
        <f>SUM(D34:D37)</f>
        <v>1427403</v>
      </c>
      <c r="E38" s="81"/>
      <c r="F38" s="83"/>
      <c r="G38" s="82">
        <f>SUM(G34:G37)</f>
        <v>1364782.6327151377</v>
      </c>
      <c r="H38" s="65"/>
      <c r="I38" s="59"/>
      <c r="J38" s="59"/>
      <c r="K38" s="59"/>
    </row>
    <row r="39" spans="1:11" ht="4" customHeight="1" x14ac:dyDescent="0.35">
      <c r="A39" s="66"/>
      <c r="B39" s="59"/>
      <c r="C39" s="59"/>
      <c r="D39" s="84"/>
      <c r="E39" s="59"/>
      <c r="F39" s="62"/>
      <c r="G39" s="59"/>
      <c r="H39" s="59"/>
      <c r="I39" s="59"/>
      <c r="J39" s="59"/>
      <c r="K39" s="59"/>
    </row>
    <row r="40" spans="1:11" x14ac:dyDescent="0.35">
      <c r="A40" s="66" t="s">
        <v>33</v>
      </c>
      <c r="B40" s="59"/>
      <c r="C40" s="59"/>
      <c r="D40" s="59">
        <f>D14-D38</f>
        <v>-70714</v>
      </c>
      <c r="E40" s="59"/>
      <c r="F40" s="62"/>
      <c r="G40" s="59">
        <f>G14-G38</f>
        <v>-15146.64071513759</v>
      </c>
      <c r="H40" s="59"/>
      <c r="I40" s="59"/>
      <c r="K40" s="59"/>
    </row>
    <row r="41" spans="1:11" x14ac:dyDescent="0.35">
      <c r="A41" s="59"/>
      <c r="B41" s="59"/>
      <c r="C41" s="59"/>
      <c r="D41" s="59"/>
      <c r="E41" s="59"/>
      <c r="F41" s="62"/>
      <c r="G41" s="59"/>
      <c r="H41" s="59"/>
      <c r="I41" s="59"/>
      <c r="J41" s="59"/>
      <c r="K41" s="59"/>
    </row>
    <row r="42" spans="1:11" ht="18.5" x14ac:dyDescent="0.35">
      <c r="A42" s="297" t="s">
        <v>21</v>
      </c>
      <c r="B42" s="297"/>
      <c r="C42" s="297"/>
      <c r="D42" s="297"/>
      <c r="E42" s="297"/>
      <c r="F42" s="297"/>
      <c r="G42" s="297"/>
      <c r="H42" s="59"/>
      <c r="I42" s="70"/>
      <c r="J42" s="71"/>
      <c r="K42" s="59"/>
    </row>
    <row r="43" spans="1:11" ht="18.5" x14ac:dyDescent="0.35">
      <c r="A43" s="297" t="s">
        <v>317</v>
      </c>
      <c r="B43" s="297"/>
      <c r="C43" s="297"/>
      <c r="D43" s="297"/>
      <c r="E43" s="297"/>
      <c r="F43" s="297"/>
      <c r="G43" s="297"/>
      <c r="H43" s="59"/>
      <c r="I43" s="70"/>
      <c r="J43" s="71"/>
      <c r="K43" s="59"/>
    </row>
    <row r="44" spans="1:11" x14ac:dyDescent="0.35">
      <c r="A44" s="66" t="s">
        <v>34</v>
      </c>
      <c r="B44" s="59"/>
      <c r="C44" s="59"/>
      <c r="D44" s="72"/>
      <c r="E44" s="59"/>
      <c r="F44" s="67"/>
      <c r="G44" s="7">
        <f>G38</f>
        <v>1364782.6327151377</v>
      </c>
      <c r="H44" s="59"/>
      <c r="J44" s="59"/>
      <c r="K44" s="59"/>
    </row>
    <row r="45" spans="1:11" x14ac:dyDescent="0.35">
      <c r="A45" s="59"/>
      <c r="B45" s="59"/>
      <c r="C45" s="59" t="s">
        <v>314</v>
      </c>
      <c r="D45" s="72"/>
      <c r="E45" s="59"/>
      <c r="F45" s="67" t="s">
        <v>293</v>
      </c>
      <c r="H45" s="59"/>
      <c r="J45" s="59"/>
      <c r="K45" s="59"/>
    </row>
    <row r="46" spans="1:11" ht="16" x14ac:dyDescent="0.5">
      <c r="A46" s="59"/>
      <c r="B46" s="59"/>
      <c r="C46" s="59" t="s">
        <v>315</v>
      </c>
      <c r="D46" s="72"/>
      <c r="E46" s="59"/>
      <c r="F46" s="67"/>
      <c r="G46" s="26"/>
      <c r="H46" s="59"/>
      <c r="J46" s="59"/>
      <c r="K46" s="59"/>
    </row>
    <row r="47" spans="1:11" x14ac:dyDescent="0.35">
      <c r="A47" s="66" t="s">
        <v>62</v>
      </c>
      <c r="B47" s="59"/>
      <c r="C47" s="59"/>
      <c r="D47" s="72"/>
      <c r="E47" s="59"/>
      <c r="F47" s="67"/>
      <c r="G47" s="7">
        <f>G44/0.88</f>
        <v>1550889.355358111</v>
      </c>
      <c r="H47" s="59"/>
      <c r="J47" s="59"/>
      <c r="K47" s="59"/>
    </row>
    <row r="48" spans="1:11" x14ac:dyDescent="0.35">
      <c r="A48" s="59" t="s">
        <v>23</v>
      </c>
      <c r="B48" s="59"/>
      <c r="C48" s="59" t="s">
        <v>24</v>
      </c>
      <c r="D48" s="72"/>
      <c r="E48" s="59"/>
      <c r="F48" s="67"/>
      <c r="G48" s="7">
        <f>SUM(G11:G13)</f>
        <v>131893.14000000001</v>
      </c>
      <c r="H48" s="59"/>
      <c r="J48" s="59"/>
      <c r="K48" s="59"/>
    </row>
    <row r="49" spans="1:11" x14ac:dyDescent="0.35">
      <c r="A49" s="59"/>
      <c r="B49" s="59"/>
      <c r="C49" s="59" t="s">
        <v>58</v>
      </c>
      <c r="D49" s="72"/>
      <c r="E49" s="59"/>
      <c r="F49" s="67"/>
      <c r="H49" s="59"/>
      <c r="J49" s="59"/>
      <c r="K49" s="59"/>
    </row>
    <row r="50" spans="1:11" x14ac:dyDescent="0.35">
      <c r="A50" s="59"/>
      <c r="B50" s="59"/>
      <c r="C50" s="59" t="s">
        <v>11</v>
      </c>
      <c r="D50" s="72"/>
      <c r="E50" s="59"/>
      <c r="F50" s="67"/>
      <c r="G50" s="36"/>
      <c r="H50" s="59"/>
      <c r="I50" s="36"/>
      <c r="J50" s="59"/>
      <c r="K50" s="59"/>
    </row>
    <row r="51" spans="1:11" x14ac:dyDescent="0.35">
      <c r="A51" s="66" t="s">
        <v>60</v>
      </c>
      <c r="B51" s="59"/>
      <c r="C51" s="59"/>
      <c r="D51" s="72"/>
      <c r="E51" s="59"/>
      <c r="F51" s="67"/>
      <c r="G51" s="7">
        <f>G47-G48-G49-G50</f>
        <v>1418996.2153581111</v>
      </c>
      <c r="H51" s="59"/>
      <c r="J51" s="59"/>
      <c r="K51" s="59"/>
    </row>
    <row r="52" spans="1:11" ht="16" x14ac:dyDescent="0.5">
      <c r="A52" s="59" t="s">
        <v>23</v>
      </c>
      <c r="B52" s="59"/>
      <c r="C52" s="59" t="s">
        <v>61</v>
      </c>
      <c r="D52" s="72"/>
      <c r="E52" s="59"/>
      <c r="F52" s="67"/>
      <c r="G52" s="26">
        <f>G8</f>
        <v>1217742.8520000002</v>
      </c>
      <c r="H52" s="59"/>
      <c r="I52" s="36"/>
      <c r="J52" s="59"/>
      <c r="K52" s="59"/>
    </row>
    <row r="53" spans="1:11" x14ac:dyDescent="0.35">
      <c r="A53" s="66" t="s">
        <v>63</v>
      </c>
      <c r="B53" s="59"/>
      <c r="C53" s="59"/>
      <c r="D53" s="72"/>
      <c r="E53" s="59"/>
      <c r="F53" s="67"/>
      <c r="G53" s="59">
        <f>G51-G52</f>
        <v>201253.36335811089</v>
      </c>
      <c r="H53" s="59"/>
      <c r="I53" s="59"/>
      <c r="J53" s="59"/>
      <c r="K53" s="59"/>
    </row>
    <row r="54" spans="1:11" ht="13" customHeight="1" x14ac:dyDescent="0.35">
      <c r="A54" s="59"/>
      <c r="B54" s="59"/>
      <c r="C54" s="59"/>
      <c r="D54" s="72"/>
      <c r="E54" s="59"/>
      <c r="F54" s="67"/>
      <c r="G54" s="59"/>
      <c r="H54" s="59"/>
      <c r="I54" s="59"/>
      <c r="J54" s="59"/>
      <c r="K54" s="59"/>
    </row>
    <row r="55" spans="1:11" x14ac:dyDescent="0.35">
      <c r="A55" s="66" t="s">
        <v>64</v>
      </c>
      <c r="B55" s="59"/>
      <c r="C55" s="59"/>
      <c r="D55" s="72"/>
      <c r="E55" s="59"/>
      <c r="F55" s="67"/>
      <c r="G55" s="74">
        <f>G53/G52</f>
        <v>0.16526753823894411</v>
      </c>
      <c r="H55" s="59"/>
      <c r="I55" s="59"/>
      <c r="J55" s="59"/>
      <c r="K55" s="59"/>
    </row>
    <row r="57" spans="1:11" ht="18.5" x14ac:dyDescent="0.35">
      <c r="A57" s="297" t="s">
        <v>342</v>
      </c>
      <c r="B57" s="297"/>
      <c r="C57" s="297"/>
      <c r="D57" s="297"/>
      <c r="E57" s="297"/>
      <c r="F57" s="297"/>
      <c r="G57" s="297"/>
    </row>
    <row r="58" spans="1:11" ht="18.5" x14ac:dyDescent="0.35">
      <c r="A58" s="297" t="s">
        <v>21</v>
      </c>
      <c r="B58" s="297"/>
      <c r="C58" s="297"/>
      <c r="D58" s="297"/>
      <c r="E58" s="297"/>
      <c r="F58" s="297"/>
      <c r="G58" s="297"/>
      <c r="H58" s="59"/>
      <c r="I58" s="70"/>
      <c r="J58" s="71"/>
      <c r="K58" s="59"/>
    </row>
    <row r="59" spans="1:11" ht="18.5" x14ac:dyDescent="0.35">
      <c r="A59" s="297" t="s">
        <v>316</v>
      </c>
      <c r="B59" s="297"/>
      <c r="C59" s="297"/>
      <c r="D59" s="297"/>
      <c r="E59" s="297"/>
      <c r="F59" s="297"/>
      <c r="G59" s="297"/>
      <c r="H59" s="59"/>
      <c r="I59" s="70"/>
      <c r="J59" s="71"/>
      <c r="K59" s="59"/>
    </row>
    <row r="60" spans="1:11" x14ac:dyDescent="0.35">
      <c r="A60" s="66" t="s">
        <v>34</v>
      </c>
      <c r="B60" s="59"/>
      <c r="C60" s="59"/>
      <c r="D60" s="72"/>
      <c r="E60" s="59"/>
      <c r="F60" s="67"/>
      <c r="G60" s="7">
        <f>G38</f>
        <v>1364782.6327151377</v>
      </c>
      <c r="H60" s="59"/>
      <c r="J60" s="59"/>
      <c r="K60" s="59"/>
    </row>
    <row r="61" spans="1:11" x14ac:dyDescent="0.35">
      <c r="A61" s="59" t="s">
        <v>22</v>
      </c>
      <c r="B61" s="59"/>
      <c r="C61" s="59" t="s">
        <v>91</v>
      </c>
      <c r="D61" s="72"/>
      <c r="E61" s="59"/>
      <c r="F61" s="67"/>
      <c r="G61" s="7">
        <f>'Debt Service'!M19</f>
        <v>110548</v>
      </c>
      <c r="H61" s="59"/>
      <c r="I61" s="7" t="s">
        <v>318</v>
      </c>
      <c r="J61" s="59"/>
      <c r="K61" s="59"/>
    </row>
    <row r="62" spans="1:11" ht="16" x14ac:dyDescent="0.5">
      <c r="A62" s="59"/>
      <c r="B62" s="59"/>
      <c r="C62" s="59" t="s">
        <v>92</v>
      </c>
      <c r="D62" s="72"/>
      <c r="E62" s="59"/>
      <c r="F62" s="67"/>
      <c r="G62" s="26">
        <f>'Debt Service'!M21</f>
        <v>22109.600000000002</v>
      </c>
      <c r="H62" s="59"/>
      <c r="I62" s="7" t="s">
        <v>218</v>
      </c>
      <c r="J62" s="59"/>
      <c r="K62" s="59"/>
    </row>
    <row r="63" spans="1:11" x14ac:dyDescent="0.35">
      <c r="A63" s="66" t="s">
        <v>62</v>
      </c>
      <c r="B63" s="59"/>
      <c r="C63" s="59"/>
      <c r="D63" s="72"/>
      <c r="E63" s="59"/>
      <c r="F63" s="67"/>
      <c r="G63" s="7">
        <f>G60+G61+G62</f>
        <v>1497440.2327151378</v>
      </c>
      <c r="H63" s="59"/>
      <c r="J63" s="59"/>
      <c r="K63" s="59"/>
    </row>
    <row r="64" spans="1:11" x14ac:dyDescent="0.35">
      <c r="A64" s="59" t="s">
        <v>23</v>
      </c>
      <c r="B64" s="59"/>
      <c r="C64" s="59" t="s">
        <v>24</v>
      </c>
      <c r="D64" s="72"/>
      <c r="E64" s="59"/>
      <c r="F64" s="67"/>
      <c r="G64" s="7">
        <f>SUM(G11:G13)</f>
        <v>131893.14000000001</v>
      </c>
      <c r="H64" s="59"/>
      <c r="J64" s="59"/>
      <c r="K64" s="59"/>
    </row>
    <row r="65" spans="1:11" x14ac:dyDescent="0.35">
      <c r="A65" s="59"/>
      <c r="B65" s="59"/>
      <c r="C65" s="59" t="s">
        <v>58</v>
      </c>
      <c r="D65" s="72"/>
      <c r="E65" s="59"/>
      <c r="F65" s="67"/>
      <c r="H65" s="59"/>
      <c r="J65" s="59"/>
      <c r="K65" s="59"/>
    </row>
    <row r="66" spans="1:11" x14ac:dyDescent="0.35">
      <c r="A66" s="59"/>
      <c r="B66" s="59"/>
      <c r="C66" s="59" t="s">
        <v>11</v>
      </c>
      <c r="D66" s="72"/>
      <c r="E66" s="59"/>
      <c r="F66" s="67"/>
      <c r="G66" s="36"/>
      <c r="H66" s="59"/>
      <c r="I66" s="36"/>
      <c r="J66" s="59"/>
      <c r="K66" s="59"/>
    </row>
    <row r="67" spans="1:11" x14ac:dyDescent="0.35">
      <c r="A67" s="66" t="s">
        <v>60</v>
      </c>
      <c r="B67" s="59"/>
      <c r="C67" s="59"/>
      <c r="D67" s="72"/>
      <c r="E67" s="59"/>
      <c r="F67" s="67"/>
      <c r="G67" s="7">
        <f>G63-G64-G65-G66</f>
        <v>1365547.0927151376</v>
      </c>
      <c r="H67" s="59"/>
      <c r="J67" s="59"/>
      <c r="K67" s="59"/>
    </row>
    <row r="68" spans="1:11" ht="16" x14ac:dyDescent="0.5">
      <c r="A68" s="59" t="s">
        <v>23</v>
      </c>
      <c r="B68" s="59"/>
      <c r="C68" s="59" t="s">
        <v>61</v>
      </c>
      <c r="D68" s="72"/>
      <c r="E68" s="59"/>
      <c r="F68" s="67"/>
      <c r="G68" s="26">
        <f>G8</f>
        <v>1217742.8520000002</v>
      </c>
      <c r="H68" s="59"/>
      <c r="I68" s="36"/>
      <c r="J68" s="59"/>
      <c r="K68" s="59"/>
    </row>
    <row r="69" spans="1:11" x14ac:dyDescent="0.35">
      <c r="A69" s="66" t="s">
        <v>63</v>
      </c>
      <c r="B69" s="59"/>
      <c r="C69" s="59"/>
      <c r="D69" s="72"/>
      <c r="E69" s="59"/>
      <c r="F69" s="67"/>
      <c r="G69" s="59">
        <f>G67-G68</f>
        <v>147804.24071513745</v>
      </c>
      <c r="H69" s="59"/>
      <c r="I69" s="59">
        <f>G53-G69</f>
        <v>53449.122642973438</v>
      </c>
      <c r="J69" s="59"/>
      <c r="K69" s="59"/>
    </row>
    <row r="70" spans="1:11" x14ac:dyDescent="0.35">
      <c r="A70" s="59"/>
      <c r="B70" s="59"/>
      <c r="C70" s="59"/>
      <c r="D70" s="72"/>
      <c r="E70" s="59"/>
      <c r="F70" s="67"/>
      <c r="G70" s="59"/>
      <c r="H70" s="59"/>
      <c r="I70" s="59"/>
      <c r="J70" s="59"/>
      <c r="K70" s="59"/>
    </row>
    <row r="71" spans="1:11" x14ac:dyDescent="0.35">
      <c r="A71" s="66" t="s">
        <v>64</v>
      </c>
      <c r="B71" s="59"/>
      <c r="C71" s="59"/>
      <c r="D71" s="72"/>
      <c r="E71" s="59"/>
      <c r="F71" s="67"/>
      <c r="G71" s="74">
        <f>G69/G68</f>
        <v>0.12137557652043392</v>
      </c>
      <c r="H71" s="59"/>
      <c r="I71" s="59"/>
      <c r="J71" s="59"/>
      <c r="K71" s="59"/>
    </row>
    <row r="72" spans="1:11" ht="18.5" x14ac:dyDescent="0.35">
      <c r="A72" s="297"/>
      <c r="B72" s="297"/>
      <c r="C72" s="297"/>
      <c r="D72" s="297"/>
      <c r="E72" s="297"/>
      <c r="F72" s="297"/>
      <c r="G72" s="297"/>
    </row>
    <row r="73" spans="1:11" ht="18.5" x14ac:dyDescent="0.35">
      <c r="A73" s="297"/>
      <c r="B73" s="297"/>
      <c r="C73" s="297"/>
      <c r="D73" s="297"/>
      <c r="E73" s="297"/>
      <c r="F73" s="297"/>
      <c r="G73" s="297"/>
    </row>
    <row r="74" spans="1:11" x14ac:dyDescent="0.35">
      <c r="A74" s="66"/>
      <c r="B74" s="59"/>
      <c r="C74" s="59"/>
      <c r="D74" s="72"/>
      <c r="E74" s="59"/>
      <c r="F74" s="67"/>
    </row>
    <row r="75" spans="1:11" x14ac:dyDescent="0.35">
      <c r="A75" s="59"/>
      <c r="B75" s="59"/>
      <c r="C75" s="59"/>
      <c r="D75" s="72"/>
      <c r="E75" s="59"/>
      <c r="F75" s="67"/>
    </row>
    <row r="76" spans="1:11" ht="16" x14ac:dyDescent="0.5">
      <c r="A76" s="59"/>
      <c r="B76" s="59"/>
      <c r="C76" s="59"/>
      <c r="D76" s="72"/>
      <c r="E76" s="59"/>
      <c r="F76" s="67"/>
      <c r="G76" s="26"/>
    </row>
    <row r="77" spans="1:11" x14ac:dyDescent="0.35">
      <c r="A77" s="66"/>
      <c r="B77" s="59"/>
      <c r="C77" s="59"/>
      <c r="D77" s="72"/>
      <c r="E77" s="59"/>
      <c r="F77" s="67"/>
    </row>
    <row r="78" spans="1:11" x14ac:dyDescent="0.35">
      <c r="A78" s="59"/>
      <c r="B78" s="59"/>
      <c r="C78" s="59"/>
      <c r="D78" s="72"/>
      <c r="E78" s="59"/>
      <c r="F78" s="67"/>
    </row>
    <row r="79" spans="1:11" x14ac:dyDescent="0.35">
      <c r="A79" s="59"/>
      <c r="B79" s="59"/>
      <c r="C79" s="59"/>
      <c r="D79" s="72"/>
      <c r="E79" s="59"/>
      <c r="F79" s="67"/>
    </row>
    <row r="80" spans="1:11" x14ac:dyDescent="0.35">
      <c r="A80" s="59"/>
      <c r="B80" s="59"/>
      <c r="C80" s="59"/>
      <c r="D80" s="72"/>
      <c r="E80" s="59"/>
      <c r="F80" s="67"/>
      <c r="G80" s="36"/>
    </row>
    <row r="81" spans="1:7" x14ac:dyDescent="0.35">
      <c r="A81" s="66"/>
      <c r="B81" s="59"/>
      <c r="C81" s="59"/>
      <c r="D81" s="72"/>
      <c r="E81" s="59"/>
      <c r="F81" s="67"/>
    </row>
    <row r="82" spans="1:7" ht="16" x14ac:dyDescent="0.5">
      <c r="A82" s="59"/>
      <c r="B82" s="59"/>
      <c r="C82" s="59"/>
      <c r="D82" s="72"/>
      <c r="E82" s="59"/>
      <c r="F82" s="67"/>
      <c r="G82" s="26"/>
    </row>
    <row r="83" spans="1:7" x14ac:dyDescent="0.35">
      <c r="A83" s="66"/>
      <c r="B83" s="59"/>
      <c r="C83" s="59"/>
      <c r="D83" s="72"/>
      <c r="E83" s="59"/>
      <c r="F83" s="67"/>
      <c r="G83" s="59"/>
    </row>
    <row r="84" spans="1:7" x14ac:dyDescent="0.35">
      <c r="A84" s="59"/>
      <c r="B84" s="59"/>
      <c r="C84" s="59"/>
      <c r="D84" s="72"/>
      <c r="E84" s="59"/>
      <c r="F84" s="67"/>
      <c r="G84" s="59"/>
    </row>
    <row r="85" spans="1:7" x14ac:dyDescent="0.35">
      <c r="A85" s="66"/>
      <c r="B85" s="59"/>
      <c r="C85" s="59"/>
      <c r="D85" s="72"/>
      <c r="E85" s="59"/>
      <c r="F85" s="67"/>
      <c r="G85" s="74"/>
    </row>
  </sheetData>
  <mergeCells count="9">
    <mergeCell ref="A73:G73"/>
    <mergeCell ref="A43:G43"/>
    <mergeCell ref="A58:G58"/>
    <mergeCell ref="A59:G59"/>
    <mergeCell ref="A1:G1"/>
    <mergeCell ref="A57:G57"/>
    <mergeCell ref="A42:G42"/>
    <mergeCell ref="A2:G2"/>
    <mergeCell ref="A72:G72"/>
  </mergeCells>
  <printOptions horizontalCentered="1"/>
  <pageMargins left="0.45" right="0.25" top="0.5" bottom="0.5" header="0.3" footer="0.3"/>
  <pageSetup scale="96" orientation="portrait" horizontalDpi="4294967293" r:id="rId1"/>
  <rowBreaks count="2" manualBreakCount="2">
    <brk id="40" max="16383" man="1"/>
    <brk id="4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2:O28"/>
  <sheetViews>
    <sheetView showGridLines="0" topLeftCell="A6" workbookViewId="0">
      <selection activeCell="M20" sqref="M20"/>
    </sheetView>
  </sheetViews>
  <sheetFormatPr defaultColWidth="8.84375" defaultRowHeight="14.5" x14ac:dyDescent="0.35"/>
  <cols>
    <col min="1" max="1" width="3.07421875" style="7" customWidth="1"/>
    <col min="2" max="2" width="1.765625" style="7" customWidth="1"/>
    <col min="3" max="8" width="9.765625" style="7" customWidth="1"/>
    <col min="9" max="9" width="1.765625" style="7" customWidth="1"/>
    <col min="10" max="10" width="2.84375" style="7" customWidth="1"/>
    <col min="11" max="16384" width="8.84375" style="7"/>
  </cols>
  <sheetData>
    <row r="2" spans="2:11" x14ac:dyDescent="0.35">
      <c r="B2" s="8"/>
      <c r="C2" s="9"/>
      <c r="D2" s="9"/>
      <c r="E2" s="9"/>
      <c r="F2" s="9"/>
      <c r="G2" s="9"/>
      <c r="H2" s="9"/>
      <c r="I2" s="10"/>
    </row>
    <row r="3" spans="2:11" ht="18.5" x14ac:dyDescent="0.45">
      <c r="B3" s="332" t="s">
        <v>340</v>
      </c>
      <c r="C3" s="333"/>
      <c r="D3" s="333"/>
      <c r="E3" s="333"/>
      <c r="F3" s="333"/>
      <c r="G3" s="333"/>
      <c r="H3" s="333"/>
      <c r="I3" s="334"/>
    </row>
    <row r="4" spans="2:11" ht="18.5" x14ac:dyDescent="0.45">
      <c r="B4" s="335" t="s">
        <v>193</v>
      </c>
      <c r="C4" s="336"/>
      <c r="D4" s="336"/>
      <c r="E4" s="336"/>
      <c r="F4" s="336"/>
      <c r="G4" s="336"/>
      <c r="H4" s="336"/>
      <c r="I4" s="337"/>
    </row>
    <row r="5" spans="2:11" ht="15.5" x14ac:dyDescent="0.35">
      <c r="B5" s="338" t="s">
        <v>225</v>
      </c>
      <c r="C5" s="302"/>
      <c r="D5" s="302"/>
      <c r="E5" s="302"/>
      <c r="F5" s="302"/>
      <c r="G5" s="302"/>
      <c r="H5" s="302"/>
      <c r="I5" s="339"/>
    </row>
    <row r="6" spans="2:11" x14ac:dyDescent="0.35">
      <c r="B6" s="13"/>
      <c r="C6" s="5"/>
      <c r="D6" s="5"/>
      <c r="E6" s="5"/>
      <c r="F6" s="5"/>
      <c r="G6" s="5"/>
      <c r="H6" s="5"/>
      <c r="I6" s="14"/>
    </row>
    <row r="7" spans="2:11" ht="6" customHeight="1" x14ac:dyDescent="0.35">
      <c r="B7" s="11"/>
      <c r="C7" s="6"/>
      <c r="D7" s="12"/>
      <c r="E7" s="39"/>
      <c r="F7" s="40"/>
      <c r="G7" s="40"/>
      <c r="H7" s="40"/>
      <c r="I7" s="41"/>
      <c r="J7" s="38"/>
      <c r="K7" s="38"/>
    </row>
    <row r="8" spans="2:11" ht="16" x14ac:dyDescent="0.5">
      <c r="B8" s="11"/>
      <c r="C8" s="16" t="s">
        <v>13</v>
      </c>
      <c r="D8" s="37" t="s">
        <v>66</v>
      </c>
      <c r="E8" s="42" t="s">
        <v>25</v>
      </c>
      <c r="F8" s="16" t="s">
        <v>10</v>
      </c>
      <c r="G8" s="16"/>
      <c r="H8" s="16"/>
      <c r="I8" s="37"/>
    </row>
    <row r="9" spans="2:11" ht="16" x14ac:dyDescent="0.5">
      <c r="B9" s="11"/>
      <c r="C9" s="16" t="s">
        <v>72</v>
      </c>
      <c r="D9" s="37" t="s">
        <v>70</v>
      </c>
      <c r="E9" s="42" t="s">
        <v>68</v>
      </c>
      <c r="F9" s="16" t="s">
        <v>68</v>
      </c>
      <c r="G9" s="16" t="s">
        <v>26</v>
      </c>
      <c r="H9" s="16" t="s">
        <v>69</v>
      </c>
      <c r="I9" s="37"/>
    </row>
    <row r="10" spans="2:11" x14ac:dyDescent="0.35">
      <c r="B10" s="11"/>
      <c r="C10" s="17">
        <v>0</v>
      </c>
      <c r="D10" s="43"/>
      <c r="E10" s="30">
        <f>Rates!D$11</f>
        <v>13.51</v>
      </c>
      <c r="F10" s="30">
        <f>Rates!E$11</f>
        <v>15.74</v>
      </c>
      <c r="G10" s="54">
        <f>F10-E10</f>
        <v>2.2300000000000004</v>
      </c>
      <c r="H10" s="77">
        <f>G10/E10</f>
        <v>0.16506291635825318</v>
      </c>
      <c r="I10" s="47"/>
    </row>
    <row r="11" spans="2:11" x14ac:dyDescent="0.35">
      <c r="B11" s="11"/>
      <c r="C11" s="6">
        <v>2000</v>
      </c>
      <c r="D11" s="43"/>
      <c r="E11" s="30">
        <f>Rates!D$11+(C11-1000)/1000*Rates!D12</f>
        <v>22.65</v>
      </c>
      <c r="F11" s="30">
        <f>Rates!E$11+(C11-1000)/1000*Rates!E12</f>
        <v>26.39</v>
      </c>
      <c r="G11" s="17">
        <f t="shared" ref="G11:G18" si="0">F11-E11</f>
        <v>3.740000000000002</v>
      </c>
      <c r="H11" s="77">
        <f t="shared" ref="H11:H25" si="1">G11/E11</f>
        <v>0.1651214128035321</v>
      </c>
      <c r="I11" s="47"/>
    </row>
    <row r="12" spans="2:11" x14ac:dyDescent="0.35">
      <c r="B12" s="11"/>
      <c r="C12" s="48">
        <v>4000</v>
      </c>
      <c r="D12" s="49"/>
      <c r="E12" s="259">
        <f>Rates!D$11+(C12-1000)/1000*Rates!D12</f>
        <v>40.93</v>
      </c>
      <c r="F12" s="259">
        <f>Rates!E$11+(C12-1000)/1000*Rates!E12</f>
        <v>47.690000000000005</v>
      </c>
      <c r="G12" s="50">
        <f t="shared" si="0"/>
        <v>6.7600000000000051</v>
      </c>
      <c r="H12" s="78">
        <f t="shared" si="1"/>
        <v>0.16516002931834853</v>
      </c>
      <c r="I12" s="51"/>
    </row>
    <row r="13" spans="2:11" x14ac:dyDescent="0.35">
      <c r="B13" s="11"/>
      <c r="C13" s="6">
        <v>6000</v>
      </c>
      <c r="D13" s="43"/>
      <c r="E13" s="262">
        <f>Rates!D$11+4*Rates!D$12+(C13-5000)/1000*Rates!D13</f>
        <v>58.31</v>
      </c>
      <c r="F13" s="262">
        <f>Rates!E$11+4*Rates!E$12+(C13-5000)/1000*Rates!E13</f>
        <v>67.94</v>
      </c>
      <c r="G13" s="17">
        <f t="shared" si="0"/>
        <v>9.6299999999999955</v>
      </c>
      <c r="H13" s="77">
        <f t="shared" si="1"/>
        <v>0.16515177499571249</v>
      </c>
      <c r="I13" s="47"/>
    </row>
    <row r="14" spans="2:11" x14ac:dyDescent="0.35">
      <c r="B14" s="11"/>
      <c r="C14" s="6">
        <v>8000</v>
      </c>
      <c r="D14" s="43"/>
      <c r="E14" s="262">
        <f>Rates!D$11+4*Rates!D$12+(C14-5000)/1000*Rates!D$13</f>
        <v>74.789999999999992</v>
      </c>
      <c r="F14" s="262">
        <f>Rates!E$11+4*Rates!E$12+(C14-5000)/1000*Rates!E$13</f>
        <v>87.14</v>
      </c>
      <c r="G14" s="17">
        <f t="shared" si="0"/>
        <v>12.350000000000009</v>
      </c>
      <c r="H14" s="77">
        <f t="shared" si="1"/>
        <v>0.16512902794491255</v>
      </c>
      <c r="I14" s="47"/>
    </row>
    <row r="15" spans="2:11" x14ac:dyDescent="0.35">
      <c r="B15" s="11"/>
      <c r="C15" s="6">
        <v>10000</v>
      </c>
      <c r="D15" s="43"/>
      <c r="E15" s="262">
        <f>Rates!D$11+4*Rates!D$12+(C15-5000)/1000*Rates!D$13</f>
        <v>91.27000000000001</v>
      </c>
      <c r="F15" s="262">
        <f>Rates!E$11+4*Rates!E$12+(C15-5000)/1000*Rates!E$13</f>
        <v>106.34</v>
      </c>
      <c r="G15" s="17">
        <f t="shared" si="0"/>
        <v>15.069999999999993</v>
      </c>
      <c r="H15" s="77">
        <f t="shared" si="1"/>
        <v>0.16511449545305129</v>
      </c>
      <c r="I15" s="47"/>
    </row>
    <row r="16" spans="2:11" x14ac:dyDescent="0.35">
      <c r="B16" s="11"/>
      <c r="C16" s="6">
        <v>15000</v>
      </c>
      <c r="D16" s="43"/>
      <c r="E16" s="262">
        <f>Rates!D$11+4*Rates!D$12+5*Rates!D$13+(C16-10000)/1000*Rates!D$14</f>
        <v>127.97000000000001</v>
      </c>
      <c r="F16" s="262">
        <f>Rates!E$11+4*Rates!E$12+5*Rates!E$13+(C16-10000)/1000*Rates!E$14</f>
        <v>149.09</v>
      </c>
      <c r="G16" s="17">
        <f t="shared" si="0"/>
        <v>21.11999999999999</v>
      </c>
      <c r="H16" s="77">
        <f t="shared" si="1"/>
        <v>0.16503868094084542</v>
      </c>
      <c r="I16" s="47"/>
    </row>
    <row r="17" spans="2:15" x14ac:dyDescent="0.35">
      <c r="B17" s="11"/>
      <c r="C17" s="6">
        <v>20000</v>
      </c>
      <c r="D17" s="43"/>
      <c r="E17" s="262">
        <f>Rates!D$11+4*Rates!D$12+5*Rates!D$13+(C17-10000)/1000*Rates!D$14</f>
        <v>164.67000000000002</v>
      </c>
      <c r="F17" s="262">
        <f>Rates!E$11+4*Rates!E$12+5*Rates!E$13+(C17-10000)/1000*Rates!E$14</f>
        <v>191.84</v>
      </c>
      <c r="G17" s="17">
        <f t="shared" si="0"/>
        <v>27.169999999999987</v>
      </c>
      <c r="H17" s="77">
        <f t="shared" si="1"/>
        <v>0.16499665998663984</v>
      </c>
      <c r="I17" s="47"/>
    </row>
    <row r="18" spans="2:15" x14ac:dyDescent="0.35">
      <c r="B18" s="11"/>
      <c r="C18" s="6">
        <v>25000</v>
      </c>
      <c r="D18" s="44"/>
      <c r="E18" s="262">
        <f>Rates!D$11+4*Rates!D$12+5*Rates!D$13+(C18-10000)/1000*Rates!D$14</f>
        <v>201.37</v>
      </c>
      <c r="F18" s="262">
        <f>Rates!E$11+4*Rates!E$12+5*Rates!E$13+(C18-10000)/1000*Rates!E$14</f>
        <v>234.59</v>
      </c>
      <c r="G18" s="17">
        <f t="shared" si="0"/>
        <v>33.22</v>
      </c>
      <c r="H18" s="77">
        <f t="shared" si="1"/>
        <v>0.16496995580275114</v>
      </c>
      <c r="I18" s="47"/>
    </row>
    <row r="19" spans="2:15" x14ac:dyDescent="0.35">
      <c r="B19" s="11"/>
      <c r="C19" s="6">
        <v>30000</v>
      </c>
      <c r="D19" s="44"/>
      <c r="E19" s="262">
        <f>Rates!D$11+4*Rates!D$12+5*Rates!D$13+(C19-10000)/1000*Rates!D$14</f>
        <v>238.07000000000002</v>
      </c>
      <c r="F19" s="262">
        <f>Rates!E$11+4*Rates!E$12+5*Rates!E$13+(C19-10000)/1000*Rates!E$14</f>
        <v>277.34000000000003</v>
      </c>
      <c r="G19" s="17">
        <f t="shared" ref="G19:G25" si="2">F19-E19</f>
        <v>39.27000000000001</v>
      </c>
      <c r="H19" s="77">
        <f t="shared" si="1"/>
        <v>0.16495148485739491</v>
      </c>
      <c r="I19" s="47"/>
      <c r="O19" s="6"/>
    </row>
    <row r="20" spans="2:15" x14ac:dyDescent="0.35">
      <c r="B20" s="11"/>
      <c r="C20" s="6">
        <v>40000</v>
      </c>
      <c r="D20" s="44"/>
      <c r="E20" s="262">
        <f>Rates!D$11+4*Rates!D$12+5*Rates!D$13+(C20-10000)/1000*Rates!D$14</f>
        <v>311.47000000000003</v>
      </c>
      <c r="F20" s="262">
        <f>Rates!E$11+4*Rates!E$12+5*Rates!E$13+(C20-10000)/1000*Rates!E$14</f>
        <v>362.84000000000003</v>
      </c>
      <c r="G20" s="17">
        <f t="shared" si="2"/>
        <v>51.370000000000005</v>
      </c>
      <c r="H20" s="77">
        <f t="shared" si="1"/>
        <v>0.16492760137412912</v>
      </c>
      <c r="I20" s="47"/>
    </row>
    <row r="21" spans="2:15" x14ac:dyDescent="0.35">
      <c r="B21" s="11"/>
      <c r="C21" s="6">
        <v>50000</v>
      </c>
      <c r="D21" s="44"/>
      <c r="E21" s="262">
        <f>Rates!D$11+4*Rates!D$12+5*Rates!D$13+(C21-10000)/1000*Rates!D$14</f>
        <v>384.87</v>
      </c>
      <c r="F21" s="262">
        <f>Rates!E$11+4*Rates!E$12+5*Rates!E$13+(C21-10000)/1000*Rates!E$14</f>
        <v>448.34000000000003</v>
      </c>
      <c r="G21" s="17">
        <f t="shared" si="2"/>
        <v>63.470000000000027</v>
      </c>
      <c r="H21" s="77">
        <f t="shared" si="1"/>
        <v>0.16491282770805735</v>
      </c>
      <c r="I21" s="47"/>
    </row>
    <row r="22" spans="2:15" x14ac:dyDescent="0.35">
      <c r="B22" s="11"/>
      <c r="C22" s="6">
        <v>75000</v>
      </c>
      <c r="D22" s="44"/>
      <c r="E22" s="262">
        <f>Rates!D$11+4*Rates!D$12+5*Rates!D$13+(C22-10000)/1000*Rates!D$14</f>
        <v>568.37</v>
      </c>
      <c r="F22" s="262">
        <f>Rates!E$11+4*Rates!E$12+5*Rates!E$13+(C22-10000)/1000*Rates!E$14</f>
        <v>662.09</v>
      </c>
      <c r="G22" s="17">
        <f t="shared" si="2"/>
        <v>93.720000000000027</v>
      </c>
      <c r="H22" s="77">
        <f t="shared" si="1"/>
        <v>0.1648925875749952</v>
      </c>
      <c r="I22" s="47"/>
    </row>
    <row r="23" spans="2:15" x14ac:dyDescent="0.35">
      <c r="B23" s="11"/>
      <c r="C23" s="6">
        <v>100000</v>
      </c>
      <c r="D23" s="44"/>
      <c r="E23" s="262">
        <f>Rates!D$11+4*Rates!D$12+5*Rates!D$13+(C23-10000)/1000*Rates!D$14</f>
        <v>751.87</v>
      </c>
      <c r="F23" s="262">
        <f>Rates!E$11+4*Rates!E$12+5*Rates!E$13+(C23-10000)/1000*Rates!E$14</f>
        <v>875.84000000000015</v>
      </c>
      <c r="G23" s="17">
        <f t="shared" si="2"/>
        <v>123.97000000000014</v>
      </c>
      <c r="H23" s="77">
        <f t="shared" si="1"/>
        <v>0.16488222698072824</v>
      </c>
      <c r="I23" s="47"/>
    </row>
    <row r="24" spans="2:15" x14ac:dyDescent="0.35">
      <c r="B24" s="11"/>
      <c r="C24" s="6">
        <v>200000</v>
      </c>
      <c r="D24" s="44"/>
      <c r="E24" s="262">
        <f>Rates!D$11+4*Rates!D$12+5*Rates!D$13+(C24-10000)/1000*Rates!D$14</f>
        <v>1485.87</v>
      </c>
      <c r="F24" s="262">
        <f>Rates!E$11+4*Rates!E$12+5*Rates!E$13+(C24-10000)/1000*Rates!E$14</f>
        <v>1730.8400000000001</v>
      </c>
      <c r="G24" s="17">
        <f t="shared" si="2"/>
        <v>244.97000000000025</v>
      </c>
      <c r="H24" s="77">
        <f t="shared" si="1"/>
        <v>0.16486637458189496</v>
      </c>
      <c r="I24" s="47"/>
    </row>
    <row r="25" spans="2:15" x14ac:dyDescent="0.35">
      <c r="B25" s="11"/>
      <c r="C25" s="6">
        <v>500000</v>
      </c>
      <c r="D25" s="44"/>
      <c r="E25" s="262">
        <f>Rates!D$11+4*Rates!D$12+5*Rates!D$13+(C25-10000)/1000*Rates!D$14</f>
        <v>3687.87</v>
      </c>
      <c r="F25" s="262">
        <f>Rates!E$11+4*Rates!E$12+5*Rates!E$13+(C25-10000)/1000*Rates!E$14</f>
        <v>4295.84</v>
      </c>
      <c r="G25" s="17">
        <f t="shared" si="2"/>
        <v>607.97000000000025</v>
      </c>
      <c r="H25" s="77">
        <f t="shared" si="1"/>
        <v>0.16485667878748445</v>
      </c>
      <c r="I25" s="47"/>
    </row>
    <row r="26" spans="2:15" ht="6" customHeight="1" x14ac:dyDescent="0.35">
      <c r="B26" s="13"/>
      <c r="C26" s="5"/>
      <c r="D26" s="4"/>
      <c r="E26" s="46"/>
      <c r="F26" s="45"/>
      <c r="G26" s="45"/>
      <c r="H26" s="5"/>
      <c r="I26" s="14"/>
    </row>
    <row r="28" spans="2:15" x14ac:dyDescent="0.35">
      <c r="D28" s="55" t="s">
        <v>73</v>
      </c>
    </row>
  </sheetData>
  <mergeCells count="3">
    <mergeCell ref="B3:I3"/>
    <mergeCell ref="B4:I4"/>
    <mergeCell ref="B5:I5"/>
  </mergeCells>
  <printOptions horizontalCentered="1"/>
  <pageMargins left="0.7" right="0.7" top="1.1000000000000001"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EF004-73BD-4C2A-85DA-B682B48EA656}">
  <sheetPr>
    <tabColor rgb="FF92D050"/>
    <pageSetUpPr fitToPage="1"/>
  </sheetPr>
  <dimension ref="A1:N32"/>
  <sheetViews>
    <sheetView showGridLines="0" topLeftCell="A3" workbookViewId="0">
      <selection activeCell="J18" sqref="J18"/>
    </sheetView>
  </sheetViews>
  <sheetFormatPr defaultColWidth="8.84375" defaultRowHeight="15.5" x14ac:dyDescent="0.35"/>
  <cols>
    <col min="1" max="1" width="7.765625" style="152" customWidth="1"/>
    <col min="2" max="2" width="8.23046875" style="152" customWidth="1"/>
    <col min="3" max="3" width="25.84375" style="152" customWidth="1"/>
    <col min="4" max="5" width="10.4609375" style="152" customWidth="1"/>
    <col min="6" max="6" width="13.3046875" style="152" customWidth="1"/>
    <col min="7" max="7" width="11.15234375" style="152" customWidth="1"/>
    <col min="8" max="13" width="10.4609375" style="152" customWidth="1"/>
    <col min="14" max="14" width="13.07421875" style="152" customWidth="1"/>
    <col min="15" max="16384" width="8.84375" style="152"/>
  </cols>
  <sheetData>
    <row r="1" spans="1:14" ht="21" x14ac:dyDescent="0.5">
      <c r="A1" s="340" t="s">
        <v>227</v>
      </c>
      <c r="B1" s="340"/>
      <c r="C1" s="340"/>
      <c r="D1" s="340"/>
      <c r="E1" s="340"/>
      <c r="F1" s="340"/>
      <c r="G1" s="340"/>
      <c r="H1" s="340"/>
    </row>
    <row r="2" spans="1:14" ht="18.5" x14ac:dyDescent="0.35">
      <c r="A2" s="315" t="s">
        <v>226</v>
      </c>
      <c r="B2" s="315"/>
      <c r="C2" s="315"/>
      <c r="D2" s="315"/>
      <c r="E2" s="315"/>
      <c r="F2" s="315"/>
      <c r="G2" s="315"/>
      <c r="H2" s="315"/>
    </row>
    <row r="3" spans="1:14" x14ac:dyDescent="0.35">
      <c r="A3" s="24"/>
      <c r="B3" s="25"/>
      <c r="C3" s="25"/>
      <c r="D3" s="25"/>
      <c r="E3" s="25"/>
      <c r="F3" s="25"/>
      <c r="G3" s="25"/>
      <c r="H3" s="25"/>
    </row>
    <row r="4" spans="1:14" x14ac:dyDescent="0.35">
      <c r="A4" s="1"/>
      <c r="C4" s="341" t="s">
        <v>46</v>
      </c>
      <c r="D4" s="341"/>
      <c r="E4" s="341"/>
      <c r="F4" s="341"/>
      <c r="G4" s="260"/>
      <c r="H4" s="1"/>
    </row>
    <row r="5" spans="1:14" x14ac:dyDescent="0.35">
      <c r="A5" s="1"/>
      <c r="B5" s="1"/>
      <c r="C5" s="173" t="s">
        <v>163</v>
      </c>
      <c r="D5" s="241" t="s">
        <v>50</v>
      </c>
      <c r="E5" s="241" t="s">
        <v>51</v>
      </c>
      <c r="F5" s="242" t="s">
        <v>54</v>
      </c>
      <c r="G5" s="242"/>
      <c r="H5" s="21"/>
      <c r="I5" s="156"/>
    </row>
    <row r="6" spans="1:14" x14ac:dyDescent="0.35">
      <c r="A6" s="1"/>
      <c r="B6" s="1"/>
      <c r="C6" s="1" t="s">
        <v>132</v>
      </c>
      <c r="D6" s="2">
        <f>C19</f>
        <v>24381</v>
      </c>
      <c r="E6" s="163">
        <f>I19</f>
        <v>130155870</v>
      </c>
      <c r="F6" s="164">
        <f>F27</f>
        <v>1235106.3420000002</v>
      </c>
      <c r="G6" s="164"/>
      <c r="H6" s="165"/>
      <c r="I6" s="166"/>
      <c r="J6" s="167"/>
      <c r="L6" s="153"/>
      <c r="M6" s="153"/>
      <c r="N6" s="153"/>
    </row>
    <row r="7" spans="1:14" ht="15" customHeight="1" x14ac:dyDescent="0.5">
      <c r="A7" s="1"/>
      <c r="B7" s="1"/>
      <c r="C7" s="1" t="s">
        <v>165</v>
      </c>
      <c r="D7" s="163"/>
      <c r="E7" s="163"/>
      <c r="F7" s="239">
        <v>-17363.490000000002</v>
      </c>
      <c r="G7" s="239"/>
      <c r="H7" s="1" t="s">
        <v>294</v>
      </c>
      <c r="L7" s="153"/>
      <c r="M7" s="153"/>
      <c r="N7" s="153"/>
    </row>
    <row r="8" spans="1:14" x14ac:dyDescent="0.35">
      <c r="A8" s="1"/>
      <c r="B8" s="1"/>
      <c r="C8" s="169" t="s">
        <v>203</v>
      </c>
      <c r="D8" s="163"/>
      <c r="E8" s="163"/>
      <c r="F8" s="168">
        <f>F6+F7</f>
        <v>1217742.8520000002</v>
      </c>
      <c r="G8" s="168"/>
      <c r="H8" s="1"/>
    </row>
    <row r="9" spans="1:14" ht="16" x14ac:dyDescent="0.5">
      <c r="A9" s="1"/>
      <c r="B9" s="1"/>
      <c r="C9" s="169" t="s">
        <v>269</v>
      </c>
      <c r="D9" s="163"/>
      <c r="E9" s="163"/>
      <c r="F9" s="182">
        <f>SAO!D7-109480.14</f>
        <v>1224795.8600000001</v>
      </c>
      <c r="G9" s="182"/>
      <c r="H9" s="1"/>
    </row>
    <row r="10" spans="1:14" x14ac:dyDescent="0.35">
      <c r="A10" s="1"/>
      <c r="B10" s="1"/>
      <c r="C10" s="169" t="s">
        <v>166</v>
      </c>
      <c r="D10" s="163"/>
      <c r="E10" s="163"/>
      <c r="F10" s="168">
        <f>F8-F9</f>
        <v>-7053.0079999999143</v>
      </c>
      <c r="G10" s="168"/>
      <c r="H10" s="1" t="s">
        <v>167</v>
      </c>
      <c r="K10" s="240"/>
    </row>
    <row r="11" spans="1:14" x14ac:dyDescent="0.35">
      <c r="A11" s="1"/>
      <c r="B11" s="1"/>
      <c r="C11" s="19"/>
      <c r="D11" s="164"/>
      <c r="E11" s="1"/>
      <c r="F11" s="1"/>
      <c r="G11" s="1"/>
      <c r="H11" s="1"/>
    </row>
    <row r="12" spans="1:14" x14ac:dyDescent="0.35">
      <c r="A12" s="154" t="s">
        <v>133</v>
      </c>
      <c r="B12" s="1"/>
      <c r="C12" s="1"/>
      <c r="D12" s="1"/>
      <c r="E12" s="1"/>
      <c r="F12" s="1"/>
      <c r="G12" s="1"/>
      <c r="H12" s="1"/>
    </row>
    <row r="13" spans="1:14" x14ac:dyDescent="0.35">
      <c r="A13" s="1"/>
      <c r="B13" s="1"/>
      <c r="C13" s="1"/>
      <c r="D13" s="21" t="s">
        <v>134</v>
      </c>
      <c r="E13" s="21" t="s">
        <v>47</v>
      </c>
      <c r="F13" s="21" t="s">
        <v>135</v>
      </c>
      <c r="G13" s="21" t="s">
        <v>135</v>
      </c>
      <c r="H13" s="21" t="s">
        <v>48</v>
      </c>
      <c r="I13" s="1"/>
    </row>
    <row r="14" spans="1:14" x14ac:dyDescent="0.35">
      <c r="A14" s="1"/>
      <c r="B14" s="21" t="s">
        <v>49</v>
      </c>
      <c r="C14" s="162" t="s">
        <v>50</v>
      </c>
      <c r="D14" s="170" t="s">
        <v>51</v>
      </c>
      <c r="E14" s="162">
        <f>B15</f>
        <v>1000</v>
      </c>
      <c r="F14" s="162">
        <f>B16</f>
        <v>4000</v>
      </c>
      <c r="G14" s="162">
        <f>B17</f>
        <v>5000</v>
      </c>
      <c r="H14" s="162">
        <f>B18</f>
        <v>10000</v>
      </c>
      <c r="I14" s="21" t="s">
        <v>52</v>
      </c>
    </row>
    <row r="15" spans="1:14" x14ac:dyDescent="0.35">
      <c r="A15" s="22" t="s">
        <v>47</v>
      </c>
      <c r="B15" s="171">
        <v>1000</v>
      </c>
      <c r="C15" s="23">
        <f>1930+32+271+394+1181+109</f>
        <v>3917</v>
      </c>
      <c r="D15" s="23">
        <f>852610+19800+118360+170500+360200+33600</f>
        <v>1555070</v>
      </c>
      <c r="E15" s="23">
        <f>D15</f>
        <v>1555070</v>
      </c>
      <c r="F15" s="23">
        <v>0</v>
      </c>
      <c r="G15" s="23">
        <v>0</v>
      </c>
      <c r="H15" s="23">
        <v>0</v>
      </c>
      <c r="I15" s="23">
        <f>SUM(E15:H15)</f>
        <v>1555070</v>
      </c>
    </row>
    <row r="16" spans="1:14" x14ac:dyDescent="0.35">
      <c r="A16" s="22" t="s">
        <v>135</v>
      </c>
      <c r="B16" s="172">
        <v>4000</v>
      </c>
      <c r="C16" s="23">
        <f>7403+36+1363+1244+3381+321</f>
        <v>13748</v>
      </c>
      <c r="D16" s="23">
        <f>21410800+82000+4066500+3390700+9634700+943700</f>
        <v>39528400</v>
      </c>
      <c r="E16" s="23">
        <f>C16*B15</f>
        <v>13748000</v>
      </c>
      <c r="F16" s="23">
        <f>D16-E16</f>
        <v>25780400</v>
      </c>
      <c r="G16" s="23">
        <v>0</v>
      </c>
      <c r="H16" s="23">
        <v>0</v>
      </c>
      <c r="I16" s="23">
        <f>SUM(E16:H16)</f>
        <v>39528400</v>
      </c>
    </row>
    <row r="17" spans="1:9" x14ac:dyDescent="0.35">
      <c r="A17" s="22" t="s">
        <v>135</v>
      </c>
      <c r="B17" s="172">
        <v>5000</v>
      </c>
      <c r="C17" s="23">
        <f>2360+15+447+323+1272+124</f>
        <v>4541</v>
      </c>
      <c r="D17" s="23">
        <f>15912200+109500+3065600+2172200+8855700+864800</f>
        <v>30980000</v>
      </c>
      <c r="E17" s="23">
        <f>C17*B15</f>
        <v>4541000</v>
      </c>
      <c r="F17" s="23">
        <f>C17*B16</f>
        <v>18164000</v>
      </c>
      <c r="G17" s="23">
        <f>D17-E17-F17</f>
        <v>8275000</v>
      </c>
      <c r="H17" s="23">
        <v>0</v>
      </c>
      <c r="I17" s="23">
        <f>SUM(E17:H17)</f>
        <v>30980000</v>
      </c>
    </row>
    <row r="18" spans="1:9" x14ac:dyDescent="0.35">
      <c r="A18" s="22" t="s">
        <v>48</v>
      </c>
      <c r="B18" s="172">
        <v>10000</v>
      </c>
      <c r="C18" s="23">
        <f>739+10+161+117+1115+33</f>
        <v>2175</v>
      </c>
      <c r="D18" s="23">
        <f>14603000+177300+3048600+1998700+37796900+467900</f>
        <v>58092400</v>
      </c>
      <c r="E18" s="23">
        <f>C18*B15</f>
        <v>2175000</v>
      </c>
      <c r="F18" s="23">
        <f>C18*B16</f>
        <v>8700000</v>
      </c>
      <c r="G18" s="23">
        <f>C18*B17</f>
        <v>10875000</v>
      </c>
      <c r="H18" s="23">
        <f>D18-E18-F18-G18</f>
        <v>36342400</v>
      </c>
      <c r="I18" s="23">
        <f>SUM(E18:H18)</f>
        <v>58092400</v>
      </c>
    </row>
    <row r="19" spans="1:9" x14ac:dyDescent="0.35">
      <c r="A19" s="22"/>
      <c r="B19" s="175" t="s">
        <v>52</v>
      </c>
      <c r="C19" s="23">
        <f t="shared" ref="C19:I19" si="0">SUM(C15:C18)</f>
        <v>24381</v>
      </c>
      <c r="D19" s="23">
        <f t="shared" si="0"/>
        <v>130155870</v>
      </c>
      <c r="E19" s="23">
        <f>SUM(E15:E18)</f>
        <v>22019070</v>
      </c>
      <c r="F19" s="23">
        <f t="shared" si="0"/>
        <v>52644400</v>
      </c>
      <c r="G19" s="23">
        <f t="shared" si="0"/>
        <v>19150000</v>
      </c>
      <c r="H19" s="23">
        <f t="shared" si="0"/>
        <v>36342400</v>
      </c>
      <c r="I19" s="23">
        <f t="shared" si="0"/>
        <v>130155870</v>
      </c>
    </row>
    <row r="20" spans="1:9" x14ac:dyDescent="0.35">
      <c r="A20" s="22"/>
      <c r="B20" s="172"/>
      <c r="C20" s="1"/>
      <c r="D20" s="172"/>
      <c r="E20" s="172"/>
      <c r="F20" s="172"/>
      <c r="G20" s="172"/>
      <c r="H20" s="172"/>
    </row>
    <row r="21" spans="1:9" x14ac:dyDescent="0.35">
      <c r="A21" s="173" t="s">
        <v>136</v>
      </c>
      <c r="B21" s="173"/>
      <c r="C21" s="1"/>
      <c r="D21" s="172"/>
      <c r="E21" s="172"/>
      <c r="F21" s="172"/>
      <c r="G21" s="172"/>
      <c r="H21" s="172"/>
    </row>
    <row r="22" spans="1:9" ht="29" x14ac:dyDescent="0.35">
      <c r="A22" s="22"/>
      <c r="B22" s="1"/>
      <c r="C22" s="162" t="s">
        <v>50</v>
      </c>
      <c r="D22" s="174" t="s">
        <v>137</v>
      </c>
      <c r="E22" s="174" t="s">
        <v>53</v>
      </c>
      <c r="F22" s="174" t="s">
        <v>54</v>
      </c>
      <c r="G22" s="174"/>
      <c r="H22" s="1"/>
    </row>
    <row r="23" spans="1:9" x14ac:dyDescent="0.35">
      <c r="A23" s="22" t="s">
        <v>47</v>
      </c>
      <c r="B23" s="172">
        <f>B15</f>
        <v>1000</v>
      </c>
      <c r="C23" s="176">
        <f>C19</f>
        <v>24381</v>
      </c>
      <c r="D23" s="23">
        <f>E19</f>
        <v>22019070</v>
      </c>
      <c r="E23" s="32">
        <f>Rates!D11</f>
        <v>13.51</v>
      </c>
      <c r="F23" s="32">
        <f>C23*E23</f>
        <v>329387.31</v>
      </c>
      <c r="G23" s="32"/>
      <c r="H23" s="1"/>
    </row>
    <row r="24" spans="1:9" x14ac:dyDescent="0.35">
      <c r="A24" s="22" t="s">
        <v>135</v>
      </c>
      <c r="B24" s="172">
        <f>B16</f>
        <v>4000</v>
      </c>
      <c r="C24" s="176"/>
      <c r="D24" s="23">
        <f>F19</f>
        <v>52644400</v>
      </c>
      <c r="E24" s="32">
        <f>Rates!D12</f>
        <v>9.14</v>
      </c>
      <c r="F24" s="32">
        <f>(D24/1000)*E24</f>
        <v>481169.81600000005</v>
      </c>
      <c r="G24" s="32"/>
      <c r="H24" s="1"/>
    </row>
    <row r="25" spans="1:9" x14ac:dyDescent="0.35">
      <c r="A25" s="22" t="s">
        <v>135</v>
      </c>
      <c r="B25" s="172">
        <f>B17</f>
        <v>5000</v>
      </c>
      <c r="C25" s="176"/>
      <c r="D25" s="23">
        <f>G19</f>
        <v>19150000</v>
      </c>
      <c r="E25" s="32">
        <f>Rates!D13</f>
        <v>8.24</v>
      </c>
      <c r="F25" s="32">
        <f>(D25/1000)*E25</f>
        <v>157796</v>
      </c>
      <c r="G25" s="32"/>
      <c r="H25" s="1"/>
    </row>
    <row r="26" spans="1:9" x14ac:dyDescent="0.35">
      <c r="A26" s="22" t="s">
        <v>48</v>
      </c>
      <c r="B26" s="172">
        <f>B18</f>
        <v>10000</v>
      </c>
      <c r="C26" s="177"/>
      <c r="D26" s="2">
        <f>H19</f>
        <v>36342400</v>
      </c>
      <c r="E26" s="32">
        <f>Rates!D14</f>
        <v>7.34</v>
      </c>
      <c r="F26" s="32">
        <f>(D26/1000)*E26</f>
        <v>266753.21600000001</v>
      </c>
      <c r="G26" s="32"/>
      <c r="H26" s="1"/>
    </row>
    <row r="27" spans="1:9" x14ac:dyDescent="0.35">
      <c r="A27" s="22"/>
      <c r="B27" s="175" t="s">
        <v>52</v>
      </c>
      <c r="C27" s="23">
        <f>SUM(C23:C26)</f>
        <v>24381</v>
      </c>
      <c r="D27" s="23">
        <f>SUM(D23:D26)</f>
        <v>130155870</v>
      </c>
      <c r="E27" s="23"/>
      <c r="F27" s="178">
        <f>SUM(F23:F26)</f>
        <v>1235106.3420000002</v>
      </c>
      <c r="G27" s="178"/>
      <c r="H27" s="1"/>
    </row>
    <row r="28" spans="1:9" x14ac:dyDescent="0.35">
      <c r="A28" s="1"/>
      <c r="B28" s="1"/>
      <c r="C28" s="1"/>
      <c r="D28" s="1"/>
      <c r="E28" s="1"/>
      <c r="F28" s="1"/>
      <c r="G28" s="1"/>
      <c r="H28" s="1"/>
    </row>
    <row r="29" spans="1:9" x14ac:dyDescent="0.35">
      <c r="A29" s="154"/>
      <c r="B29" s="1"/>
      <c r="C29" s="1"/>
      <c r="D29" s="1"/>
      <c r="E29" s="1"/>
      <c r="F29" s="1"/>
      <c r="G29" s="1"/>
      <c r="H29" s="1"/>
    </row>
    <row r="30" spans="1:9" x14ac:dyDescent="0.35">
      <c r="A30" s="1"/>
      <c r="B30" s="1"/>
      <c r="C30" s="1"/>
      <c r="D30" s="1"/>
      <c r="E30" s="1"/>
      <c r="F30" s="1"/>
      <c r="G30" s="1"/>
      <c r="H30" s="1"/>
    </row>
    <row r="31" spans="1:9" x14ac:dyDescent="0.35">
      <c r="A31" s="1"/>
      <c r="B31" s="1"/>
      <c r="C31" s="21"/>
      <c r="D31" s="174"/>
      <c r="E31" s="162"/>
      <c r="F31" s="162"/>
      <c r="G31" s="162"/>
      <c r="H31" s="1"/>
      <c r="I31" s="1"/>
    </row>
    <row r="32" spans="1:9" s="155" customFormat="1" ht="14.5" x14ac:dyDescent="0.35">
      <c r="C32" s="179"/>
      <c r="D32" s="243"/>
      <c r="E32" s="180"/>
      <c r="F32" s="180"/>
      <c r="G32" s="180"/>
    </row>
  </sheetData>
  <mergeCells count="3">
    <mergeCell ref="A1:H1"/>
    <mergeCell ref="A2:H2"/>
    <mergeCell ref="C4:F4"/>
  </mergeCells>
  <pageMargins left="0.7" right="0.7" top="0.75" bottom="0.75" header="0.3" footer="0.3"/>
  <pageSetup scale="88" orientation="landscape"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B1388-AB01-4CAE-A21B-D2708C228A39}">
  <sheetPr>
    <tabColor rgb="FF92D050"/>
    <pageSetUpPr fitToPage="1"/>
  </sheetPr>
  <dimension ref="A1:M35"/>
  <sheetViews>
    <sheetView showGridLines="0" workbookViewId="0">
      <selection activeCell="E26" sqref="E26"/>
    </sheetView>
  </sheetViews>
  <sheetFormatPr defaultColWidth="8.84375" defaultRowHeight="15.5" x14ac:dyDescent="0.35"/>
  <cols>
    <col min="1" max="1" width="7.765625" style="152" customWidth="1"/>
    <col min="2" max="2" width="8.23046875" style="152" customWidth="1"/>
    <col min="3" max="3" width="25.84375" style="152" customWidth="1"/>
    <col min="4" max="5" width="10.4609375" style="152" customWidth="1"/>
    <col min="6" max="6" width="11.4609375" style="152" bestFit="1" customWidth="1"/>
    <col min="7" max="7" width="11.15234375" style="152" customWidth="1"/>
    <col min="8" max="10" width="10.4609375" style="152" customWidth="1"/>
    <col min="11" max="11" width="11.61328125" style="152" bestFit="1" customWidth="1"/>
    <col min="12" max="12" width="10.4609375" style="152" customWidth="1"/>
    <col min="13" max="13" width="13.07421875" style="152" customWidth="1"/>
    <col min="14" max="16384" width="8.84375" style="152"/>
  </cols>
  <sheetData>
    <row r="1" spans="1:13" ht="21" x14ac:dyDescent="0.5">
      <c r="A1" s="340" t="s">
        <v>228</v>
      </c>
      <c r="B1" s="340"/>
      <c r="C1" s="340"/>
      <c r="D1" s="340"/>
      <c r="E1" s="340"/>
      <c r="F1" s="340"/>
      <c r="G1" s="340"/>
      <c r="H1" s="340"/>
    </row>
    <row r="2" spans="1:13" ht="18.5" x14ac:dyDescent="0.35">
      <c r="A2" s="315" t="s">
        <v>226</v>
      </c>
      <c r="B2" s="315"/>
      <c r="C2" s="315"/>
      <c r="D2" s="315"/>
      <c r="E2" s="315"/>
      <c r="F2" s="315"/>
      <c r="G2" s="315"/>
      <c r="H2" s="315"/>
    </row>
    <row r="3" spans="1:13" x14ac:dyDescent="0.35">
      <c r="A3" s="24"/>
      <c r="B3" s="25"/>
      <c r="C3" s="25"/>
      <c r="D3" s="25"/>
      <c r="E3" s="25"/>
      <c r="F3" s="25"/>
      <c r="G3" s="25"/>
      <c r="H3" s="25"/>
    </row>
    <row r="4" spans="1:13" x14ac:dyDescent="0.35">
      <c r="A4" s="1"/>
      <c r="C4" s="341" t="s">
        <v>46</v>
      </c>
      <c r="D4" s="341"/>
      <c r="E4" s="341"/>
      <c r="F4" s="341"/>
      <c r="G4" s="260"/>
      <c r="H4" s="1"/>
    </row>
    <row r="5" spans="1:13" x14ac:dyDescent="0.35">
      <c r="A5" s="1"/>
      <c r="B5" s="1"/>
      <c r="C5" s="161" t="s">
        <v>163</v>
      </c>
      <c r="D5" s="162" t="s">
        <v>50</v>
      </c>
      <c r="E5" s="162" t="s">
        <v>51</v>
      </c>
      <c r="F5" s="21" t="s">
        <v>54</v>
      </c>
      <c r="G5" s="21"/>
      <c r="H5" s="21"/>
      <c r="I5" s="156"/>
    </row>
    <row r="6" spans="1:13" x14ac:dyDescent="0.35">
      <c r="A6" s="1"/>
      <c r="B6" s="1"/>
      <c r="C6" s="1" t="s">
        <v>132</v>
      </c>
      <c r="D6" s="2">
        <f>C22</f>
        <v>24381</v>
      </c>
      <c r="E6" s="163">
        <f>I22</f>
        <v>130155870</v>
      </c>
      <c r="F6" s="164">
        <f>F30</f>
        <v>1438987.32</v>
      </c>
      <c r="G6" s="164"/>
      <c r="H6" s="165"/>
      <c r="I6" s="166"/>
      <c r="J6" s="167"/>
      <c r="K6" s="153"/>
      <c r="L6" s="153"/>
      <c r="M6" s="153"/>
    </row>
    <row r="7" spans="1:13" ht="15.75" customHeight="1" x14ac:dyDescent="0.35">
      <c r="A7" s="1"/>
      <c r="B7" s="1"/>
      <c r="C7" s="161" t="s">
        <v>164</v>
      </c>
      <c r="D7" s="163">
        <f>SUM(D6:D6)</f>
        <v>24381</v>
      </c>
      <c r="E7" s="163">
        <f>SUM(E6:E6)</f>
        <v>130155870</v>
      </c>
      <c r="F7" s="168">
        <f>SUM(F6:F6)</f>
        <v>1438987.32</v>
      </c>
      <c r="G7" s="168"/>
      <c r="H7" s="1"/>
      <c r="K7" s="153"/>
      <c r="L7" s="153"/>
      <c r="M7" s="153"/>
    </row>
    <row r="8" spans="1:13" ht="15.75" customHeight="1" x14ac:dyDescent="0.5">
      <c r="A8" s="1"/>
      <c r="B8" s="1"/>
      <c r="C8" s="161" t="s">
        <v>165</v>
      </c>
      <c r="D8" s="163"/>
      <c r="E8" s="163"/>
      <c r="F8" s="287">
        <f>ExBA!F7</f>
        <v>-17363.490000000002</v>
      </c>
      <c r="G8" s="288"/>
      <c r="H8" s="1"/>
      <c r="K8" s="153"/>
      <c r="L8" s="153"/>
      <c r="M8" s="153"/>
    </row>
    <row r="9" spans="1:13" ht="15.75" customHeight="1" x14ac:dyDescent="0.5">
      <c r="A9" s="1"/>
      <c r="B9" s="1"/>
      <c r="C9" s="161" t="s">
        <v>203</v>
      </c>
      <c r="E9" s="163"/>
      <c r="F9" s="163">
        <f>F7+F8</f>
        <v>1421623.83</v>
      </c>
      <c r="G9" s="181"/>
      <c r="H9" s="231"/>
      <c r="I9" s="155"/>
      <c r="J9" s="155"/>
      <c r="K9" s="229"/>
      <c r="L9" s="230"/>
      <c r="M9" s="153"/>
    </row>
    <row r="10" spans="1:13" ht="15.75" customHeight="1" x14ac:dyDescent="0.5">
      <c r="A10" s="1"/>
      <c r="B10" s="1"/>
      <c r="C10" s="161" t="s">
        <v>229</v>
      </c>
      <c r="D10" s="163"/>
      <c r="E10" s="163"/>
      <c r="F10" s="182">
        <f>SAO!G51</f>
        <v>1418996.2153581111</v>
      </c>
      <c r="G10" s="168"/>
      <c r="H10" s="1"/>
      <c r="K10" s="153"/>
      <c r="L10" s="153"/>
      <c r="M10" s="153"/>
    </row>
    <row r="11" spans="1:13" ht="15.75" customHeight="1" x14ac:dyDescent="0.35">
      <c r="A11" s="1"/>
      <c r="B11" s="1"/>
      <c r="C11" s="161" t="s">
        <v>166</v>
      </c>
      <c r="D11" s="163"/>
      <c r="E11" s="163"/>
      <c r="F11" s="168">
        <f>F9-F10</f>
        <v>2627.6146418889984</v>
      </c>
      <c r="G11" s="168"/>
      <c r="H11" s="1"/>
      <c r="K11" s="153"/>
      <c r="L11" s="153"/>
      <c r="M11" s="153"/>
    </row>
    <row r="12" spans="1:13" ht="15.75" customHeight="1" x14ac:dyDescent="0.35">
      <c r="A12" s="1"/>
      <c r="B12" s="1"/>
      <c r="C12" s="161"/>
      <c r="D12" s="163"/>
      <c r="E12" s="163"/>
      <c r="F12" s="263">
        <f>-F11/F9</f>
        <v>-1.8483192152800353E-3</v>
      </c>
      <c r="G12" s="168"/>
      <c r="H12" s="1"/>
      <c r="K12" s="153"/>
      <c r="L12" s="153"/>
      <c r="M12" s="153"/>
    </row>
    <row r="13" spans="1:13" x14ac:dyDescent="0.35">
      <c r="A13" s="1"/>
      <c r="B13" s="1"/>
      <c r="C13" s="169"/>
      <c r="D13" s="163"/>
      <c r="E13" s="163"/>
      <c r="F13" s="168"/>
      <c r="G13" s="168"/>
      <c r="H13" s="1"/>
    </row>
    <row r="14" spans="1:13" x14ac:dyDescent="0.35">
      <c r="A14" s="1"/>
      <c r="B14" s="1"/>
      <c r="C14" s="19"/>
      <c r="D14" s="164"/>
      <c r="E14" s="1"/>
      <c r="F14" s="1"/>
      <c r="G14" s="1"/>
      <c r="H14" s="1"/>
    </row>
    <row r="15" spans="1:13" x14ac:dyDescent="0.35">
      <c r="A15" s="154" t="s">
        <v>133</v>
      </c>
      <c r="B15" s="1"/>
      <c r="C15" s="1"/>
      <c r="D15" s="1"/>
      <c r="E15" s="1"/>
      <c r="F15" s="1"/>
      <c r="G15" s="1"/>
      <c r="H15" s="1"/>
    </row>
    <row r="16" spans="1:13" x14ac:dyDescent="0.35">
      <c r="A16" s="1"/>
      <c r="B16" s="1"/>
      <c r="C16" s="1"/>
      <c r="D16" s="21" t="s">
        <v>134</v>
      </c>
      <c r="E16" s="21" t="s">
        <v>47</v>
      </c>
      <c r="F16" s="21" t="s">
        <v>135</v>
      </c>
      <c r="G16" s="21" t="s">
        <v>135</v>
      </c>
      <c r="H16" s="21" t="s">
        <v>48</v>
      </c>
      <c r="I16" s="1"/>
    </row>
    <row r="17" spans="1:9" x14ac:dyDescent="0.35">
      <c r="A17" s="1"/>
      <c r="B17" s="21" t="s">
        <v>49</v>
      </c>
      <c r="C17" s="162" t="s">
        <v>50</v>
      </c>
      <c r="D17" s="170" t="s">
        <v>51</v>
      </c>
      <c r="E17" s="162">
        <f>B18</f>
        <v>1000</v>
      </c>
      <c r="F17" s="162">
        <f>B19</f>
        <v>4000</v>
      </c>
      <c r="G17" s="162">
        <f>B20</f>
        <v>5000</v>
      </c>
      <c r="H17" s="162">
        <f>B21</f>
        <v>10000</v>
      </c>
      <c r="I17" s="21" t="s">
        <v>52</v>
      </c>
    </row>
    <row r="18" spans="1:9" x14ac:dyDescent="0.35">
      <c r="A18" s="22" t="s">
        <v>47</v>
      </c>
      <c r="B18" s="171">
        <v>1000</v>
      </c>
      <c r="C18" s="23">
        <f>ExBA!C15</f>
        <v>3917</v>
      </c>
      <c r="D18" s="23">
        <f>ExBA!D15</f>
        <v>1555070</v>
      </c>
      <c r="E18" s="23">
        <f>D18</f>
        <v>1555070</v>
      </c>
      <c r="F18" s="23">
        <v>0</v>
      </c>
      <c r="G18" s="23">
        <v>0</v>
      </c>
      <c r="H18" s="23">
        <v>0</v>
      </c>
      <c r="I18" s="23">
        <f>SUM(E18:H18)</f>
        <v>1555070</v>
      </c>
    </row>
    <row r="19" spans="1:9" x14ac:dyDescent="0.35">
      <c r="A19" s="22" t="s">
        <v>135</v>
      </c>
      <c r="B19" s="172">
        <v>4000</v>
      </c>
      <c r="C19" s="23">
        <f>ExBA!C16</f>
        <v>13748</v>
      </c>
      <c r="D19" s="23">
        <f>ExBA!D16</f>
        <v>39528400</v>
      </c>
      <c r="E19" s="23">
        <f>C19*B18</f>
        <v>13748000</v>
      </c>
      <c r="F19" s="23">
        <f>D19-E19</f>
        <v>25780400</v>
      </c>
      <c r="G19" s="23">
        <v>0</v>
      </c>
      <c r="H19" s="23">
        <v>0</v>
      </c>
      <c r="I19" s="23">
        <f>SUM(E19:H19)</f>
        <v>39528400</v>
      </c>
    </row>
    <row r="20" spans="1:9" x14ac:dyDescent="0.35">
      <c r="A20" s="22" t="s">
        <v>135</v>
      </c>
      <c r="B20" s="172">
        <v>5000</v>
      </c>
      <c r="C20" s="23">
        <f>ExBA!C17</f>
        <v>4541</v>
      </c>
      <c r="D20" s="23">
        <f>ExBA!D17</f>
        <v>30980000</v>
      </c>
      <c r="E20" s="23">
        <f>C20*B18</f>
        <v>4541000</v>
      </c>
      <c r="F20" s="23">
        <f>C20*B19</f>
        <v>18164000</v>
      </c>
      <c r="G20" s="23">
        <f>D20-E20-F20</f>
        <v>8275000</v>
      </c>
      <c r="H20" s="23">
        <v>0</v>
      </c>
      <c r="I20" s="23">
        <f>SUM(E20:H20)</f>
        <v>30980000</v>
      </c>
    </row>
    <row r="21" spans="1:9" x14ac:dyDescent="0.35">
      <c r="A21" s="22" t="s">
        <v>48</v>
      </c>
      <c r="B21" s="172">
        <v>10000</v>
      </c>
      <c r="C21" s="23">
        <f>ExBA!C18</f>
        <v>2175</v>
      </c>
      <c r="D21" s="23">
        <f>ExBA!D18</f>
        <v>58092400</v>
      </c>
      <c r="E21" s="23">
        <f>C21*B18</f>
        <v>2175000</v>
      </c>
      <c r="F21" s="23">
        <f>C21*B19</f>
        <v>8700000</v>
      </c>
      <c r="G21" s="23">
        <f>C21*B20</f>
        <v>10875000</v>
      </c>
      <c r="H21" s="23">
        <f>D21-E21-G21-F21</f>
        <v>36342400</v>
      </c>
      <c r="I21" s="23">
        <f>SUM(E21:H21)</f>
        <v>58092400</v>
      </c>
    </row>
    <row r="22" spans="1:9" x14ac:dyDescent="0.35">
      <c r="A22" s="22"/>
      <c r="B22" s="172"/>
      <c r="C22" s="23">
        <f t="shared" ref="C22:I22" si="0">SUM(C18:C21)</f>
        <v>24381</v>
      </c>
      <c r="D22" s="23">
        <f t="shared" si="0"/>
        <v>130155870</v>
      </c>
      <c r="E22" s="23">
        <f t="shared" si="0"/>
        <v>22019070</v>
      </c>
      <c r="F22" s="23">
        <f t="shared" si="0"/>
        <v>52644400</v>
      </c>
      <c r="G22" s="23">
        <f t="shared" si="0"/>
        <v>19150000</v>
      </c>
      <c r="H22" s="23">
        <f t="shared" si="0"/>
        <v>36342400</v>
      </c>
      <c r="I22" s="23">
        <f t="shared" si="0"/>
        <v>130155870</v>
      </c>
    </row>
    <row r="23" spans="1:9" x14ac:dyDescent="0.35">
      <c r="A23" s="22"/>
      <c r="B23" s="172"/>
      <c r="C23" s="1"/>
      <c r="D23" s="172"/>
      <c r="E23" s="172"/>
      <c r="F23" s="172"/>
      <c r="G23" s="172"/>
      <c r="H23" s="172"/>
    </row>
    <row r="24" spans="1:9" x14ac:dyDescent="0.35">
      <c r="A24" s="173" t="s">
        <v>136</v>
      </c>
      <c r="B24" s="173"/>
      <c r="C24" s="1"/>
      <c r="D24" s="172"/>
      <c r="E24" s="172"/>
      <c r="F24" s="172"/>
      <c r="G24" s="172"/>
      <c r="H24" s="172"/>
    </row>
    <row r="25" spans="1:9" ht="29" x14ac:dyDescent="0.35">
      <c r="A25" s="22"/>
      <c r="B25" s="1"/>
      <c r="C25" s="162" t="s">
        <v>50</v>
      </c>
      <c r="D25" s="174" t="s">
        <v>137</v>
      </c>
      <c r="E25" s="174" t="s">
        <v>53</v>
      </c>
      <c r="F25" s="174" t="s">
        <v>54</v>
      </c>
      <c r="G25" s="174"/>
      <c r="H25" s="1"/>
    </row>
    <row r="26" spans="1:9" x14ac:dyDescent="0.35">
      <c r="A26" s="22" t="s">
        <v>47</v>
      </c>
      <c r="B26" s="172">
        <f>B18</f>
        <v>1000</v>
      </c>
      <c r="C26" s="176">
        <f>C22</f>
        <v>24381</v>
      </c>
      <c r="D26" s="23">
        <f>E22</f>
        <v>22019070</v>
      </c>
      <c r="E26" s="32">
        <f>Rates!E11</f>
        <v>15.74</v>
      </c>
      <c r="F26" s="32">
        <f>C26*E26</f>
        <v>383756.94</v>
      </c>
      <c r="G26" s="32"/>
      <c r="H26" s="1"/>
    </row>
    <row r="27" spans="1:9" x14ac:dyDescent="0.35">
      <c r="A27" s="22" t="s">
        <v>135</v>
      </c>
      <c r="B27" s="172">
        <f>B19</f>
        <v>4000</v>
      </c>
      <c r="C27" s="176"/>
      <c r="D27" s="23">
        <f>F22</f>
        <v>52644400</v>
      </c>
      <c r="E27" s="32">
        <f>Rates!E12</f>
        <v>10.65</v>
      </c>
      <c r="F27" s="32">
        <f>(D27/1000)*E27</f>
        <v>560662.86</v>
      </c>
      <c r="G27" s="32"/>
      <c r="H27" s="1"/>
    </row>
    <row r="28" spans="1:9" x14ac:dyDescent="0.35">
      <c r="A28" s="22" t="s">
        <v>135</v>
      </c>
      <c r="B28" s="172">
        <f>B20</f>
        <v>5000</v>
      </c>
      <c r="C28" s="176"/>
      <c r="D28" s="23">
        <f>G22</f>
        <v>19150000</v>
      </c>
      <c r="E28" s="32">
        <f>Rates!E13</f>
        <v>9.6</v>
      </c>
      <c r="F28" s="32">
        <f>(D28/1000)*E28</f>
        <v>183840</v>
      </c>
      <c r="G28" s="32"/>
      <c r="H28" s="1"/>
    </row>
    <row r="29" spans="1:9" x14ac:dyDescent="0.35">
      <c r="A29" s="22" t="s">
        <v>48</v>
      </c>
      <c r="B29" s="172">
        <f>B21</f>
        <v>10000</v>
      </c>
      <c r="C29" s="177"/>
      <c r="D29" s="2">
        <f>H22</f>
        <v>36342400</v>
      </c>
      <c r="E29" s="32">
        <f>Rates!E14</f>
        <v>8.5500000000000007</v>
      </c>
      <c r="F29" s="32">
        <f>(D29/1000)*E29</f>
        <v>310727.52</v>
      </c>
      <c r="G29" s="32"/>
      <c r="H29" s="1"/>
    </row>
    <row r="30" spans="1:9" x14ac:dyDescent="0.35">
      <c r="A30" s="22"/>
      <c r="B30" s="175" t="s">
        <v>52</v>
      </c>
      <c r="C30" s="23">
        <f>SUM(C26:C29)</f>
        <v>24381</v>
      </c>
      <c r="D30" s="23">
        <f>SUM(D26:D29)</f>
        <v>130155870</v>
      </c>
      <c r="E30" s="23"/>
      <c r="F30" s="178">
        <f>SUM(F26:F29)</f>
        <v>1438987.32</v>
      </c>
      <c r="G30" s="178"/>
      <c r="H30" s="1"/>
    </row>
    <row r="31" spans="1:9" x14ac:dyDescent="0.35">
      <c r="A31" s="1"/>
      <c r="B31" s="1"/>
      <c r="C31" s="1"/>
      <c r="D31" s="1"/>
      <c r="E31" s="1"/>
      <c r="F31" s="1"/>
      <c r="G31" s="1"/>
      <c r="H31" s="1"/>
    </row>
    <row r="32" spans="1:9" x14ac:dyDescent="0.35">
      <c r="A32" s="154"/>
      <c r="B32" s="1"/>
      <c r="C32" s="1"/>
      <c r="D32" s="1"/>
      <c r="E32" s="1"/>
      <c r="F32" s="1"/>
      <c r="G32" s="1"/>
      <c r="H32" s="1"/>
    </row>
    <row r="33" spans="1:9" x14ac:dyDescent="0.35">
      <c r="A33" s="1"/>
      <c r="B33" s="1"/>
      <c r="C33" s="1"/>
      <c r="D33" s="1"/>
      <c r="E33" s="1"/>
      <c r="F33" s="1"/>
      <c r="G33" s="1"/>
      <c r="H33" s="1"/>
    </row>
    <row r="34" spans="1:9" x14ac:dyDescent="0.35">
      <c r="A34" s="1"/>
      <c r="B34" s="1"/>
      <c r="C34" s="21"/>
      <c r="D34" s="174"/>
      <c r="E34" s="162"/>
      <c r="F34" s="162"/>
      <c r="G34" s="162"/>
      <c r="H34" s="1"/>
      <c r="I34" s="1"/>
    </row>
    <row r="35" spans="1:9" s="155" customFormat="1" ht="14.5" x14ac:dyDescent="0.35">
      <c r="C35" s="179"/>
      <c r="D35" s="179"/>
      <c r="E35" s="180"/>
      <c r="F35" s="180"/>
      <c r="G35" s="180"/>
    </row>
  </sheetData>
  <mergeCells count="3">
    <mergeCell ref="A1:H1"/>
    <mergeCell ref="A2:H2"/>
    <mergeCell ref="C4:F4"/>
  </mergeCells>
  <pageMargins left="0.7" right="0.7" top="0.75" bottom="0.75" header="0.3" footer="0.3"/>
  <pageSetup scale="81"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A48BB-F532-4492-80AA-E3E399DCB458}">
  <dimension ref="B1:D32"/>
  <sheetViews>
    <sheetView showGridLines="0" topLeftCell="A23" workbookViewId="0">
      <selection activeCell="C31" sqref="C31"/>
    </sheetView>
  </sheetViews>
  <sheetFormatPr defaultRowHeight="15.5" x14ac:dyDescent="0.35"/>
  <cols>
    <col min="2" max="2" width="4.07421875" style="291" customWidth="1"/>
    <col min="3" max="3" width="86.3828125" style="282" customWidth="1"/>
    <col min="4" max="4" width="2" bestFit="1" customWidth="1"/>
  </cols>
  <sheetData>
    <row r="1" spans="2:4" ht="18" x14ac:dyDescent="0.4">
      <c r="C1" s="296"/>
    </row>
    <row r="2" spans="2:4" ht="18" x14ac:dyDescent="0.4">
      <c r="C2" s="296" t="s">
        <v>333</v>
      </c>
    </row>
    <row r="3" spans="2:4" ht="17.5" x14ac:dyDescent="0.35">
      <c r="C3" s="295"/>
    </row>
    <row r="4" spans="2:4" x14ac:dyDescent="0.35">
      <c r="B4" s="292" t="s">
        <v>319</v>
      </c>
      <c r="C4" s="293" t="s">
        <v>284</v>
      </c>
      <c r="D4" s="294"/>
    </row>
    <row r="5" spans="2:4" x14ac:dyDescent="0.35">
      <c r="B5" s="292"/>
      <c r="C5" s="293"/>
      <c r="D5" s="294"/>
    </row>
    <row r="6" spans="2:4" ht="31" x14ac:dyDescent="0.35">
      <c r="B6" s="292" t="s">
        <v>320</v>
      </c>
      <c r="C6" s="293" t="s">
        <v>285</v>
      </c>
    </row>
    <row r="7" spans="2:4" x14ac:dyDescent="0.35">
      <c r="B7" s="292"/>
      <c r="C7" s="293"/>
    </row>
    <row r="8" spans="2:4" ht="31" x14ac:dyDescent="0.35">
      <c r="B8" s="292" t="s">
        <v>321</v>
      </c>
      <c r="C8" s="293" t="s">
        <v>296</v>
      </c>
    </row>
    <row r="9" spans="2:4" x14ac:dyDescent="0.35">
      <c r="B9" s="292"/>
      <c r="C9" s="293"/>
    </row>
    <row r="10" spans="2:4" ht="62" x14ac:dyDescent="0.35">
      <c r="B10" s="292" t="s">
        <v>322</v>
      </c>
      <c r="C10" s="293" t="s">
        <v>339</v>
      </c>
    </row>
    <row r="11" spans="2:4" x14ac:dyDescent="0.35">
      <c r="B11" s="292"/>
      <c r="C11" s="293"/>
    </row>
    <row r="12" spans="2:4" ht="31" x14ac:dyDescent="0.35">
      <c r="B12" s="292" t="s">
        <v>323</v>
      </c>
      <c r="C12" s="293" t="s">
        <v>288</v>
      </c>
    </row>
    <row r="14" spans="2:4" x14ac:dyDescent="0.35">
      <c r="B14" s="292" t="s">
        <v>324</v>
      </c>
      <c r="C14" s="293" t="s">
        <v>312</v>
      </c>
    </row>
    <row r="16" spans="2:4" x14ac:dyDescent="0.35">
      <c r="B16" s="292" t="s">
        <v>325</v>
      </c>
      <c r="C16" s="293" t="s">
        <v>286</v>
      </c>
    </row>
    <row r="18" spans="2:3" x14ac:dyDescent="0.35">
      <c r="B18" s="292" t="s">
        <v>326</v>
      </c>
      <c r="C18" s="293" t="s">
        <v>334</v>
      </c>
    </row>
    <row r="20" spans="2:3" ht="62" x14ac:dyDescent="0.35">
      <c r="B20" s="292" t="s">
        <v>327</v>
      </c>
      <c r="C20" s="293" t="s">
        <v>335</v>
      </c>
    </row>
    <row r="22" spans="2:3" ht="31" x14ac:dyDescent="0.35">
      <c r="B22" s="292" t="s">
        <v>328</v>
      </c>
      <c r="C22" s="293" t="s">
        <v>283</v>
      </c>
    </row>
    <row r="24" spans="2:3" ht="31" x14ac:dyDescent="0.35">
      <c r="B24" s="292" t="s">
        <v>329</v>
      </c>
      <c r="C24" s="293" t="s">
        <v>287</v>
      </c>
    </row>
    <row r="26" spans="2:3" ht="62" x14ac:dyDescent="0.35">
      <c r="B26" s="292" t="s">
        <v>330</v>
      </c>
      <c r="C26" s="293" t="s">
        <v>302</v>
      </c>
    </row>
    <row r="28" spans="2:3" x14ac:dyDescent="0.35">
      <c r="B28" s="292" t="s">
        <v>331</v>
      </c>
      <c r="C28" s="293" t="s">
        <v>313</v>
      </c>
    </row>
    <row r="30" spans="2:3" ht="31" x14ac:dyDescent="0.35">
      <c r="B30" s="292" t="s">
        <v>332</v>
      </c>
      <c r="C30" s="293" t="s">
        <v>341</v>
      </c>
    </row>
    <row r="32" spans="2:3" x14ac:dyDescent="0.35">
      <c r="B32" s="292"/>
      <c r="C32" s="29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7A01C-7852-4E95-BD91-257134D74ABD}">
  <sheetPr>
    <tabColor rgb="FF92D050"/>
  </sheetPr>
  <dimension ref="A1:K41"/>
  <sheetViews>
    <sheetView topLeftCell="A22" workbookViewId="0">
      <selection activeCell="D41" sqref="D41"/>
    </sheetView>
  </sheetViews>
  <sheetFormatPr defaultColWidth="8.84375" defaultRowHeight="14.5" x14ac:dyDescent="0.35"/>
  <cols>
    <col min="1" max="1" width="20.61328125" style="1" customWidth="1"/>
    <col min="2" max="5" width="12.61328125" style="15" customWidth="1"/>
    <col min="6" max="6" width="15.61328125" style="15" customWidth="1"/>
    <col min="7" max="7" width="12.61328125" style="15" customWidth="1"/>
    <col min="8" max="8" width="8.84375" style="22"/>
    <col min="9" max="9" width="8.84375" style="1"/>
    <col min="10" max="10" width="10.765625" style="1" customWidth="1"/>
    <col min="11" max="16384" width="8.84375" style="1"/>
  </cols>
  <sheetData>
    <row r="1" spans="1:11" x14ac:dyDescent="0.35">
      <c r="A1" s="1" t="s">
        <v>75</v>
      </c>
    </row>
    <row r="2" spans="1:11" x14ac:dyDescent="0.35">
      <c r="B2" s="159"/>
      <c r="C2" s="159"/>
      <c r="D2" s="159"/>
      <c r="E2" s="159"/>
      <c r="F2" s="159"/>
      <c r="G2" s="159" t="s">
        <v>12</v>
      </c>
    </row>
    <row r="3" spans="1:11" x14ac:dyDescent="0.35">
      <c r="B3" s="159" t="s">
        <v>76</v>
      </c>
      <c r="C3" s="159" t="s">
        <v>76</v>
      </c>
      <c r="D3" s="159" t="s">
        <v>77</v>
      </c>
      <c r="E3" s="159" t="s">
        <v>76</v>
      </c>
      <c r="F3" s="274" t="s">
        <v>76</v>
      </c>
      <c r="G3" s="159" t="s">
        <v>76</v>
      </c>
      <c r="I3" s="21">
        <v>2021</v>
      </c>
      <c r="J3" s="273"/>
    </row>
    <row r="4" spans="1:11" x14ac:dyDescent="0.35">
      <c r="A4" s="1" t="s">
        <v>78</v>
      </c>
      <c r="B4" s="159" t="s">
        <v>79</v>
      </c>
      <c r="C4" s="159" t="s">
        <v>80</v>
      </c>
      <c r="D4" s="159" t="s">
        <v>81</v>
      </c>
      <c r="E4" s="159" t="s">
        <v>82</v>
      </c>
      <c r="F4" s="274" t="s">
        <v>295</v>
      </c>
      <c r="G4" s="159" t="s">
        <v>83</v>
      </c>
      <c r="I4" s="274" t="s">
        <v>274</v>
      </c>
      <c r="J4" s="274"/>
    </row>
    <row r="5" spans="1:11" x14ac:dyDescent="0.35">
      <c r="D5" s="226"/>
      <c r="I5" s="275"/>
    </row>
    <row r="6" spans="1:11" x14ac:dyDescent="0.35">
      <c r="A6" s="1" t="s">
        <v>259</v>
      </c>
      <c r="B6" s="15">
        <v>2080</v>
      </c>
      <c r="C6" s="15">
        <v>0</v>
      </c>
      <c r="D6" s="226">
        <v>0</v>
      </c>
      <c r="E6" s="15">
        <v>43260</v>
      </c>
      <c r="F6" s="15">
        <v>8793.84</v>
      </c>
      <c r="G6" s="15">
        <f>E6+F6</f>
        <v>52053.84</v>
      </c>
      <c r="I6" s="275">
        <v>8831.5400000000009</v>
      </c>
      <c r="J6" s="15"/>
      <c r="K6" s="276"/>
    </row>
    <row r="7" spans="1:11" x14ac:dyDescent="0.35">
      <c r="A7" s="1" t="s">
        <v>238</v>
      </c>
      <c r="B7" s="251">
        <v>2080</v>
      </c>
      <c r="C7" s="251">
        <v>0</v>
      </c>
      <c r="D7" s="226">
        <v>0</v>
      </c>
      <c r="E7" s="15">
        <v>39000</v>
      </c>
      <c r="F7" s="15">
        <v>7119.19</v>
      </c>
      <c r="G7" s="15">
        <f t="shared" ref="G7:G12" si="0">E7+F7</f>
        <v>46119.19</v>
      </c>
      <c r="I7" s="275">
        <v>7148.68</v>
      </c>
      <c r="J7" s="15"/>
      <c r="K7" s="276"/>
    </row>
    <row r="8" spans="1:11" x14ac:dyDescent="0.35">
      <c r="A8" s="1" t="s">
        <v>262</v>
      </c>
      <c r="B8" s="251">
        <v>2080</v>
      </c>
      <c r="C8" s="251">
        <v>0</v>
      </c>
      <c r="D8" s="226">
        <v>0</v>
      </c>
      <c r="E8" s="15">
        <v>28840</v>
      </c>
      <c r="F8" s="15">
        <v>7169.36</v>
      </c>
      <c r="G8" s="15">
        <f t="shared" si="0"/>
        <v>36009.360000000001</v>
      </c>
      <c r="I8" s="275">
        <v>7196.66</v>
      </c>
      <c r="J8" s="15"/>
      <c r="K8" s="276"/>
    </row>
    <row r="9" spans="1:11" x14ac:dyDescent="0.35">
      <c r="A9" s="1" t="s">
        <v>236</v>
      </c>
      <c r="B9" s="251">
        <v>2080</v>
      </c>
      <c r="C9" s="251">
        <v>0</v>
      </c>
      <c r="D9" s="226">
        <v>0</v>
      </c>
      <c r="E9" s="15">
        <v>39000</v>
      </c>
      <c r="F9" s="15">
        <v>8511.1</v>
      </c>
      <c r="G9" s="15">
        <f t="shared" si="0"/>
        <v>47511.1</v>
      </c>
      <c r="I9" s="275">
        <v>3889.15</v>
      </c>
      <c r="J9" s="15"/>
      <c r="K9" s="276"/>
    </row>
    <row r="10" spans="1:11" x14ac:dyDescent="0.35">
      <c r="A10" s="1" t="s">
        <v>261</v>
      </c>
      <c r="B10" s="251">
        <v>160</v>
      </c>
      <c r="C10" s="252">
        <v>0</v>
      </c>
      <c r="D10" s="226">
        <v>20</v>
      </c>
      <c r="E10" s="17">
        <f t="shared" ref="E10" si="1">B10*D10</f>
        <v>3200</v>
      </c>
      <c r="F10" s="17">
        <v>0</v>
      </c>
      <c r="G10" s="17">
        <f t="shared" ref="G10" si="2">E10+F10</f>
        <v>3200</v>
      </c>
      <c r="I10" s="275"/>
      <c r="J10" s="17"/>
      <c r="K10" s="276"/>
    </row>
    <row r="11" spans="1:11" x14ac:dyDescent="0.35">
      <c r="A11" s="1" t="s">
        <v>230</v>
      </c>
      <c r="B11" s="251">
        <f>8*52</f>
        <v>416</v>
      </c>
      <c r="C11" s="251">
        <v>0</v>
      </c>
      <c r="D11" s="226">
        <v>14.4231</v>
      </c>
      <c r="E11" s="15">
        <f t="shared" ref="E11:E12" si="3">B11*D11</f>
        <v>6000.0096000000003</v>
      </c>
      <c r="F11" s="15">
        <v>1342.95</v>
      </c>
      <c r="G11" s="15">
        <f t="shared" si="0"/>
        <v>7342.9596000000001</v>
      </c>
      <c r="I11" s="275">
        <v>1345.49</v>
      </c>
      <c r="J11" s="15"/>
      <c r="K11" s="276"/>
    </row>
    <row r="12" spans="1:11" x14ac:dyDescent="0.35">
      <c r="A12" s="1" t="s">
        <v>260</v>
      </c>
      <c r="B12" s="251">
        <f>35*52</f>
        <v>1820</v>
      </c>
      <c r="C12" s="252">
        <v>0</v>
      </c>
      <c r="D12" s="226">
        <v>18</v>
      </c>
      <c r="E12" s="17">
        <f t="shared" si="3"/>
        <v>32760</v>
      </c>
      <c r="F12" s="17">
        <v>1255.0999999999999</v>
      </c>
      <c r="G12" s="17">
        <f t="shared" si="0"/>
        <v>34015.1</v>
      </c>
      <c r="I12" s="275"/>
      <c r="J12" s="17"/>
    </row>
    <row r="13" spans="1:11" x14ac:dyDescent="0.35">
      <c r="D13" s="226"/>
    </row>
    <row r="14" spans="1:11" x14ac:dyDescent="0.35">
      <c r="A14" s="1" t="s">
        <v>159</v>
      </c>
      <c r="D14" s="226"/>
      <c r="G14" s="15">
        <f>SUM(G5:G12)</f>
        <v>226251.54960000003</v>
      </c>
    </row>
    <row r="16" spans="1:11" x14ac:dyDescent="0.35">
      <c r="A16" s="1" t="s">
        <v>160</v>
      </c>
      <c r="G16" s="15">
        <v>0</v>
      </c>
    </row>
    <row r="18" spans="1:10" x14ac:dyDescent="0.35">
      <c r="B18" s="159" t="s">
        <v>76</v>
      </c>
      <c r="C18" s="159" t="s">
        <v>76</v>
      </c>
      <c r="D18" s="159" t="s">
        <v>77</v>
      </c>
      <c r="E18" s="159" t="s">
        <v>76</v>
      </c>
      <c r="F18" s="274" t="s">
        <v>76</v>
      </c>
      <c r="G18" s="159" t="s">
        <v>76</v>
      </c>
      <c r="I18" s="21"/>
      <c r="J18" s="273"/>
    </row>
    <row r="19" spans="1:10" ht="29" x14ac:dyDescent="0.35">
      <c r="A19" s="1" t="s">
        <v>300</v>
      </c>
      <c r="B19" s="159" t="s">
        <v>79</v>
      </c>
      <c r="C19" s="159" t="s">
        <v>80</v>
      </c>
      <c r="D19" s="159" t="s">
        <v>81</v>
      </c>
      <c r="E19" s="159" t="s">
        <v>82</v>
      </c>
      <c r="F19" s="289" t="s">
        <v>304</v>
      </c>
      <c r="G19" s="159" t="s">
        <v>83</v>
      </c>
      <c r="I19" s="274"/>
      <c r="J19" s="274"/>
    </row>
    <row r="20" spans="1:10" x14ac:dyDescent="0.35">
      <c r="A20" s="1" t="s">
        <v>258</v>
      </c>
      <c r="B20" s="15">
        <v>2080</v>
      </c>
      <c r="C20" s="15">
        <v>0</v>
      </c>
      <c r="D20" s="226">
        <v>0</v>
      </c>
      <c r="E20" s="15">
        <v>66950</v>
      </c>
      <c r="F20" s="15">
        <f>87050-E20</f>
        <v>20100</v>
      </c>
      <c r="G20" s="15">
        <f>E20+F20</f>
        <v>87050</v>
      </c>
      <c r="I20" s="275"/>
    </row>
    <row r="25" spans="1:10" x14ac:dyDescent="0.35">
      <c r="G25" s="159" t="s">
        <v>29</v>
      </c>
    </row>
    <row r="26" spans="1:10" x14ac:dyDescent="0.35">
      <c r="D26" s="15" t="s">
        <v>84</v>
      </c>
      <c r="G26" s="15">
        <f>G14</f>
        <v>226251.54960000003</v>
      </c>
    </row>
    <row r="27" spans="1:10" x14ac:dyDescent="0.35">
      <c r="D27" s="15" t="s">
        <v>85</v>
      </c>
      <c r="G27" s="45">
        <f>-SAO!D18</f>
        <v>-182987</v>
      </c>
    </row>
    <row r="28" spans="1:10" x14ac:dyDescent="0.35">
      <c r="D28" s="15" t="s">
        <v>301</v>
      </c>
      <c r="G28" s="15">
        <f>G26+G27</f>
        <v>43264.549600000028</v>
      </c>
      <c r="H28" s="21" t="s">
        <v>209</v>
      </c>
    </row>
    <row r="29" spans="1:10" x14ac:dyDescent="0.35">
      <c r="G29" s="15" t="s">
        <v>86</v>
      </c>
      <c r="H29" s="21"/>
    </row>
    <row r="30" spans="1:10" x14ac:dyDescent="0.35">
      <c r="D30" s="15" t="s">
        <v>275</v>
      </c>
      <c r="G30" s="15">
        <f>G14+G20</f>
        <v>313301.54960000003</v>
      </c>
      <c r="H30" s="21"/>
    </row>
    <row r="31" spans="1:10" x14ac:dyDescent="0.35">
      <c r="D31" s="15" t="s">
        <v>87</v>
      </c>
      <c r="G31" s="160">
        <v>7.6499999999999999E-2</v>
      </c>
      <c r="H31" s="21"/>
    </row>
    <row r="32" spans="1:10" x14ac:dyDescent="0.35">
      <c r="D32" s="15" t="s">
        <v>88</v>
      </c>
      <c r="G32" s="15">
        <f>G30*G31</f>
        <v>23967.568544400001</v>
      </c>
      <c r="H32" s="21"/>
    </row>
    <row r="33" spans="1:8" x14ac:dyDescent="0.35">
      <c r="D33" s="15" t="s">
        <v>89</v>
      </c>
      <c r="G33" s="255">
        <f>-SAO!D37</f>
        <v>-20957</v>
      </c>
      <c r="H33" s="21"/>
    </row>
    <row r="34" spans="1:8" x14ac:dyDescent="0.35">
      <c r="D34" s="15" t="s">
        <v>90</v>
      </c>
      <c r="G34" s="15">
        <f>G32+G33</f>
        <v>3010.568544400001</v>
      </c>
      <c r="H34" s="21" t="s">
        <v>291</v>
      </c>
    </row>
    <row r="35" spans="1:8" x14ac:dyDescent="0.35">
      <c r="H35" s="21"/>
    </row>
    <row r="36" spans="1:8" x14ac:dyDescent="0.35">
      <c r="A36" s="15" t="s">
        <v>307</v>
      </c>
      <c r="B36" s="290">
        <v>2021</v>
      </c>
      <c r="C36" s="290">
        <v>2022</v>
      </c>
      <c r="H36" s="21"/>
    </row>
    <row r="37" spans="1:8" x14ac:dyDescent="0.35">
      <c r="A37" s="22" t="s">
        <v>308</v>
      </c>
      <c r="B37" s="15">
        <v>8360</v>
      </c>
      <c r="C37" s="15">
        <v>8640</v>
      </c>
      <c r="G37" s="45"/>
      <c r="H37" s="21"/>
    </row>
    <row r="38" spans="1:8" x14ac:dyDescent="0.35">
      <c r="A38" s="22" t="s">
        <v>309</v>
      </c>
      <c r="B38" s="15">
        <v>8360</v>
      </c>
      <c r="C38" s="15">
        <v>8921.98</v>
      </c>
      <c r="H38" s="21"/>
    </row>
    <row r="39" spans="1:8" x14ac:dyDescent="0.35">
      <c r="A39" s="22" t="s">
        <v>310</v>
      </c>
      <c r="B39" s="15">
        <v>8940</v>
      </c>
      <c r="C39" s="15">
        <v>8921.93</v>
      </c>
    </row>
    <row r="40" spans="1:8" x14ac:dyDescent="0.35">
      <c r="A40" s="22" t="s">
        <v>311</v>
      </c>
      <c r="B40" s="45">
        <v>8921.98</v>
      </c>
      <c r="C40" s="15">
        <v>8921.98</v>
      </c>
      <c r="D40" s="274" t="s">
        <v>278</v>
      </c>
    </row>
    <row r="41" spans="1:8" x14ac:dyDescent="0.35">
      <c r="B41" s="15">
        <f>SUM(B37:B40)</f>
        <v>34581.979999999996</v>
      </c>
      <c r="C41" s="15">
        <f>SUM(C37:C40)</f>
        <v>35405.89</v>
      </c>
      <c r="D41" s="15">
        <f>C41-B41</f>
        <v>823.91000000000349</v>
      </c>
    </row>
  </sheetData>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40"/>
  <sheetViews>
    <sheetView topLeftCell="A34" workbookViewId="0">
      <selection activeCell="E23" sqref="E23"/>
    </sheetView>
  </sheetViews>
  <sheetFormatPr defaultColWidth="8.84375" defaultRowHeight="14.5" x14ac:dyDescent="0.35"/>
  <cols>
    <col min="1" max="1" width="12.69140625" style="1" customWidth="1"/>
    <col min="2" max="2" width="11.53515625" style="233" bestFit="1" customWidth="1"/>
    <col min="3" max="4" width="11.53515625" style="233" customWidth="1"/>
    <col min="5" max="5" width="9.84375" style="233" customWidth="1"/>
    <col min="6" max="6" width="9.765625" style="189" customWidth="1"/>
    <col min="7" max="7" width="9.765625" style="188" customWidth="1"/>
    <col min="8" max="9" width="11.4609375" style="187" customWidth="1"/>
    <col min="10" max="10" width="10.69140625" style="233" customWidth="1"/>
    <col min="11" max="11" width="10.07421875" style="187" customWidth="1"/>
    <col min="12" max="12" width="10.53515625" style="233" customWidth="1"/>
    <col min="13" max="13" width="10.4609375" style="22" customWidth="1"/>
    <col min="14" max="14" width="8.84375" style="1"/>
    <col min="15" max="15" width="10.07421875" style="1" customWidth="1"/>
    <col min="16" max="16" width="9" style="1" bestFit="1" customWidth="1"/>
    <col min="17" max="17" width="9.765625" style="1" bestFit="1" customWidth="1"/>
    <col min="18" max="16384" width="8.84375" style="1"/>
  </cols>
  <sheetData>
    <row r="1" spans="1:15" x14ac:dyDescent="0.35">
      <c r="A1" s="247" t="s">
        <v>173</v>
      </c>
    </row>
    <row r="2" spans="1:15" x14ac:dyDescent="0.35">
      <c r="B2" s="283">
        <v>2022</v>
      </c>
      <c r="C2" s="235"/>
      <c r="D2" s="235"/>
    </row>
    <row r="3" spans="1:15" x14ac:dyDescent="0.35">
      <c r="B3" s="267" t="s">
        <v>174</v>
      </c>
      <c r="C3" s="233" t="s">
        <v>174</v>
      </c>
      <c r="D3" s="233" t="s">
        <v>52</v>
      </c>
      <c r="E3" s="233" t="s">
        <v>174</v>
      </c>
      <c r="I3" s="187" t="s">
        <v>12</v>
      </c>
      <c r="J3" s="233" t="s">
        <v>201</v>
      </c>
      <c r="K3" s="187" t="s">
        <v>175</v>
      </c>
      <c r="L3" s="233" t="s">
        <v>175</v>
      </c>
      <c r="M3" s="22" t="s">
        <v>202</v>
      </c>
    </row>
    <row r="4" spans="1:15" x14ac:dyDescent="0.35">
      <c r="B4" s="284" t="s">
        <v>239</v>
      </c>
      <c r="C4" s="245"/>
      <c r="D4" s="245" t="s">
        <v>174</v>
      </c>
      <c r="E4" s="233" t="s">
        <v>176</v>
      </c>
      <c r="F4" s="189" t="s">
        <v>176</v>
      </c>
      <c r="G4" s="188" t="s">
        <v>199</v>
      </c>
      <c r="H4" s="187" t="s">
        <v>197</v>
      </c>
      <c r="I4" s="187" t="s">
        <v>200</v>
      </c>
      <c r="J4" s="233" t="s">
        <v>200</v>
      </c>
      <c r="K4" s="187" t="s">
        <v>177</v>
      </c>
      <c r="L4" s="233" t="s">
        <v>177</v>
      </c>
      <c r="M4" s="22" t="s">
        <v>177</v>
      </c>
    </row>
    <row r="5" spans="1:15" x14ac:dyDescent="0.35">
      <c r="A5" s="247" t="s">
        <v>206</v>
      </c>
      <c r="B5" s="285" t="s">
        <v>178</v>
      </c>
      <c r="C5" s="233" t="s">
        <v>178</v>
      </c>
      <c r="D5" s="233" t="s">
        <v>178</v>
      </c>
      <c r="E5" s="233" t="s">
        <v>179</v>
      </c>
      <c r="F5" s="189" t="s">
        <v>180</v>
      </c>
      <c r="G5" s="188" t="s">
        <v>180</v>
      </c>
      <c r="H5" s="187" t="s">
        <v>198</v>
      </c>
      <c r="I5" s="187" t="s">
        <v>182</v>
      </c>
      <c r="J5" s="233" t="s">
        <v>182</v>
      </c>
      <c r="K5" s="187" t="s">
        <v>181</v>
      </c>
      <c r="L5" s="233" t="s">
        <v>182</v>
      </c>
      <c r="M5" s="22" t="s">
        <v>182</v>
      </c>
    </row>
    <row r="6" spans="1:15" x14ac:dyDescent="0.35">
      <c r="A6" s="1" t="s">
        <v>236</v>
      </c>
      <c r="B6" s="253">
        <v>682.52</v>
      </c>
      <c r="C6" s="253"/>
      <c r="D6" s="233">
        <f>B6+C6</f>
        <v>682.52</v>
      </c>
      <c r="E6" s="233">
        <f>C6</f>
        <v>0</v>
      </c>
      <c r="F6" s="189">
        <f t="shared" ref="F6:F8" si="0">E6/D6</f>
        <v>0</v>
      </c>
      <c r="G6" s="232">
        <f t="shared" ref="G6:G8" si="1">1-F6</f>
        <v>1</v>
      </c>
      <c r="H6" s="244">
        <v>1</v>
      </c>
      <c r="I6" s="187">
        <f>D6*H6*12</f>
        <v>8190.24</v>
      </c>
      <c r="J6" s="233">
        <f>D6*G6*H6*12</f>
        <v>8190.24</v>
      </c>
      <c r="K6" s="188">
        <v>0.79</v>
      </c>
      <c r="L6" s="233">
        <f>D6*H6*12*K6</f>
        <v>6470.2896000000001</v>
      </c>
      <c r="M6" s="187">
        <f>IF(J6&lt;L6,0,L6-J6)</f>
        <v>-1719.9503999999997</v>
      </c>
    </row>
    <row r="7" spans="1:15" x14ac:dyDescent="0.35">
      <c r="A7" s="1" t="s">
        <v>237</v>
      </c>
      <c r="B7" s="253">
        <v>666.96</v>
      </c>
      <c r="C7" s="253"/>
      <c r="D7" s="233">
        <f t="shared" ref="D7:D8" si="2">B7+C7</f>
        <v>666.96</v>
      </c>
      <c r="E7" s="233">
        <f t="shared" ref="E7:E8" si="3">C7</f>
        <v>0</v>
      </c>
      <c r="F7" s="189">
        <f t="shared" si="0"/>
        <v>0</v>
      </c>
      <c r="G7" s="232">
        <f t="shared" si="1"/>
        <v>1</v>
      </c>
      <c r="H7" s="244">
        <v>1</v>
      </c>
      <c r="I7" s="187">
        <f t="shared" ref="I7:I8" si="4">D7*H7*12</f>
        <v>8003.52</v>
      </c>
      <c r="J7" s="233">
        <f t="shared" ref="J7:J8" si="5">D7*G7*H7*12</f>
        <v>8003.52</v>
      </c>
      <c r="K7" s="188">
        <v>0.79</v>
      </c>
      <c r="L7" s="233">
        <f t="shared" ref="L7:L8" si="6">D7*H7*12*K7</f>
        <v>6322.7808000000005</v>
      </c>
      <c r="M7" s="187">
        <f t="shared" ref="M7:M8" si="7">IF(J7&lt;L7,0,L7-J7)</f>
        <v>-1680.7392</v>
      </c>
    </row>
    <row r="8" spans="1:15" x14ac:dyDescent="0.35">
      <c r="A8" s="1" t="s">
        <v>282</v>
      </c>
      <c r="B8" s="253">
        <v>516.20000000000005</v>
      </c>
      <c r="C8" s="253"/>
      <c r="D8" s="233">
        <f t="shared" si="2"/>
        <v>516.20000000000005</v>
      </c>
      <c r="E8" s="233">
        <f t="shared" si="3"/>
        <v>0</v>
      </c>
      <c r="F8" s="189">
        <f t="shared" si="0"/>
        <v>0</v>
      </c>
      <c r="G8" s="232">
        <f t="shared" si="1"/>
        <v>1</v>
      </c>
      <c r="H8" s="244">
        <v>1</v>
      </c>
      <c r="I8" s="187">
        <f t="shared" si="4"/>
        <v>6194.4000000000005</v>
      </c>
      <c r="J8" s="233">
        <f t="shared" si="5"/>
        <v>6194.4000000000005</v>
      </c>
      <c r="K8" s="188">
        <v>0.79</v>
      </c>
      <c r="L8" s="233">
        <f t="shared" si="6"/>
        <v>4893.5760000000009</v>
      </c>
      <c r="M8" s="187">
        <f t="shared" si="7"/>
        <v>-1300.8239999999996</v>
      </c>
    </row>
    <row r="9" spans="1:15" x14ac:dyDescent="0.35">
      <c r="A9" s="1" t="s">
        <v>238</v>
      </c>
      <c r="B9" s="254">
        <v>594.33000000000004</v>
      </c>
      <c r="C9" s="254"/>
      <c r="D9" s="236">
        <f t="shared" ref="D9" si="8">B9+C9</f>
        <v>594.33000000000004</v>
      </c>
      <c r="E9" s="254"/>
      <c r="F9" s="189">
        <f>E9/D9</f>
        <v>0</v>
      </c>
      <c r="G9" s="232">
        <f>1-F9</f>
        <v>1</v>
      </c>
      <c r="H9" s="244">
        <v>1</v>
      </c>
      <c r="I9" s="238">
        <f t="shared" ref="I9" si="9">D9*H9*12</f>
        <v>7131.9600000000009</v>
      </c>
      <c r="J9" s="236">
        <f t="shared" ref="J9" si="10">D9*G9*H9*12</f>
        <v>7131.9600000000009</v>
      </c>
      <c r="K9" s="188">
        <v>0.79</v>
      </c>
      <c r="L9" s="233">
        <f>D9*H9*12*K9</f>
        <v>5634.2484000000013</v>
      </c>
      <c r="M9" s="238">
        <f t="shared" ref="M9" si="11">IF(J9&lt;L9,0,L9-J9)</f>
        <v>-1497.7115999999996</v>
      </c>
    </row>
    <row r="10" spans="1:15" x14ac:dyDescent="0.35">
      <c r="A10" s="1" t="s">
        <v>52</v>
      </c>
      <c r="B10" s="233">
        <f>SUM(B6:B9)</f>
        <v>2460.0100000000002</v>
      </c>
      <c r="C10" s="233">
        <f>SUM(C6:C9)</f>
        <v>0</v>
      </c>
      <c r="D10" s="233">
        <f>SUM(D6:D9)</f>
        <v>2460.0100000000002</v>
      </c>
      <c r="E10" s="233">
        <f>SUM(E6:E9)</f>
        <v>0</v>
      </c>
      <c r="G10" s="190"/>
      <c r="I10" s="233">
        <f>SUM(I6:I9)</f>
        <v>29520.120000000003</v>
      </c>
      <c r="J10" s="233">
        <f>SUM(J6:J9)</f>
        <v>29520.120000000003</v>
      </c>
      <c r="M10" s="233">
        <f>SUM(M6:M9)</f>
        <v>-6199.2251999999989</v>
      </c>
      <c r="N10" s="2"/>
      <c r="O10" s="186"/>
    </row>
    <row r="11" spans="1:15" x14ac:dyDescent="0.35">
      <c r="G11" s="190"/>
    </row>
    <row r="12" spans="1:15" x14ac:dyDescent="0.35">
      <c r="A12" s="248"/>
      <c r="J12" s="234"/>
      <c r="K12" s="191"/>
      <c r="L12" s="234"/>
    </row>
    <row r="13" spans="1:15" x14ac:dyDescent="0.35">
      <c r="A13" s="237"/>
      <c r="G13" s="232"/>
      <c r="H13" s="244"/>
      <c r="K13" s="246"/>
      <c r="M13" s="187"/>
    </row>
    <row r="14" spans="1:15" x14ac:dyDescent="0.35">
      <c r="A14" s="237"/>
      <c r="G14" s="232"/>
      <c r="H14" s="244"/>
      <c r="K14" s="246"/>
      <c r="M14" s="187"/>
    </row>
    <row r="15" spans="1:15" x14ac:dyDescent="0.35">
      <c r="A15" s="237"/>
      <c r="G15" s="232"/>
      <c r="H15" s="244"/>
      <c r="K15" s="246"/>
      <c r="M15" s="187"/>
    </row>
    <row r="16" spans="1:15" x14ac:dyDescent="0.35">
      <c r="G16" s="232"/>
      <c r="H16" s="244"/>
      <c r="I16" s="238"/>
      <c r="J16" s="236"/>
      <c r="K16" s="190"/>
      <c r="M16" s="238"/>
    </row>
    <row r="17" spans="1:14" x14ac:dyDescent="0.35">
      <c r="I17" s="233"/>
      <c r="M17" s="233"/>
    </row>
    <row r="19" spans="1:14" x14ac:dyDescent="0.35">
      <c r="A19" s="247" t="s">
        <v>299</v>
      </c>
      <c r="J19" s="250">
        <f>J10+J17</f>
        <v>29520.120000000003</v>
      </c>
    </row>
    <row r="20" spans="1:14" x14ac:dyDescent="0.35">
      <c r="A20" s="247" t="s">
        <v>208</v>
      </c>
      <c r="J20" s="256">
        <f>-B40</f>
        <v>-30243.9</v>
      </c>
    </row>
    <row r="21" spans="1:14" x14ac:dyDescent="0.35">
      <c r="A21" s="247" t="s">
        <v>298</v>
      </c>
      <c r="J21" s="250">
        <f>J19+J20</f>
        <v>-723.77999999999884</v>
      </c>
      <c r="K21" s="257" t="s">
        <v>281</v>
      </c>
    </row>
    <row r="24" spans="1:14" ht="15" thickBot="1" x14ac:dyDescent="0.4">
      <c r="A24" s="247" t="s">
        <v>207</v>
      </c>
      <c r="M24" s="249">
        <f>M10+M17</f>
        <v>-6199.2251999999989</v>
      </c>
      <c r="N24" s="21" t="s">
        <v>211</v>
      </c>
    </row>
    <row r="25" spans="1:14" ht="15" thickTop="1" x14ac:dyDescent="0.35"/>
    <row r="26" spans="1:14" x14ac:dyDescent="0.35">
      <c r="A26" s="342" t="s">
        <v>257</v>
      </c>
      <c r="C26" s="267" t="s">
        <v>253</v>
      </c>
      <c r="D26" s="267" t="s">
        <v>255</v>
      </c>
    </row>
    <row r="27" spans="1:14" x14ac:dyDescent="0.35">
      <c r="A27" s="268">
        <v>2021</v>
      </c>
      <c r="B27" s="269" t="s">
        <v>239</v>
      </c>
      <c r="C27" s="270" t="s">
        <v>254</v>
      </c>
      <c r="D27" s="270" t="s">
        <v>256</v>
      </c>
    </row>
    <row r="28" spans="1:14" x14ac:dyDescent="0.35">
      <c r="A28" s="1" t="s">
        <v>241</v>
      </c>
      <c r="B28" s="233">
        <v>2254.62</v>
      </c>
      <c r="C28" s="233">
        <v>193.75</v>
      </c>
      <c r="D28" s="233">
        <v>15000</v>
      </c>
    </row>
    <row r="29" spans="1:14" x14ac:dyDescent="0.35">
      <c r="A29" s="1" t="s">
        <v>242</v>
      </c>
      <c r="B29" s="233">
        <v>2254.62</v>
      </c>
      <c r="C29" s="233">
        <v>193.75</v>
      </c>
    </row>
    <row r="30" spans="1:14" x14ac:dyDescent="0.35">
      <c r="A30" s="1" t="s">
        <v>243</v>
      </c>
      <c r="B30" s="233">
        <v>2254.62</v>
      </c>
      <c r="C30" s="233">
        <v>193.75</v>
      </c>
    </row>
    <row r="31" spans="1:14" x14ac:dyDescent="0.35">
      <c r="A31" s="1" t="s">
        <v>244</v>
      </c>
      <c r="B31" s="233">
        <v>2254.62</v>
      </c>
      <c r="C31" s="233">
        <v>193.75</v>
      </c>
    </row>
    <row r="32" spans="1:14" x14ac:dyDescent="0.35">
      <c r="A32" s="1" t="s">
        <v>245</v>
      </c>
      <c r="B32" s="233">
        <v>2254.62</v>
      </c>
      <c r="C32" s="233">
        <v>193.75</v>
      </c>
    </row>
    <row r="33" spans="1:4" x14ac:dyDescent="0.35">
      <c r="A33" s="1" t="s">
        <v>246</v>
      </c>
      <c r="B33" s="233">
        <v>2254.62</v>
      </c>
      <c r="C33" s="233">
        <v>193.75</v>
      </c>
    </row>
    <row r="34" spans="1:4" x14ac:dyDescent="0.35">
      <c r="A34" s="1" t="s">
        <v>247</v>
      </c>
      <c r="B34" s="233">
        <v>3031.51</v>
      </c>
      <c r="C34" s="233">
        <f>193.75+10.86</f>
        <v>204.61</v>
      </c>
    </row>
    <row r="35" spans="1:4" x14ac:dyDescent="0.35">
      <c r="A35" s="1" t="s">
        <v>248</v>
      </c>
      <c r="B35" s="233">
        <v>2295.0700000000002</v>
      </c>
      <c r="C35" s="233">
        <f t="shared" ref="C35:C39" si="12">193.75+10.86</f>
        <v>204.61</v>
      </c>
      <c r="D35" s="233">
        <v>1500</v>
      </c>
    </row>
    <row r="36" spans="1:4" x14ac:dyDescent="0.35">
      <c r="A36" s="1" t="s">
        <v>249</v>
      </c>
      <c r="B36" s="233">
        <v>2919.82</v>
      </c>
      <c r="C36" s="233">
        <f t="shared" si="12"/>
        <v>204.61</v>
      </c>
    </row>
    <row r="37" spans="1:4" x14ac:dyDescent="0.35">
      <c r="A37" s="1" t="s">
        <v>250</v>
      </c>
      <c r="B37" s="233">
        <v>2823.26</v>
      </c>
      <c r="C37" s="233">
        <f t="shared" si="12"/>
        <v>204.61</v>
      </c>
    </row>
    <row r="38" spans="1:4" x14ac:dyDescent="0.35">
      <c r="A38" s="1" t="s">
        <v>251</v>
      </c>
      <c r="B38" s="233">
        <v>2823.26</v>
      </c>
      <c r="C38" s="233">
        <f t="shared" si="12"/>
        <v>204.61</v>
      </c>
    </row>
    <row r="39" spans="1:4" x14ac:dyDescent="0.35">
      <c r="A39" s="1" t="s">
        <v>252</v>
      </c>
      <c r="B39" s="233">
        <v>2823.26</v>
      </c>
      <c r="C39" s="233">
        <f t="shared" si="12"/>
        <v>204.61</v>
      </c>
    </row>
    <row r="40" spans="1:4" x14ac:dyDescent="0.35">
      <c r="A40" s="21" t="s">
        <v>52</v>
      </c>
      <c r="B40" s="233">
        <f>SUM(B28:B39)</f>
        <v>30243.9</v>
      </c>
      <c r="C40" s="233">
        <f>SUM(C28:C39)</f>
        <v>2390.1600000000008</v>
      </c>
      <c r="D40" s="233">
        <f>SUM(D28:D39)</f>
        <v>16500</v>
      </c>
    </row>
  </sheetData>
  <phoneticPr fontId="3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630B1-5320-458A-B984-AF0BD6A9981A}">
  <sheetPr>
    <tabColor rgb="FF92D050"/>
    <pageSetUpPr fitToPage="1"/>
  </sheetPr>
  <dimension ref="B1:Q22"/>
  <sheetViews>
    <sheetView showGridLines="0" workbookViewId="0">
      <selection activeCell="M21" sqref="M21"/>
    </sheetView>
  </sheetViews>
  <sheetFormatPr defaultRowHeight="15.5" x14ac:dyDescent="0.35"/>
  <cols>
    <col min="1" max="1" width="1.765625" customWidth="1"/>
    <col min="2" max="2" width="17.765625" customWidth="1"/>
    <col min="3" max="12" width="7.765625" customWidth="1"/>
    <col min="13" max="13" width="10.69140625" customWidth="1"/>
    <col min="14" max="14" width="0.765625" customWidth="1"/>
    <col min="15" max="15" width="2.3046875" customWidth="1"/>
    <col min="16" max="16" width="9.69140625" customWidth="1"/>
  </cols>
  <sheetData>
    <row r="1" spans="2:17" x14ac:dyDescent="0.35">
      <c r="B1" s="18"/>
      <c r="C1" s="18"/>
      <c r="D1" s="18"/>
      <c r="E1" s="18"/>
      <c r="F1" s="18"/>
      <c r="G1" s="18"/>
      <c r="H1" s="18"/>
      <c r="I1" s="18"/>
      <c r="J1" s="18"/>
      <c r="K1" s="18"/>
      <c r="L1" s="18"/>
      <c r="M1" s="18"/>
      <c r="N1" s="18"/>
      <c r="O1" s="18"/>
      <c r="P1" s="18"/>
    </row>
    <row r="2" spans="2:17" x14ac:dyDescent="0.35">
      <c r="B2" s="85"/>
      <c r="C2" s="86"/>
      <c r="D2" s="86"/>
      <c r="E2" s="86"/>
      <c r="F2" s="86"/>
      <c r="G2" s="86"/>
      <c r="H2" s="86"/>
      <c r="I2" s="86"/>
      <c r="J2" s="86"/>
      <c r="K2" s="86"/>
      <c r="L2" s="86"/>
      <c r="M2" s="86"/>
      <c r="N2" s="87"/>
      <c r="O2" s="18"/>
      <c r="P2" s="18"/>
    </row>
    <row r="3" spans="2:17" ht="18.5" x14ac:dyDescent="0.45">
      <c r="B3" s="89" t="s">
        <v>337</v>
      </c>
      <c r="C3" s="88"/>
      <c r="D3" s="88"/>
      <c r="E3" s="88"/>
      <c r="F3" s="88"/>
      <c r="G3" s="88"/>
      <c r="H3" s="88"/>
      <c r="I3" s="88"/>
      <c r="J3" s="88"/>
      <c r="K3" s="88"/>
      <c r="L3" s="88"/>
      <c r="M3" s="88"/>
      <c r="N3" s="79"/>
      <c r="O3" s="18"/>
      <c r="P3" s="18"/>
    </row>
    <row r="4" spans="2:17" ht="18.5" x14ac:dyDescent="0.45">
      <c r="B4" s="89" t="s">
        <v>93</v>
      </c>
      <c r="C4" s="90"/>
      <c r="D4" s="90"/>
      <c r="E4" s="90"/>
      <c r="F4" s="90"/>
      <c r="G4" s="90"/>
      <c r="H4" s="90"/>
      <c r="I4" s="90"/>
      <c r="J4" s="90"/>
      <c r="K4" s="90"/>
      <c r="L4" s="90"/>
      <c r="M4" s="90"/>
      <c r="N4" s="79"/>
      <c r="O4" s="18"/>
      <c r="P4" s="18"/>
    </row>
    <row r="5" spans="2:17" x14ac:dyDescent="0.35">
      <c r="B5" s="91" t="s">
        <v>231</v>
      </c>
      <c r="C5" s="88"/>
      <c r="D5" s="88"/>
      <c r="E5" s="88"/>
      <c r="F5" s="88"/>
      <c r="G5" s="88"/>
      <c r="H5" s="88"/>
      <c r="I5" s="88"/>
      <c r="J5" s="88"/>
      <c r="K5" s="88"/>
      <c r="L5" s="88"/>
      <c r="M5" s="88"/>
      <c r="N5" s="79"/>
      <c r="O5" s="18"/>
      <c r="P5" s="18"/>
    </row>
    <row r="6" spans="2:17" x14ac:dyDescent="0.35">
      <c r="B6" s="92" t="s">
        <v>94</v>
      </c>
      <c r="C6" s="93"/>
      <c r="D6" s="93"/>
      <c r="E6" s="93"/>
      <c r="F6" s="93"/>
      <c r="G6" s="93"/>
      <c r="H6" s="93"/>
      <c r="I6" s="93"/>
      <c r="J6" s="93"/>
      <c r="K6" s="93"/>
      <c r="L6" s="93"/>
      <c r="M6" s="93"/>
      <c r="N6" s="79"/>
      <c r="O6" s="18"/>
      <c r="P6" s="18"/>
    </row>
    <row r="7" spans="2:17" x14ac:dyDescent="0.35">
      <c r="B7" s="94"/>
      <c r="C7" s="93"/>
      <c r="D7" s="93"/>
      <c r="E7" s="93"/>
      <c r="F7" s="93"/>
      <c r="G7" s="93"/>
      <c r="H7" s="93"/>
      <c r="I7" s="93"/>
      <c r="J7" s="93"/>
      <c r="K7" s="93"/>
      <c r="L7" s="93"/>
      <c r="M7" s="93"/>
      <c r="N7" s="79"/>
      <c r="O7" s="18"/>
      <c r="P7" s="18"/>
    </row>
    <row r="8" spans="2:17" x14ac:dyDescent="0.35">
      <c r="B8" s="95"/>
      <c r="C8" s="96"/>
      <c r="D8" s="97"/>
      <c r="E8" s="96"/>
      <c r="F8" s="98"/>
      <c r="G8" s="96"/>
      <c r="H8" s="98"/>
      <c r="I8" s="96"/>
      <c r="J8" s="98"/>
      <c r="K8" s="96"/>
      <c r="L8" s="98"/>
      <c r="M8" s="97"/>
      <c r="N8" s="87"/>
      <c r="O8" s="18"/>
      <c r="P8" s="18"/>
    </row>
    <row r="9" spans="2:17" ht="16" x14ac:dyDescent="0.35">
      <c r="B9" s="99"/>
      <c r="C9" s="298" t="s">
        <v>95</v>
      </c>
      <c r="D9" s="299"/>
      <c r="E9" s="298" t="s">
        <v>96</v>
      </c>
      <c r="F9" s="299"/>
      <c r="G9" s="298" t="s">
        <v>97</v>
      </c>
      <c r="H9" s="299"/>
      <c r="I9" s="298" t="s">
        <v>98</v>
      </c>
      <c r="J9" s="299"/>
      <c r="K9" s="298" t="s">
        <v>99</v>
      </c>
      <c r="L9" s="299"/>
      <c r="M9" s="18"/>
      <c r="N9" s="79"/>
      <c r="O9" s="18"/>
      <c r="P9" s="18"/>
    </row>
    <row r="10" spans="2:17" ht="16" x14ac:dyDescent="0.35">
      <c r="B10" s="99"/>
      <c r="C10" s="100"/>
      <c r="D10" s="101" t="s">
        <v>100</v>
      </c>
      <c r="E10" s="102"/>
      <c r="F10" s="101" t="s">
        <v>100</v>
      </c>
      <c r="G10" s="102"/>
      <c r="H10" s="101" t="s">
        <v>100</v>
      </c>
      <c r="I10" s="102"/>
      <c r="J10" s="101" t="s">
        <v>100</v>
      </c>
      <c r="K10" s="102"/>
      <c r="L10" s="101" t="s">
        <v>100</v>
      </c>
      <c r="M10" s="18"/>
      <c r="N10" s="79"/>
      <c r="O10" s="18"/>
      <c r="P10" s="18"/>
    </row>
    <row r="11" spans="2:17" ht="16" x14ac:dyDescent="0.35">
      <c r="B11" s="99"/>
      <c r="C11" s="100" t="s">
        <v>101</v>
      </c>
      <c r="D11" s="103" t="s">
        <v>102</v>
      </c>
      <c r="E11" s="100" t="s">
        <v>101</v>
      </c>
      <c r="F11" s="103" t="s">
        <v>102</v>
      </c>
      <c r="G11" s="100" t="s">
        <v>101</v>
      </c>
      <c r="H11" s="103" t="s">
        <v>102</v>
      </c>
      <c r="I11" s="100" t="s">
        <v>101</v>
      </c>
      <c r="J11" s="103" t="s">
        <v>102</v>
      </c>
      <c r="K11" s="100" t="s">
        <v>101</v>
      </c>
      <c r="L11" s="103" t="s">
        <v>102</v>
      </c>
      <c r="M11" s="104" t="s">
        <v>71</v>
      </c>
      <c r="N11" s="79"/>
      <c r="O11" s="18"/>
      <c r="P11" s="18"/>
    </row>
    <row r="12" spans="2:17" ht="15.4" customHeight="1" x14ac:dyDescent="0.35">
      <c r="B12" s="99" t="s">
        <v>232</v>
      </c>
      <c r="C12" s="227">
        <v>29092.69</v>
      </c>
      <c r="D12" s="227">
        <v>44249.31</v>
      </c>
      <c r="E12" s="264">
        <v>30547.32</v>
      </c>
      <c r="F12" s="227">
        <v>42794.68</v>
      </c>
      <c r="G12" s="264">
        <v>32074.69</v>
      </c>
      <c r="H12" s="227">
        <v>41267.31</v>
      </c>
      <c r="I12" s="264">
        <v>33678.43</v>
      </c>
      <c r="J12" s="227">
        <v>39663.57</v>
      </c>
      <c r="K12" s="264">
        <v>35362.35</v>
      </c>
      <c r="L12" s="228">
        <v>37979.65</v>
      </c>
      <c r="M12" s="108">
        <f>SUM(C12:L12)</f>
        <v>366710</v>
      </c>
      <c r="N12" s="79"/>
      <c r="O12" s="18"/>
      <c r="P12" s="18">
        <f>73342*5</f>
        <v>366710</v>
      </c>
      <c r="Q12" s="286">
        <f>P12/5</f>
        <v>73342</v>
      </c>
    </row>
    <row r="13" spans="2:17" ht="15.4" customHeight="1" x14ac:dyDescent="0.35">
      <c r="B13" s="105" t="s">
        <v>233</v>
      </c>
      <c r="C13" s="106">
        <v>14309.26</v>
      </c>
      <c r="D13" s="107">
        <v>22896.74</v>
      </c>
      <c r="E13" s="106">
        <v>14917.4</v>
      </c>
      <c r="F13" s="107">
        <v>22288.6</v>
      </c>
      <c r="G13" s="106">
        <v>15551.39</v>
      </c>
      <c r="H13" s="107">
        <v>21654.61</v>
      </c>
      <c r="I13" s="106">
        <v>16212.33</v>
      </c>
      <c r="J13" s="107">
        <v>20993.67</v>
      </c>
      <c r="K13" s="106">
        <v>16901.349999999999</v>
      </c>
      <c r="L13" s="107">
        <v>20304.650000000001</v>
      </c>
      <c r="M13" s="108">
        <f t="shared" ref="M13:M14" si="0">SUM(C13:L13)</f>
        <v>186030</v>
      </c>
      <c r="N13" s="79"/>
      <c r="O13" s="18"/>
      <c r="P13" s="18">
        <f>37206*5</f>
        <v>186030</v>
      </c>
      <c r="Q13" s="286">
        <f>P13/5</f>
        <v>37206</v>
      </c>
    </row>
    <row r="14" spans="2:17" ht="15.4" customHeight="1" x14ac:dyDescent="0.35">
      <c r="B14" s="105"/>
      <c r="D14" s="228"/>
      <c r="F14" s="228"/>
      <c r="H14" s="228"/>
      <c r="J14" s="228"/>
      <c r="L14" s="228"/>
      <c r="M14" s="108">
        <f t="shared" si="0"/>
        <v>0</v>
      </c>
      <c r="N14" s="79"/>
      <c r="O14" s="18"/>
      <c r="P14" s="18"/>
    </row>
    <row r="15" spans="2:17" x14ac:dyDescent="0.35">
      <c r="B15" s="109"/>
      <c r="C15" s="110"/>
      <c r="D15" s="111"/>
      <c r="E15" s="110"/>
      <c r="F15" s="111"/>
      <c r="G15" s="110"/>
      <c r="H15" s="111"/>
      <c r="I15" s="110"/>
      <c r="J15" s="111"/>
      <c r="K15" s="110"/>
      <c r="L15" s="112"/>
      <c r="M15" s="108"/>
      <c r="N15" s="79"/>
      <c r="O15" s="18"/>
      <c r="P15" s="18"/>
    </row>
    <row r="16" spans="2:17" x14ac:dyDescent="0.35">
      <c r="B16" s="80" t="s">
        <v>71</v>
      </c>
      <c r="C16" s="113">
        <f>SUM(C12:C14)</f>
        <v>43401.95</v>
      </c>
      <c r="D16" s="113">
        <f>SUM(D12:D14)</f>
        <v>67146.05</v>
      </c>
      <c r="E16" s="113">
        <f t="shared" ref="E16:M16" si="1">SUM(E12:E14)</f>
        <v>45464.72</v>
      </c>
      <c r="F16" s="113">
        <f>SUM(F12:F14)</f>
        <v>65083.28</v>
      </c>
      <c r="G16" s="113">
        <f t="shared" si="1"/>
        <v>47626.080000000002</v>
      </c>
      <c r="H16" s="113">
        <f>SUM(H12:H14)</f>
        <v>62921.919999999998</v>
      </c>
      <c r="I16" s="113">
        <f t="shared" si="1"/>
        <v>49890.76</v>
      </c>
      <c r="J16" s="113">
        <f>SUM(J12:J14)</f>
        <v>60657.24</v>
      </c>
      <c r="K16" s="113">
        <f t="shared" si="1"/>
        <v>52263.7</v>
      </c>
      <c r="L16" s="113">
        <f>SUM(L12:L14)</f>
        <v>58284.3</v>
      </c>
      <c r="M16" s="113">
        <f t="shared" si="1"/>
        <v>552740</v>
      </c>
      <c r="N16" s="79"/>
      <c r="O16" s="18"/>
      <c r="P16" s="18">
        <f>SUM(C16:L16)</f>
        <v>552740</v>
      </c>
    </row>
    <row r="17" spans="2:16" x14ac:dyDescent="0.35">
      <c r="B17" s="114"/>
      <c r="C17" s="115"/>
      <c r="D17" s="116"/>
      <c r="E17" s="115"/>
      <c r="F17" s="117"/>
      <c r="G17" s="115"/>
      <c r="H17" s="117"/>
      <c r="I17" s="115"/>
      <c r="J17" s="118"/>
      <c r="K17" s="115"/>
      <c r="L17" s="117"/>
      <c r="M17" s="116"/>
      <c r="N17" s="75"/>
      <c r="O17" s="18"/>
      <c r="P17" s="18"/>
    </row>
    <row r="18" spans="2:16" x14ac:dyDescent="0.35">
      <c r="B18" s="119"/>
      <c r="C18" s="120"/>
      <c r="D18" s="120"/>
      <c r="E18" s="120"/>
      <c r="F18" s="120"/>
      <c r="G18" s="120"/>
      <c r="H18" s="120"/>
      <c r="I18" s="120"/>
      <c r="J18" s="121"/>
      <c r="K18" s="121"/>
      <c r="L18" s="121"/>
      <c r="M18" s="120"/>
      <c r="N18" s="79"/>
      <c r="O18" s="18"/>
      <c r="P18" s="18"/>
    </row>
    <row r="19" spans="2:16" x14ac:dyDescent="0.35">
      <c r="B19" s="122"/>
      <c r="C19" s="123"/>
      <c r="D19" s="124"/>
      <c r="E19" s="123"/>
      <c r="F19" s="123"/>
      <c r="G19" s="123"/>
      <c r="H19" s="123"/>
      <c r="I19" s="124" t="s">
        <v>103</v>
      </c>
      <c r="J19" s="18"/>
      <c r="K19" s="125"/>
      <c r="L19" s="126"/>
      <c r="M19" s="123">
        <f>M16/5</f>
        <v>110548</v>
      </c>
      <c r="N19" s="79"/>
      <c r="O19" s="18"/>
      <c r="P19" s="18"/>
    </row>
    <row r="20" spans="2:16" x14ac:dyDescent="0.35">
      <c r="B20" s="20"/>
      <c r="C20" s="124"/>
      <c r="D20" s="18"/>
      <c r="E20" s="124"/>
      <c r="F20" s="124"/>
      <c r="G20" s="124"/>
      <c r="H20" s="124"/>
      <c r="I20" s="124"/>
      <c r="J20" s="18"/>
      <c r="K20" s="23"/>
      <c r="L20" s="125"/>
      <c r="M20" s="35"/>
      <c r="N20" s="79"/>
      <c r="O20" s="18"/>
      <c r="P20" s="18"/>
    </row>
    <row r="21" spans="2:16" x14ac:dyDescent="0.35">
      <c r="B21" s="122"/>
      <c r="C21" s="124"/>
      <c r="D21" s="124"/>
      <c r="E21" s="124"/>
      <c r="F21" s="124"/>
      <c r="G21" s="124"/>
      <c r="H21" s="124"/>
      <c r="I21" s="124" t="s">
        <v>104</v>
      </c>
      <c r="J21" s="18"/>
      <c r="K21" s="125"/>
      <c r="L21" s="124"/>
      <c r="M21" s="123">
        <f>M19*0.2</f>
        <v>22109.600000000002</v>
      </c>
      <c r="N21" s="79"/>
      <c r="O21" s="18"/>
      <c r="P21" s="18">
        <f>M21+M19</f>
        <v>132657.60000000001</v>
      </c>
    </row>
    <row r="22" spans="2:16" x14ac:dyDescent="0.35">
      <c r="B22" s="127"/>
      <c r="C22" s="128"/>
      <c r="D22" s="128"/>
      <c r="E22" s="128"/>
      <c r="F22" s="128" t="s">
        <v>191</v>
      </c>
      <c r="G22" s="128"/>
      <c r="H22" s="128"/>
      <c r="I22" s="128"/>
      <c r="J22" s="128"/>
      <c r="K22" s="128"/>
      <c r="L22" s="128"/>
      <c r="M22" s="128"/>
      <c r="N22" s="75"/>
      <c r="O22" s="18"/>
      <c r="P22" s="18"/>
    </row>
  </sheetData>
  <mergeCells count="5">
    <mergeCell ref="C9:D9"/>
    <mergeCell ref="E9:F9"/>
    <mergeCell ref="G9:H9"/>
    <mergeCell ref="I9:J9"/>
    <mergeCell ref="K9:L9"/>
  </mergeCells>
  <pageMargins left="0.7" right="0.7" top="0.75" bottom="0.75" header="0.3" footer="0.3"/>
  <pageSetup scale="92" fitToHeight="0"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590D3-A7C3-4727-A9D4-F5C014E94ADB}">
  <sheetPr>
    <tabColor rgb="FF92D050"/>
    <pageSetUpPr fitToPage="1"/>
  </sheetPr>
  <dimension ref="A1:R69"/>
  <sheetViews>
    <sheetView showGridLines="0" topLeftCell="A27" workbookViewId="0">
      <selection activeCell="C40" sqref="C40"/>
    </sheetView>
  </sheetViews>
  <sheetFormatPr defaultRowHeight="15.5" x14ac:dyDescent="0.35"/>
  <cols>
    <col min="1" max="1" width="2" customWidth="1"/>
    <col min="2" max="2" width="1.84375" customWidth="1"/>
    <col min="3" max="3" width="1.765625" customWidth="1"/>
    <col min="4" max="4" width="27.4609375" style="1" customWidth="1"/>
    <col min="5" max="5" width="8.3046875" style="1" customWidth="1"/>
    <col min="6" max="6" width="10.69140625" style="198" customWidth="1"/>
    <col min="7" max="7" width="9.3828125" style="1" bestFit="1" customWidth="1"/>
    <col min="8" max="8" width="9.3046875" style="194" customWidth="1"/>
    <col min="9" max="9" width="6.07421875" customWidth="1"/>
    <col min="10" max="10" width="9.3046875" style="194" customWidth="1"/>
    <col min="11" max="11" width="10.69140625" customWidth="1"/>
    <col min="12" max="12" width="1.84375" customWidth="1"/>
    <col min="13" max="13" width="2.4609375" customWidth="1"/>
    <col min="15" max="18" width="8.84375" style="1"/>
  </cols>
  <sheetData>
    <row r="1" spans="1:13" x14ac:dyDescent="0.35">
      <c r="A1" s="1"/>
      <c r="B1" s="1"/>
      <c r="C1" s="3"/>
      <c r="D1" s="3"/>
      <c r="E1" s="3"/>
      <c r="G1" s="139"/>
      <c r="H1" s="19"/>
      <c r="I1" s="139"/>
      <c r="J1" s="19"/>
      <c r="K1" s="3"/>
      <c r="L1" s="3"/>
      <c r="M1" s="3"/>
    </row>
    <row r="2" spans="1:13" x14ac:dyDescent="0.35">
      <c r="A2" s="1"/>
      <c r="B2" s="129"/>
      <c r="C2" s="131"/>
      <c r="D2" s="131"/>
      <c r="E2" s="131"/>
      <c r="F2" s="199"/>
      <c r="G2" s="140"/>
      <c r="H2" s="192"/>
      <c r="I2" s="140"/>
      <c r="J2" s="192"/>
      <c r="K2" s="131"/>
      <c r="L2" s="147"/>
      <c r="M2" s="150"/>
    </row>
    <row r="3" spans="1:13" ht="18.5" x14ac:dyDescent="0.45">
      <c r="A3" s="1"/>
      <c r="B3" s="57"/>
      <c r="C3" s="300" t="s">
        <v>336</v>
      </c>
      <c r="D3" s="300"/>
      <c r="E3" s="300"/>
      <c r="F3" s="300"/>
      <c r="G3" s="300"/>
      <c r="H3" s="300"/>
      <c r="I3" s="300"/>
      <c r="J3" s="300"/>
      <c r="K3" s="300"/>
      <c r="L3" s="148"/>
      <c r="M3" s="150"/>
    </row>
    <row r="4" spans="1:13" ht="18.5" x14ac:dyDescent="0.45">
      <c r="A4" s="1"/>
      <c r="B4" s="57"/>
      <c r="C4" s="301" t="s">
        <v>38</v>
      </c>
      <c r="D4" s="301"/>
      <c r="E4" s="301"/>
      <c r="F4" s="301"/>
      <c r="G4" s="301"/>
      <c r="H4" s="301"/>
      <c r="I4" s="301"/>
      <c r="J4" s="301"/>
      <c r="K4" s="301"/>
      <c r="L4" s="148"/>
      <c r="M4" s="150"/>
    </row>
    <row r="5" spans="1:13" x14ac:dyDescent="0.35">
      <c r="A5" s="1"/>
      <c r="B5" s="57"/>
      <c r="C5" s="302" t="s">
        <v>231</v>
      </c>
      <c r="D5" s="302"/>
      <c r="E5" s="302"/>
      <c r="F5" s="302"/>
      <c r="G5" s="302"/>
      <c r="H5" s="302"/>
      <c r="I5" s="302"/>
      <c r="J5" s="302"/>
      <c r="K5" s="302"/>
      <c r="L5" s="148"/>
      <c r="M5" s="150"/>
    </row>
    <row r="6" spans="1:13" x14ac:dyDescent="0.35">
      <c r="A6" s="1"/>
      <c r="B6" s="57"/>
      <c r="C6" s="3"/>
      <c r="D6" s="3"/>
      <c r="E6" s="3"/>
      <c r="G6" s="141"/>
      <c r="H6" s="19"/>
      <c r="I6" s="141"/>
      <c r="J6" s="19"/>
      <c r="K6" s="133" t="s">
        <v>39</v>
      </c>
      <c r="L6" s="148"/>
      <c r="M6" s="150"/>
    </row>
    <row r="7" spans="1:13" x14ac:dyDescent="0.35">
      <c r="A7" s="1"/>
      <c r="B7" s="57"/>
      <c r="C7" s="132"/>
      <c r="D7" s="132"/>
      <c r="E7" s="132" t="s">
        <v>40</v>
      </c>
      <c r="F7" s="200" t="s">
        <v>41</v>
      </c>
      <c r="G7" s="303" t="s">
        <v>130</v>
      </c>
      <c r="H7" s="303"/>
      <c r="I7" s="303" t="s">
        <v>31</v>
      </c>
      <c r="J7" s="303"/>
      <c r="K7" s="133" t="s">
        <v>42</v>
      </c>
      <c r="L7" s="148"/>
      <c r="M7" s="150"/>
    </row>
    <row r="8" spans="1:13" ht="17" x14ac:dyDescent="0.5">
      <c r="A8" s="1"/>
      <c r="B8" s="57"/>
      <c r="C8" s="133"/>
      <c r="D8" s="137" t="s">
        <v>110</v>
      </c>
      <c r="E8" s="133" t="s">
        <v>43</v>
      </c>
      <c r="F8" s="201" t="s">
        <v>129</v>
      </c>
      <c r="G8" s="27" t="s">
        <v>44</v>
      </c>
      <c r="H8" s="133" t="s">
        <v>45</v>
      </c>
      <c r="I8" s="27" t="s">
        <v>44</v>
      </c>
      <c r="J8" s="133" t="s">
        <v>45</v>
      </c>
      <c r="K8" s="133" t="s">
        <v>35</v>
      </c>
      <c r="L8" s="148"/>
      <c r="M8" s="150"/>
    </row>
    <row r="9" spans="1:13" x14ac:dyDescent="0.35">
      <c r="A9" s="1"/>
      <c r="B9" s="57"/>
      <c r="C9" s="134" t="s">
        <v>105</v>
      </c>
      <c r="D9" s="3"/>
      <c r="E9" s="138"/>
      <c r="G9" s="141"/>
      <c r="H9" s="177"/>
      <c r="I9" s="141"/>
      <c r="J9" s="177"/>
      <c r="K9" s="2"/>
      <c r="L9" s="148"/>
      <c r="M9" s="150"/>
    </row>
    <row r="10" spans="1:13" x14ac:dyDescent="0.35">
      <c r="A10" s="1"/>
      <c r="B10" s="57"/>
      <c r="C10" s="134"/>
      <c r="D10" s="3" t="s">
        <v>111</v>
      </c>
      <c r="E10" s="138" t="s">
        <v>65</v>
      </c>
      <c r="F10" s="203">
        <v>186830</v>
      </c>
      <c r="G10" s="76" t="s">
        <v>131</v>
      </c>
      <c r="H10" s="176">
        <v>5120</v>
      </c>
      <c r="I10" s="141">
        <v>37.5</v>
      </c>
      <c r="J10" s="176">
        <f>F10/I10</f>
        <v>4982.1333333333332</v>
      </c>
      <c r="K10" s="23">
        <f>J10-H10</f>
        <v>-137.86666666666679</v>
      </c>
      <c r="L10" s="148"/>
      <c r="M10" s="150"/>
    </row>
    <row r="11" spans="1:13" x14ac:dyDescent="0.35">
      <c r="A11" s="1"/>
      <c r="B11" s="57"/>
      <c r="C11" s="134"/>
      <c r="D11" s="3" t="s">
        <v>303</v>
      </c>
      <c r="E11" s="138" t="s">
        <v>65</v>
      </c>
      <c r="F11" s="203">
        <v>27475</v>
      </c>
      <c r="G11" s="76" t="s">
        <v>131</v>
      </c>
      <c r="H11" s="176">
        <v>4908</v>
      </c>
      <c r="I11" s="141">
        <v>10</v>
      </c>
      <c r="J11" s="176">
        <f>F11/I11</f>
        <v>2747.5</v>
      </c>
      <c r="K11" s="23">
        <f>J11-H11</f>
        <v>-2160.5</v>
      </c>
      <c r="L11" s="148"/>
      <c r="M11" s="150"/>
    </row>
    <row r="12" spans="1:13" x14ac:dyDescent="0.35">
      <c r="A12" s="1"/>
      <c r="B12" s="57"/>
      <c r="C12" s="3"/>
      <c r="D12" s="3" t="s">
        <v>112</v>
      </c>
      <c r="E12" s="138"/>
      <c r="F12" s="203"/>
      <c r="G12" s="76"/>
      <c r="H12" s="176"/>
      <c r="I12" s="141">
        <v>22.5</v>
      </c>
      <c r="J12" s="176">
        <f>F12/I12</f>
        <v>0</v>
      </c>
      <c r="K12" s="23">
        <f>J12-H12</f>
        <v>0</v>
      </c>
      <c r="L12" s="148"/>
      <c r="M12" s="150"/>
    </row>
    <row r="13" spans="1:13" x14ac:dyDescent="0.35">
      <c r="A13" s="1"/>
      <c r="B13" s="57"/>
      <c r="C13" s="3"/>
      <c r="D13" s="3" t="s">
        <v>113</v>
      </c>
      <c r="E13" s="138"/>
      <c r="F13" s="203"/>
      <c r="G13" s="76"/>
      <c r="H13" s="176"/>
      <c r="I13" s="141">
        <v>12.5</v>
      </c>
      <c r="J13" s="176">
        <f t="shared" ref="J13:J15" si="0">F13/I13</f>
        <v>0</v>
      </c>
      <c r="K13" s="23">
        <f t="shared" ref="K13:K15" si="1">J13-H13</f>
        <v>0</v>
      </c>
      <c r="L13" s="148"/>
      <c r="M13" s="150"/>
    </row>
    <row r="14" spans="1:13" x14ac:dyDescent="0.35">
      <c r="A14" s="1"/>
      <c r="B14" s="57"/>
      <c r="C14" s="3"/>
      <c r="D14" s="3" t="s">
        <v>114</v>
      </c>
      <c r="E14" s="138" t="s">
        <v>65</v>
      </c>
      <c r="F14" s="203">
        <v>95485</v>
      </c>
      <c r="G14" s="76" t="s">
        <v>131</v>
      </c>
      <c r="H14" s="176">
        <v>11220</v>
      </c>
      <c r="I14" s="141">
        <v>17.5</v>
      </c>
      <c r="J14" s="176">
        <f t="shared" si="0"/>
        <v>5456.2857142857147</v>
      </c>
      <c r="K14" s="23">
        <f t="shared" si="1"/>
        <v>-5763.7142857142853</v>
      </c>
      <c r="L14" s="148"/>
      <c r="M14" s="150"/>
    </row>
    <row r="15" spans="1:13" x14ac:dyDescent="0.35">
      <c r="A15" s="1"/>
      <c r="B15" s="57"/>
      <c r="C15" s="3"/>
      <c r="D15" s="3" t="s">
        <v>115</v>
      </c>
      <c r="E15" s="138"/>
      <c r="F15" s="203"/>
      <c r="G15" s="76"/>
      <c r="H15" s="176"/>
      <c r="I15" s="141">
        <v>15</v>
      </c>
      <c r="J15" s="176">
        <f t="shared" si="0"/>
        <v>0</v>
      </c>
      <c r="K15" s="23">
        <f t="shared" si="1"/>
        <v>0</v>
      </c>
      <c r="L15" s="148"/>
      <c r="M15" s="150"/>
    </row>
    <row r="16" spans="1:13" x14ac:dyDescent="0.35">
      <c r="A16" s="1"/>
      <c r="B16" s="57"/>
      <c r="C16" s="3"/>
      <c r="D16" s="3"/>
      <c r="E16" s="138"/>
      <c r="F16" s="203"/>
      <c r="G16" s="76"/>
      <c r="H16" s="176"/>
      <c r="I16" s="141"/>
      <c r="J16" s="176"/>
      <c r="K16" s="23"/>
      <c r="L16" s="148"/>
      <c r="M16" s="150"/>
    </row>
    <row r="17" spans="1:13" x14ac:dyDescent="0.35">
      <c r="A17" s="1"/>
      <c r="B17" s="57"/>
      <c r="C17" s="134" t="s">
        <v>185</v>
      </c>
      <c r="D17" s="3"/>
      <c r="E17" s="138"/>
      <c r="F17" s="203"/>
      <c r="G17" s="76"/>
      <c r="H17" s="176"/>
      <c r="I17" s="141"/>
      <c r="J17" s="176"/>
      <c r="K17" s="23"/>
      <c r="L17" s="148"/>
      <c r="M17" s="150"/>
    </row>
    <row r="18" spans="1:13" x14ac:dyDescent="0.35">
      <c r="A18" s="1"/>
      <c r="B18" s="57"/>
      <c r="C18" s="3"/>
      <c r="D18" s="3" t="s">
        <v>186</v>
      </c>
      <c r="E18" s="138"/>
      <c r="F18" s="203"/>
      <c r="G18" s="76"/>
      <c r="H18" s="176"/>
      <c r="I18" s="141">
        <v>62.5</v>
      </c>
      <c r="J18" s="176">
        <f t="shared" ref="J18:J19" si="2">F18/I18</f>
        <v>0</v>
      </c>
      <c r="K18" s="23">
        <f t="shared" ref="K18:K19" si="3">J18-H18</f>
        <v>0</v>
      </c>
      <c r="L18" s="148"/>
      <c r="M18" s="150"/>
    </row>
    <row r="19" spans="1:13" x14ac:dyDescent="0.35">
      <c r="A19" s="1"/>
      <c r="B19" s="57"/>
      <c r="C19" s="3"/>
      <c r="D19" s="3" t="s">
        <v>187</v>
      </c>
      <c r="E19" s="138"/>
      <c r="F19" s="203"/>
      <c r="G19" s="76"/>
      <c r="H19" s="176"/>
      <c r="I19" s="141">
        <v>62.5</v>
      </c>
      <c r="J19" s="176">
        <f t="shared" si="2"/>
        <v>0</v>
      </c>
      <c r="K19" s="23">
        <f t="shared" si="3"/>
        <v>0</v>
      </c>
      <c r="L19" s="148"/>
      <c r="M19" s="150"/>
    </row>
    <row r="20" spans="1:13" x14ac:dyDescent="0.35">
      <c r="A20" s="1"/>
      <c r="B20" s="57"/>
      <c r="C20" s="133"/>
      <c r="D20" s="133"/>
      <c r="E20" s="133"/>
      <c r="F20" s="202"/>
      <c r="G20" s="27"/>
      <c r="H20" s="193"/>
      <c r="I20" s="27"/>
      <c r="J20" s="193"/>
      <c r="K20" s="133"/>
      <c r="L20" s="148"/>
      <c r="M20" s="150"/>
    </row>
    <row r="21" spans="1:13" x14ac:dyDescent="0.35">
      <c r="A21" s="1"/>
      <c r="B21" s="57"/>
      <c r="C21" s="134" t="s">
        <v>106</v>
      </c>
      <c r="D21" s="3"/>
      <c r="E21" s="138"/>
      <c r="G21" s="142"/>
      <c r="H21" s="177"/>
      <c r="I21" s="142"/>
      <c r="J21" s="177"/>
      <c r="K21" s="2"/>
      <c r="L21" s="148"/>
      <c r="M21" s="150"/>
    </row>
    <row r="22" spans="1:13" x14ac:dyDescent="0.35">
      <c r="A22" s="1"/>
      <c r="B22" s="57"/>
      <c r="C22" s="134"/>
      <c r="D22" s="3" t="s">
        <v>111</v>
      </c>
      <c r="E22" s="138"/>
      <c r="F22" s="203"/>
      <c r="G22" s="76"/>
      <c r="H22" s="176"/>
      <c r="I22" s="141">
        <v>37.5</v>
      </c>
      <c r="J22" s="176">
        <f>F22/I22</f>
        <v>0</v>
      </c>
      <c r="K22" s="23">
        <f>J22-H22</f>
        <v>0</v>
      </c>
      <c r="L22" s="148"/>
      <c r="M22" s="150"/>
    </row>
    <row r="23" spans="1:13" x14ac:dyDescent="0.35">
      <c r="A23" s="1"/>
      <c r="B23" s="57"/>
      <c r="C23" s="3"/>
      <c r="D23" s="3" t="s">
        <v>116</v>
      </c>
      <c r="E23" s="138">
        <v>44559</v>
      </c>
      <c r="F23" s="203">
        <v>19205</v>
      </c>
      <c r="G23" s="76">
        <v>10</v>
      </c>
      <c r="H23" s="176"/>
      <c r="I23" s="141">
        <v>10</v>
      </c>
      <c r="J23" s="177">
        <f>F23/I23</f>
        <v>1920.5</v>
      </c>
      <c r="K23" s="23">
        <f>J23-H23</f>
        <v>1920.5</v>
      </c>
      <c r="L23" s="148"/>
      <c r="M23" s="150"/>
    </row>
    <row r="24" spans="1:13" x14ac:dyDescent="0.35">
      <c r="A24" s="1"/>
      <c r="B24" s="57"/>
      <c r="C24" s="3"/>
      <c r="D24" s="3" t="s">
        <v>117</v>
      </c>
      <c r="E24" s="138"/>
      <c r="G24" s="142"/>
      <c r="H24" s="176"/>
      <c r="I24" s="141">
        <v>20</v>
      </c>
      <c r="J24" s="177">
        <f>F24/I24</f>
        <v>0</v>
      </c>
      <c r="K24" s="23">
        <f>J24-H24</f>
        <v>0</v>
      </c>
      <c r="L24" s="148"/>
      <c r="M24" s="150"/>
    </row>
    <row r="25" spans="1:13" x14ac:dyDescent="0.35">
      <c r="A25" s="1"/>
      <c r="B25" s="57"/>
      <c r="C25" s="133"/>
      <c r="D25" s="133"/>
      <c r="E25" s="133"/>
      <c r="G25" s="142"/>
      <c r="H25" s="177"/>
      <c r="I25" s="142"/>
      <c r="J25" s="177"/>
      <c r="K25" s="2"/>
      <c r="L25" s="148"/>
      <c r="M25" s="150"/>
    </row>
    <row r="26" spans="1:13" x14ac:dyDescent="0.35">
      <c r="A26" s="1"/>
      <c r="B26" s="57"/>
      <c r="C26" s="134" t="s">
        <v>107</v>
      </c>
      <c r="D26" s="3"/>
      <c r="E26" s="138"/>
      <c r="G26" s="141"/>
      <c r="H26" s="177"/>
      <c r="I26" s="141"/>
      <c r="J26" s="177"/>
      <c r="K26" s="2"/>
      <c r="L26" s="148"/>
      <c r="M26" s="150"/>
    </row>
    <row r="27" spans="1:13" x14ac:dyDescent="0.35">
      <c r="A27" s="1"/>
      <c r="B27" s="57"/>
      <c r="C27" s="134"/>
      <c r="D27" s="3" t="s">
        <v>118</v>
      </c>
      <c r="E27" s="138" t="s">
        <v>65</v>
      </c>
      <c r="F27" s="203">
        <v>112060</v>
      </c>
      <c r="G27" s="76" t="s">
        <v>131</v>
      </c>
      <c r="H27" s="176">
        <v>2801</v>
      </c>
      <c r="I27" s="141">
        <v>50</v>
      </c>
      <c r="J27" s="176">
        <f t="shared" ref="J27:J35" si="4">F27/I27</f>
        <v>2241.1999999999998</v>
      </c>
      <c r="K27" s="23">
        <f>J27-H27</f>
        <v>-559.80000000000018</v>
      </c>
      <c r="L27" s="148"/>
      <c r="M27" s="150"/>
    </row>
    <row r="28" spans="1:13" x14ac:dyDescent="0.35">
      <c r="A28" s="1"/>
      <c r="B28" s="57"/>
      <c r="C28" s="134"/>
      <c r="D28" s="3" t="s">
        <v>119</v>
      </c>
      <c r="E28" s="138" t="s">
        <v>65</v>
      </c>
      <c r="F28" s="203">
        <v>7370180</v>
      </c>
      <c r="G28" s="76" t="s">
        <v>131</v>
      </c>
      <c r="H28" s="176">
        <v>180814</v>
      </c>
      <c r="I28" s="141">
        <v>62.5</v>
      </c>
      <c r="J28" s="176">
        <f t="shared" si="4"/>
        <v>117922.88</v>
      </c>
      <c r="K28" s="23">
        <f t="shared" ref="K28:K35" si="5">J28-H28</f>
        <v>-62891.119999999995</v>
      </c>
      <c r="L28" s="148"/>
      <c r="M28" s="150"/>
    </row>
    <row r="29" spans="1:13" x14ac:dyDescent="0.35">
      <c r="A29" s="1"/>
      <c r="B29" s="57"/>
      <c r="C29" s="134"/>
      <c r="D29" s="3" t="s">
        <v>120</v>
      </c>
      <c r="E29" s="138" t="s">
        <v>65</v>
      </c>
      <c r="F29" s="203">
        <v>91210</v>
      </c>
      <c r="G29" s="76" t="s">
        <v>131</v>
      </c>
      <c r="H29" s="176">
        <v>8835</v>
      </c>
      <c r="I29" s="141">
        <v>45</v>
      </c>
      <c r="J29" s="176">
        <f t="shared" si="4"/>
        <v>2026.8888888888889</v>
      </c>
      <c r="K29" s="23">
        <f t="shared" si="5"/>
        <v>-6808.1111111111113</v>
      </c>
      <c r="L29" s="148"/>
      <c r="M29" s="150"/>
    </row>
    <row r="30" spans="1:13" x14ac:dyDescent="0.35">
      <c r="A30" s="1"/>
      <c r="B30" s="57"/>
      <c r="C30" s="134"/>
      <c r="D30" s="3" t="s">
        <v>121</v>
      </c>
      <c r="E30" s="138"/>
      <c r="F30" s="203">
        <v>221895</v>
      </c>
      <c r="G30" s="76"/>
      <c r="H30" s="176">
        <v>20434</v>
      </c>
      <c r="I30" s="141">
        <v>15</v>
      </c>
      <c r="J30" s="176">
        <f t="shared" si="4"/>
        <v>14793</v>
      </c>
      <c r="K30" s="23">
        <f t="shared" si="5"/>
        <v>-5641</v>
      </c>
      <c r="L30" s="148"/>
      <c r="M30" s="150"/>
    </row>
    <row r="31" spans="1:13" x14ac:dyDescent="0.35">
      <c r="A31" s="1"/>
      <c r="B31" s="57"/>
      <c r="C31" s="134"/>
      <c r="D31" s="3" t="s">
        <v>122</v>
      </c>
      <c r="E31" s="138"/>
      <c r="F31" s="203"/>
      <c r="G31" s="76"/>
      <c r="H31" s="176"/>
      <c r="I31" s="141">
        <v>20</v>
      </c>
      <c r="J31" s="176">
        <f t="shared" si="4"/>
        <v>0</v>
      </c>
      <c r="K31" s="23">
        <f t="shared" si="5"/>
        <v>0</v>
      </c>
      <c r="L31" s="148"/>
      <c r="M31" s="150"/>
    </row>
    <row r="32" spans="1:13" x14ac:dyDescent="0.35">
      <c r="A32" s="1"/>
      <c r="B32" s="57"/>
      <c r="C32" s="134"/>
      <c r="D32" s="3" t="s">
        <v>123</v>
      </c>
      <c r="E32" s="138"/>
      <c r="F32" s="203"/>
      <c r="G32" s="76"/>
      <c r="H32" s="176"/>
      <c r="I32" s="141">
        <v>37.5</v>
      </c>
      <c r="J32" s="176">
        <v>0</v>
      </c>
      <c r="K32" s="23">
        <f t="shared" si="5"/>
        <v>0</v>
      </c>
      <c r="L32" s="148"/>
      <c r="M32" s="150"/>
    </row>
    <row r="33" spans="1:14" x14ac:dyDescent="0.35">
      <c r="A33" s="1"/>
      <c r="B33" s="57"/>
      <c r="C33" s="134"/>
      <c r="D33" s="3" t="s">
        <v>124</v>
      </c>
      <c r="E33" s="138"/>
      <c r="F33" s="203"/>
      <c r="G33" s="76"/>
      <c r="H33" s="176"/>
      <c r="I33" s="141">
        <v>40</v>
      </c>
      <c r="J33" s="176">
        <f t="shared" si="4"/>
        <v>0</v>
      </c>
      <c r="K33" s="23">
        <f t="shared" si="5"/>
        <v>0</v>
      </c>
      <c r="L33" s="148"/>
      <c r="M33" s="150"/>
    </row>
    <row r="34" spans="1:14" x14ac:dyDescent="0.35">
      <c r="A34" s="1"/>
      <c r="B34" s="57"/>
      <c r="C34" s="134"/>
      <c r="D34" s="3" t="s">
        <v>125</v>
      </c>
      <c r="E34" s="138" t="s">
        <v>65</v>
      </c>
      <c r="F34" s="203">
        <v>646276</v>
      </c>
      <c r="G34" s="76" t="s">
        <v>131</v>
      </c>
      <c r="H34" s="176">
        <v>16157</v>
      </c>
      <c r="I34" s="141">
        <v>45</v>
      </c>
      <c r="J34" s="176">
        <f t="shared" si="4"/>
        <v>14361.68888888889</v>
      </c>
      <c r="K34" s="23">
        <f t="shared" si="5"/>
        <v>-1795.3111111111102</v>
      </c>
      <c r="L34" s="148"/>
      <c r="M34" s="150"/>
    </row>
    <row r="35" spans="1:14" x14ac:dyDescent="0.35">
      <c r="A35" s="1"/>
      <c r="B35" s="57"/>
      <c r="C35" s="134"/>
      <c r="D35" s="3" t="s">
        <v>126</v>
      </c>
      <c r="E35" s="138" t="s">
        <v>65</v>
      </c>
      <c r="F35" s="203">
        <v>39277</v>
      </c>
      <c r="G35" s="76" t="s">
        <v>131</v>
      </c>
      <c r="H35" s="176">
        <v>3928</v>
      </c>
      <c r="I35" s="141">
        <v>15</v>
      </c>
      <c r="J35" s="176">
        <f t="shared" si="4"/>
        <v>2618.4666666666667</v>
      </c>
      <c r="K35" s="23">
        <f t="shared" si="5"/>
        <v>-1309.5333333333333</v>
      </c>
      <c r="L35" s="148"/>
      <c r="M35" s="150"/>
    </row>
    <row r="36" spans="1:14" x14ac:dyDescent="0.35">
      <c r="A36" s="1"/>
      <c r="B36" s="57"/>
      <c r="C36" s="134"/>
      <c r="E36" s="138"/>
      <c r="G36" s="142"/>
      <c r="H36" s="177"/>
      <c r="I36" s="142"/>
      <c r="J36" s="177"/>
      <c r="K36" s="23"/>
      <c r="L36" s="148"/>
      <c r="M36" s="150"/>
    </row>
    <row r="37" spans="1:14" x14ac:dyDescent="0.35">
      <c r="A37" s="1"/>
      <c r="B37" s="57"/>
      <c r="C37" s="134" t="s">
        <v>108</v>
      </c>
      <c r="E37" s="138"/>
      <c r="G37" s="141"/>
      <c r="H37" s="177"/>
      <c r="I37" s="146"/>
      <c r="J37" s="177"/>
      <c r="K37" s="2"/>
      <c r="L37" s="148"/>
      <c r="M37" s="150"/>
    </row>
    <row r="38" spans="1:14" x14ac:dyDescent="0.35">
      <c r="A38" s="1"/>
      <c r="B38" s="57"/>
      <c r="C38" s="3"/>
      <c r="D38" s="1" t="s">
        <v>127</v>
      </c>
      <c r="E38" s="138" t="s">
        <v>65</v>
      </c>
      <c r="F38" s="198">
        <v>58642</v>
      </c>
      <c r="G38" s="141" t="s">
        <v>131</v>
      </c>
      <c r="H38" s="177">
        <f>2479+5780</f>
        <v>8259</v>
      </c>
      <c r="I38" s="146">
        <v>7</v>
      </c>
      <c r="J38" s="177">
        <f>F38/I38</f>
        <v>8377.4285714285706</v>
      </c>
      <c r="K38" s="2">
        <f>J38-H38</f>
        <v>118.42857142857065</v>
      </c>
      <c r="L38" s="148"/>
      <c r="M38" s="150"/>
    </row>
    <row r="39" spans="1:14" x14ac:dyDescent="0.35">
      <c r="A39" s="1"/>
      <c r="B39" s="57"/>
      <c r="C39" s="133"/>
      <c r="D39" s="133"/>
      <c r="E39" s="133"/>
      <c r="G39" s="142"/>
      <c r="H39" s="177"/>
      <c r="I39" s="142"/>
      <c r="J39" s="177"/>
      <c r="K39" s="2"/>
      <c r="L39" s="148"/>
      <c r="M39" s="150"/>
    </row>
    <row r="40" spans="1:14" x14ac:dyDescent="0.35">
      <c r="A40" s="1"/>
      <c r="B40" s="57"/>
      <c r="C40" s="134" t="s">
        <v>109</v>
      </c>
      <c r="D40" s="3"/>
      <c r="E40" s="138"/>
      <c r="G40" s="143"/>
      <c r="H40" s="177"/>
      <c r="I40" s="141"/>
      <c r="J40" s="177"/>
      <c r="K40" s="2"/>
      <c r="L40" s="148"/>
      <c r="M40" s="150"/>
    </row>
    <row r="41" spans="1:14" x14ac:dyDescent="0.35">
      <c r="A41" s="1"/>
      <c r="B41" s="57"/>
      <c r="C41" s="134"/>
      <c r="D41" s="1" t="s">
        <v>183</v>
      </c>
      <c r="E41" s="138"/>
      <c r="G41" s="141"/>
      <c r="H41" s="177"/>
      <c r="I41" s="146">
        <v>62.5</v>
      </c>
      <c r="J41" s="177">
        <f>F41/I41</f>
        <v>0</v>
      </c>
      <c r="K41" s="2">
        <f>J41-H41</f>
        <v>0</v>
      </c>
      <c r="L41" s="148"/>
      <c r="M41" s="150"/>
    </row>
    <row r="42" spans="1:14" x14ac:dyDescent="0.35">
      <c r="A42" s="1"/>
      <c r="B42" s="57"/>
      <c r="C42" s="134"/>
      <c r="D42" s="1" t="s">
        <v>184</v>
      </c>
      <c r="E42" s="138"/>
      <c r="G42" s="141"/>
      <c r="H42" s="177"/>
      <c r="I42" s="146">
        <v>27.5</v>
      </c>
      <c r="J42" s="177">
        <f>F42/I42</f>
        <v>0</v>
      </c>
      <c r="K42" s="2">
        <f>J42-H42</f>
        <v>0</v>
      </c>
      <c r="L42" s="148"/>
      <c r="M42" s="150"/>
    </row>
    <row r="43" spans="1:14" x14ac:dyDescent="0.35">
      <c r="A43" s="1"/>
      <c r="B43" s="57"/>
      <c r="C43" s="3"/>
      <c r="D43" s="3"/>
      <c r="E43" s="3"/>
      <c r="G43" s="2"/>
      <c r="H43" s="176"/>
      <c r="I43" s="2"/>
      <c r="J43" s="197"/>
      <c r="K43" s="2"/>
      <c r="L43" s="148"/>
      <c r="M43" s="150"/>
    </row>
    <row r="44" spans="1:14" x14ac:dyDescent="0.35">
      <c r="A44" s="1"/>
      <c r="B44" s="57"/>
      <c r="C44" s="135" t="s">
        <v>71</v>
      </c>
      <c r="F44" s="195">
        <f>SUM(F10:F43)</f>
        <v>8868535</v>
      </c>
      <c r="G44" s="144"/>
      <c r="H44" s="195">
        <f>SUM(H10:H43)</f>
        <v>262476</v>
      </c>
      <c r="I44" s="145"/>
      <c r="J44" s="195">
        <f>SUM(J10:J43)</f>
        <v>177447.97206349208</v>
      </c>
      <c r="K44" s="145">
        <f>SUM(K10:K43)</f>
        <v>-85028.027936507933</v>
      </c>
      <c r="L44" s="148"/>
      <c r="M44" s="150"/>
      <c r="N44" s="21"/>
    </row>
    <row r="45" spans="1:14" x14ac:dyDescent="0.35">
      <c r="A45" s="1"/>
      <c r="B45" s="130"/>
      <c r="C45" s="136"/>
      <c r="D45" s="136"/>
      <c r="E45" s="136"/>
      <c r="F45" s="204"/>
      <c r="G45" s="136"/>
      <c r="H45" s="196"/>
      <c r="I45" s="136"/>
      <c r="J45" s="196"/>
      <c r="K45" s="136"/>
      <c r="L45" s="149"/>
      <c r="M45" s="151"/>
    </row>
    <row r="46" spans="1:14" x14ac:dyDescent="0.35">
      <c r="A46" s="1"/>
      <c r="B46" s="1"/>
      <c r="C46" s="3"/>
      <c r="D46" s="3"/>
      <c r="E46" s="3"/>
      <c r="G46" s="3"/>
      <c r="H46" s="197"/>
      <c r="I46" s="3"/>
      <c r="J46" s="197"/>
      <c r="K46" s="3"/>
      <c r="L46" s="3"/>
      <c r="M46" s="3"/>
    </row>
    <row r="47" spans="1:14" x14ac:dyDescent="0.35">
      <c r="D47" s="3" t="s">
        <v>128</v>
      </c>
    </row>
    <row r="50" spans="4:15" x14ac:dyDescent="0.35">
      <c r="D50" s="1" t="s">
        <v>188</v>
      </c>
      <c r="F50" s="198">
        <f>J44</f>
        <v>177447.97206349208</v>
      </c>
    </row>
    <row r="51" spans="4:15" ht="17" x14ac:dyDescent="0.5">
      <c r="D51" s="1" t="s">
        <v>189</v>
      </c>
      <c r="F51" s="205">
        <f>-SAO!D36</f>
        <v>-262481</v>
      </c>
      <c r="G51" s="1" t="s">
        <v>290</v>
      </c>
    </row>
    <row r="52" spans="4:15" x14ac:dyDescent="0.35">
      <c r="D52" s="1" t="s">
        <v>190</v>
      </c>
      <c r="F52" s="198">
        <f>F50+F51</f>
        <v>-85033.027936507919</v>
      </c>
      <c r="G52" s="21" t="s">
        <v>289</v>
      </c>
    </row>
    <row r="60" spans="4:15" x14ac:dyDescent="0.35">
      <c r="F60" s="1"/>
      <c r="G60" s="198"/>
      <c r="H60" s="1"/>
      <c r="I60" s="194"/>
      <c r="J60"/>
      <c r="K60" s="194"/>
      <c r="L60">
        <v>650</v>
      </c>
      <c r="O60">
        <f>10129-650</f>
        <v>9479</v>
      </c>
    </row>
    <row r="61" spans="4:15" x14ac:dyDescent="0.35">
      <c r="E61" s="1">
        <v>22896</v>
      </c>
      <c r="F61" s="1"/>
      <c r="G61" s="198"/>
      <c r="H61" s="1"/>
      <c r="I61" s="194">
        <v>0</v>
      </c>
      <c r="J61"/>
      <c r="K61" s="194"/>
      <c r="O61"/>
    </row>
    <row r="62" spans="4:15" x14ac:dyDescent="0.35">
      <c r="E62" s="1">
        <v>24960</v>
      </c>
      <c r="F62" s="1"/>
      <c r="G62" s="198"/>
      <c r="H62" s="1"/>
      <c r="I62" s="194">
        <v>0</v>
      </c>
      <c r="J62"/>
      <c r="K62" s="194"/>
      <c r="L62">
        <v>333</v>
      </c>
      <c r="O62">
        <f>4496-333</f>
        <v>4163</v>
      </c>
    </row>
    <row r="63" spans="4:15" x14ac:dyDescent="0.35">
      <c r="E63" s="1">
        <v>30784</v>
      </c>
      <c r="F63" s="1"/>
      <c r="G63" s="198"/>
      <c r="H63" s="1"/>
      <c r="I63" s="194">
        <v>0</v>
      </c>
      <c r="J63"/>
      <c r="K63" s="194"/>
      <c r="O63"/>
    </row>
    <row r="64" spans="4:15" x14ac:dyDescent="0.35">
      <c r="E64" s="1">
        <v>29742</v>
      </c>
      <c r="F64" s="1">
        <v>7</v>
      </c>
      <c r="G64" s="198">
        <f>E64/F64</f>
        <v>4248.8571428571431</v>
      </c>
      <c r="H64" s="208">
        <f>G64*5</f>
        <v>21244.285714285717</v>
      </c>
      <c r="I64" s="194">
        <v>2480</v>
      </c>
      <c r="J64"/>
      <c r="K64" s="194"/>
      <c r="O64">
        <f>27262-2480</f>
        <v>24782</v>
      </c>
    </row>
    <row r="65" spans="5:15" x14ac:dyDescent="0.35">
      <c r="E65" s="1">
        <v>28900</v>
      </c>
      <c r="F65" s="1">
        <v>7</v>
      </c>
      <c r="G65" s="198">
        <f t="shared" ref="G65" si="6">E65/F65</f>
        <v>4128.5714285714284</v>
      </c>
      <c r="H65" s="208">
        <f>G65*2</f>
        <v>8257.1428571428569</v>
      </c>
      <c r="I65" s="194">
        <v>5780</v>
      </c>
      <c r="J65"/>
      <c r="K65" s="194"/>
      <c r="O65">
        <f>10597-5780</f>
        <v>4817</v>
      </c>
    </row>
    <row r="66" spans="5:15" x14ac:dyDescent="0.35">
      <c r="E66" s="1">
        <f>SUM(E61:E65)</f>
        <v>137282</v>
      </c>
      <c r="F66" s="1"/>
      <c r="G66" s="198"/>
      <c r="H66" s="1"/>
      <c r="I66" s="194">
        <f>SUM(I61:I65)</f>
        <v>8260</v>
      </c>
      <c r="J66"/>
      <c r="K66" s="194"/>
      <c r="L66">
        <v>715</v>
      </c>
      <c r="O66">
        <v>5422</v>
      </c>
    </row>
    <row r="67" spans="5:15" x14ac:dyDescent="0.35">
      <c r="E67" s="1">
        <f>E66/7</f>
        <v>19611.714285714286</v>
      </c>
      <c r="F67" s="1"/>
      <c r="G67" s="198"/>
      <c r="H67" s="1"/>
      <c r="I67" s="194"/>
      <c r="J67"/>
      <c r="K67" s="194"/>
      <c r="L67">
        <v>290</v>
      </c>
      <c r="O67">
        <v>894</v>
      </c>
    </row>
    <row r="68" spans="5:15" x14ac:dyDescent="0.35">
      <c r="F68" s="1"/>
      <c r="G68" s="198"/>
      <c r="H68" s="1"/>
      <c r="I68" s="194"/>
      <c r="J68"/>
      <c r="K68" s="194"/>
      <c r="O68"/>
    </row>
    <row r="69" spans="5:15" x14ac:dyDescent="0.35">
      <c r="F69" s="1"/>
      <c r="G69" s="198"/>
      <c r="H69" s="1"/>
      <c r="I69" s="194"/>
      <c r="J69"/>
      <c r="K69" s="194"/>
      <c r="L69">
        <f>SUM(L60:L68)</f>
        <v>1988</v>
      </c>
      <c r="O69">
        <f>SUM(O60:O67)</f>
        <v>49557</v>
      </c>
    </row>
  </sheetData>
  <mergeCells count="5">
    <mergeCell ref="C3:K3"/>
    <mergeCell ref="C4:K4"/>
    <mergeCell ref="C5:K5"/>
    <mergeCell ref="G7:H7"/>
    <mergeCell ref="I7:J7"/>
  </mergeCells>
  <pageMargins left="0.7" right="0.7" top="0.75" bottom="0.75" header="0.3" footer="0.3"/>
  <pageSetup scale="76"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7B32F-4CA1-4F84-B54A-FE6CF749D13D}">
  <sheetPr>
    <tabColor rgb="FF92D050"/>
  </sheetPr>
  <dimension ref="A1:E9"/>
  <sheetViews>
    <sheetView workbookViewId="0">
      <selection activeCell="D7" sqref="D7"/>
    </sheetView>
  </sheetViews>
  <sheetFormatPr defaultRowHeight="15.5" x14ac:dyDescent="0.35"/>
  <sheetData>
    <row r="1" spans="1:5" x14ac:dyDescent="0.35">
      <c r="A1" s="1" t="s">
        <v>169</v>
      </c>
      <c r="B1" s="1"/>
      <c r="C1" s="1"/>
      <c r="D1" s="1"/>
    </row>
    <row r="2" spans="1:5" x14ac:dyDescent="0.35">
      <c r="A2" s="1"/>
      <c r="B2" s="1"/>
      <c r="C2" s="1"/>
      <c r="D2" s="1"/>
    </row>
    <row r="3" spans="1:5" x14ac:dyDescent="0.35">
      <c r="A3" s="1" t="s">
        <v>172</v>
      </c>
      <c r="B3" s="1"/>
      <c r="C3" s="184">
        <f>(26*1175)+(2*1250)</f>
        <v>33050</v>
      </c>
      <c r="D3" s="1"/>
      <c r="E3" s="186" t="s">
        <v>234</v>
      </c>
    </row>
    <row r="4" spans="1:5" x14ac:dyDescent="0.35">
      <c r="A4" s="1"/>
      <c r="B4" s="1"/>
      <c r="C4" s="1"/>
      <c r="D4" s="1"/>
    </row>
    <row r="5" spans="1:5" x14ac:dyDescent="0.35">
      <c r="A5" s="1" t="s">
        <v>170</v>
      </c>
      <c r="B5" s="185">
        <v>0.3</v>
      </c>
      <c r="C5" s="184">
        <f>B5*C3</f>
        <v>9915</v>
      </c>
      <c r="D5" s="21" t="s">
        <v>161</v>
      </c>
    </row>
    <row r="6" spans="1:5" x14ac:dyDescent="0.35">
      <c r="A6" s="1" t="s">
        <v>171</v>
      </c>
      <c r="B6" s="185">
        <v>0.7</v>
      </c>
      <c r="C6" s="184">
        <f>B6*C3</f>
        <v>23135</v>
      </c>
      <c r="D6" s="21" t="s">
        <v>161</v>
      </c>
    </row>
    <row r="8" spans="1:5" x14ac:dyDescent="0.35">
      <c r="A8" s="1" t="s">
        <v>204</v>
      </c>
    </row>
    <row r="9" spans="1:5" x14ac:dyDescent="0.35">
      <c r="A9" s="1" t="s">
        <v>205</v>
      </c>
    </row>
  </sheetData>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52889-0321-45D3-A9A4-AE60C9D6113F}">
  <sheetPr>
    <tabColor rgb="FF92D050"/>
  </sheetPr>
  <dimension ref="A1:K35"/>
  <sheetViews>
    <sheetView showGridLines="0" topLeftCell="A15" workbookViewId="0">
      <selection activeCell="B38" sqref="B38"/>
    </sheetView>
  </sheetViews>
  <sheetFormatPr defaultColWidth="8.84375" defaultRowHeight="14" x14ac:dyDescent="0.3"/>
  <cols>
    <col min="1" max="1" width="22.07421875" style="157" customWidth="1"/>
    <col min="2" max="2" width="9.84375" style="158" bestFit="1" customWidth="1"/>
    <col min="3" max="3" width="9.69140625" style="158" bestFit="1" customWidth="1"/>
    <col min="4" max="4" width="10.69140625" style="157" customWidth="1"/>
    <col min="5" max="7" width="8.84375" style="157"/>
    <col min="8" max="8" width="9" style="157" bestFit="1" customWidth="1"/>
    <col min="9" max="9" width="9.921875" style="157" bestFit="1" customWidth="1"/>
    <col min="10" max="10" width="11.69140625" style="157" bestFit="1" customWidth="1"/>
    <col min="11" max="11" width="10.3046875" style="157" customWidth="1"/>
    <col min="12" max="16384" width="8.84375" style="157"/>
  </cols>
  <sheetData>
    <row r="1" spans="1:11" ht="14.5" x14ac:dyDescent="0.35">
      <c r="A1" s="1" t="s">
        <v>138</v>
      </c>
      <c r="B1" s="7"/>
      <c r="C1" s="7"/>
      <c r="D1" s="1"/>
      <c r="E1" s="1"/>
      <c r="F1" s="1"/>
      <c r="G1" s="1"/>
      <c r="H1" s="157" t="s">
        <v>145</v>
      </c>
      <c r="J1" s="280" t="s">
        <v>277</v>
      </c>
      <c r="K1" s="281" t="s">
        <v>278</v>
      </c>
    </row>
    <row r="2" spans="1:11" ht="14.5" x14ac:dyDescent="0.35">
      <c r="A2" s="1" t="s">
        <v>144</v>
      </c>
      <c r="B2" s="7"/>
      <c r="C2" s="7">
        <v>0</v>
      </c>
      <c r="D2" s="1"/>
      <c r="E2" s="1"/>
      <c r="F2" s="1"/>
      <c r="G2" s="1"/>
      <c r="H2" s="157" t="s">
        <v>13</v>
      </c>
      <c r="I2" s="157">
        <v>3.17</v>
      </c>
      <c r="J2" s="279">
        <v>3.4</v>
      </c>
      <c r="K2" s="281" t="s">
        <v>42</v>
      </c>
    </row>
    <row r="3" spans="1:11" ht="14.5" x14ac:dyDescent="0.35">
      <c r="A3" s="1" t="s">
        <v>145</v>
      </c>
      <c r="B3" s="7"/>
      <c r="C3" s="5">
        <v>157586</v>
      </c>
      <c r="D3" s="1"/>
      <c r="E3" s="1"/>
      <c r="F3" s="1"/>
      <c r="G3" s="1" t="s">
        <v>263</v>
      </c>
      <c r="H3" s="157">
        <v>125576600</v>
      </c>
      <c r="I3" s="271">
        <f>(H3/1000)*I2</f>
        <v>398077.82199999999</v>
      </c>
      <c r="J3" s="271">
        <f>(H3/1000)*J2</f>
        <v>426960.44</v>
      </c>
      <c r="K3" s="271">
        <f>J3-I3</f>
        <v>28882.618000000017</v>
      </c>
    </row>
    <row r="4" spans="1:11" ht="14.5" x14ac:dyDescent="0.35">
      <c r="A4" s="1" t="s">
        <v>146</v>
      </c>
      <c r="B4" s="7"/>
      <c r="C4" s="7">
        <f>C2+C3</f>
        <v>157586</v>
      </c>
      <c r="D4" s="1"/>
      <c r="E4" s="1"/>
      <c r="F4" s="1"/>
      <c r="G4" s="1" t="s">
        <v>264</v>
      </c>
      <c r="H4" s="157">
        <v>32009400</v>
      </c>
      <c r="I4" s="271"/>
      <c r="J4" s="271"/>
      <c r="K4" s="271"/>
    </row>
    <row r="5" spans="1:11" ht="14.5" x14ac:dyDescent="0.35">
      <c r="A5" s="1"/>
      <c r="B5" s="7"/>
      <c r="C5" s="7"/>
      <c r="D5" s="1"/>
      <c r="E5" s="1"/>
      <c r="F5" s="1"/>
      <c r="G5" s="1"/>
      <c r="I5" s="271"/>
      <c r="J5" s="271"/>
      <c r="K5" s="271"/>
    </row>
    <row r="6" spans="1:11" ht="14.5" x14ac:dyDescent="0.35">
      <c r="A6" s="1" t="s">
        <v>139</v>
      </c>
      <c r="B6" s="7"/>
      <c r="C6" s="7">
        <v>129973</v>
      </c>
      <c r="D6" s="1"/>
      <c r="E6" s="1"/>
      <c r="F6" s="1"/>
      <c r="G6" s="1"/>
    </row>
    <row r="7" spans="1:11" ht="14.5" x14ac:dyDescent="0.35">
      <c r="A7" s="1"/>
      <c r="B7" s="7"/>
      <c r="C7" s="7"/>
      <c r="D7" s="1"/>
      <c r="E7" s="1"/>
      <c r="F7" s="1"/>
      <c r="G7" s="1"/>
    </row>
    <row r="8" spans="1:11" ht="14.5" x14ac:dyDescent="0.35">
      <c r="A8" s="1" t="s">
        <v>140</v>
      </c>
      <c r="B8" s="7"/>
      <c r="C8" s="7"/>
      <c r="D8" s="1"/>
      <c r="E8" s="1"/>
      <c r="F8" s="1"/>
      <c r="G8" s="1"/>
    </row>
    <row r="9" spans="1:11" ht="14.5" x14ac:dyDescent="0.35">
      <c r="A9" s="1" t="s">
        <v>149</v>
      </c>
      <c r="B9" s="7">
        <v>0</v>
      </c>
      <c r="C9" s="7"/>
      <c r="D9" s="1"/>
      <c r="E9" s="1"/>
      <c r="F9" s="1"/>
      <c r="G9" s="1"/>
    </row>
    <row r="10" spans="1:11" ht="14.5" x14ac:dyDescent="0.35">
      <c r="A10" s="1" t="s">
        <v>150</v>
      </c>
      <c r="B10" s="7">
        <v>0</v>
      </c>
      <c r="C10" s="7"/>
      <c r="D10" s="1"/>
      <c r="E10" s="1"/>
      <c r="F10" s="1"/>
      <c r="G10" s="1"/>
    </row>
    <row r="11" spans="1:11" ht="14.5" x14ac:dyDescent="0.35">
      <c r="A11" s="1" t="s">
        <v>151</v>
      </c>
      <c r="B11" s="7">
        <v>0</v>
      </c>
      <c r="C11" s="7"/>
      <c r="D11" s="1"/>
      <c r="E11" s="1"/>
      <c r="F11" s="1"/>
      <c r="G11" s="1"/>
    </row>
    <row r="12" spans="1:11" ht="14.5" x14ac:dyDescent="0.35">
      <c r="A12" s="1" t="s">
        <v>152</v>
      </c>
      <c r="B12" s="7">
        <v>0</v>
      </c>
      <c r="C12" s="7"/>
      <c r="D12" s="1"/>
      <c r="E12" s="1"/>
      <c r="F12" s="1"/>
      <c r="G12" s="1"/>
    </row>
    <row r="13" spans="1:11" ht="14.5" x14ac:dyDescent="0.35">
      <c r="A13" s="1" t="s">
        <v>147</v>
      </c>
      <c r="B13" s="7"/>
      <c r="C13" s="7">
        <f>SUM(B9:B12)</f>
        <v>0</v>
      </c>
      <c r="D13" s="1"/>
      <c r="E13" s="1"/>
      <c r="F13" s="1"/>
      <c r="G13" s="1"/>
    </row>
    <row r="14" spans="1:11" ht="14.5" x14ac:dyDescent="0.35">
      <c r="A14" s="1"/>
      <c r="B14" s="7"/>
      <c r="C14" s="7"/>
      <c r="D14" s="1"/>
      <c r="E14" s="1"/>
      <c r="F14" s="1"/>
      <c r="G14" s="1"/>
    </row>
    <row r="15" spans="1:11" ht="14.5" x14ac:dyDescent="0.35">
      <c r="A15" s="1" t="s">
        <v>148</v>
      </c>
      <c r="B15" s="7"/>
      <c r="C15" s="7"/>
      <c r="D15" s="1"/>
      <c r="E15" s="1"/>
      <c r="F15" s="1"/>
      <c r="G15" s="1"/>
    </row>
    <row r="16" spans="1:11" ht="14.5" x14ac:dyDescent="0.35">
      <c r="A16" s="1" t="s">
        <v>153</v>
      </c>
      <c r="B16" s="7">
        <v>0</v>
      </c>
      <c r="C16" s="7"/>
      <c r="D16" s="1"/>
      <c r="E16" s="1"/>
      <c r="F16" s="1"/>
      <c r="G16" s="1"/>
    </row>
    <row r="17" spans="1:7" ht="14.5" x14ac:dyDescent="0.35">
      <c r="A17" s="1" t="s">
        <v>154</v>
      </c>
      <c r="B17" s="7">
        <v>0</v>
      </c>
      <c r="C17" s="7"/>
      <c r="D17" s="1"/>
      <c r="E17" s="1"/>
      <c r="F17" s="1"/>
      <c r="G17" s="1"/>
    </row>
    <row r="18" spans="1:7" ht="14.5" x14ac:dyDescent="0.35">
      <c r="A18" s="1" t="s">
        <v>155</v>
      </c>
      <c r="B18" s="7">
        <v>27613</v>
      </c>
      <c r="C18" s="7"/>
      <c r="D18" s="1"/>
      <c r="E18" s="1"/>
      <c r="F18" s="1"/>
      <c r="G18" s="1"/>
    </row>
    <row r="19" spans="1:7" ht="14.5" x14ac:dyDescent="0.35">
      <c r="A19" s="1" t="s">
        <v>194</v>
      </c>
      <c r="B19" s="7">
        <v>0</v>
      </c>
      <c r="C19" s="7"/>
      <c r="D19" s="1"/>
      <c r="E19" s="1"/>
      <c r="F19" s="1"/>
      <c r="G19" s="1"/>
    </row>
    <row r="20" spans="1:7" ht="14.5" x14ac:dyDescent="0.35">
      <c r="A20" s="1" t="s">
        <v>156</v>
      </c>
      <c r="B20" s="7">
        <v>0</v>
      </c>
      <c r="C20" s="7"/>
    </row>
    <row r="21" spans="1:7" ht="14.5" x14ac:dyDescent="0.35">
      <c r="A21" s="1" t="s">
        <v>157</v>
      </c>
      <c r="B21" s="7"/>
      <c r="C21" s="5">
        <f>SUM(B16:B20)</f>
        <v>27613</v>
      </c>
    </row>
    <row r="22" spans="1:7" ht="14.5" x14ac:dyDescent="0.35">
      <c r="A22" s="1" t="s">
        <v>158</v>
      </c>
      <c r="B22" s="7"/>
      <c r="C22" s="7">
        <f>C6+C13+C21</f>
        <v>157586</v>
      </c>
    </row>
    <row r="23" spans="1:7" ht="14.5" x14ac:dyDescent="0.35">
      <c r="A23" s="1"/>
    </row>
    <row r="25" spans="1:7" ht="14.5" x14ac:dyDescent="0.35">
      <c r="D25" s="53">
        <f>C21/C4</f>
        <v>0.17522495653167158</v>
      </c>
      <c r="E25" s="1" t="s">
        <v>141</v>
      </c>
      <c r="F25" s="1"/>
      <c r="G25" s="1"/>
    </row>
    <row r="26" spans="1:7" ht="14.5" x14ac:dyDescent="0.35">
      <c r="D26" s="53">
        <v>0.15</v>
      </c>
      <c r="E26" s="1" t="s">
        <v>142</v>
      </c>
      <c r="F26" s="1"/>
      <c r="G26" s="1"/>
    </row>
    <row r="27" spans="1:7" ht="14.5" x14ac:dyDescent="0.35">
      <c r="D27" s="53">
        <f>D25-D26</f>
        <v>2.5224956531671588E-2</v>
      </c>
      <c r="E27" s="1" t="s">
        <v>143</v>
      </c>
      <c r="F27" s="1"/>
      <c r="G27" s="21"/>
    </row>
    <row r="29" spans="1:7" ht="14.5" x14ac:dyDescent="0.35">
      <c r="A29" s="1" t="s">
        <v>195</v>
      </c>
      <c r="B29" s="7"/>
      <c r="C29" s="7"/>
    </row>
    <row r="30" spans="1:7" ht="14.5" x14ac:dyDescent="0.35">
      <c r="A30" s="1" t="str">
        <f>SAO!C25</f>
        <v>Purchased Water</v>
      </c>
      <c r="B30" s="221">
        <f>SAO!D25</f>
        <v>568098</v>
      </c>
      <c r="C30" s="222">
        <f>D27</f>
        <v>2.5224956531671588E-2</v>
      </c>
      <c r="D30" s="208">
        <f>B30*C30</f>
        <v>14330.247355729565</v>
      </c>
      <c r="E30" s="258" t="s">
        <v>210</v>
      </c>
    </row>
    <row r="31" spans="1:7" ht="14.5" x14ac:dyDescent="0.35">
      <c r="A31" s="1" t="str">
        <f>SAO!C27</f>
        <v>Purchased Power</v>
      </c>
      <c r="B31" s="221">
        <v>3553.74</v>
      </c>
      <c r="C31" s="222">
        <f>D27</f>
        <v>2.5224956531671588E-2</v>
      </c>
      <c r="D31" s="208">
        <f t="shared" ref="D31:D32" si="0">B31*C31</f>
        <v>89.64293702486259</v>
      </c>
    </row>
    <row r="32" spans="1:7" ht="16" x14ac:dyDescent="0.5">
      <c r="A32" s="1" t="str">
        <f>SAO!C29</f>
        <v>Chemicals</v>
      </c>
      <c r="B32" s="221">
        <f>SAO!D29</f>
        <v>0</v>
      </c>
      <c r="C32" s="223">
        <f>D27</f>
        <v>2.5224956531671588E-2</v>
      </c>
      <c r="D32" s="224">
        <f t="shared" si="0"/>
        <v>0</v>
      </c>
    </row>
    <row r="33" spans="1:4" ht="14.5" x14ac:dyDescent="0.35">
      <c r="A33" s="1" t="s">
        <v>192</v>
      </c>
      <c r="B33" s="7"/>
      <c r="C33" s="209"/>
      <c r="D33" s="208">
        <f>SUM(D30:D32)</f>
        <v>14419.890292754428</v>
      </c>
    </row>
    <row r="34" spans="1:4" ht="14.5" x14ac:dyDescent="0.35">
      <c r="A34" s="1"/>
      <c r="B34" s="7"/>
      <c r="C34" s="6"/>
      <c r="D34" s="34"/>
    </row>
    <row r="35" spans="1:4" ht="14.5" x14ac:dyDescent="0.35">
      <c r="A35" s="1"/>
      <c r="B35" s="7"/>
      <c r="C35" s="209"/>
      <c r="D35" s="208"/>
    </row>
  </sheetData>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GH19"/>
  <sheetViews>
    <sheetView showGridLines="0" workbookViewId="0">
      <selection activeCell="B4" sqref="B4:I4"/>
    </sheetView>
  </sheetViews>
  <sheetFormatPr defaultColWidth="8.84375" defaultRowHeight="14.5" x14ac:dyDescent="0.35"/>
  <cols>
    <col min="1" max="1" width="2.84375" style="28" customWidth="1"/>
    <col min="2" max="2" width="9.69140625" style="28" customWidth="1"/>
    <col min="3" max="3" width="11.07421875" style="28" customWidth="1"/>
    <col min="4" max="4" width="8.4609375" style="28" customWidth="1"/>
    <col min="5" max="5" width="9.69140625" style="28" customWidth="1"/>
    <col min="6" max="6" width="9.69140625" style="28" hidden="1" customWidth="1"/>
    <col min="7" max="8" width="9.69140625" style="56" customWidth="1"/>
    <col min="9" max="9" width="2.765625" style="28" customWidth="1"/>
    <col min="10" max="10" width="2" style="28" customWidth="1"/>
    <col min="11" max="11" width="9.69140625" style="206" customWidth="1"/>
    <col min="12" max="190" width="9.69140625" style="28" customWidth="1"/>
    <col min="191" max="16384" width="8.84375" style="17"/>
  </cols>
  <sheetData>
    <row r="2" spans="2:13" ht="18" customHeight="1" x14ac:dyDescent="0.45">
      <c r="B2" s="308"/>
      <c r="C2" s="309"/>
      <c r="D2" s="309"/>
      <c r="E2" s="309"/>
      <c r="F2" s="309"/>
      <c r="G2" s="309"/>
      <c r="H2" s="309"/>
      <c r="I2" s="310"/>
    </row>
    <row r="3" spans="2:13" ht="18" customHeight="1" x14ac:dyDescent="0.45">
      <c r="B3" s="326" t="s">
        <v>220</v>
      </c>
      <c r="C3" s="327"/>
      <c r="D3" s="327"/>
      <c r="E3" s="327"/>
      <c r="F3" s="327"/>
      <c r="G3" s="327"/>
      <c r="H3" s="327"/>
      <c r="I3" s="328"/>
    </row>
    <row r="4" spans="2:13" ht="21" x14ac:dyDescent="0.5">
      <c r="B4" s="311" t="s">
        <v>55</v>
      </c>
      <c r="C4" s="312"/>
      <c r="D4" s="312"/>
      <c r="E4" s="312"/>
      <c r="F4" s="312"/>
      <c r="G4" s="312"/>
      <c r="H4" s="312"/>
      <c r="I4" s="313"/>
    </row>
    <row r="5" spans="2:13" ht="18" customHeight="1" x14ac:dyDescent="0.35">
      <c r="B5" s="314" t="s">
        <v>219</v>
      </c>
      <c r="C5" s="315"/>
      <c r="D5" s="315"/>
      <c r="E5" s="315"/>
      <c r="F5" s="315"/>
      <c r="G5" s="315"/>
      <c r="H5" s="315"/>
      <c r="I5" s="316"/>
    </row>
    <row r="6" spans="2:13" ht="6" customHeight="1" x14ac:dyDescent="0.35">
      <c r="B6" s="210"/>
      <c r="I6" s="211"/>
    </row>
    <row r="7" spans="2:13" x14ac:dyDescent="0.35">
      <c r="B7" s="210"/>
      <c r="I7" s="211"/>
    </row>
    <row r="8" spans="2:13" ht="18.5" x14ac:dyDescent="0.45">
      <c r="B8" s="320" t="s">
        <v>57</v>
      </c>
      <c r="C8" s="321"/>
      <c r="D8" s="321"/>
      <c r="E8" s="321"/>
      <c r="F8" s="321"/>
      <c r="G8" s="321"/>
      <c r="H8" s="321"/>
      <c r="I8" s="322"/>
    </row>
    <row r="9" spans="2:13" ht="16" customHeight="1" x14ac:dyDescent="0.35">
      <c r="B9" s="329" t="s">
        <v>196</v>
      </c>
      <c r="C9" s="330"/>
      <c r="D9" s="330"/>
      <c r="E9" s="330"/>
      <c r="F9" s="330"/>
      <c r="G9" s="330"/>
      <c r="H9" s="330"/>
      <c r="I9" s="331"/>
    </row>
    <row r="10" spans="2:13" ht="23" customHeight="1" x14ac:dyDescent="0.5">
      <c r="B10" s="317"/>
      <c r="C10" s="318"/>
      <c r="D10" s="31" t="s">
        <v>56</v>
      </c>
      <c r="E10" s="31" t="s">
        <v>10</v>
      </c>
      <c r="F10" s="31"/>
      <c r="G10" s="319" t="s">
        <v>67</v>
      </c>
      <c r="H10" s="319"/>
      <c r="I10" s="212"/>
    </row>
    <row r="11" spans="2:13" x14ac:dyDescent="0.35">
      <c r="B11" s="30"/>
      <c r="C11" s="29" t="s">
        <v>222</v>
      </c>
      <c r="D11" s="32">
        <v>13.51</v>
      </c>
      <c r="E11" s="33">
        <f>ROUND(D11*(1+SAO!$G$55),2)</f>
        <v>15.74</v>
      </c>
      <c r="F11" s="32" t="e">
        <f>#REF!*(1+#REF!)</f>
        <v>#REF!</v>
      </c>
      <c r="G11" s="217">
        <f>E11-D11</f>
        <v>2.2300000000000004</v>
      </c>
      <c r="H11" s="218">
        <f>G11/D11</f>
        <v>0.16506291635825318</v>
      </c>
      <c r="I11" s="213"/>
      <c r="L11" s="207"/>
      <c r="M11" s="207"/>
    </row>
    <row r="12" spans="2:13" x14ac:dyDescent="0.35">
      <c r="B12" s="30"/>
      <c r="C12" s="29" t="s">
        <v>221</v>
      </c>
      <c r="D12" s="32">
        <v>9.14</v>
      </c>
      <c r="E12" s="33">
        <f>ROUND(D12*(1+SAO!$G$55),2)</f>
        <v>10.65</v>
      </c>
      <c r="F12" s="32"/>
      <c r="G12" s="217">
        <f>E12-D12</f>
        <v>1.5099999999999998</v>
      </c>
      <c r="H12" s="218">
        <f t="shared" ref="H12:H14" si="0">G12/D12</f>
        <v>0.16520787746170676</v>
      </c>
      <c r="I12" s="213"/>
      <c r="L12" s="207"/>
      <c r="M12" s="207"/>
    </row>
    <row r="13" spans="2:13" x14ac:dyDescent="0.35">
      <c r="B13" s="30"/>
      <c r="C13" s="29" t="s">
        <v>223</v>
      </c>
      <c r="D13" s="32">
        <v>8.24</v>
      </c>
      <c r="E13" s="33">
        <f>ROUND(D13*(1+SAO!$G$55),2)</f>
        <v>9.6</v>
      </c>
      <c r="F13" s="32"/>
      <c r="G13" s="217">
        <f>E13-D13</f>
        <v>1.3599999999999994</v>
      </c>
      <c r="H13" s="218">
        <f t="shared" ref="H13" si="1">G13/D13</f>
        <v>0.16504854368932032</v>
      </c>
      <c r="I13" s="213"/>
      <c r="L13" s="207"/>
      <c r="M13" s="207"/>
    </row>
    <row r="14" spans="2:13" x14ac:dyDescent="0.35">
      <c r="B14" s="30"/>
      <c r="C14" s="29" t="s">
        <v>224</v>
      </c>
      <c r="D14" s="54">
        <v>7.34</v>
      </c>
      <c r="E14" s="33">
        <f>ROUND(D14*(1+SAO!$G$55),2)</f>
        <v>8.5500000000000007</v>
      </c>
      <c r="F14" s="225" t="e">
        <f>#REF!*(1+#REF!)</f>
        <v>#REF!</v>
      </c>
      <c r="G14" s="217">
        <f>E14-D14</f>
        <v>1.2100000000000009</v>
      </c>
      <c r="H14" s="218">
        <f t="shared" si="0"/>
        <v>0.16485013623978215</v>
      </c>
      <c r="I14" s="211"/>
      <c r="L14" s="207"/>
      <c r="M14" s="207"/>
    </row>
    <row r="15" spans="2:13" x14ac:dyDescent="0.35">
      <c r="B15" s="261"/>
      <c r="D15" s="17"/>
      <c r="H15" s="218"/>
      <c r="I15" s="211"/>
      <c r="L15" s="207"/>
      <c r="M15" s="207"/>
    </row>
    <row r="16" spans="2:13" ht="18.5" x14ac:dyDescent="0.45">
      <c r="B16" s="323"/>
      <c r="C16" s="324"/>
      <c r="D16" s="324"/>
      <c r="E16" s="324"/>
      <c r="F16" s="324"/>
      <c r="G16" s="324"/>
      <c r="H16" s="324"/>
      <c r="I16" s="325"/>
    </row>
    <row r="17" spans="2:9" x14ac:dyDescent="0.35">
      <c r="B17" s="210"/>
      <c r="H17" s="218"/>
      <c r="I17" s="211"/>
    </row>
    <row r="18" spans="2:9" ht="16" x14ac:dyDescent="0.5">
      <c r="B18" s="304"/>
      <c r="C18" s="305"/>
      <c r="D18" s="31"/>
      <c r="E18" s="31"/>
      <c r="G18" s="319"/>
      <c r="H18" s="319"/>
      <c r="I18" s="211"/>
    </row>
    <row r="19" spans="2:9" x14ac:dyDescent="0.35">
      <c r="B19" s="306"/>
      <c r="C19" s="307"/>
      <c r="D19" s="214"/>
      <c r="E19" s="214"/>
      <c r="F19" s="215"/>
      <c r="G19" s="219"/>
      <c r="H19" s="220"/>
      <c r="I19" s="216"/>
    </row>
  </sheetData>
  <mergeCells count="12">
    <mergeCell ref="B18:C18"/>
    <mergeCell ref="B19:C19"/>
    <mergeCell ref="B2:I2"/>
    <mergeCell ref="B4:I4"/>
    <mergeCell ref="B5:I5"/>
    <mergeCell ref="B10:C10"/>
    <mergeCell ref="G10:H10"/>
    <mergeCell ref="G18:H18"/>
    <mergeCell ref="B8:I8"/>
    <mergeCell ref="B16:I16"/>
    <mergeCell ref="B3:I3"/>
    <mergeCell ref="B9:I9"/>
  </mergeCells>
  <printOptions horizontalCentered="1"/>
  <pageMargins left="0.55000000000000004" right="0.55000000000000004" top="1.6" bottom="0.5"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SAO</vt:lpstr>
      <vt:lpstr>Refrences</vt:lpstr>
      <vt:lpstr>Wages</vt:lpstr>
      <vt:lpstr>Medical</vt:lpstr>
      <vt:lpstr>Debt Service</vt:lpstr>
      <vt:lpstr>Depreciation</vt:lpstr>
      <vt:lpstr>Capital</vt:lpstr>
      <vt:lpstr>Water Loss</vt:lpstr>
      <vt:lpstr>Rates</vt:lpstr>
      <vt:lpstr>Bills</vt:lpstr>
      <vt:lpstr>ExBA</vt:lpstr>
      <vt:lpstr>PrBA</vt:lpstr>
      <vt:lpstr>Bills!Print_Area</vt:lpstr>
      <vt:lpstr>'Debt Service'!Print_Area</vt:lpstr>
      <vt:lpstr>Depreciation!Print_Area</vt:lpstr>
      <vt:lpstr>PrBA!Print_Area</vt:lpstr>
      <vt:lpstr>Rates!Print_Area</vt:lpstr>
      <vt:lpstr>SAO!Print_Area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18595</cp:lastModifiedBy>
  <cp:lastPrinted>2022-11-16T18:36:52Z</cp:lastPrinted>
  <dcterms:created xsi:type="dcterms:W3CDTF">2016-05-18T14:12:06Z</dcterms:created>
  <dcterms:modified xsi:type="dcterms:W3CDTF">2023-02-06T16:53:25Z</dcterms:modified>
</cp:coreProperties>
</file>