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entucky\Blue\Draft Testimony\"/>
    </mc:Choice>
  </mc:AlternateContent>
  <xr:revisionPtr revIDLastSave="0" documentId="8_{161A536F-1B4C-476C-9673-6C7555ED1A55}" xr6:coauthVersionLast="47" xr6:coauthVersionMax="47" xr10:uidLastSave="{00000000-0000-0000-0000-000000000000}"/>
  <bookViews>
    <workbookView xWindow="20370" yWindow="-120" windowWidth="29040" windowHeight="15840" activeTab="10" xr2:uid="{0C37876E-63FA-4E5C-981D-50A2E727EDD7}"/>
  </bookViews>
  <sheets>
    <sheet name="DND-2" sheetId="17" r:id="rId1"/>
    <sheet name="DND-4" sheetId="1" r:id="rId2"/>
    <sheet name="DND-5" sheetId="2" r:id="rId3"/>
    <sheet name="DND-6" sheetId="4" r:id="rId4"/>
    <sheet name="DND-7" sheetId="13" r:id="rId5"/>
    <sheet name="DND-8" sheetId="14" r:id="rId6"/>
    <sheet name="DND-9" sheetId="6" r:id="rId7"/>
    <sheet name="DND-10" sheetId="5" r:id="rId8"/>
    <sheet name="DND-11" sheetId="8" r:id="rId9"/>
    <sheet name="DND-12" sheetId="3" r:id="rId10"/>
    <sheet name="DND-13" sheetId="16" r:id="rId11"/>
  </sheets>
  <externalReferences>
    <externalReference r:id="rId12"/>
    <externalReference r:id="rId13"/>
    <externalReference r:id="rId14"/>
  </externalReferences>
  <definedNames>
    <definedName name="_xlnm.Print_Area" localSheetId="7">'DND-10'!$B$2:$H$43</definedName>
    <definedName name="_xlnm.Print_Area" localSheetId="8">'DND-11'!$B$1:$H$62</definedName>
    <definedName name="_xlnm.Print_Area" localSheetId="10">'DND-13'!$A$1:$S$59</definedName>
    <definedName name="_xlnm.Print_Area" localSheetId="0">'DND-2'!$A$1:$H$66</definedName>
    <definedName name="_xlnm.Print_Area" localSheetId="1">'DND-4'!$B$2:$L$49</definedName>
    <definedName name="_xlnm.Print_Area" localSheetId="3">'DND-6'!$B$1:$H$29</definedName>
    <definedName name="_xlnm.Print_Area" localSheetId="4">'DND-7'!$A$1:$E$48</definedName>
    <definedName name="_xlnm.Print_Area" localSheetId="5">'DND-8'!$A$1:$G$24</definedName>
    <definedName name="_xlnm.Print_Area" localSheetId="6">'DND-9'!$B$1:$F$24</definedName>
    <definedName name="_xlnm.Print_Titles" localSheetId="0">'DND-2'!$1:$6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1" l="1"/>
  <c r="D20" i="6"/>
  <c r="F28" i="4" l="1"/>
  <c r="F26" i="4"/>
  <c r="H31" i="1" l="1"/>
  <c r="H40" i="5"/>
  <c r="H39" i="5"/>
  <c r="G27" i="8" l="1"/>
  <c r="G24" i="8"/>
  <c r="G21" i="8"/>
  <c r="G18" i="8"/>
  <c r="F17" i="4" l="1"/>
  <c r="C30" i="8" l="1"/>
  <c r="C52" i="8"/>
  <c r="C53" i="8" s="1"/>
  <c r="C55" i="8" s="1"/>
  <c r="K57" i="16" l="1"/>
  <c r="K53" i="16"/>
  <c r="K52" i="16"/>
  <c r="Q42" i="16"/>
  <c r="F66" i="17"/>
  <c r="F61" i="17"/>
  <c r="F42" i="17"/>
  <c r="F41" i="17"/>
  <c r="F40" i="17"/>
  <c r="F30" i="17"/>
  <c r="F29" i="17"/>
  <c r="F28" i="17"/>
  <c r="C26" i="17"/>
  <c r="C27" i="17" s="1"/>
  <c r="C28" i="17" s="1"/>
  <c r="C29" i="17" s="1"/>
  <c r="C30" i="17" s="1"/>
  <c r="F25" i="17"/>
  <c r="F22" i="17"/>
  <c r="C22" i="17"/>
  <c r="C12" i="17"/>
  <c r="C13" i="17" s="1"/>
  <c r="N35" i="16"/>
  <c r="N34" i="16"/>
  <c r="N33" i="16"/>
  <c r="N32" i="16"/>
  <c r="N31" i="16"/>
  <c r="N30" i="16"/>
  <c r="N29" i="16"/>
  <c r="N28" i="16"/>
  <c r="N27" i="16"/>
  <c r="N26" i="16"/>
  <c r="N25" i="16"/>
  <c r="N24" i="16"/>
  <c r="N23" i="16"/>
  <c r="N22" i="16"/>
  <c r="N21" i="16"/>
  <c r="N20" i="16"/>
  <c r="N19" i="16"/>
  <c r="N18" i="16"/>
  <c r="N17" i="16"/>
  <c r="N16" i="16"/>
  <c r="N15" i="16"/>
  <c r="N14" i="16"/>
  <c r="N13" i="16"/>
  <c r="K54" i="16" l="1"/>
  <c r="N37" i="16"/>
  <c r="N39" i="16" l="1"/>
  <c r="J40" i="16"/>
  <c r="Q43" i="16"/>
  <c r="S44" i="16" l="1"/>
  <c r="E50" i="3"/>
  <c r="E37" i="3"/>
  <c r="F37" i="3" s="1"/>
  <c r="H37" i="3" s="1"/>
  <c r="I37" i="3" s="1"/>
  <c r="E39" i="3" l="1"/>
  <c r="F39" i="3" s="1"/>
  <c r="H39" i="3" s="1"/>
  <c r="H41" i="3" s="1"/>
  <c r="E52" i="3"/>
  <c r="E29" i="8" l="1"/>
  <c r="E40" i="8"/>
  <c r="E37" i="8"/>
  <c r="E36" i="8"/>
  <c r="E34" i="8"/>
  <c r="E32" i="8"/>
  <c r="E28" i="8"/>
  <c r="E27" i="8"/>
  <c r="E26" i="8"/>
  <c r="E25" i="8"/>
  <c r="E24" i="8"/>
  <c r="E23" i="8"/>
  <c r="E22" i="8"/>
  <c r="E21" i="8"/>
  <c r="E20" i="8"/>
  <c r="E19" i="8"/>
  <c r="E18" i="8"/>
  <c r="E17" i="8"/>
  <c r="E30" i="8" l="1"/>
  <c r="F14" i="14" l="1"/>
  <c r="G14" i="14" s="1"/>
  <c r="F13" i="14"/>
  <c r="G13" i="14" s="1"/>
  <c r="F12" i="14"/>
  <c r="G12" i="14" s="1"/>
  <c r="G16" i="14" s="1"/>
  <c r="G17" i="14" s="1"/>
  <c r="H27" i="1"/>
  <c r="L27" i="1" s="1"/>
  <c r="C21" i="13"/>
  <c r="C35" i="13" l="1"/>
  <c r="C39" i="13" s="1"/>
  <c r="C41" i="13" s="1"/>
  <c r="C25" i="13" l="1"/>
  <c r="C27" i="13" l="1"/>
  <c r="C43" i="13"/>
  <c r="C45" i="13"/>
  <c r="H25" i="1" s="1"/>
  <c r="L25" i="1" s="1"/>
  <c r="D30" i="8" l="1"/>
  <c r="D39" i="8"/>
  <c r="E39" i="8" s="1"/>
  <c r="D38" i="8"/>
  <c r="E38" i="8" s="1"/>
  <c r="D35" i="8"/>
  <c r="E35" i="8" s="1"/>
  <c r="D33" i="8"/>
  <c r="E33" i="8" s="1"/>
  <c r="H29" i="8"/>
  <c r="H28" i="8"/>
  <c r="H26" i="8"/>
  <c r="H25" i="8"/>
  <c r="H23" i="8"/>
  <c r="H22" i="8"/>
  <c r="H20" i="8"/>
  <c r="H19" i="8"/>
  <c r="E16" i="8"/>
  <c r="E15" i="8"/>
  <c r="E14" i="8"/>
  <c r="E13" i="8"/>
  <c r="E12" i="8"/>
  <c r="B24" i="8"/>
  <c r="B25" i="8" s="1"/>
  <c r="B26" i="8" s="1"/>
  <c r="B27" i="8" s="1"/>
  <c r="B28" i="8" s="1"/>
  <c r="B29" i="8" s="1"/>
  <c r="B32" i="8" s="1"/>
  <c r="B33" i="8" s="1"/>
  <c r="B34" i="8" s="1"/>
  <c r="B35" i="8" s="1"/>
  <c r="B36" i="8" s="1"/>
  <c r="B37" i="8" s="1"/>
  <c r="B38" i="8" s="1"/>
  <c r="B39" i="8" s="1"/>
  <c r="B40" i="8" s="1"/>
  <c r="H27" i="8"/>
  <c r="H18" i="8" l="1"/>
  <c r="E48" i="8"/>
  <c r="H24" i="8"/>
  <c r="H21" i="8"/>
  <c r="E42" i="8"/>
  <c r="E44" i="8" s="1"/>
  <c r="H31" i="8" l="1"/>
  <c r="C58" i="8" s="1"/>
  <c r="E47" i="8" l="1"/>
  <c r="E49" i="8" s="1"/>
  <c r="C56" i="8" s="1"/>
  <c r="C57" i="8" s="1"/>
  <c r="C59" i="8" s="1"/>
  <c r="C61" i="8" s="1"/>
  <c r="H33" i="1" s="1"/>
  <c r="L33" i="1" s="1"/>
  <c r="H26" i="3"/>
  <c r="F28" i="3" l="1"/>
  <c r="H24" i="3"/>
  <c r="H28" i="3" l="1"/>
  <c r="I24" i="3"/>
  <c r="D12" i="6"/>
  <c r="D18" i="6" l="1"/>
  <c r="D22" i="6" s="1"/>
  <c r="L29" i="1" s="1"/>
  <c r="F31" i="5" l="1"/>
  <c r="H33" i="5" s="1"/>
  <c r="H35" i="5" s="1"/>
  <c r="L31" i="1" s="1"/>
  <c r="H25" i="5"/>
  <c r="F16" i="4" l="1"/>
  <c r="H23" i="1" s="1"/>
  <c r="F17" i="2"/>
  <c r="F23" i="2" s="1"/>
  <c r="E28" i="3" s="1"/>
  <c r="E26" i="3" l="1"/>
  <c r="E24" i="3"/>
  <c r="F22" i="4"/>
  <c r="L23" i="1"/>
  <c r="F52" i="3"/>
  <c r="H52" i="3" s="1"/>
  <c r="F62" i="3"/>
  <c r="F64" i="3" s="1"/>
  <c r="E66" i="3" s="1"/>
  <c r="E67" i="3" s="1"/>
  <c r="E69" i="3" s="1"/>
  <c r="E16" i="3"/>
  <c r="F12" i="3" s="1"/>
  <c r="I26" i="3" l="1"/>
  <c r="I28" i="3" s="1"/>
  <c r="E73" i="3"/>
  <c r="I39" i="3"/>
  <c r="I41" i="3" s="1"/>
  <c r="H37" i="1" s="1"/>
  <c r="L37" i="1" s="1"/>
  <c r="I52" i="3"/>
  <c r="F50" i="3"/>
  <c r="F14" i="3"/>
  <c r="H14" i="3" s="1"/>
  <c r="I14" i="3" s="1"/>
  <c r="H12" i="3"/>
  <c r="I12" i="3" s="1"/>
  <c r="F54" i="3" l="1"/>
  <c r="H50" i="3"/>
  <c r="F16" i="3"/>
  <c r="I16" i="3"/>
  <c r="H35" i="1" s="1"/>
  <c r="L35" i="1" s="1"/>
  <c r="H16" i="3"/>
  <c r="I50" i="3" l="1"/>
  <c r="I54" i="3" s="1"/>
  <c r="H39" i="1" s="1"/>
  <c r="L39" i="1" s="1"/>
  <c r="H54" i="3"/>
  <c r="H21" i="1"/>
  <c r="L21" i="1" s="1"/>
  <c r="H19" i="1"/>
  <c r="L19" i="1" s="1"/>
  <c r="H17" i="1"/>
  <c r="L17" i="1" s="1"/>
  <c r="L42" i="1" l="1"/>
  <c r="L44" i="1"/>
  <c r="L46" i="1" l="1"/>
  <c r="K45" i="16" s="1"/>
  <c r="L48" i="1"/>
  <c r="J38" i="16" l="1"/>
  <c r="S45" i="16" s="1"/>
  <c r="Q46" i="16" s="1"/>
  <c r="Q47" i="16" s="1"/>
  <c r="L47" i="1"/>
  <c r="K46" i="16" s="1"/>
  <c r="K47" i="16" s="1"/>
  <c r="J39" i="16" l="1"/>
  <c r="J41" i="16" s="1"/>
  <c r="J42" i="16" s="1"/>
  <c r="P35" i="16"/>
  <c r="Q35" i="16" s="1"/>
  <c r="S35" i="16" s="1"/>
  <c r="P31" i="16"/>
  <c r="Q31" i="16" s="1"/>
  <c r="S31" i="16" s="1"/>
  <c r="P17" i="16"/>
  <c r="Q17" i="16" s="1"/>
  <c r="S17" i="16" s="1"/>
  <c r="P23" i="16"/>
  <c r="Q23" i="16" s="1"/>
  <c r="S23" i="16" s="1"/>
  <c r="P26" i="16"/>
  <c r="Q26" i="16" s="1"/>
  <c r="S26" i="16" s="1"/>
  <c r="P27" i="16"/>
  <c r="Q27" i="16" s="1"/>
  <c r="S27" i="16" s="1"/>
  <c r="P30" i="16"/>
  <c r="Q30" i="16" s="1"/>
  <c r="S30" i="16" s="1"/>
  <c r="P29" i="16"/>
  <c r="Q29" i="16" s="1"/>
  <c r="S29" i="16" s="1"/>
  <c r="P16" i="16"/>
  <c r="Q16" i="16" s="1"/>
  <c r="S16" i="16" s="1"/>
  <c r="P34" i="16"/>
  <c r="Q34" i="16" s="1"/>
  <c r="S34" i="16" s="1"/>
  <c r="P14" i="16"/>
  <c r="Q14" i="16" s="1"/>
  <c r="S14" i="16" s="1"/>
  <c r="P33" i="16"/>
  <c r="Q33" i="16" s="1"/>
  <c r="S33" i="16" s="1"/>
  <c r="P28" i="16"/>
  <c r="Q28" i="16" s="1"/>
  <c r="S28" i="16" s="1"/>
  <c r="P21" i="16"/>
  <c r="Q21" i="16" s="1"/>
  <c r="S21" i="16" s="1"/>
  <c r="P25" i="16"/>
  <c r="Q25" i="16" s="1"/>
  <c r="S25" i="16" s="1"/>
  <c r="P24" i="16"/>
  <c r="Q24" i="16" s="1"/>
  <c r="S24" i="16" s="1"/>
  <c r="P13" i="16"/>
  <c r="P15" i="16"/>
  <c r="Q15" i="16" s="1"/>
  <c r="S15" i="16" s="1"/>
  <c r="P32" i="16"/>
  <c r="Q32" i="16" s="1"/>
  <c r="S32" i="16" s="1"/>
  <c r="P19" i="16"/>
  <c r="Q19" i="16" s="1"/>
  <c r="K56" i="16" s="1"/>
  <c r="K58" i="16" s="1"/>
  <c r="P20" i="16"/>
  <c r="Q20" i="16" s="1"/>
  <c r="S20" i="16" s="1"/>
  <c r="P18" i="16"/>
  <c r="Q18" i="16" s="1"/>
  <c r="S18" i="16" s="1"/>
  <c r="P22" i="16"/>
  <c r="Q22" i="16" s="1"/>
  <c r="S22" i="16" s="1"/>
  <c r="Q13" i="16" l="1"/>
  <c r="P37" i="16"/>
  <c r="Q37" i="16" l="1"/>
  <c r="S13" i="16"/>
</calcChain>
</file>

<file path=xl/sharedStrings.xml><?xml version="1.0" encoding="utf-8"?>
<sst xmlns="http://schemas.openxmlformats.org/spreadsheetml/2006/main" count="627" uniqueCount="421">
  <si>
    <t>Bluegrass Water Utility Operating Company Inc.</t>
  </si>
  <si>
    <t>KY PSC Case No. 2022-00432</t>
  </si>
  <si>
    <t>Summary of Attorney General Recommendations</t>
  </si>
  <si>
    <t>Test Year Ended June 30, 2022</t>
  </si>
  <si>
    <t>$ Thousands</t>
  </si>
  <si>
    <t>Bluegrass Request</t>
  </si>
  <si>
    <t>Before</t>
  </si>
  <si>
    <t>Gross-Up</t>
  </si>
  <si>
    <t>Amount</t>
  </si>
  <si>
    <t>B/D</t>
  </si>
  <si>
    <t>Adjustment</t>
  </si>
  <si>
    <t>Annualize Insurance Savings</t>
  </si>
  <si>
    <t>Rate of Return Proposals</t>
  </si>
  <si>
    <t>Line No.</t>
  </si>
  <si>
    <t>Item</t>
  </si>
  <si>
    <t>Total</t>
  </si>
  <si>
    <t>Weighted %</t>
  </si>
  <si>
    <t>Cost</t>
  </si>
  <si>
    <t>Wtd Cost</t>
  </si>
  <si>
    <t>Long-Term Debt</t>
  </si>
  <si>
    <t>Common Equity</t>
  </si>
  <si>
    <t>Gross-Up Factor</t>
  </si>
  <si>
    <t xml:space="preserve">Office of Attorney General </t>
  </si>
  <si>
    <t>Calculation of Tax Gross-Up Factor</t>
  </si>
  <si>
    <t>Gross Income</t>
  </si>
  <si>
    <t>Less: Kentucky State Rate</t>
  </si>
  <si>
    <t>Net Income After State Taxes</t>
  </si>
  <si>
    <t>Federal Tax Rate</t>
  </si>
  <si>
    <t>Effective Federal Tax Rate</t>
  </si>
  <si>
    <t>Plus: Kentucky State Rate</t>
  </si>
  <si>
    <t>Effective Overall Tax Rate</t>
  </si>
  <si>
    <t>Reciprocal Tax Rate</t>
  </si>
  <si>
    <t>Rate Base Requested by Bluegrass</t>
  </si>
  <si>
    <t>($000's)</t>
  </si>
  <si>
    <t>To Remove Write-Up of Land Values</t>
  </si>
  <si>
    <t>Delaplain</t>
  </si>
  <si>
    <t>River Bluffs</t>
  </si>
  <si>
    <t>To eliminate write-up of Land Values due to Appraisals</t>
  </si>
  <si>
    <t xml:space="preserve">To Remove Acquisition Premium </t>
  </si>
  <si>
    <t xml:space="preserve">Total </t>
  </si>
  <si>
    <t>Account</t>
  </si>
  <si>
    <t>To eliminate Acquisition Premium Charged to Collection Sewer Asset</t>
  </si>
  <si>
    <t>Source</t>
  </si>
  <si>
    <t>Exhibit OAG 2-7; Note this adjustment is calculated the same for the test period as it is for the 12 months ended 6/30/22.</t>
  </si>
  <si>
    <t>Test Period Pro-Forma Revenue with application of 10% Late Fee</t>
  </si>
  <si>
    <t>Test Period Actual Late Fee Revenue</t>
  </si>
  <si>
    <t>Net Increase in Pro-Forma Revenues</t>
  </si>
  <si>
    <t>Calculation of Other Revenue Gross-Up Factor</t>
  </si>
  <si>
    <t>Proforma increase in Test Period Other Revenues</t>
  </si>
  <si>
    <t>Test Period Revenue</t>
  </si>
  <si>
    <t>Percentage increase in Revenue associated with Bluegrass Late Fee proposal</t>
  </si>
  <si>
    <t>Reciprocal Gross Up Factor</t>
  </si>
  <si>
    <t>Line 3</t>
  </si>
  <si>
    <t>Bluegrass Exhibit 26</t>
  </si>
  <si>
    <t>Reflect Late Payment charges in Other Revenue ORA 1-66 and 2-7)</t>
  </si>
  <si>
    <t xml:space="preserve">Bluegrass Water Company </t>
  </si>
  <si>
    <t>Test Period Balances</t>
  </si>
  <si>
    <t xml:space="preserve">July 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</si>
  <si>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</si>
  <si>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</si>
  <si>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</si>
  <si>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</si>
  <si>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</si>
  <si>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</si>
  <si>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</si>
  <si>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</si>
  <si>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</si>
  <si>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</si>
  <si>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</si>
  <si>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 Test Period</t>
  </si>
  <si>
    <t>Year</t>
  </si>
  <si>
    <t xml:space="preserve">January </t>
  </si>
  <si>
    <t>Source: Discovery Response OAG 1-120</t>
  </si>
  <si>
    <t>Annualized 2023</t>
  </si>
  <si>
    <t>Total January - March 2023</t>
  </si>
  <si>
    <t>Reduction in Insurance Expense</t>
  </si>
  <si>
    <t>Adjustments in Thousands</t>
  </si>
  <si>
    <t>Reduce Bad Debt Expense</t>
  </si>
  <si>
    <t>Calculation of Adjustment to Bad Debt Expense</t>
  </si>
  <si>
    <t>Test year End Balance</t>
  </si>
  <si>
    <t>Exhibit 26</t>
  </si>
  <si>
    <t>Pro-Forma Increase</t>
  </si>
  <si>
    <t>Less: A/R written Off</t>
  </si>
  <si>
    <t>Response to OAG 2-14(b)</t>
  </si>
  <si>
    <t>Adjustment to Pro-Forma Expenses</t>
  </si>
  <si>
    <t>Adjustment to Bad Debt Expense</t>
  </si>
  <si>
    <t>Adjustment (000s)</t>
  </si>
  <si>
    <t>Rate Base Adjustment</t>
  </si>
  <si>
    <t>Analysis of Employee Benefit Costs</t>
  </si>
  <si>
    <t>Source: OAG 1-47</t>
  </si>
  <si>
    <t>Expensed Medical Insurance Cost</t>
  </si>
  <si>
    <t>Employee-Paid Total</t>
  </si>
  <si>
    <t>Employer-Paid Total</t>
  </si>
  <si>
    <t>EE Allocation to KY</t>
  </si>
  <si>
    <t>Bluegrass Requested Employee Medical Costs</t>
  </si>
  <si>
    <t>Calculation of Avg Allocation % in the test period</t>
  </si>
  <si>
    <t>Test Period BG Costs</t>
  </si>
  <si>
    <t>Divided By Total Test Period Costs</t>
  </si>
  <si>
    <t>Overall BG Allocation %</t>
  </si>
  <si>
    <t>Service Area</t>
  </si>
  <si>
    <t>Link Computer Corporation</t>
  </si>
  <si>
    <t>CSWR LLC</t>
  </si>
  <si>
    <t>Implementation</t>
  </si>
  <si>
    <t>Identification of Non-Recurring Implementation Charges in the Test Period</t>
  </si>
  <si>
    <t>Allocation Ratio</t>
  </si>
  <si>
    <t>Non-Recurring Charges</t>
  </si>
  <si>
    <t>In Bluegrass Rev. Req.</t>
  </si>
  <si>
    <t>Adjustment (000's)</t>
  </si>
  <si>
    <t xml:space="preserve">Total Adjustment to Eliminate Non-Recurring Charges </t>
  </si>
  <si>
    <t>Exhibit DND-4</t>
  </si>
  <si>
    <t>Exhibit DND-5</t>
  </si>
  <si>
    <t>OAG 1-132</t>
  </si>
  <si>
    <t>Theis Testimony, page 29</t>
  </si>
  <si>
    <t>Acquisition Premium - Ten Acquired Systems</t>
  </si>
  <si>
    <t>Bluegrass Proposed Amortization Rate</t>
  </si>
  <si>
    <t>Theis Testimony page 29</t>
  </si>
  <si>
    <t>Amortization Rate; OAG 1-133</t>
  </si>
  <si>
    <t>Acquisition Premium - No Book Value</t>
  </si>
  <si>
    <t>Springcrest</t>
  </si>
  <si>
    <t>Woodland Acres</t>
  </si>
  <si>
    <t>Herrington Haven</t>
  </si>
  <si>
    <t>Thies Testimony, page 30</t>
  </si>
  <si>
    <t xml:space="preserve">Depreciation Rate </t>
  </si>
  <si>
    <t>Spanos Exhibit JJS-1, Section VI-4</t>
  </si>
  <si>
    <t>Depreciation Expense - Three Systems</t>
  </si>
  <si>
    <t>Depreciation Expense Reductio (000s)</t>
  </si>
  <si>
    <t xml:space="preserve">Note: The acquisition premiums associated with Delaplain and River Bluffs were recorded to Land, resulting in no impact on proforma depreciation expense. </t>
  </si>
  <si>
    <t>Eliminate Depreciation/Amortization Expense associated with Acquisition Premium</t>
  </si>
  <si>
    <t>To eliminate Acquisition Premium Costs associated with Acquisition of 10 systems</t>
  </si>
  <si>
    <t>To eliminate Acquisition Premium for systems with no book value</t>
  </si>
  <si>
    <t>Rate Base Per Supported by OAG</t>
  </si>
  <si>
    <t>Increase in Base Rates</t>
  </si>
  <si>
    <t>Increase in Pro-Forma Late Fees</t>
  </si>
  <si>
    <t>Total Increase in Revenue</t>
  </si>
  <si>
    <t>(000s)</t>
  </si>
  <si>
    <t>DND-5</t>
  </si>
  <si>
    <t>Exhibit</t>
  </si>
  <si>
    <t>Exhbit DND-6</t>
  </si>
  <si>
    <t>DND-6</t>
  </si>
  <si>
    <t>Exhibit DND-7</t>
  </si>
  <si>
    <t>DND-7</t>
  </si>
  <si>
    <t>Adj No.</t>
  </si>
  <si>
    <t>Revenue Requirement Impacts</t>
  </si>
  <si>
    <t>Total Depreciation/Amortization Exp Reduction</t>
  </si>
  <si>
    <t>Total Reduction in Depreciation Expense as a result of removal of Acquisition Premium from Rate Base (000s)</t>
  </si>
  <si>
    <t>Airview</t>
  </si>
  <si>
    <t>Brocklyn</t>
  </si>
  <si>
    <t>Fox Run</t>
  </si>
  <si>
    <t>Golden Acres</t>
  </si>
  <si>
    <t>Great Oaks</t>
  </si>
  <si>
    <t>Kingswood</t>
  </si>
  <si>
    <t>Lake Columbia</t>
  </si>
  <si>
    <t>LH reatment</t>
  </si>
  <si>
    <t>Persimmon Ridge</t>
  </si>
  <si>
    <t>Timberland</t>
  </si>
  <si>
    <t>I</t>
  </si>
  <si>
    <t>II</t>
  </si>
  <si>
    <t>Exhibit DND-8</t>
  </si>
  <si>
    <t>Eliminate Non-Recurring Charges - OAG 1-108</t>
  </si>
  <si>
    <t>DND-8</t>
  </si>
  <si>
    <t>Source: OAG 1-106</t>
  </si>
  <si>
    <t>DND-9</t>
  </si>
  <si>
    <t>Exhibit DND-9</t>
  </si>
  <si>
    <t>DND-10</t>
  </si>
  <si>
    <t>Exhibit DND-10</t>
  </si>
  <si>
    <t>Exhibit DND-11</t>
  </si>
  <si>
    <t>Employees in the test year</t>
  </si>
  <si>
    <t>DND-11</t>
  </si>
  <si>
    <t>PSC 2-17, Exhibit 26</t>
  </si>
  <si>
    <t>Tax Gross-Up Factor on Equity (1/Reciprocal Rate)</t>
  </si>
  <si>
    <t>50% Debt/50% Equity Capital Structure</t>
  </si>
  <si>
    <t>Debt = Directly Assigned + 50% of Residual Capital</t>
  </si>
  <si>
    <t>Exhibit DND-12</t>
  </si>
  <si>
    <t>DND-12</t>
  </si>
  <si>
    <t>Requested Return on Equity</t>
  </si>
  <si>
    <t>Gross of Tax Cost of Equity - Unweighted</t>
  </si>
  <si>
    <t>Scenario 1</t>
  </si>
  <si>
    <t>Scenario 2</t>
  </si>
  <si>
    <t>Scenario 3</t>
  </si>
  <si>
    <t xml:space="preserve">Scenario 2: Adjust Capital Structure to 50% Debt/50% Equity </t>
  </si>
  <si>
    <t>Scenario 3: Further Adjust Capital Structure to directly assign Debt; residual Capital = 50% Debt, 50% equity</t>
  </si>
  <si>
    <t>Scenario 4: Further Adjust Capital Structure to directly assign Debt; residual Capital = 50% Debt, 50% equity; 9.5% ROE</t>
  </si>
  <si>
    <t>7/19/2022</t>
  </si>
  <si>
    <t>Development of</t>
  </si>
  <si>
    <t>Proposed</t>
  </si>
  <si>
    <t xml:space="preserve">Current </t>
  </si>
  <si>
    <t>Rates</t>
  </si>
  <si>
    <t>Bills</t>
  </si>
  <si>
    <t>% Bills</t>
  </si>
  <si>
    <t>Fixed Charges</t>
  </si>
  <si>
    <t>Usage</t>
  </si>
  <si>
    <t>Usage Charge</t>
  </si>
  <si>
    <t>Total Charge</t>
  </si>
  <si>
    <t>Difference</t>
  </si>
  <si>
    <t>Difference (%)</t>
  </si>
  <si>
    <t>Airview Residential</t>
  </si>
  <si>
    <t>Arcadia Pines</t>
  </si>
  <si>
    <t>Brocklyn Multifamily (2)</t>
  </si>
  <si>
    <t>Brocklyn Residential</t>
  </si>
  <si>
    <t>Carriage Park</t>
  </si>
  <si>
    <t>Darlington Creek</t>
  </si>
  <si>
    <t>Delaplain Commercial (1)</t>
  </si>
  <si>
    <t>Fox Run Residential</t>
  </si>
  <si>
    <t>Golden Acres Residential</t>
  </si>
  <si>
    <t>Great Oaks Residential</t>
  </si>
  <si>
    <t>Kingswood Residential</t>
  </si>
  <si>
    <t>Lake Columbia Flat</t>
  </si>
  <si>
    <t>Longview Residential</t>
  </si>
  <si>
    <t>Marshall Ridge</t>
  </si>
  <si>
    <t>Persimmon Non-Residential (1)</t>
  </si>
  <si>
    <t>Persimmon Residential</t>
  </si>
  <si>
    <t>Randview</t>
  </si>
  <si>
    <t>Revenue</t>
  </si>
  <si>
    <t xml:space="preserve">At Equal </t>
  </si>
  <si>
    <t>Target Base Rate Increase</t>
  </si>
  <si>
    <t>Targeted Revenue</t>
  </si>
  <si>
    <t>Divided By Rate Equivalent Revenue</t>
  </si>
  <si>
    <t>Rate Reduction</t>
  </si>
  <si>
    <t>Percentage of Target Revenue to Rate Equivalent Revenue</t>
  </si>
  <si>
    <t xml:space="preserve">Rate </t>
  </si>
  <si>
    <t>Reduction</t>
  </si>
  <si>
    <t>Target</t>
  </si>
  <si>
    <t>Rate Increase Recommendation supported by OAG</t>
  </si>
  <si>
    <t>Exhibit DND-13</t>
  </si>
  <si>
    <t xml:space="preserve">Normalize and Annualize Employee Medical Benefits </t>
  </si>
  <si>
    <t>Acquisition No</t>
  </si>
  <si>
    <t>State/Acquired Utility</t>
  </si>
  <si>
    <t>CSWR Affiliate</t>
  </si>
  <si>
    <t xml:space="preserve">Docket No. </t>
  </si>
  <si>
    <t>W=Water/WW =Wastewater</t>
  </si>
  <si>
    <t>Customer Count</t>
  </si>
  <si>
    <t>Date Filed</t>
  </si>
  <si>
    <t>Notes</t>
  </si>
  <si>
    <t>Arizona</t>
  </si>
  <si>
    <t>Winchester Water Company</t>
  </si>
  <si>
    <t>Cactus State</t>
  </si>
  <si>
    <t>WS-21155A</t>
  </si>
  <si>
    <t>W</t>
  </si>
  <si>
    <t>1/6/2023</t>
  </si>
  <si>
    <t>West Village Water Company</t>
  </si>
  <si>
    <t>WS-21155A-22-0327</t>
  </si>
  <si>
    <t>12/31/2022</t>
  </si>
  <si>
    <t>Flagstaff Ranch Water Company</t>
  </si>
  <si>
    <t>WS-21155A-22-0324</t>
  </si>
  <si>
    <t>12/29/2022</t>
  </si>
  <si>
    <t>Requesting a deferred debit to make improvements on the Flagstaff system/acquisition pending</t>
  </si>
  <si>
    <t>Green Acres Water Company</t>
  </si>
  <si>
    <t>WS-2115A-22-0319</t>
  </si>
  <si>
    <t>12/23/2022</t>
  </si>
  <si>
    <t>Sunizona Water Company</t>
  </si>
  <si>
    <t>WS21155A-22-0314</t>
  </si>
  <si>
    <t>12/30/2022</t>
  </si>
  <si>
    <t>Santa Cruz Water Company</t>
  </si>
  <si>
    <t>W-02127A-22-0309</t>
  </si>
  <si>
    <t>12/15/2022</t>
  </si>
  <si>
    <t xml:space="preserve">Santa Cruz has not complied with Commission requirements, does not have a certified operator, has not submitted an annual report in 20 years and has had its CC&amp;N revoked (Certificate of Convenience and Necessity). </t>
  </si>
  <si>
    <t>Califormia</t>
  </si>
  <si>
    <t xml:space="preserve">Cypress Ridge </t>
  </si>
  <si>
    <t>CSWR-California</t>
  </si>
  <si>
    <t>A2301010</t>
  </si>
  <si>
    <t>W/WW</t>
  </si>
  <si>
    <t>1/23/2023</t>
  </si>
  <si>
    <t>Florida</t>
  </si>
  <si>
    <t xml:space="preserve">Tymber Creek Utilities Inc. </t>
  </si>
  <si>
    <t>CSWR-Florida UOC</t>
  </si>
  <si>
    <t>20220064-WS</t>
  </si>
  <si>
    <t>3/15/2022</t>
  </si>
  <si>
    <t>Trade Winds Utilities</t>
  </si>
  <si>
    <t>2022-0063</t>
  </si>
  <si>
    <t>CFAT H20 Inc.</t>
  </si>
  <si>
    <t>2022-0062</t>
  </si>
  <si>
    <t>North Carolina</t>
  </si>
  <si>
    <t>Crosby Utilities</t>
  </si>
  <si>
    <t>Red Bird Utility Operating Company LLC</t>
  </si>
  <si>
    <t>W-992, Sub 8, W-1328, Sub 9</t>
  </si>
  <si>
    <t>10/22/2020</t>
  </si>
  <si>
    <t>Baytree Waterfront Properties</t>
  </si>
  <si>
    <t>W-938, Sub 6, W-1328, Sub 8</t>
  </si>
  <si>
    <t>WW</t>
  </si>
  <si>
    <t>10/9/2020</t>
  </si>
  <si>
    <t>Meadowlands Development LLC</t>
  </si>
  <si>
    <t>W-1328, Sub 6</t>
  </si>
  <si>
    <t>JL Golf Management</t>
  </si>
  <si>
    <t>W-1296, Sub 3, W-1328, Sub 3</t>
  </si>
  <si>
    <t>10/8/2020</t>
  </si>
  <si>
    <t xml:space="preserve">A&amp;D Water Service Inc. </t>
  </si>
  <si>
    <t>W-1328, sub 2</t>
  </si>
  <si>
    <t>Etowah Sewer Company</t>
  </si>
  <si>
    <t>W-1328, Sub 0</t>
  </si>
  <si>
    <t>Lousiana</t>
  </si>
  <si>
    <t>Joycelyn Sewer Association Inc.</t>
  </si>
  <si>
    <t>Magnolia Water Utility Operating Company</t>
  </si>
  <si>
    <t>S-36806</t>
  </si>
  <si>
    <t>5/22/2023</t>
  </si>
  <si>
    <t>Triple Crown Homeowners Association</t>
  </si>
  <si>
    <t>S-36683</t>
  </si>
  <si>
    <t>2/16/2023</t>
  </si>
  <si>
    <t>Summerview Development LLC</t>
  </si>
  <si>
    <t>S-336657</t>
  </si>
  <si>
    <t>1/27/2023</t>
  </si>
  <si>
    <t>Twin Oaks Service Corporation</t>
  </si>
  <si>
    <t>S-36584</t>
  </si>
  <si>
    <t>10/31/2022</t>
  </si>
  <si>
    <t>Land Investments LLC</t>
  </si>
  <si>
    <t>S-36497</t>
  </si>
  <si>
    <t>Mississippi</t>
  </si>
  <si>
    <t>Robinwood Forest Utility Association</t>
  </si>
  <si>
    <t>Great River Utility Operating Company</t>
  </si>
  <si>
    <t>2022-UA-144</t>
  </si>
  <si>
    <t>11/18/2022</t>
  </si>
  <si>
    <t>Superior Utilities</t>
  </si>
  <si>
    <t>2023-UA-35</t>
  </si>
  <si>
    <t>3/30/2023</t>
  </si>
  <si>
    <t>Deerwood/Plamer Creek/The Woods</t>
  </si>
  <si>
    <t>2023-UA-77</t>
  </si>
  <si>
    <t>5/31/2023</t>
  </si>
  <si>
    <t>Missouri</t>
  </si>
  <si>
    <t>Stone Ridge Meadows</t>
  </si>
  <si>
    <t>Confluence Rivers</t>
  </si>
  <si>
    <t>WA-2023-0092</t>
  </si>
  <si>
    <t>Unknown</t>
  </si>
  <si>
    <t>9/9/2022</t>
  </si>
  <si>
    <t>Four Seasons North MHP, LLC</t>
  </si>
  <si>
    <t>WA-2023-0284</t>
  </si>
  <si>
    <t>3/14/2023</t>
  </si>
  <si>
    <t>LCWS</t>
  </si>
  <si>
    <t>WA-2023-396 and 398</t>
  </si>
  <si>
    <t>South Carolina</t>
  </si>
  <si>
    <t>Hyde Park Water</t>
  </si>
  <si>
    <t>CSWR-South Carolina Utility Operating Company</t>
  </si>
  <si>
    <t>2022-167-W</t>
  </si>
  <si>
    <t>5/6/2022</t>
  </si>
  <si>
    <t>ORS Staff opposed the transaction as requested.</t>
  </si>
  <si>
    <t>AAA Utilities</t>
  </si>
  <si>
    <t>2022-161-W</t>
  </si>
  <si>
    <t>4/29/2022</t>
  </si>
  <si>
    <t>Total Environmental Solutions</t>
  </si>
  <si>
    <t>2022-151-W</t>
  </si>
  <si>
    <t>4/22/2022</t>
  </si>
  <si>
    <t>Tennessee</t>
  </si>
  <si>
    <t>DHS and Associates</t>
  </si>
  <si>
    <t>Limestone Water</t>
  </si>
  <si>
    <t>23-00016</t>
  </si>
  <si>
    <t>3/1/2023</t>
  </si>
  <si>
    <t>IRM</t>
  </si>
  <si>
    <t>23-00037</t>
  </si>
  <si>
    <t>5/24/2023</t>
  </si>
  <si>
    <t>Texas</t>
  </si>
  <si>
    <t>Casey Homes Estates</t>
  </si>
  <si>
    <t>CSWR-Texas Utility Operating Company</t>
  </si>
  <si>
    <t>5/6/2023</t>
  </si>
  <si>
    <t>Circle R Ranchettes Property</t>
  </si>
  <si>
    <t>4/18/2023</t>
  </si>
  <si>
    <t>Thompson Water and Construction Inc</t>
  </si>
  <si>
    <t>3/31/2023</t>
  </si>
  <si>
    <t>Southwest Gardens</t>
  </si>
  <si>
    <t>Valley Vista Water Company</t>
  </si>
  <si>
    <t>1/4/2023</t>
  </si>
  <si>
    <t>Deer County Water Supply</t>
  </si>
  <si>
    <t>12/16/2022</t>
  </si>
  <si>
    <t>Intermediary Solutions Holding, Inc.</t>
  </si>
  <si>
    <t>11/30/2022</t>
  </si>
  <si>
    <t>Hilco H2O</t>
  </si>
  <si>
    <t>Exhibit DND-2</t>
  </si>
  <si>
    <t>Rate increase at Rate Equalization</t>
  </si>
  <si>
    <t>Current Charges</t>
  </si>
  <si>
    <t>Rate Increase to Equalize</t>
  </si>
  <si>
    <t>Proposed Base Rate Increase</t>
  </si>
  <si>
    <t>Rate Reduction from Rate Equalization</t>
  </si>
  <si>
    <t>Target Revenue</t>
  </si>
  <si>
    <t>Rate Equalization Revenue</t>
  </si>
  <si>
    <t>Current Charge</t>
  </si>
  <si>
    <t>Divided By: Usage</t>
  </si>
  <si>
    <t>Proposed Rate</t>
  </si>
  <si>
    <t>List of Outstanding Docket</t>
  </si>
  <si>
    <t>Attorney General's Calculation of Rate Base</t>
  </si>
  <si>
    <t>Late Fees</t>
  </si>
  <si>
    <t>"</t>
  </si>
  <si>
    <t>Cost Type</t>
  </si>
  <si>
    <t>Software Implementation Costs</t>
  </si>
  <si>
    <t>Calculation to Annualize Insurance Expense</t>
  </si>
  <si>
    <t>Adjustment to Eliminate non-recurring</t>
  </si>
  <si>
    <t xml:space="preserve"> Adjustment to Depreciation Expense</t>
  </si>
  <si>
    <t>Pro-Forma Adjustment to Other Revenues</t>
  </si>
  <si>
    <t>Calculations</t>
  </si>
  <si>
    <t>Test Period Totals</t>
  </si>
  <si>
    <t>Medical/Dental cost per Employee to Bluegrass</t>
  </si>
  <si>
    <t>Month</t>
  </si>
  <si>
    <t>Bluegrass Test Period Exp.</t>
  </si>
  <si>
    <t>Total Jan - March 2023</t>
  </si>
  <si>
    <t>Annualize 1Q 2023</t>
  </si>
  <si>
    <t>BLS Survey %</t>
  </si>
  <si>
    <t>Eligible CSWR Costs</t>
  </si>
  <si>
    <t>Test Period Wtd Allocation</t>
  </si>
  <si>
    <t>Pro Forma Bluegrass Allocated Exp</t>
  </si>
  <si>
    <t>Less: Expense Charged to Bluegrass</t>
  </si>
  <si>
    <t>Adjustment to Normalize Employee Benefit Costs</t>
  </si>
  <si>
    <t>Adjustment in Thousands</t>
  </si>
  <si>
    <t>Adjustment Calculation</t>
  </si>
  <si>
    <t>Calculation to Annualize and Normalize Employoee Benefit Expense</t>
  </si>
  <si>
    <t>Total Costs before deductions for Employee portion.</t>
  </si>
  <si>
    <t>Company Propopsed ROE</t>
  </si>
  <si>
    <t>Bluegrass  Capital Structure Proposal</t>
  </si>
  <si>
    <t>9.9% ROE Authorized in Case 2020-00290</t>
  </si>
  <si>
    <t>Net Increase in Pro-Forma Revenues (000's)</t>
  </si>
  <si>
    <t>Total Revenue Requirement Increase recommendation - OAG (000s)</t>
  </si>
  <si>
    <t>Reduction Assigned to Wastewater</t>
  </si>
  <si>
    <t>Adjustment to Reduce Insurance Expense</t>
  </si>
  <si>
    <t>In Effect (1)</t>
  </si>
  <si>
    <t>(1) General Bluegrass Allocator * 90.26% assignment to wastewater</t>
  </si>
  <si>
    <t>Bluegrass Allocator</t>
  </si>
  <si>
    <t>Line 5/ Line 6</t>
  </si>
  <si>
    <t>1/(1-Line 7)</t>
  </si>
  <si>
    <t>Less: Total Requested Bad Debt Expense</t>
  </si>
  <si>
    <t>Targeted Revenue -Deleplain Com. Customers</t>
  </si>
  <si>
    <t>Company Proposal</t>
  </si>
  <si>
    <t>Attorney General Proposal</t>
  </si>
  <si>
    <t>1/</t>
  </si>
  <si>
    <t>Current Revenue</t>
  </si>
  <si>
    <t>Proposed Rate Design Bluegrass/Attorney General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</si>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</sst>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0.000000"/>
    <numFmt numFmtId="168" formatCode="_(&quot;$&quot;* #,##0.000000_);_(&quot;$&quot;* \(#,##0.000000\);_(&quot;$&quot;* &quot;-&quot;??_);_(@_)"/>
    <numFmt numFmtId="169" formatCode="_(* #,##0_);_(* \(#,##0\);_(* &quot;-&quot;??_);_(@_)"/>
    <numFmt numFmtId="170" formatCode="_(* #,##0.000000_);_(* \(#,##0.000000\);_(* &quot;-&quot;??_);_(@_)"/>
    <numFmt numFmtId="171" formatCode="_(* #,##0.00000_);_(* \(#,##0.00000\);_(* &quot;-&quot;??_);_(@_)"/>
    <numFmt numFmtId="172" formatCode="0.000%"/>
    <numFmt numFmtId="173" formatCode="0.0_)"/>
    <numFmt numFmtId="174" formatCode="0.0000"/>
    <numFmt numFmtId="175" formatCode="0.0%"/>
    <numFmt numFmtId="176" formatCode="[$-409]mmmm\-yy;@"/>
    <numFmt numFmtId="177" formatCode="0.0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ourier"/>
      <family val="3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12"/>
      <color indexed="12"/>
      <name val="Times New Roman"/>
      <family val="1"/>
    </font>
    <font>
      <u val="double"/>
      <sz val="12"/>
      <name val="Times New Roman"/>
      <family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</cellStyleXfs>
  <cellXfs count="283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8" fillId="0" borderId="0" xfId="0" quotePrefix="1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2" borderId="0" xfId="0" applyFont="1" applyFill="1"/>
    <xf numFmtId="0" fontId="6" fillId="2" borderId="0" xfId="0" applyFont="1" applyFill="1"/>
    <xf numFmtId="0" fontId="8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9" fontId="8" fillId="0" borderId="0" xfId="1" applyNumberFormat="1" applyFont="1" applyBorder="1" applyAlignment="1">
      <alignment horizontal="center"/>
    </xf>
    <xf numFmtId="165" fontId="8" fillId="0" borderId="0" xfId="2" applyNumberFormat="1" applyFont="1" applyBorder="1" applyAlignment="1">
      <alignment horizontal="center"/>
    </xf>
    <xf numFmtId="169" fontId="9" fillId="0" borderId="0" xfId="1" applyNumberFormat="1" applyFont="1" applyBorder="1" applyAlignment="1">
      <alignment horizontal="center"/>
    </xf>
    <xf numFmtId="169" fontId="6" fillId="0" borderId="0" xfId="1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9" fontId="6" fillId="0" borderId="0" xfId="1" applyNumberFormat="1" applyFont="1" applyBorder="1" applyAlignment="1"/>
    <xf numFmtId="0" fontId="9" fillId="0" borderId="0" xfId="0" applyFont="1"/>
    <xf numFmtId="169" fontId="9" fillId="0" borderId="0" xfId="1" applyNumberFormat="1" applyFont="1" applyBorder="1" applyAlignment="1"/>
    <xf numFmtId="165" fontId="6" fillId="0" borderId="0" xfId="2" applyNumberFormat="1" applyFont="1" applyFill="1" applyBorder="1" applyAlignment="1">
      <alignment horizontal="center"/>
    </xf>
    <xf numFmtId="10" fontId="6" fillId="0" borderId="0" xfId="3" applyNumberFormat="1" applyFont="1" applyBorder="1" applyAlignment="1"/>
    <xf numFmtId="169" fontId="6" fillId="0" borderId="0" xfId="1" applyNumberFormat="1" applyFont="1" applyFill="1" applyBorder="1" applyAlignment="1"/>
    <xf numFmtId="169" fontId="9" fillId="0" borderId="0" xfId="1" applyNumberFormat="1" applyFont="1" applyFill="1" applyBorder="1" applyAlignment="1"/>
    <xf numFmtId="169" fontId="6" fillId="0" borderId="1" xfId="1" applyNumberFormat="1" applyFont="1" applyBorder="1" applyAlignment="1"/>
    <xf numFmtId="165" fontId="6" fillId="0" borderId="0" xfId="0" applyNumberFormat="1" applyFont="1"/>
    <xf numFmtId="0" fontId="6" fillId="0" borderId="3" xfId="0" applyFont="1" applyBorder="1" applyAlignment="1">
      <alignment horizontal="left"/>
    </xf>
    <xf numFmtId="0" fontId="6" fillId="0" borderId="4" xfId="0" applyFont="1" applyBorder="1"/>
    <xf numFmtId="169" fontId="6" fillId="0" borderId="4" xfId="1" applyNumberFormat="1" applyFont="1" applyBorder="1" applyAlignment="1"/>
    <xf numFmtId="0" fontId="6" fillId="0" borderId="6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164" fontId="9" fillId="0" borderId="0" xfId="1" applyNumberFormat="1" applyFont="1" applyBorder="1" applyAlignment="1"/>
    <xf numFmtId="167" fontId="9" fillId="0" borderId="8" xfId="0" applyNumberFormat="1" applyFont="1" applyBorder="1" applyAlignment="1">
      <alignment horizontal="left"/>
    </xf>
    <xf numFmtId="167" fontId="9" fillId="0" borderId="1" xfId="0" applyNumberFormat="1" applyFont="1" applyBorder="1"/>
    <xf numFmtId="167" fontId="9" fillId="0" borderId="1" xfId="1" applyNumberFormat="1" applyFont="1" applyBorder="1" applyAlignment="1"/>
    <xf numFmtId="167" fontId="6" fillId="2" borderId="1" xfId="0" applyNumberFormat="1" applyFont="1" applyFill="1" applyBorder="1"/>
    <xf numFmtId="1" fontId="6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left"/>
    </xf>
    <xf numFmtId="167" fontId="9" fillId="0" borderId="0" xfId="0" applyNumberFormat="1" applyFont="1"/>
    <xf numFmtId="167" fontId="9" fillId="0" borderId="0" xfId="1" applyNumberFormat="1" applyFont="1" applyBorder="1" applyAlignment="1"/>
    <xf numFmtId="167" fontId="6" fillId="2" borderId="0" xfId="0" applyNumberFormat="1" applyFont="1" applyFill="1"/>
    <xf numFmtId="167" fontId="6" fillId="0" borderId="0" xfId="0" applyNumberFormat="1" applyFont="1" applyAlignment="1">
      <alignment horizontal="center"/>
    </xf>
    <xf numFmtId="167" fontId="6" fillId="0" borderId="0" xfId="0" applyNumberFormat="1" applyFont="1"/>
    <xf numFmtId="164" fontId="6" fillId="0" borderId="0" xfId="1" applyNumberFormat="1" applyFont="1" applyFill="1" applyBorder="1" applyAlignment="1"/>
    <xf numFmtId="164" fontId="9" fillId="0" borderId="0" xfId="1" applyNumberFormat="1" applyFont="1" applyFill="1" applyBorder="1" applyAlignment="1"/>
    <xf numFmtId="164" fontId="6" fillId="0" borderId="0" xfId="1" applyNumberFormat="1" applyFont="1" applyBorder="1" applyAlignment="1"/>
    <xf numFmtId="43" fontId="6" fillId="0" borderId="0" xfId="0" applyNumberFormat="1" applyFont="1"/>
    <xf numFmtId="170" fontId="6" fillId="0" borderId="0" xfId="0" applyNumberFormat="1" applyFont="1"/>
    <xf numFmtId="170" fontId="6" fillId="0" borderId="0" xfId="1" applyNumberFormat="1" applyFont="1" applyFill="1" applyBorder="1" applyAlignment="1"/>
    <xf numFmtId="44" fontId="6" fillId="0" borderId="0" xfId="0" applyNumberFormat="1" applyFont="1"/>
    <xf numFmtId="166" fontId="9" fillId="0" borderId="0" xfId="2" applyNumberFormat="1" applyFont="1" applyFill="1" applyBorder="1" applyAlignment="1"/>
    <xf numFmtId="165" fontId="9" fillId="0" borderId="0" xfId="2" applyNumberFormat="1" applyFont="1" applyBorder="1" applyAlignment="1"/>
    <xf numFmtId="168" fontId="9" fillId="0" borderId="0" xfId="2" applyNumberFormat="1" applyFont="1" applyFill="1" applyBorder="1" applyAlignment="1"/>
    <xf numFmtId="171" fontId="6" fillId="0" borderId="0" xfId="0" applyNumberFormat="1" applyFont="1"/>
    <xf numFmtId="169" fontId="6" fillId="0" borderId="0" xfId="0" applyNumberFormat="1" applyFont="1"/>
    <xf numFmtId="0" fontId="7" fillId="0" borderId="0" xfId="0" applyFont="1"/>
    <xf numFmtId="44" fontId="6" fillId="0" borderId="0" xfId="2" applyFont="1"/>
    <xf numFmtId="10" fontId="6" fillId="0" borderId="0" xfId="3" applyNumberFormat="1" applyFont="1"/>
    <xf numFmtId="44" fontId="6" fillId="0" borderId="1" xfId="2" applyFont="1" applyBorder="1"/>
    <xf numFmtId="165" fontId="6" fillId="0" borderId="0" xfId="2" applyNumberFormat="1" applyFont="1"/>
    <xf numFmtId="165" fontId="8" fillId="0" borderId="0" xfId="2" applyNumberFormat="1" applyFont="1" applyAlignment="1">
      <alignment horizontal="center"/>
    </xf>
    <xf numFmtId="165" fontId="9" fillId="0" borderId="0" xfId="2" applyNumberFormat="1" applyFont="1" applyAlignment="1">
      <alignment horizontal="center"/>
    </xf>
    <xf numFmtId="165" fontId="9" fillId="0" borderId="0" xfId="2" applyNumberFormat="1" applyFont="1"/>
    <xf numFmtId="0" fontId="9" fillId="0" borderId="0" xfId="0" applyFont="1" applyAlignment="1">
      <alignment horizontal="left" indent="1"/>
    </xf>
    <xf numFmtId="165" fontId="9" fillId="0" borderId="0" xfId="0" applyNumberFormat="1" applyFont="1"/>
    <xf numFmtId="0" fontId="6" fillId="0" borderId="0" xfId="0" applyFont="1" applyAlignment="1">
      <alignment horizontal="left" wrapText="1"/>
    </xf>
    <xf numFmtId="165" fontId="9" fillId="0" borderId="1" xfId="2" applyNumberFormat="1" applyFont="1" applyBorder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/>
    <xf numFmtId="165" fontId="9" fillId="0" borderId="4" xfId="2" applyNumberFormat="1" applyFont="1" applyBorder="1"/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7" xfId="0" applyFont="1" applyBorder="1" applyAlignment="1">
      <alignment wrapText="1"/>
    </xf>
    <xf numFmtId="165" fontId="9" fillId="0" borderId="0" xfId="2" applyNumberFormat="1" applyFont="1" applyBorder="1"/>
    <xf numFmtId="0" fontId="9" fillId="0" borderId="8" xfId="0" applyFont="1" applyBorder="1" applyAlignment="1">
      <alignment horizontal="left" wrapText="1"/>
    </xf>
    <xf numFmtId="0" fontId="9" fillId="0" borderId="1" xfId="0" applyFont="1" applyBorder="1"/>
    <xf numFmtId="165" fontId="9" fillId="0" borderId="1" xfId="0" applyNumberFormat="1" applyFont="1" applyBorder="1"/>
    <xf numFmtId="165" fontId="9" fillId="0" borderId="1" xfId="2" applyNumberFormat="1" applyFont="1" applyBorder="1" applyAlignment="1"/>
    <xf numFmtId="0" fontId="9" fillId="0" borderId="9" xfId="0" applyFont="1" applyBorder="1" applyAlignment="1">
      <alignment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6" fillId="0" borderId="3" xfId="0" applyFont="1" applyBorder="1" applyAlignment="1">
      <alignment horizontal="left" wrapText="1"/>
    </xf>
    <xf numFmtId="165" fontId="9" fillId="0" borderId="5" xfId="0" applyNumberFormat="1" applyFont="1" applyBorder="1"/>
    <xf numFmtId="0" fontId="6" fillId="0" borderId="6" xfId="0" applyFont="1" applyBorder="1" applyAlignment="1">
      <alignment horizontal="left" wrapText="1"/>
    </xf>
    <xf numFmtId="165" fontId="9" fillId="0" borderId="7" xfId="0" applyNumberFormat="1" applyFont="1" applyBorder="1"/>
    <xf numFmtId="0" fontId="9" fillId="0" borderId="6" xfId="0" applyFont="1" applyBorder="1"/>
    <xf numFmtId="6" fontId="9" fillId="0" borderId="9" xfId="0" applyNumberFormat="1" applyFont="1" applyBorder="1"/>
    <xf numFmtId="0" fontId="9" fillId="0" borderId="7" xfId="0" applyFont="1" applyBorder="1"/>
    <xf numFmtId="10" fontId="9" fillId="0" borderId="7" xfId="3" applyNumberFormat="1" applyFont="1" applyBorder="1"/>
    <xf numFmtId="0" fontId="9" fillId="0" borderId="8" xfId="0" applyFont="1" applyBorder="1"/>
    <xf numFmtId="174" fontId="9" fillId="0" borderId="9" xfId="0" applyNumberFormat="1" applyFont="1" applyBorder="1"/>
    <xf numFmtId="0" fontId="7" fillId="0" borderId="1" xfId="0" applyFont="1" applyBorder="1"/>
    <xf numFmtId="3" fontId="6" fillId="0" borderId="0" xfId="0" applyNumberFormat="1" applyFont="1"/>
    <xf numFmtId="3" fontId="6" fillId="0" borderId="1" xfId="0" applyNumberFormat="1" applyFont="1" applyBorder="1"/>
    <xf numFmtId="10" fontId="6" fillId="0" borderId="1" xfId="3" applyNumberFormat="1" applyFont="1" applyBorder="1"/>
    <xf numFmtId="169" fontId="6" fillId="0" borderId="0" xfId="1" applyNumberFormat="1" applyFont="1"/>
    <xf numFmtId="169" fontId="6" fillId="0" borderId="1" xfId="1" applyNumberFormat="1" applyFont="1" applyBorder="1"/>
    <xf numFmtId="0" fontId="6" fillId="0" borderId="0" xfId="0" applyFont="1" applyAlignment="1">
      <alignment wrapText="1"/>
    </xf>
    <xf numFmtId="10" fontId="6" fillId="0" borderId="0" xfId="3" applyNumberFormat="1" applyFont="1" applyFill="1"/>
    <xf numFmtId="10" fontId="9" fillId="0" borderId="0" xfId="3" applyNumberFormat="1" applyFont="1" applyFill="1"/>
    <xf numFmtId="169" fontId="6" fillId="0" borderId="0" xfId="1" applyNumberFormat="1" applyFont="1" applyFill="1"/>
    <xf numFmtId="0" fontId="8" fillId="0" borderId="0" xfId="0" applyFont="1"/>
    <xf numFmtId="10" fontId="9" fillId="0" borderId="0" xfId="3" applyNumberFormat="1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10" fontId="9" fillId="0" borderId="1" xfId="3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0" xfId="4" applyFont="1"/>
    <xf numFmtId="37" fontId="9" fillId="0" borderId="0" xfId="4" applyNumberFormat="1" applyFont="1" applyAlignment="1">
      <alignment horizontal="right"/>
    </xf>
    <xf numFmtId="172" fontId="9" fillId="0" borderId="0" xfId="4" applyNumberFormat="1" applyFont="1"/>
    <xf numFmtId="173" fontId="9" fillId="0" borderId="0" xfId="4" applyNumberFormat="1" applyFont="1"/>
    <xf numFmtId="172" fontId="9" fillId="0" borderId="0" xfId="4" applyNumberFormat="1" applyFont="1" applyProtection="1">
      <protection locked="0"/>
    </xf>
    <xf numFmtId="169" fontId="9" fillId="0" borderId="0" xfId="1" applyNumberFormat="1" applyFont="1" applyFill="1"/>
    <xf numFmtId="10" fontId="9" fillId="0" borderId="0" xfId="0" applyNumberFormat="1" applyFont="1"/>
    <xf numFmtId="165" fontId="9" fillId="0" borderId="0" xfId="2" applyNumberFormat="1" applyFont="1" applyFill="1"/>
    <xf numFmtId="37" fontId="9" fillId="0" borderId="0" xfId="4" applyNumberFormat="1" applyFont="1"/>
    <xf numFmtId="37" fontId="10" fillId="0" borderId="0" xfId="4" applyNumberFormat="1" applyFont="1" applyAlignment="1">
      <alignment horizontal="right"/>
    </xf>
    <xf numFmtId="37" fontId="11" fillId="0" borderId="0" xfId="4" applyNumberFormat="1" applyFont="1" applyProtection="1">
      <protection locked="0"/>
    </xf>
    <xf numFmtId="172" fontId="10" fillId="0" borderId="0" xfId="4" applyNumberFormat="1" applyFont="1"/>
    <xf numFmtId="169" fontId="9" fillId="0" borderId="0" xfId="1" applyNumberFormat="1" applyFont="1" applyFill="1" applyBorder="1"/>
    <xf numFmtId="169" fontId="9" fillId="0" borderId="1" xfId="1" applyNumberFormat="1" applyFont="1" applyFill="1" applyBorder="1"/>
    <xf numFmtId="10" fontId="9" fillId="0" borderId="1" xfId="0" applyNumberFormat="1" applyFont="1" applyBorder="1"/>
    <xf numFmtId="10" fontId="9" fillId="0" borderId="0" xfId="3" applyNumberFormat="1" applyFont="1" applyFill="1" applyBorder="1"/>
    <xf numFmtId="10" fontId="9" fillId="0" borderId="1" xfId="3" applyNumberFormat="1" applyFont="1" applyFill="1" applyBorder="1"/>
    <xf numFmtId="37" fontId="12" fillId="0" borderId="0" xfId="4" applyNumberFormat="1" applyFont="1" applyAlignment="1">
      <alignment horizontal="right"/>
    </xf>
    <xf numFmtId="172" fontId="12" fillId="0" borderId="0" xfId="4" applyNumberFormat="1" applyFont="1"/>
    <xf numFmtId="169" fontId="9" fillId="0" borderId="2" xfId="1" applyNumberFormat="1" applyFont="1" applyFill="1" applyBorder="1"/>
    <xf numFmtId="10" fontId="9" fillId="0" borderId="2" xfId="0" applyNumberFormat="1" applyFont="1" applyBorder="1"/>
    <xf numFmtId="165" fontId="9" fillId="0" borderId="2" xfId="0" applyNumberFormat="1" applyFont="1" applyBorder="1"/>
    <xf numFmtId="9" fontId="9" fillId="0" borderId="2" xfId="3" applyFont="1" applyFill="1" applyBorder="1"/>
    <xf numFmtId="10" fontId="9" fillId="0" borderId="2" xfId="3" applyNumberFormat="1" applyFont="1" applyFill="1" applyBorder="1"/>
    <xf numFmtId="0" fontId="9" fillId="0" borderId="1" xfId="0" quotePrefix="1" applyFont="1" applyBorder="1" applyAlignment="1">
      <alignment horizontal="center" wrapText="1"/>
    </xf>
    <xf numFmtId="10" fontId="9" fillId="0" borderId="1" xfId="3" applyNumberFormat="1" applyFont="1" applyFill="1" applyBorder="1" applyAlignment="1">
      <alignment horizontal="center" wrapText="1"/>
    </xf>
    <xf numFmtId="10" fontId="9" fillId="0" borderId="0" xfId="3" applyNumberFormat="1" applyFont="1" applyAlignment="1">
      <alignment horizontal="right"/>
    </xf>
    <xf numFmtId="0" fontId="9" fillId="0" borderId="0" xfId="5" applyFont="1"/>
    <xf numFmtId="10" fontId="9" fillId="0" borderId="0" xfId="5" applyNumberFormat="1" applyFont="1"/>
    <xf numFmtId="10" fontId="6" fillId="0" borderId="1" xfId="3" applyNumberFormat="1" applyFont="1" applyFill="1" applyBorder="1"/>
    <xf numFmtId="165" fontId="8" fillId="0" borderId="0" xfId="2" applyNumberFormat="1" applyFont="1" applyAlignment="1">
      <alignment horizontal="right"/>
    </xf>
    <xf numFmtId="165" fontId="9" fillId="0" borderId="0" xfId="2" applyNumberFormat="1" applyFont="1" applyAlignment="1">
      <alignment horizontal="right"/>
    </xf>
    <xf numFmtId="165" fontId="9" fillId="0" borderId="0" xfId="2" applyNumberFormat="1" applyFont="1" applyBorder="1" applyAlignment="1">
      <alignment horizontal="right"/>
    </xf>
    <xf numFmtId="8" fontId="6" fillId="0" borderId="0" xfId="0" applyNumberFormat="1" applyFont="1"/>
    <xf numFmtId="8" fontId="6" fillId="0" borderId="0" xfId="0" applyNumberFormat="1" applyFont="1" applyAlignment="1">
      <alignment horizontal="center"/>
    </xf>
    <xf numFmtId="165" fontId="9" fillId="0" borderId="1" xfId="2" applyNumberFormat="1" applyFont="1" applyBorder="1" applyAlignment="1">
      <alignment horizontal="right"/>
    </xf>
    <xf numFmtId="165" fontId="9" fillId="0" borderId="2" xfId="2" applyNumberFormat="1" applyFont="1" applyBorder="1" applyAlignment="1">
      <alignment horizontal="right"/>
    </xf>
    <xf numFmtId="8" fontId="6" fillId="0" borderId="0" xfId="0" applyNumberFormat="1" applyFont="1" applyAlignment="1">
      <alignment horizontal="center" wrapText="1"/>
    </xf>
    <xf numFmtId="8" fontId="9" fillId="0" borderId="0" xfId="0" applyNumberFormat="1" applyFont="1"/>
    <xf numFmtId="8" fontId="9" fillId="0" borderId="0" xfId="0" applyNumberFormat="1" applyFont="1" applyAlignment="1">
      <alignment wrapText="1"/>
    </xf>
    <xf numFmtId="6" fontId="9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43" fontId="7" fillId="0" borderId="1" xfId="1" applyFont="1" applyFill="1" applyBorder="1" applyAlignment="1">
      <alignment horizontal="center" wrapText="1"/>
    </xf>
    <xf numFmtId="169" fontId="7" fillId="0" borderId="1" xfId="1" applyNumberFormat="1" applyFont="1" applyFill="1" applyBorder="1" applyAlignment="1">
      <alignment horizontal="center" wrapText="1"/>
    </xf>
    <xf numFmtId="176" fontId="6" fillId="0" borderId="0" xfId="0" applyNumberFormat="1" applyFont="1"/>
    <xf numFmtId="43" fontId="6" fillId="0" borderId="0" xfId="1" applyFont="1" applyFill="1"/>
    <xf numFmtId="10" fontId="6" fillId="0" borderId="0" xfId="1" applyNumberFormat="1" applyFont="1" applyFill="1"/>
    <xf numFmtId="169" fontId="6" fillId="0" borderId="1" xfId="1" applyNumberFormat="1" applyFont="1" applyFill="1" applyBorder="1"/>
    <xf numFmtId="43" fontId="6" fillId="0" borderId="0" xfId="1" applyFont="1" applyFill="1" applyBorder="1"/>
    <xf numFmtId="165" fontId="6" fillId="0" borderId="0" xfId="2" applyNumberFormat="1" applyFont="1" applyFill="1"/>
    <xf numFmtId="176" fontId="7" fillId="0" borderId="10" xfId="0" applyNumberFormat="1" applyFont="1" applyBorder="1"/>
    <xf numFmtId="43" fontId="6" fillId="0" borderId="11" xfId="1" applyFont="1" applyFill="1" applyBorder="1"/>
    <xf numFmtId="43" fontId="6" fillId="0" borderId="12" xfId="1" applyFont="1" applyFill="1" applyBorder="1"/>
    <xf numFmtId="43" fontId="6" fillId="0" borderId="6" xfId="1" applyFont="1" applyFill="1" applyBorder="1"/>
    <xf numFmtId="169" fontId="6" fillId="0" borderId="7" xfId="1" applyNumberFormat="1" applyFont="1" applyFill="1" applyBorder="1"/>
    <xf numFmtId="0" fontId="6" fillId="0" borderId="6" xfId="0" applyFont="1" applyBorder="1"/>
    <xf numFmtId="169" fontId="6" fillId="0" borderId="9" xfId="0" applyNumberFormat="1" applyFont="1" applyBorder="1"/>
    <xf numFmtId="0" fontId="6" fillId="0" borderId="8" xfId="0" applyFont="1" applyBorder="1"/>
    <xf numFmtId="10" fontId="6" fillId="0" borderId="9" xfId="3" applyNumberFormat="1" applyFont="1" applyBorder="1"/>
    <xf numFmtId="169" fontId="6" fillId="0" borderId="1" xfId="0" applyNumberFormat="1" applyFont="1" applyBorder="1"/>
    <xf numFmtId="165" fontId="6" fillId="0" borderId="1" xfId="0" applyNumberFormat="1" applyFont="1" applyBorder="1"/>
    <xf numFmtId="169" fontId="7" fillId="0" borderId="0" xfId="0" applyNumberFormat="1" applyFont="1"/>
    <xf numFmtId="165" fontId="9" fillId="0" borderId="1" xfId="2" applyNumberFormat="1" applyFont="1" applyFill="1" applyBorder="1"/>
    <xf numFmtId="10" fontId="9" fillId="0" borderId="1" xfId="3" applyNumberFormat="1" applyFont="1" applyBorder="1" applyAlignment="1">
      <alignment horizontal="right"/>
    </xf>
    <xf numFmtId="0" fontId="9" fillId="0" borderId="2" xfId="0" applyFont="1" applyBorder="1" applyAlignment="1">
      <alignment horizontal="center"/>
    </xf>
    <xf numFmtId="10" fontId="8" fillId="0" borderId="0" xfId="3" applyNumberFormat="1" applyFont="1" applyFill="1"/>
    <xf numFmtId="0" fontId="6" fillId="0" borderId="3" xfId="0" applyFont="1" applyBorder="1"/>
    <xf numFmtId="0" fontId="6" fillId="0" borderId="5" xfId="0" applyFont="1" applyBorder="1"/>
    <xf numFmtId="0" fontId="6" fillId="0" borderId="7" xfId="0" applyFont="1" applyBorder="1"/>
    <xf numFmtId="10" fontId="6" fillId="0" borderId="0" xfId="3" applyNumberFormat="1" applyFont="1" applyFill="1" applyBorder="1"/>
    <xf numFmtId="10" fontId="6" fillId="0" borderId="7" xfId="3" applyNumberFormat="1" applyFont="1" applyFill="1" applyBorder="1"/>
    <xf numFmtId="10" fontId="6" fillId="0" borderId="9" xfId="3" applyNumberFormat="1" applyFont="1" applyFill="1" applyBorder="1"/>
    <xf numFmtId="10" fontId="6" fillId="0" borderId="0" xfId="0" applyNumberFormat="1" applyFont="1"/>
    <xf numFmtId="174" fontId="7" fillId="0" borderId="0" xfId="0" applyNumberFormat="1" applyFont="1"/>
    <xf numFmtId="0" fontId="6" fillId="0" borderId="9" xfId="0" applyFont="1" applyBorder="1"/>
    <xf numFmtId="167" fontId="9" fillId="0" borderId="8" xfId="0" applyNumberFormat="1" applyFont="1" applyBorder="1"/>
    <xf numFmtId="177" fontId="6" fillId="0" borderId="0" xfId="3" applyNumberFormat="1" applyFont="1"/>
    <xf numFmtId="177" fontId="6" fillId="0" borderId="0" xfId="0" applyNumberFormat="1" applyFont="1"/>
    <xf numFmtId="164" fontId="6" fillId="0" borderId="5" xfId="1" applyNumberFormat="1" applyFont="1" applyBorder="1" applyAlignment="1">
      <alignment horizontal="center"/>
    </xf>
    <xf numFmtId="164" fontId="9" fillId="0" borderId="9" xfId="1" applyNumberFormat="1" applyFont="1" applyBorder="1" applyAlignment="1">
      <alignment horizontal="center"/>
    </xf>
    <xf numFmtId="169" fontId="6" fillId="0" borderId="7" xfId="0" applyNumberFormat="1" applyFont="1" applyBorder="1"/>
    <xf numFmtId="165" fontId="6" fillId="0" borderId="7" xfId="2" applyNumberFormat="1" applyFont="1" applyBorder="1"/>
    <xf numFmtId="165" fontId="6" fillId="0" borderId="7" xfId="0" applyNumberFormat="1" applyFont="1" applyBorder="1"/>
    <xf numFmtId="164" fontId="6" fillId="0" borderId="7" xfId="1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6" fillId="0" borderId="0" xfId="0" quotePrefix="1" applyFont="1" applyAlignment="1">
      <alignment horizontal="center" wrapText="1"/>
    </xf>
    <xf numFmtId="14" fontId="6" fillId="0" borderId="0" xfId="0" applyNumberFormat="1" applyFont="1" applyAlignment="1">
      <alignment horizontal="center" wrapText="1"/>
    </xf>
    <xf numFmtId="0" fontId="6" fillId="0" borderId="0" xfId="0" quotePrefix="1" applyFont="1" applyAlignment="1">
      <alignment horizontal="center"/>
    </xf>
    <xf numFmtId="165" fontId="8" fillId="0" borderId="1" xfId="2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169" fontId="6" fillId="0" borderId="4" xfId="0" applyNumberFormat="1" applyFont="1" applyBorder="1"/>
    <xf numFmtId="0" fontId="7" fillId="0" borderId="1" xfId="0" applyFont="1" applyBorder="1" applyAlignment="1">
      <alignment horizontal="center"/>
    </xf>
    <xf numFmtId="8" fontId="6" fillId="0" borderId="1" xfId="0" applyNumberFormat="1" applyFont="1" applyBorder="1"/>
    <xf numFmtId="6" fontId="6" fillId="0" borderId="0" xfId="0" applyNumberFormat="1" applyFont="1"/>
    <xf numFmtId="6" fontId="9" fillId="0" borderId="1" xfId="0" applyNumberFormat="1" applyFont="1" applyBorder="1" applyAlignment="1">
      <alignment wrapText="1"/>
    </xf>
    <xf numFmtId="43" fontId="6" fillId="0" borderId="0" xfId="1" applyFont="1" applyFill="1" applyAlignment="1">
      <alignment wrapText="1"/>
    </xf>
    <xf numFmtId="43" fontId="6" fillId="0" borderId="3" xfId="0" applyNumberFormat="1" applyFont="1" applyBorder="1"/>
    <xf numFmtId="169" fontId="6" fillId="0" borderId="5" xfId="0" applyNumberFormat="1" applyFont="1" applyBorder="1"/>
    <xf numFmtId="169" fontId="6" fillId="0" borderId="9" xfId="1" applyNumberFormat="1" applyFont="1" applyFill="1" applyBorder="1"/>
    <xf numFmtId="0" fontId="7" fillId="0" borderId="8" xfId="0" applyFont="1" applyBorder="1"/>
    <xf numFmtId="169" fontId="7" fillId="0" borderId="9" xfId="2" applyNumberFormat="1" applyFont="1" applyFill="1" applyBorder="1"/>
    <xf numFmtId="165" fontId="6" fillId="0" borderId="5" xfId="2" applyNumberFormat="1" applyFont="1" applyBorder="1"/>
    <xf numFmtId="9" fontId="6" fillId="0" borderId="9" xfId="3" applyFont="1" applyBorder="1"/>
    <xf numFmtId="10" fontId="6" fillId="0" borderId="7" xfId="0" applyNumberFormat="1" applyFont="1" applyBorder="1"/>
    <xf numFmtId="0" fontId="6" fillId="0" borderId="6" xfId="0" applyFont="1" applyBorder="1" applyAlignment="1">
      <alignment wrapText="1"/>
    </xf>
    <xf numFmtId="165" fontId="6" fillId="0" borderId="9" xfId="0" applyNumberFormat="1" applyFont="1" applyBorder="1"/>
    <xf numFmtId="10" fontId="6" fillId="0" borderId="0" xfId="3" applyNumberFormat="1" applyFont="1" applyBorder="1"/>
    <xf numFmtId="0" fontId="7" fillId="0" borderId="13" xfId="0" applyFont="1" applyBorder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6" xfId="0" applyFont="1" applyBorder="1"/>
    <xf numFmtId="44" fontId="7" fillId="0" borderId="9" xfId="0" applyNumberFormat="1" applyFont="1" applyBorder="1"/>
    <xf numFmtId="2" fontId="7" fillId="0" borderId="9" xfId="0" applyNumberFormat="1" applyFont="1" applyBorder="1"/>
    <xf numFmtId="0" fontId="7" fillId="0" borderId="3" xfId="0" applyFont="1" applyBorder="1"/>
    <xf numFmtId="165" fontId="7" fillId="0" borderId="3" xfId="0" applyNumberFormat="1" applyFont="1" applyBorder="1"/>
    <xf numFmtId="0" fontId="8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/>
    <xf numFmtId="169" fontId="8" fillId="0" borderId="1" xfId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/>
    <xf numFmtId="0" fontId="0" fillId="0" borderId="0" xfId="0"/>
    <xf numFmtId="0" fontId="9" fillId="0" borderId="0" xfId="0" applyFont="1" applyBorder="1"/>
    <xf numFmtId="169" fontId="6" fillId="0" borderId="0" xfId="0" applyNumberFormat="1" applyFont="1" applyBorder="1"/>
    <xf numFmtId="6" fontId="6" fillId="0" borderId="0" xfId="0" applyNumberFormat="1" applyFont="1" applyBorder="1" applyAlignment="1">
      <alignment vertical="center"/>
    </xf>
    <xf numFmtId="165" fontId="9" fillId="0" borderId="0" xfId="0" applyNumberFormat="1" applyFont="1" applyBorder="1"/>
    <xf numFmtId="0" fontId="9" fillId="0" borderId="6" xfId="0" applyFont="1" applyBorder="1" applyAlignment="1">
      <alignment horizontal="left" wrapText="1"/>
    </xf>
    <xf numFmtId="10" fontId="9" fillId="0" borderId="0" xfId="3" applyNumberFormat="1" applyFont="1" applyAlignment="1">
      <alignment wrapText="1"/>
    </xf>
    <xf numFmtId="167" fontId="9" fillId="0" borderId="0" xfId="0" applyNumberFormat="1" applyFont="1" applyBorder="1"/>
    <xf numFmtId="167" fontId="6" fillId="2" borderId="0" xfId="0" applyNumberFormat="1" applyFont="1" applyFill="1" applyBorder="1"/>
    <xf numFmtId="164" fontId="9" fillId="0" borderId="0" xfId="1" applyNumberFormat="1" applyFont="1" applyBorder="1" applyAlignment="1">
      <alignment horizontal="center"/>
    </xf>
    <xf numFmtId="0" fontId="6" fillId="0" borderId="0" xfId="0" applyFont="1" applyBorder="1"/>
    <xf numFmtId="165" fontId="6" fillId="0" borderId="0" xfId="0" applyNumberFormat="1" applyFont="1" applyBorder="1"/>
    <xf numFmtId="0" fontId="6" fillId="0" borderId="13" xfId="0" applyFont="1" applyBorder="1" applyAlignment="1">
      <alignment horizontal="center"/>
    </xf>
    <xf numFmtId="0" fontId="9" fillId="0" borderId="0" xfId="0" applyFont="1" applyFill="1"/>
    <xf numFmtId="175" fontId="9" fillId="0" borderId="0" xfId="3" applyNumberFormat="1" applyFont="1" applyFill="1" applyBorder="1"/>
    <xf numFmtId="44" fontId="9" fillId="0" borderId="0" xfId="0" applyNumberFormat="1" applyFont="1" applyFill="1"/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175" fontId="9" fillId="0" borderId="0" xfId="3" applyNumberFormat="1" applyFont="1" applyFill="1"/>
    <xf numFmtId="165" fontId="9" fillId="0" borderId="0" xfId="0" applyNumberFormat="1" applyFont="1" applyFill="1"/>
    <xf numFmtId="175" fontId="9" fillId="0" borderId="0" xfId="3" applyNumberFormat="1" applyFont="1" applyFill="1" applyBorder="1" applyAlignment="1">
      <alignment horizontal="right" vertical="center"/>
    </xf>
    <xf numFmtId="44" fontId="9" fillId="0" borderId="0" xfId="2" applyFont="1" applyFill="1"/>
    <xf numFmtId="0" fontId="8" fillId="0" borderId="10" xfId="0" applyFont="1" applyFill="1" applyBorder="1"/>
    <xf numFmtId="169" fontId="8" fillId="0" borderId="11" xfId="0" applyNumberFormat="1" applyFont="1" applyFill="1" applyBorder="1"/>
    <xf numFmtId="175" fontId="8" fillId="0" borderId="11" xfId="0" applyNumberFormat="1" applyFont="1" applyFill="1" applyBorder="1"/>
    <xf numFmtId="0" fontId="8" fillId="0" borderId="11" xfId="0" applyFont="1" applyFill="1" applyBorder="1"/>
    <xf numFmtId="165" fontId="8" fillId="0" borderId="11" xfId="0" applyNumberFormat="1" applyFont="1" applyFill="1" applyBorder="1"/>
    <xf numFmtId="175" fontId="8" fillId="0" borderId="12" xfId="3" applyNumberFormat="1" applyFont="1" applyFill="1" applyBorder="1"/>
    <xf numFmtId="0" fontId="9" fillId="0" borderId="4" xfId="0" applyFont="1" applyFill="1" applyBorder="1"/>
    <xf numFmtId="0" fontId="13" fillId="0" borderId="4" xfId="0" applyFont="1" applyFill="1" applyBorder="1"/>
    <xf numFmtId="169" fontId="9" fillId="0" borderId="11" xfId="1" applyNumberFormat="1" applyFont="1" applyFill="1" applyBorder="1"/>
    <xf numFmtId="0" fontId="8" fillId="0" borderId="1" xfId="0" applyFont="1" applyFill="1" applyBorder="1" applyAlignment="1">
      <alignment horizontal="center"/>
    </xf>
    <xf numFmtId="0" fontId="2" fillId="0" borderId="1" xfId="0" applyFont="1" applyBorder="1" applyAlignment="1"/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0" fillId="0" borderId="1" xfId="0" applyBorder="1" applyAlignment="1">
      <alignment horizontal="center"/>
    </xf>
  </cellXfs>
  <cellStyles count="7">
    <cellStyle name="Comma" xfId="1" builtinId="3"/>
    <cellStyle name="Comma 3" xfId="6" xr:uid="{9B69E2EA-1FC9-4331-8BC9-FE6995A662A0}"/>
    <cellStyle name="Currency" xfId="2" builtinId="4"/>
    <cellStyle name="Normal" xfId="0" builtinId="0"/>
    <cellStyle name="Normal 11" xfId="5" xr:uid="{A53414FF-2C5A-464F-9ABF-8E6CB9A87655}"/>
    <cellStyle name="Normal_SCH_J1" xfId="4" xr:uid="{81BFE686-18D0-4ED9-916C-87B79FC91163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Kentucky\Blue\Workfile\Adj%20Not%20Used\Billing%20and%20non-recurring.xlsx" TargetMode="External"/><Relationship Id="rId1" Type="http://schemas.openxmlformats.org/officeDocument/2006/relationships/externalLinkPath" Target="/Kentucky/Blue/Workfile/Adj%20Not%20Used/Billing%20and%20non-recurring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Kentucky\Blue\Workfile\Working%20Exhibit_OAG_1-124_-_Allocated_Overhead_adjustment-Final%20(version%201).xlsx" TargetMode="External"/><Relationship Id="rId1" Type="http://schemas.openxmlformats.org/officeDocument/2006/relationships/externalLinkPath" Target="/Kentucky/Blue/Workfile/Working%20Exhibit_OAG_1-124_-_Allocated_Overhead_adjustment-Final%20(version%201)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Kentucky\Blue\Discovery\ORA%20Discovery%20Requests%20Set%202\Exhibit_OAG_2-14(b)_-_Direct_Write_Off.xlsx" TargetMode="External"/><Relationship Id="rId1" Type="http://schemas.openxmlformats.org/officeDocument/2006/relationships/externalLinkPath" Target="/Kentucky/Blue/Discovery/ORA%20Discovery%20Requests%20Set%202/Exhibit_OAG_2-14(b)_-_Direct_Write_Of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illing"/>
      <sheetName val="Implementation"/>
    </sheetNames>
    <sheetDataSet>
      <sheetData sheetId="0"/>
      <sheetData sheetId="1">
        <row r="25">
          <cell r="K25">
            <v>-12.034704248530646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HA Calc"/>
      <sheetName val="Detail"/>
    </sheetNames>
    <sheetDataSet>
      <sheetData sheetId="0">
        <row r="11">
          <cell r="F11">
            <v>5.62E-2</v>
          </cell>
          <cell r="G11">
            <v>5.1900000000000002E-2</v>
          </cell>
        </row>
        <row r="20">
          <cell r="F20">
            <v>0.90260285474391266</v>
          </cell>
          <cell r="G20">
            <v>0.90260285474391266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Write Offs"/>
    </sheetNames>
    <sheetDataSet>
      <sheetData sheetId="0">
        <row r="22">
          <cell r="C22">
            <v>2528.65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46EE3-A35B-460E-B279-27B764DF7ECA}">
  <dimension ref="A2:I75"/>
  <sheetViews>
    <sheetView view="pageBreakPreview" zoomScale="60" zoomScaleNormal="100" workbookViewId="0">
      <selection activeCell="K14" sqref="K14"/>
    </sheetView>
  </sheetViews>
  <sheetFormatPr defaultRowHeight="15.75" x14ac:dyDescent="0.25"/>
  <cols>
    <col min="1" max="1" width="13.85546875" style="4" customWidth="1"/>
    <col min="2" max="2" width="21.5703125" style="4" customWidth="1"/>
    <col min="3" max="3" width="18.5703125" style="4" customWidth="1"/>
    <col min="4" max="7" width="14.7109375" style="4" customWidth="1"/>
    <col min="8" max="8" width="0.140625" style="4" customWidth="1"/>
    <col min="9" max="9" width="44.42578125" style="4" customWidth="1"/>
    <col min="10" max="11" width="14.7109375" style="4" customWidth="1"/>
    <col min="12" max="16384" width="9.140625" style="4"/>
  </cols>
  <sheetData>
    <row r="2" spans="1:9" x14ac:dyDescent="0.25">
      <c r="C2" s="5" t="s">
        <v>0</v>
      </c>
    </row>
    <row r="3" spans="1:9" x14ac:dyDescent="0.25">
      <c r="C3" s="5" t="s">
        <v>374</v>
      </c>
    </row>
    <row r="4" spans="1:9" x14ac:dyDescent="0.25">
      <c r="C4" s="6" t="s">
        <v>1</v>
      </c>
    </row>
    <row r="5" spans="1:9" x14ac:dyDescent="0.25">
      <c r="C5" s="8" t="s">
        <v>3</v>
      </c>
      <c r="E5" s="59"/>
      <c r="F5" s="59" t="s">
        <v>363</v>
      </c>
    </row>
    <row r="6" spans="1:9" s="104" customFormat="1" ht="78.75" x14ac:dyDescent="0.25">
      <c r="A6" s="198" t="s">
        <v>225</v>
      </c>
      <c r="B6" s="198" t="s">
        <v>226</v>
      </c>
      <c r="C6" s="198" t="s">
        <v>227</v>
      </c>
      <c r="D6" s="198" t="s">
        <v>228</v>
      </c>
      <c r="E6" s="198" t="s">
        <v>229</v>
      </c>
      <c r="F6" s="198" t="s">
        <v>230</v>
      </c>
      <c r="G6" s="198" t="s">
        <v>231</v>
      </c>
      <c r="H6" s="198" t="s">
        <v>232</v>
      </c>
    </row>
    <row r="7" spans="1:9" s="104" customFormat="1" x14ac:dyDescent="0.25">
      <c r="A7" s="155"/>
      <c r="B7" s="199"/>
      <c r="C7" s="199"/>
      <c r="D7" s="199"/>
      <c r="E7" s="199"/>
      <c r="F7" s="199"/>
      <c r="G7" s="199"/>
      <c r="H7" s="199"/>
    </row>
    <row r="8" spans="1:9" s="104" customFormat="1" x14ac:dyDescent="0.25">
      <c r="A8" s="155"/>
      <c r="B8" s="200" t="s">
        <v>233</v>
      </c>
      <c r="C8" s="155"/>
      <c r="D8" s="155"/>
      <c r="E8" s="155"/>
      <c r="F8" s="155"/>
      <c r="G8" s="155"/>
      <c r="H8" s="155"/>
      <c r="I8" s="155"/>
    </row>
    <row r="9" spans="1:9" s="104" customFormat="1" ht="31.5" x14ac:dyDescent="0.25">
      <c r="A9" s="155">
        <v>1</v>
      </c>
      <c r="B9" s="155" t="s">
        <v>234</v>
      </c>
      <c r="C9" s="155" t="s">
        <v>235</v>
      </c>
      <c r="D9" s="155" t="s">
        <v>236</v>
      </c>
      <c r="E9" s="155" t="s">
        <v>237</v>
      </c>
      <c r="F9" s="155">
        <v>137</v>
      </c>
      <c r="G9" s="201" t="s">
        <v>238</v>
      </c>
      <c r="H9" s="155"/>
    </row>
    <row r="10" spans="1:9" s="104" customFormat="1" ht="31.5" x14ac:dyDescent="0.25">
      <c r="A10" s="155">
        <v>2</v>
      </c>
      <c r="B10" s="155" t="s">
        <v>239</v>
      </c>
      <c r="C10" s="155" t="s">
        <v>235</v>
      </c>
      <c r="D10" s="155" t="s">
        <v>240</v>
      </c>
      <c r="E10" s="155" t="s">
        <v>237</v>
      </c>
      <c r="F10" s="155">
        <v>52</v>
      </c>
      <c r="G10" s="201" t="s">
        <v>241</v>
      </c>
      <c r="H10" s="155"/>
    </row>
    <row r="11" spans="1:9" s="104" customFormat="1" ht="45.75" customHeight="1" x14ac:dyDescent="0.25">
      <c r="A11" s="155">
        <v>3</v>
      </c>
      <c r="B11" s="155" t="s">
        <v>242</v>
      </c>
      <c r="C11" s="155" t="s">
        <v>235</v>
      </c>
      <c r="D11" s="155" t="s">
        <v>243</v>
      </c>
      <c r="E11" s="155" t="s">
        <v>237</v>
      </c>
      <c r="F11" s="155">
        <v>360</v>
      </c>
      <c r="G11" s="201" t="s">
        <v>244</v>
      </c>
      <c r="H11" s="155" t="s">
        <v>245</v>
      </c>
    </row>
    <row r="12" spans="1:9" s="104" customFormat="1" ht="31.5" x14ac:dyDescent="0.25">
      <c r="A12" s="155">
        <v>4</v>
      </c>
      <c r="B12" s="155" t="s">
        <v>246</v>
      </c>
      <c r="C12" s="155" t="str">
        <f>C11</f>
        <v>Cactus State</v>
      </c>
      <c r="D12" s="155" t="s">
        <v>247</v>
      </c>
      <c r="E12" s="155" t="s">
        <v>237</v>
      </c>
      <c r="F12" s="155">
        <v>41</v>
      </c>
      <c r="G12" s="201" t="s">
        <v>248</v>
      </c>
      <c r="H12" s="155"/>
    </row>
    <row r="13" spans="1:9" s="104" customFormat="1" ht="31.5" x14ac:dyDescent="0.25">
      <c r="A13" s="155">
        <v>5</v>
      </c>
      <c r="B13" s="155" t="s">
        <v>249</v>
      </c>
      <c r="C13" s="155" t="str">
        <f>C12</f>
        <v>Cactus State</v>
      </c>
      <c r="D13" s="155" t="s">
        <v>250</v>
      </c>
      <c r="E13" s="155" t="s">
        <v>237</v>
      </c>
      <c r="F13" s="155">
        <v>34</v>
      </c>
      <c r="G13" s="201" t="s">
        <v>251</v>
      </c>
      <c r="H13" s="155"/>
    </row>
    <row r="14" spans="1:9" s="104" customFormat="1" ht="51.75" customHeight="1" x14ac:dyDescent="0.25">
      <c r="A14" s="155">
        <v>6</v>
      </c>
      <c r="B14" s="155" t="s">
        <v>252</v>
      </c>
      <c r="C14" s="155" t="s">
        <v>235</v>
      </c>
      <c r="D14" s="155" t="s">
        <v>253</v>
      </c>
      <c r="E14" s="155" t="s">
        <v>237</v>
      </c>
      <c r="F14" s="155">
        <v>18</v>
      </c>
      <c r="G14" s="201" t="s">
        <v>254</v>
      </c>
      <c r="H14" s="155" t="s">
        <v>255</v>
      </c>
    </row>
    <row r="15" spans="1:9" s="104" customFormat="1" ht="18.75" customHeight="1" x14ac:dyDescent="0.25">
      <c r="A15" s="155"/>
      <c r="B15" s="155"/>
      <c r="C15" s="155"/>
      <c r="D15" s="155"/>
      <c r="E15" s="155"/>
      <c r="F15" s="155"/>
      <c r="G15" s="201"/>
      <c r="H15" s="155"/>
    </row>
    <row r="16" spans="1:9" s="104" customFormat="1" ht="20.25" customHeight="1" x14ac:dyDescent="0.25">
      <c r="A16" s="155"/>
      <c r="B16" s="200" t="s">
        <v>256</v>
      </c>
      <c r="C16" s="155"/>
      <c r="D16" s="155"/>
      <c r="E16" s="155"/>
      <c r="F16" s="155"/>
      <c r="G16" s="201"/>
      <c r="H16" s="155"/>
    </row>
    <row r="17" spans="1:8" s="104" customFormat="1" ht="30.75" customHeight="1" x14ac:dyDescent="0.25">
      <c r="A17" s="155">
        <v>7</v>
      </c>
      <c r="B17" s="155" t="s">
        <v>257</v>
      </c>
      <c r="C17" s="155" t="s">
        <v>258</v>
      </c>
      <c r="D17" s="155" t="s">
        <v>259</v>
      </c>
      <c r="E17" s="155" t="s">
        <v>260</v>
      </c>
      <c r="F17" s="155">
        <v>390</v>
      </c>
      <c r="G17" s="201" t="s">
        <v>261</v>
      </c>
      <c r="H17" s="155"/>
    </row>
    <row r="18" spans="1:8" s="104" customFormat="1" ht="19.5" customHeight="1" x14ac:dyDescent="0.25">
      <c r="A18" s="155"/>
      <c r="B18" s="155"/>
      <c r="C18" s="155"/>
      <c r="D18" s="155"/>
      <c r="E18" s="155"/>
      <c r="F18" s="155"/>
      <c r="G18" s="201"/>
      <c r="H18" s="155"/>
    </row>
    <row r="19" spans="1:8" s="104" customFormat="1" x14ac:dyDescent="0.25">
      <c r="A19" s="155"/>
      <c r="B19" s="200" t="s">
        <v>262</v>
      </c>
      <c r="C19" s="155"/>
      <c r="D19" s="155"/>
      <c r="E19" s="155"/>
      <c r="F19" s="155"/>
      <c r="G19" s="155"/>
      <c r="H19" s="155"/>
    </row>
    <row r="20" spans="1:8" s="104" customFormat="1" ht="31.5" x14ac:dyDescent="0.25">
      <c r="A20" s="155">
        <v>8</v>
      </c>
      <c r="B20" s="155" t="s">
        <v>263</v>
      </c>
      <c r="C20" s="155" t="s">
        <v>264</v>
      </c>
      <c r="D20" s="155" t="s">
        <v>265</v>
      </c>
      <c r="E20" s="155" t="s">
        <v>260</v>
      </c>
      <c r="F20" s="155">
        <v>423</v>
      </c>
      <c r="G20" s="201" t="s">
        <v>266</v>
      </c>
      <c r="H20" s="155"/>
    </row>
    <row r="21" spans="1:8" s="104" customFormat="1" ht="31.5" x14ac:dyDescent="0.25">
      <c r="A21" s="155">
        <v>9</v>
      </c>
      <c r="B21" s="155" t="s">
        <v>267</v>
      </c>
      <c r="C21" s="155" t="s">
        <v>264</v>
      </c>
      <c r="D21" s="155" t="s">
        <v>268</v>
      </c>
      <c r="E21" s="155"/>
      <c r="F21" s="155">
        <v>521</v>
      </c>
      <c r="G21" s="201" t="s">
        <v>266</v>
      </c>
      <c r="H21" s="155"/>
    </row>
    <row r="22" spans="1:8" s="104" customFormat="1" ht="31.5" x14ac:dyDescent="0.25">
      <c r="A22" s="155">
        <v>10</v>
      </c>
      <c r="B22" s="155" t="s">
        <v>269</v>
      </c>
      <c r="C22" s="155" t="str">
        <f>C21</f>
        <v>CSWR-Florida UOC</v>
      </c>
      <c r="D22" s="155" t="s">
        <v>270</v>
      </c>
      <c r="E22" s="155" t="s">
        <v>260</v>
      </c>
      <c r="F22" s="155">
        <f>108+239</f>
        <v>347</v>
      </c>
      <c r="G22" s="201" t="s">
        <v>266</v>
      </c>
      <c r="H22" s="155"/>
    </row>
    <row r="23" spans="1:8" s="104" customFormat="1" x14ac:dyDescent="0.25">
      <c r="A23" s="155"/>
      <c r="B23" s="155"/>
      <c r="C23" s="155"/>
      <c r="D23" s="155"/>
      <c r="E23" s="155"/>
      <c r="F23" s="155"/>
      <c r="G23" s="201"/>
      <c r="H23" s="155"/>
    </row>
    <row r="24" spans="1:8" s="104" customFormat="1" x14ac:dyDescent="0.25">
      <c r="A24" s="155"/>
      <c r="B24" s="200" t="s">
        <v>271</v>
      </c>
      <c r="C24" s="155"/>
      <c r="D24" s="155"/>
      <c r="E24" s="155"/>
      <c r="F24" s="155"/>
      <c r="G24" s="155"/>
      <c r="H24" s="155"/>
    </row>
    <row r="25" spans="1:8" s="104" customFormat="1" ht="47.25" x14ac:dyDescent="0.25">
      <c r="A25" s="155">
        <v>11</v>
      </c>
      <c r="B25" s="155" t="s">
        <v>272</v>
      </c>
      <c r="C25" s="155" t="s">
        <v>273</v>
      </c>
      <c r="D25" s="155" t="s">
        <v>274</v>
      </c>
      <c r="E25" s="155" t="s">
        <v>260</v>
      </c>
      <c r="F25" s="155">
        <f>204+284</f>
        <v>488</v>
      </c>
      <c r="G25" s="201" t="s">
        <v>275</v>
      </c>
      <c r="H25" s="155"/>
    </row>
    <row r="26" spans="1:8" s="104" customFormat="1" ht="47.25" x14ac:dyDescent="0.25">
      <c r="A26" s="155">
        <v>12</v>
      </c>
      <c r="B26" s="155" t="s">
        <v>276</v>
      </c>
      <c r="C26" s="155" t="str">
        <f>C25</f>
        <v>Red Bird Utility Operating Company LLC</v>
      </c>
      <c r="D26" s="155" t="s">
        <v>277</v>
      </c>
      <c r="E26" s="155" t="s">
        <v>278</v>
      </c>
      <c r="F26" s="155">
        <v>31</v>
      </c>
      <c r="G26" s="201" t="s">
        <v>279</v>
      </c>
      <c r="H26" s="155"/>
    </row>
    <row r="27" spans="1:8" s="104" customFormat="1" ht="47.25" x14ac:dyDescent="0.25">
      <c r="A27" s="155">
        <v>13</v>
      </c>
      <c r="B27" s="155" t="s">
        <v>280</v>
      </c>
      <c r="C27" s="155" t="str">
        <f>C26</f>
        <v>Red Bird Utility Operating Company LLC</v>
      </c>
      <c r="D27" s="155" t="s">
        <v>281</v>
      </c>
      <c r="E27" s="155" t="s">
        <v>278</v>
      </c>
      <c r="F27" s="155">
        <v>493</v>
      </c>
      <c r="G27" s="201" t="s">
        <v>279</v>
      </c>
      <c r="H27" s="155"/>
    </row>
    <row r="28" spans="1:8" s="104" customFormat="1" ht="47.25" x14ac:dyDescent="0.25">
      <c r="A28" s="155">
        <v>14</v>
      </c>
      <c r="B28" s="155" t="s">
        <v>282</v>
      </c>
      <c r="C28" s="155" t="str">
        <f>C27</f>
        <v>Red Bird Utility Operating Company LLC</v>
      </c>
      <c r="D28" s="155" t="s">
        <v>283</v>
      </c>
      <c r="E28" s="155" t="s">
        <v>260</v>
      </c>
      <c r="F28" s="155">
        <f>259+209</f>
        <v>468</v>
      </c>
      <c r="G28" s="201" t="s">
        <v>284</v>
      </c>
      <c r="H28" s="155"/>
    </row>
    <row r="29" spans="1:8" s="104" customFormat="1" ht="47.25" x14ac:dyDescent="0.25">
      <c r="A29" s="155">
        <v>15</v>
      </c>
      <c r="B29" s="155" t="s">
        <v>285</v>
      </c>
      <c r="C29" s="155" t="str">
        <f>C28</f>
        <v>Red Bird Utility Operating Company LLC</v>
      </c>
      <c r="D29" s="155" t="s">
        <v>286</v>
      </c>
      <c r="E29" s="155" t="s">
        <v>260</v>
      </c>
      <c r="F29" s="155">
        <f>403+384+147</f>
        <v>934</v>
      </c>
      <c r="G29" s="201" t="s">
        <v>279</v>
      </c>
      <c r="H29" s="155"/>
    </row>
    <row r="30" spans="1:8" s="104" customFormat="1" ht="47.25" x14ac:dyDescent="0.25">
      <c r="A30" s="155">
        <v>16</v>
      </c>
      <c r="B30" s="155" t="s">
        <v>287</v>
      </c>
      <c r="C30" s="155" t="str">
        <f>C29</f>
        <v>Red Bird Utility Operating Company LLC</v>
      </c>
      <c r="D30" s="155" t="s">
        <v>288</v>
      </c>
      <c r="E30" s="155" t="s">
        <v>278</v>
      </c>
      <c r="F30" s="155">
        <f>429+12</f>
        <v>441</v>
      </c>
      <c r="G30" s="201" t="s">
        <v>284</v>
      </c>
      <c r="H30" s="155"/>
    </row>
    <row r="31" spans="1:8" s="104" customFormat="1" x14ac:dyDescent="0.25">
      <c r="A31" s="155"/>
      <c r="B31" s="155"/>
      <c r="C31" s="155"/>
      <c r="D31" s="155"/>
      <c r="E31" s="155"/>
      <c r="F31" s="155"/>
      <c r="G31" s="201"/>
      <c r="H31" s="155"/>
    </row>
    <row r="32" spans="1:8" s="104" customFormat="1" x14ac:dyDescent="0.25">
      <c r="A32" s="155"/>
      <c r="B32" s="200" t="s">
        <v>289</v>
      </c>
      <c r="C32" s="155"/>
      <c r="D32" s="155"/>
      <c r="E32" s="155"/>
      <c r="F32" s="155"/>
      <c r="G32" s="155"/>
      <c r="H32" s="155"/>
    </row>
    <row r="33" spans="1:8" s="104" customFormat="1" ht="47.25" x14ac:dyDescent="0.25">
      <c r="A33" s="155">
        <v>17</v>
      </c>
      <c r="B33" s="155" t="s">
        <v>290</v>
      </c>
      <c r="C33" s="155" t="s">
        <v>291</v>
      </c>
      <c r="D33" s="155" t="s">
        <v>292</v>
      </c>
      <c r="E33" s="155" t="s">
        <v>278</v>
      </c>
      <c r="F33" s="155">
        <v>25</v>
      </c>
      <c r="G33" s="201" t="s">
        <v>293</v>
      </c>
      <c r="H33" s="155"/>
    </row>
    <row r="34" spans="1:8" s="104" customFormat="1" ht="47.25" x14ac:dyDescent="0.25">
      <c r="A34" s="155">
        <v>18</v>
      </c>
      <c r="B34" s="155" t="s">
        <v>294</v>
      </c>
      <c r="C34" s="155" t="s">
        <v>291</v>
      </c>
      <c r="D34" s="155" t="s">
        <v>295</v>
      </c>
      <c r="E34" s="155" t="s">
        <v>278</v>
      </c>
      <c r="F34" s="155">
        <v>84</v>
      </c>
      <c r="G34" s="201" t="s">
        <v>296</v>
      </c>
      <c r="H34" s="155"/>
    </row>
    <row r="35" spans="1:8" s="104" customFormat="1" ht="47.25" x14ac:dyDescent="0.25">
      <c r="A35" s="155">
        <v>19</v>
      </c>
      <c r="B35" s="155" t="s">
        <v>297</v>
      </c>
      <c r="C35" s="155" t="s">
        <v>291</v>
      </c>
      <c r="D35" s="155" t="s">
        <v>298</v>
      </c>
      <c r="E35" s="155" t="s">
        <v>260</v>
      </c>
      <c r="F35" s="155">
        <v>69</v>
      </c>
      <c r="G35" s="201" t="s">
        <v>299</v>
      </c>
      <c r="H35" s="155"/>
    </row>
    <row r="36" spans="1:8" s="104" customFormat="1" ht="47.25" x14ac:dyDescent="0.25">
      <c r="A36" s="155">
        <v>20</v>
      </c>
      <c r="B36" s="155" t="s">
        <v>300</v>
      </c>
      <c r="C36" s="155" t="s">
        <v>291</v>
      </c>
      <c r="D36" s="155" t="s">
        <v>301</v>
      </c>
      <c r="E36" s="155" t="s">
        <v>278</v>
      </c>
      <c r="F36" s="155">
        <v>256</v>
      </c>
      <c r="G36" s="201" t="s">
        <v>302</v>
      </c>
      <c r="H36" s="155"/>
    </row>
    <row r="37" spans="1:8" s="104" customFormat="1" ht="47.25" x14ac:dyDescent="0.25">
      <c r="A37" s="155">
        <v>21</v>
      </c>
      <c r="B37" s="155" t="s">
        <v>303</v>
      </c>
      <c r="C37" s="155" t="s">
        <v>291</v>
      </c>
      <c r="D37" s="155" t="s">
        <v>304</v>
      </c>
      <c r="E37" s="155" t="s">
        <v>278</v>
      </c>
      <c r="F37" s="155">
        <v>15</v>
      </c>
      <c r="G37" s="201" t="s">
        <v>182</v>
      </c>
      <c r="H37" s="155"/>
    </row>
    <row r="38" spans="1:8" s="104" customFormat="1" x14ac:dyDescent="0.25">
      <c r="A38" s="155"/>
      <c r="B38" s="155"/>
      <c r="C38" s="155"/>
      <c r="D38" s="155"/>
      <c r="E38" s="155"/>
      <c r="F38" s="155"/>
      <c r="G38" s="201"/>
      <c r="H38" s="155"/>
    </row>
    <row r="39" spans="1:8" s="104" customFormat="1" x14ac:dyDescent="0.25">
      <c r="A39" s="155"/>
      <c r="B39" s="200" t="s">
        <v>305</v>
      </c>
      <c r="C39" s="155"/>
      <c r="D39" s="155"/>
      <c r="E39" s="155"/>
      <c r="F39" s="155"/>
      <c r="G39" s="155"/>
      <c r="H39" s="155"/>
    </row>
    <row r="40" spans="1:8" s="104" customFormat="1" ht="47.25" x14ac:dyDescent="0.25">
      <c r="A40" s="155">
        <v>22</v>
      </c>
      <c r="B40" s="104" t="s">
        <v>306</v>
      </c>
      <c r="C40" s="155" t="s">
        <v>307</v>
      </c>
      <c r="D40" s="155" t="s">
        <v>308</v>
      </c>
      <c r="E40" s="155" t="s">
        <v>237</v>
      </c>
      <c r="F40" s="155">
        <f>603+517</f>
        <v>1120</v>
      </c>
      <c r="G40" s="201" t="s">
        <v>309</v>
      </c>
      <c r="H40" s="155"/>
    </row>
    <row r="41" spans="1:8" s="104" customFormat="1" ht="47.25" x14ac:dyDescent="0.25">
      <c r="A41" s="155">
        <v>23</v>
      </c>
      <c r="B41" s="155" t="s">
        <v>310</v>
      </c>
      <c r="C41" s="155" t="s">
        <v>307</v>
      </c>
      <c r="D41" s="155" t="s">
        <v>311</v>
      </c>
      <c r="E41" s="155" t="s">
        <v>237</v>
      </c>
      <c r="F41" s="155">
        <f>767+713</f>
        <v>1480</v>
      </c>
      <c r="G41" s="201" t="s">
        <v>312</v>
      </c>
      <c r="H41" s="155"/>
    </row>
    <row r="42" spans="1:8" s="104" customFormat="1" ht="31.5" x14ac:dyDescent="0.25">
      <c r="A42" s="155">
        <v>24</v>
      </c>
      <c r="B42" s="155" t="s">
        <v>313</v>
      </c>
      <c r="C42" s="155"/>
      <c r="D42" s="155" t="s">
        <v>314</v>
      </c>
      <c r="E42" s="155" t="s">
        <v>260</v>
      </c>
      <c r="F42" s="155">
        <f>70+502</f>
        <v>572</v>
      </c>
      <c r="G42" s="201" t="s">
        <v>315</v>
      </c>
      <c r="H42" s="155"/>
    </row>
    <row r="43" spans="1:8" s="104" customFormat="1" x14ac:dyDescent="0.25">
      <c r="A43" s="155"/>
      <c r="B43" s="155"/>
      <c r="C43" s="155"/>
      <c r="D43" s="155"/>
      <c r="E43" s="155"/>
      <c r="F43" s="155"/>
      <c r="G43" s="201"/>
      <c r="H43" s="155"/>
    </row>
    <row r="44" spans="1:8" s="104" customFormat="1" x14ac:dyDescent="0.25">
      <c r="A44" s="155"/>
      <c r="B44" s="200" t="s">
        <v>316</v>
      </c>
      <c r="C44" s="155"/>
      <c r="D44" s="155"/>
      <c r="E44" s="155"/>
      <c r="F44" s="155"/>
      <c r="G44" s="155"/>
      <c r="H44" s="155"/>
    </row>
    <row r="45" spans="1:8" s="104" customFormat="1" ht="31.5" x14ac:dyDescent="0.25">
      <c r="A45" s="155">
        <v>25</v>
      </c>
      <c r="B45" s="155" t="s">
        <v>317</v>
      </c>
      <c r="C45" s="155" t="s">
        <v>318</v>
      </c>
      <c r="D45" s="155" t="s">
        <v>319</v>
      </c>
      <c r="E45" s="155" t="s">
        <v>320</v>
      </c>
      <c r="F45" s="155">
        <v>18</v>
      </c>
      <c r="G45" s="201" t="s">
        <v>321</v>
      </c>
      <c r="H45" s="155"/>
    </row>
    <row r="46" spans="1:8" s="104" customFormat="1" ht="31.5" x14ac:dyDescent="0.25">
      <c r="A46" s="155">
        <v>26</v>
      </c>
      <c r="B46" s="155" t="s">
        <v>322</v>
      </c>
      <c r="C46" s="155" t="s">
        <v>318</v>
      </c>
      <c r="D46" s="155" t="s">
        <v>323</v>
      </c>
      <c r="E46" s="155" t="s">
        <v>260</v>
      </c>
      <c r="F46" s="155">
        <v>35</v>
      </c>
      <c r="G46" s="201" t="s">
        <v>324</v>
      </c>
      <c r="H46" s="155"/>
    </row>
    <row r="47" spans="1:8" s="104" customFormat="1" ht="31.5" x14ac:dyDescent="0.25">
      <c r="A47" s="155">
        <v>27</v>
      </c>
      <c r="B47" s="155" t="s">
        <v>325</v>
      </c>
      <c r="C47" s="155" t="s">
        <v>318</v>
      </c>
      <c r="D47" s="155" t="s">
        <v>326</v>
      </c>
      <c r="E47" s="155" t="s">
        <v>260</v>
      </c>
      <c r="F47" s="155">
        <v>434</v>
      </c>
      <c r="G47" s="202">
        <v>45050</v>
      </c>
      <c r="H47" s="155"/>
    </row>
    <row r="48" spans="1:8" s="104" customFormat="1" x14ac:dyDescent="0.25">
      <c r="A48" s="155"/>
      <c r="B48" s="155"/>
      <c r="C48" s="155"/>
      <c r="D48" s="155"/>
      <c r="E48" s="155"/>
      <c r="F48" s="155"/>
      <c r="G48" s="202"/>
      <c r="H48" s="155"/>
    </row>
    <row r="49" spans="1:8" s="104" customFormat="1" x14ac:dyDescent="0.25">
      <c r="A49" s="155"/>
      <c r="B49" s="200" t="s">
        <v>327</v>
      </c>
      <c r="C49" s="155"/>
      <c r="D49" s="155"/>
      <c r="E49" s="155"/>
      <c r="F49" s="155"/>
      <c r="G49" s="155"/>
      <c r="H49" s="155"/>
    </row>
    <row r="50" spans="1:8" s="104" customFormat="1" ht="30" customHeight="1" x14ac:dyDescent="0.25">
      <c r="A50" s="155">
        <v>28</v>
      </c>
      <c r="B50" s="155" t="s">
        <v>328</v>
      </c>
      <c r="C50" s="155" t="s">
        <v>329</v>
      </c>
      <c r="D50" s="155" t="s">
        <v>330</v>
      </c>
      <c r="E50" s="155" t="s">
        <v>237</v>
      </c>
      <c r="F50" s="155">
        <v>85</v>
      </c>
      <c r="G50" s="201" t="s">
        <v>331</v>
      </c>
      <c r="H50" s="155" t="s">
        <v>332</v>
      </c>
    </row>
    <row r="51" spans="1:8" ht="30" customHeight="1" x14ac:dyDescent="0.25">
      <c r="A51" s="155">
        <v>29</v>
      </c>
      <c r="B51" s="2" t="s">
        <v>333</v>
      </c>
      <c r="C51" s="155" t="s">
        <v>329</v>
      </c>
      <c r="D51" s="2" t="s">
        <v>334</v>
      </c>
      <c r="E51" s="2" t="s">
        <v>237</v>
      </c>
      <c r="F51" s="2" t="s">
        <v>320</v>
      </c>
      <c r="G51" s="203" t="s">
        <v>335</v>
      </c>
      <c r="H51" s="2"/>
    </row>
    <row r="52" spans="1:8" ht="30" customHeight="1" x14ac:dyDescent="0.25">
      <c r="A52" s="155">
        <v>30</v>
      </c>
      <c r="B52" s="155" t="s">
        <v>336</v>
      </c>
      <c r="C52" s="155" t="s">
        <v>329</v>
      </c>
      <c r="D52" s="155" t="s">
        <v>337</v>
      </c>
      <c r="E52" s="155" t="s">
        <v>237</v>
      </c>
      <c r="F52" s="2" t="s">
        <v>320</v>
      </c>
      <c r="G52" s="201" t="s">
        <v>338</v>
      </c>
      <c r="H52" s="155"/>
    </row>
    <row r="53" spans="1:8" x14ac:dyDescent="0.25">
      <c r="A53" s="155"/>
      <c r="B53" s="155"/>
      <c r="C53" s="155"/>
      <c r="D53" s="155"/>
      <c r="E53" s="155"/>
      <c r="F53" s="2"/>
      <c r="G53" s="201"/>
      <c r="H53" s="155"/>
    </row>
    <row r="54" spans="1:8" x14ac:dyDescent="0.25">
      <c r="B54" s="200" t="s">
        <v>339</v>
      </c>
      <c r="C54" s="155"/>
      <c r="D54" s="155"/>
      <c r="E54" s="155"/>
      <c r="F54" s="155"/>
      <c r="G54" s="155"/>
      <c r="H54" s="155"/>
    </row>
    <row r="55" spans="1:8" x14ac:dyDescent="0.25">
      <c r="A55" s="155">
        <v>31</v>
      </c>
      <c r="B55" s="155" t="s">
        <v>340</v>
      </c>
      <c r="C55" s="155" t="s">
        <v>341</v>
      </c>
      <c r="D55" s="155" t="s">
        <v>342</v>
      </c>
      <c r="E55" s="155" t="s">
        <v>237</v>
      </c>
      <c r="F55" s="155">
        <v>54</v>
      </c>
      <c r="G55" s="201" t="s">
        <v>343</v>
      </c>
      <c r="H55" s="155"/>
    </row>
    <row r="56" spans="1:8" x14ac:dyDescent="0.25">
      <c r="A56" s="155">
        <v>32</v>
      </c>
      <c r="B56" s="155" t="s">
        <v>344</v>
      </c>
      <c r="C56" s="155" t="s">
        <v>341</v>
      </c>
      <c r="D56" s="155" t="s">
        <v>345</v>
      </c>
      <c r="E56" s="155" t="s">
        <v>278</v>
      </c>
      <c r="F56" s="155" t="s">
        <v>320</v>
      </c>
      <c r="G56" s="201" t="s">
        <v>346</v>
      </c>
      <c r="H56" s="155"/>
    </row>
    <row r="57" spans="1:8" x14ac:dyDescent="0.25">
      <c r="A57" s="155"/>
      <c r="B57" s="155"/>
      <c r="C57" s="155"/>
      <c r="D57" s="155"/>
      <c r="E57" s="155"/>
      <c r="F57" s="155"/>
      <c r="G57" s="201"/>
      <c r="H57" s="155"/>
    </row>
    <row r="58" spans="1:8" x14ac:dyDescent="0.25">
      <c r="B58" s="200" t="s">
        <v>347</v>
      </c>
      <c r="C58" s="155"/>
      <c r="D58" s="155"/>
      <c r="E58" s="155"/>
      <c r="F58" s="155"/>
      <c r="G58" s="155"/>
      <c r="H58" s="155"/>
    </row>
    <row r="59" spans="1:8" ht="30" customHeight="1" x14ac:dyDescent="0.25">
      <c r="A59" s="155">
        <v>33</v>
      </c>
      <c r="B59" s="155" t="s">
        <v>348</v>
      </c>
      <c r="C59" s="155" t="s">
        <v>349</v>
      </c>
      <c r="D59" s="155">
        <v>55056</v>
      </c>
      <c r="E59" s="155" t="s">
        <v>237</v>
      </c>
      <c r="F59" s="155">
        <v>118</v>
      </c>
      <c r="G59" s="201" t="s">
        <v>350</v>
      </c>
      <c r="H59" s="155"/>
    </row>
    <row r="60" spans="1:8" ht="30" customHeight="1" x14ac:dyDescent="0.25">
      <c r="A60" s="155">
        <v>34</v>
      </c>
      <c r="B60" s="155" t="s">
        <v>351</v>
      </c>
      <c r="C60" s="155" t="s">
        <v>349</v>
      </c>
      <c r="D60" s="155">
        <v>54899</v>
      </c>
      <c r="E60" s="155" t="s">
        <v>237</v>
      </c>
      <c r="F60" s="155">
        <v>48</v>
      </c>
      <c r="G60" s="201" t="s">
        <v>352</v>
      </c>
      <c r="H60" s="155"/>
    </row>
    <row r="61" spans="1:8" ht="30" customHeight="1" x14ac:dyDescent="0.25">
      <c r="A61" s="155">
        <v>35</v>
      </c>
      <c r="B61" s="155" t="s">
        <v>353</v>
      </c>
      <c r="C61" s="155" t="s">
        <v>349</v>
      </c>
      <c r="D61" s="155">
        <v>54809</v>
      </c>
      <c r="E61" s="155" t="s">
        <v>260</v>
      </c>
      <c r="F61" s="155">
        <f>410+134</f>
        <v>544</v>
      </c>
      <c r="G61" s="201" t="s">
        <v>354</v>
      </c>
      <c r="H61" s="155"/>
    </row>
    <row r="62" spans="1:8" ht="30" customHeight="1" x14ac:dyDescent="0.25">
      <c r="A62" s="155">
        <v>36</v>
      </c>
      <c r="B62" s="155" t="s">
        <v>355</v>
      </c>
      <c r="C62" s="155" t="s">
        <v>349</v>
      </c>
      <c r="D62" s="155">
        <v>54752</v>
      </c>
      <c r="E62" s="155" t="s">
        <v>237</v>
      </c>
      <c r="F62" s="155">
        <v>130</v>
      </c>
      <c r="G62" s="201" t="s">
        <v>324</v>
      </c>
      <c r="H62" s="155"/>
    </row>
    <row r="63" spans="1:8" ht="30" customHeight="1" x14ac:dyDescent="0.25">
      <c r="A63" s="155">
        <v>37</v>
      </c>
      <c r="B63" s="155" t="s">
        <v>356</v>
      </c>
      <c r="C63" s="155" t="s">
        <v>349</v>
      </c>
      <c r="D63" s="155">
        <v>54543</v>
      </c>
      <c r="E63" s="155" t="s">
        <v>237</v>
      </c>
      <c r="F63" s="155">
        <v>13</v>
      </c>
      <c r="G63" s="201" t="s">
        <v>357</v>
      </c>
      <c r="H63" s="155"/>
    </row>
    <row r="64" spans="1:8" ht="30" customHeight="1" x14ac:dyDescent="0.25">
      <c r="A64" s="155">
        <v>38</v>
      </c>
      <c r="B64" s="155" t="s">
        <v>358</v>
      </c>
      <c r="C64" s="155" t="s">
        <v>349</v>
      </c>
      <c r="D64" s="155">
        <v>54489</v>
      </c>
      <c r="E64" s="155" t="s">
        <v>237</v>
      </c>
      <c r="F64" s="155">
        <v>24</v>
      </c>
      <c r="G64" s="201" t="s">
        <v>359</v>
      </c>
      <c r="H64" s="155"/>
    </row>
    <row r="65" spans="1:9" ht="30" customHeight="1" x14ac:dyDescent="0.25">
      <c r="A65" s="155">
        <v>39</v>
      </c>
      <c r="B65" s="155" t="s">
        <v>360</v>
      </c>
      <c r="C65" s="155" t="s">
        <v>349</v>
      </c>
      <c r="D65" s="155">
        <v>54393</v>
      </c>
      <c r="E65" s="155" t="s">
        <v>237</v>
      </c>
      <c r="F65" s="155">
        <v>194</v>
      </c>
      <c r="G65" s="201" t="s">
        <v>361</v>
      </c>
      <c r="H65" s="155"/>
    </row>
    <row r="66" spans="1:9" ht="30" customHeight="1" x14ac:dyDescent="0.25">
      <c r="A66" s="155">
        <v>40</v>
      </c>
      <c r="B66" s="155" t="s">
        <v>362</v>
      </c>
      <c r="C66" s="155" t="s">
        <v>349</v>
      </c>
      <c r="D66" s="155">
        <v>54292</v>
      </c>
      <c r="E66" s="155" t="s">
        <v>260</v>
      </c>
      <c r="F66" s="155">
        <f>205+1+71</f>
        <v>277</v>
      </c>
      <c r="G66" s="201" t="s">
        <v>302</v>
      </c>
      <c r="H66" s="155"/>
    </row>
    <row r="67" spans="1:9" x14ac:dyDescent="0.25">
      <c r="B67" s="155"/>
      <c r="C67" s="155"/>
      <c r="D67" s="155"/>
      <c r="E67" s="155"/>
      <c r="F67" s="155"/>
      <c r="G67" s="155"/>
      <c r="H67" s="155"/>
      <c r="I67" s="155"/>
    </row>
    <row r="68" spans="1:9" x14ac:dyDescent="0.25">
      <c r="B68" s="155"/>
      <c r="C68" s="155"/>
      <c r="D68" s="155"/>
      <c r="E68" s="155"/>
      <c r="F68" s="155"/>
      <c r="G68" s="155"/>
      <c r="H68" s="155"/>
      <c r="I68" s="155"/>
    </row>
    <row r="69" spans="1:9" x14ac:dyDescent="0.25">
      <c r="B69" s="104"/>
      <c r="C69" s="104"/>
      <c r="D69" s="104"/>
      <c r="E69" s="104"/>
      <c r="F69" s="104"/>
      <c r="G69" s="104"/>
      <c r="H69" s="104"/>
      <c r="I69" s="104"/>
    </row>
    <row r="70" spans="1:9" x14ac:dyDescent="0.25">
      <c r="B70" s="104"/>
      <c r="C70" s="104"/>
      <c r="D70" s="104"/>
      <c r="E70" s="104"/>
      <c r="F70" s="104"/>
      <c r="G70" s="104"/>
      <c r="H70" s="104"/>
      <c r="I70" s="104"/>
    </row>
    <row r="71" spans="1:9" x14ac:dyDescent="0.25">
      <c r="B71" s="104"/>
      <c r="C71" s="104"/>
      <c r="D71" s="104"/>
      <c r="E71" s="104"/>
      <c r="F71" s="104"/>
      <c r="G71" s="104"/>
      <c r="H71" s="104"/>
      <c r="I71" s="104"/>
    </row>
    <row r="72" spans="1:9" x14ac:dyDescent="0.25">
      <c r="B72" s="104"/>
      <c r="C72" s="104"/>
      <c r="D72" s="104"/>
      <c r="E72" s="104"/>
      <c r="F72" s="104"/>
      <c r="G72" s="104"/>
      <c r="H72" s="104"/>
      <c r="I72" s="104"/>
    </row>
    <row r="73" spans="1:9" x14ac:dyDescent="0.25">
      <c r="B73" s="104"/>
      <c r="C73" s="104"/>
      <c r="D73" s="104"/>
      <c r="E73" s="104"/>
      <c r="F73" s="104"/>
      <c r="G73" s="104"/>
      <c r="H73" s="104"/>
      <c r="I73" s="104"/>
    </row>
    <row r="74" spans="1:9" x14ac:dyDescent="0.25">
      <c r="B74" s="104"/>
      <c r="C74" s="104"/>
      <c r="D74" s="104"/>
      <c r="E74" s="104"/>
      <c r="F74" s="104"/>
      <c r="G74" s="104"/>
      <c r="H74" s="104"/>
      <c r="I74" s="104"/>
    </row>
    <row r="75" spans="1:9" x14ac:dyDescent="0.25">
      <c r="B75" s="104"/>
      <c r="C75" s="104"/>
      <c r="D75" s="104"/>
      <c r="E75" s="104"/>
      <c r="F75" s="104"/>
      <c r="G75" s="104"/>
      <c r="H75" s="104"/>
      <c r="I75" s="104"/>
    </row>
  </sheetData>
  <pageMargins left="0.7" right="0.7" top="0.75" bottom="0.75" header="0.3" footer="0.3"/>
  <pageSetup scale="65" fitToHeight="3" orientation="portrait" r:id="rId1"/>
  <rowBreaks count="2" manualBreakCount="2">
    <brk id="30" max="7" man="1"/>
    <brk id="52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F18C8-430C-4944-A50E-E97EFBCC533B}">
  <sheetPr>
    <pageSetUpPr fitToPage="1"/>
  </sheetPr>
  <dimension ref="A1:R73"/>
  <sheetViews>
    <sheetView workbookViewId="0">
      <selection activeCell="N17" sqref="N17"/>
    </sheetView>
  </sheetViews>
  <sheetFormatPr defaultRowHeight="15.75" x14ac:dyDescent="0.25"/>
  <cols>
    <col min="1" max="1" width="5.85546875" style="4" customWidth="1"/>
    <col min="2" max="2" width="7.85546875" style="4" customWidth="1"/>
    <col min="3" max="3" width="35.28515625" style="4" customWidth="1"/>
    <col min="4" max="4" width="11.28515625" style="4" customWidth="1"/>
    <col min="5" max="5" width="14.42578125" style="4" bestFit="1" customWidth="1"/>
    <col min="6" max="6" width="13.42578125" style="4" customWidth="1"/>
    <col min="7" max="7" width="13.42578125" style="105" customWidth="1"/>
    <col min="8" max="8" width="12.5703125" style="105" customWidth="1"/>
    <col min="9" max="9" width="13.140625" style="4" customWidth="1"/>
    <col min="10" max="10" width="15.5703125" style="4" bestFit="1" customWidth="1"/>
    <col min="11" max="11" width="5.7109375" style="4" customWidth="1"/>
    <col min="12" max="12" width="15.28515625" style="4" customWidth="1"/>
    <col min="13" max="15" width="10.7109375" style="4" customWidth="1"/>
    <col min="16" max="16" width="12.7109375" style="4" customWidth="1"/>
    <col min="17" max="16384" width="9.140625" style="4"/>
  </cols>
  <sheetData>
    <row r="1" spans="1:18" x14ac:dyDescent="0.25">
      <c r="A1" s="6"/>
      <c r="B1" s="6"/>
      <c r="C1" s="5" t="s">
        <v>0</v>
      </c>
      <c r="D1" s="6"/>
      <c r="E1" s="6"/>
      <c r="F1" s="6"/>
    </row>
    <row r="2" spans="1:18" x14ac:dyDescent="0.25">
      <c r="A2" s="8"/>
      <c r="B2" s="8"/>
      <c r="C2" s="5" t="s">
        <v>12</v>
      </c>
      <c r="D2" s="8"/>
      <c r="E2" s="8"/>
      <c r="F2" s="8"/>
    </row>
    <row r="3" spans="1:18" x14ac:dyDescent="0.25">
      <c r="A3" s="8"/>
      <c r="B3" s="8"/>
      <c r="C3" s="6" t="s">
        <v>1</v>
      </c>
      <c r="D3" s="8"/>
      <c r="E3" s="8"/>
      <c r="F3" s="8"/>
    </row>
    <row r="4" spans="1:18" x14ac:dyDescent="0.25">
      <c r="A4" s="8"/>
      <c r="B4" s="8"/>
      <c r="C4" s="8" t="s">
        <v>3</v>
      </c>
      <c r="D4" s="8"/>
      <c r="E4" s="8"/>
      <c r="F4" s="8"/>
    </row>
    <row r="5" spans="1:18" x14ac:dyDescent="0.25">
      <c r="A5" s="8"/>
      <c r="B5" s="8"/>
      <c r="C5" s="8" t="s">
        <v>4</v>
      </c>
      <c r="D5" s="8"/>
      <c r="E5" s="8"/>
      <c r="F5" s="8"/>
      <c r="G5" s="106"/>
    </row>
    <row r="6" spans="1:18" x14ac:dyDescent="0.25">
      <c r="A6" s="21"/>
      <c r="F6" s="21"/>
      <c r="G6" s="179" t="s">
        <v>172</v>
      </c>
    </row>
    <row r="7" spans="1:18" x14ac:dyDescent="0.25">
      <c r="A7" s="108"/>
      <c r="B7" s="235"/>
      <c r="C7" s="236"/>
      <c r="D7" s="19"/>
      <c r="E7" s="21"/>
      <c r="F7" s="21"/>
      <c r="G7" s="106"/>
      <c r="H7" s="106"/>
      <c r="I7" s="21"/>
    </row>
    <row r="8" spans="1:18" x14ac:dyDescent="0.25">
      <c r="A8" s="108"/>
      <c r="D8" s="19"/>
      <c r="E8" s="19"/>
      <c r="F8" s="19"/>
      <c r="G8" s="106"/>
      <c r="H8" s="109"/>
      <c r="I8" s="21"/>
    </row>
    <row r="9" spans="1:18" x14ac:dyDescent="0.25">
      <c r="A9" s="108"/>
      <c r="B9" s="224" t="s">
        <v>402</v>
      </c>
      <c r="C9" s="225"/>
      <c r="E9" s="19"/>
      <c r="F9" s="19"/>
      <c r="G9" s="106"/>
      <c r="H9" s="109"/>
      <c r="I9" s="21"/>
    </row>
    <row r="10" spans="1:18" s="2" customFormat="1" ht="31.5" x14ac:dyDescent="0.25">
      <c r="A10" s="8"/>
      <c r="B10" s="110" t="s">
        <v>13</v>
      </c>
      <c r="C10" s="110" t="s">
        <v>14</v>
      </c>
      <c r="D10" s="110"/>
      <c r="E10" s="110" t="s">
        <v>15</v>
      </c>
      <c r="F10" s="111" t="s">
        <v>16</v>
      </c>
      <c r="G10" s="112" t="s">
        <v>17</v>
      </c>
      <c r="H10" s="112" t="s">
        <v>18</v>
      </c>
      <c r="I10" s="113" t="s">
        <v>21</v>
      </c>
    </row>
    <row r="11" spans="1:18" x14ac:dyDescent="0.25">
      <c r="B11" s="21"/>
      <c r="C11" s="21"/>
      <c r="D11" s="21"/>
      <c r="E11" s="21"/>
      <c r="F11" s="21"/>
      <c r="G11" s="106"/>
      <c r="H11" s="106"/>
      <c r="I11" s="21"/>
      <c r="J11" s="114"/>
      <c r="L11" s="115"/>
      <c r="M11" s="115"/>
      <c r="N11" s="116"/>
      <c r="O11" s="117"/>
      <c r="P11" s="118"/>
      <c r="Q11" s="116"/>
      <c r="R11" s="116"/>
    </row>
    <row r="12" spans="1:18" x14ac:dyDescent="0.25">
      <c r="B12" s="119"/>
      <c r="C12" s="120" t="s">
        <v>19</v>
      </c>
      <c r="D12" s="120"/>
      <c r="E12" s="121">
        <v>2481126</v>
      </c>
      <c r="F12" s="120">
        <f>E12/E16</f>
        <v>0.38840006086347234</v>
      </c>
      <c r="G12" s="106">
        <v>6.8000000000000005E-2</v>
      </c>
      <c r="H12" s="106">
        <f>F12*G12</f>
        <v>2.6411204138716123E-2</v>
      </c>
      <c r="I12" s="120">
        <f>H12</f>
        <v>2.6411204138716123E-2</v>
      </c>
      <c r="J12" s="114"/>
      <c r="L12" s="115"/>
      <c r="M12" s="122"/>
      <c r="N12" s="116"/>
      <c r="O12" s="117"/>
      <c r="P12" s="118"/>
      <c r="Q12" s="116"/>
      <c r="R12" s="116"/>
    </row>
    <row r="13" spans="1:18" x14ac:dyDescent="0.25">
      <c r="B13" s="119"/>
      <c r="C13" s="106"/>
      <c r="D13" s="120"/>
      <c r="F13" s="120"/>
      <c r="G13" s="106"/>
      <c r="H13" s="106"/>
      <c r="I13" s="21"/>
      <c r="J13" s="114"/>
      <c r="L13" s="123"/>
      <c r="M13" s="124"/>
      <c r="N13" s="125"/>
      <c r="O13" s="117"/>
      <c r="P13" s="118"/>
      <c r="Q13" s="116"/>
      <c r="R13" s="125"/>
    </row>
    <row r="14" spans="1:18" x14ac:dyDescent="0.25">
      <c r="B14" s="126"/>
      <c r="C14" s="120" t="s">
        <v>20</v>
      </c>
      <c r="D14" s="120"/>
      <c r="E14" s="127">
        <v>3906942</v>
      </c>
      <c r="F14" s="128">
        <f>E14/E16</f>
        <v>0.61159993913652766</v>
      </c>
      <c r="G14" s="129">
        <v>0.11650000000000001</v>
      </c>
      <c r="H14" s="130">
        <f>F14*G14</f>
        <v>7.1251392909405478E-2</v>
      </c>
      <c r="I14" s="130">
        <f>H14*$E$69</f>
        <v>9.4938564835983327E-2</v>
      </c>
      <c r="L14" s="124"/>
      <c r="M14" s="124"/>
      <c r="N14" s="116"/>
      <c r="O14" s="117"/>
      <c r="P14" s="116"/>
      <c r="Q14" s="116"/>
      <c r="R14" s="116"/>
    </row>
    <row r="15" spans="1:18" x14ac:dyDescent="0.25">
      <c r="B15" s="119"/>
      <c r="C15" s="21"/>
      <c r="D15" s="120"/>
      <c r="E15" s="120"/>
      <c r="F15" s="120"/>
      <c r="G15" s="106"/>
      <c r="H15" s="106"/>
      <c r="I15" s="21"/>
      <c r="L15" s="131"/>
      <c r="M15" s="115"/>
      <c r="N15" s="132"/>
      <c r="O15" s="114"/>
      <c r="P15" s="116"/>
      <c r="Q15" s="116"/>
      <c r="R15" s="132"/>
    </row>
    <row r="16" spans="1:18" ht="16.5" thickBot="1" x14ac:dyDescent="0.3">
      <c r="B16" s="133"/>
      <c r="C16" s="134" t="s">
        <v>15</v>
      </c>
      <c r="D16" s="120"/>
      <c r="E16" s="135">
        <f>E12+E14</f>
        <v>6388068</v>
      </c>
      <c r="F16" s="136">
        <f>F12+F14</f>
        <v>1</v>
      </c>
      <c r="G16" s="106"/>
      <c r="H16" s="137">
        <f>H12+H14</f>
        <v>9.7662597048121608E-2</v>
      </c>
      <c r="I16" s="134">
        <f>I12+I14</f>
        <v>0.12134976897469946</v>
      </c>
    </row>
    <row r="17" spans="1:9" ht="16.5" thickTop="1" x14ac:dyDescent="0.25">
      <c r="B17" s="126"/>
      <c r="C17" s="120"/>
      <c r="D17" s="120"/>
      <c r="E17" s="120"/>
      <c r="F17" s="120"/>
      <c r="G17" s="106"/>
      <c r="H17" s="106"/>
      <c r="I17" s="21"/>
    </row>
    <row r="18" spans="1:9" x14ac:dyDescent="0.25">
      <c r="B18" s="126"/>
      <c r="C18" s="120"/>
      <c r="D18" s="120"/>
      <c r="E18" s="120"/>
      <c r="F18" s="120"/>
      <c r="G18" s="106"/>
      <c r="H18" s="106"/>
      <c r="I18" s="21"/>
    </row>
    <row r="19" spans="1:9" x14ac:dyDescent="0.25">
      <c r="B19" s="237" t="s">
        <v>176</v>
      </c>
      <c r="C19" s="238"/>
      <c r="D19" s="120"/>
      <c r="E19" s="120"/>
      <c r="F19" s="120"/>
      <c r="G19" s="106"/>
      <c r="H19" s="106"/>
      <c r="I19" s="21"/>
    </row>
    <row r="20" spans="1:9" x14ac:dyDescent="0.25">
      <c r="A20" s="108"/>
      <c r="B20" s="19"/>
      <c r="C20" s="8" t="s">
        <v>22</v>
      </c>
      <c r="D20" s="19"/>
      <c r="E20" s="19"/>
      <c r="F20" s="19"/>
      <c r="G20" s="106"/>
      <c r="H20" s="106"/>
      <c r="I20" s="21"/>
    </row>
    <row r="21" spans="1:9" x14ac:dyDescent="0.25">
      <c r="A21" s="108"/>
      <c r="B21" s="19"/>
      <c r="C21" s="8" t="s">
        <v>170</v>
      </c>
      <c r="D21" s="19"/>
      <c r="E21" s="19"/>
      <c r="F21" s="19"/>
      <c r="G21" s="106"/>
      <c r="H21" s="106"/>
      <c r="I21" s="21"/>
    </row>
    <row r="22" spans="1:9" ht="31.5" x14ac:dyDescent="0.25">
      <c r="A22" s="108"/>
      <c r="B22" s="110"/>
      <c r="C22" s="110" t="s">
        <v>14</v>
      </c>
      <c r="D22" s="110"/>
      <c r="E22" s="110" t="s">
        <v>15</v>
      </c>
      <c r="F22" s="111" t="s">
        <v>16</v>
      </c>
      <c r="G22" s="112" t="s">
        <v>17</v>
      </c>
      <c r="H22" s="112" t="s">
        <v>18</v>
      </c>
      <c r="I22" s="113" t="s">
        <v>21</v>
      </c>
    </row>
    <row r="23" spans="1:9" x14ac:dyDescent="0.25">
      <c r="A23" s="108"/>
      <c r="B23" s="21"/>
      <c r="C23" s="21"/>
      <c r="D23" s="21"/>
      <c r="E23" s="21"/>
      <c r="F23" s="21"/>
      <c r="G23" s="106"/>
      <c r="H23" s="106"/>
      <c r="I23" s="21"/>
    </row>
    <row r="24" spans="1:9" x14ac:dyDescent="0.25">
      <c r="A24" s="108"/>
      <c r="B24" s="119"/>
      <c r="C24" s="120" t="s">
        <v>19</v>
      </c>
      <c r="D24" s="120"/>
      <c r="E24" s="121">
        <f>E28*0.5</f>
        <v>2780000</v>
      </c>
      <c r="F24" s="120">
        <v>0.5</v>
      </c>
      <c r="G24" s="106">
        <v>6.8000000000000005E-2</v>
      </c>
      <c r="H24" s="106">
        <f>F24*G24</f>
        <v>3.4000000000000002E-2</v>
      </c>
      <c r="I24" s="120">
        <f>H24</f>
        <v>3.4000000000000002E-2</v>
      </c>
    </row>
    <row r="25" spans="1:9" x14ac:dyDescent="0.25">
      <c r="A25" s="108"/>
      <c r="B25" s="119"/>
      <c r="C25" s="106"/>
      <c r="D25" s="120"/>
      <c r="F25" s="120"/>
      <c r="G25" s="106"/>
      <c r="H25" s="106"/>
      <c r="I25" s="21"/>
    </row>
    <row r="26" spans="1:9" x14ac:dyDescent="0.25">
      <c r="A26" s="108"/>
      <c r="B26" s="126"/>
      <c r="C26" s="120" t="s">
        <v>20</v>
      </c>
      <c r="D26" s="120"/>
      <c r="E26" s="176">
        <f>E28*0.5</f>
        <v>2780000</v>
      </c>
      <c r="F26" s="128">
        <v>0.5</v>
      </c>
      <c r="G26" s="129">
        <v>0.11650000000000001</v>
      </c>
      <c r="H26" s="130">
        <f>F26*G26</f>
        <v>5.8250000000000003E-2</v>
      </c>
      <c r="I26" s="130">
        <f>H26*$E$69</f>
        <v>7.7614923384410409E-2</v>
      </c>
    </row>
    <row r="27" spans="1:9" x14ac:dyDescent="0.25">
      <c r="A27" s="108"/>
      <c r="B27" s="119"/>
      <c r="C27" s="21"/>
      <c r="D27" s="120"/>
      <c r="E27" s="120"/>
      <c r="F27" s="120"/>
      <c r="G27" s="106"/>
      <c r="H27" s="106"/>
      <c r="I27" s="21"/>
    </row>
    <row r="28" spans="1:9" ht="16.5" thickBot="1" x14ac:dyDescent="0.3">
      <c r="A28" s="108"/>
      <c r="B28" s="133"/>
      <c r="C28" s="134" t="s">
        <v>15</v>
      </c>
      <c r="D28" s="120"/>
      <c r="E28" s="135">
        <f>'DND-5'!F23*1000</f>
        <v>5560000</v>
      </c>
      <c r="F28" s="136">
        <f>F24+F26</f>
        <v>1</v>
      </c>
      <c r="G28" s="106"/>
      <c r="H28" s="137">
        <f>H24+H26</f>
        <v>9.2249999999999999E-2</v>
      </c>
      <c r="I28" s="134">
        <f>I24+I26</f>
        <v>0.11161492338441041</v>
      </c>
    </row>
    <row r="29" spans="1:9" ht="16.5" thickTop="1" x14ac:dyDescent="0.25">
      <c r="A29" s="108"/>
      <c r="B29" s="19"/>
      <c r="C29" s="8"/>
      <c r="D29" s="19"/>
      <c r="E29" s="19"/>
      <c r="F29" s="19"/>
      <c r="G29" s="106"/>
      <c r="H29" s="106"/>
      <c r="I29" s="21"/>
    </row>
    <row r="30" spans="1:9" x14ac:dyDescent="0.25">
      <c r="A30" s="108"/>
      <c r="B30" s="19"/>
      <c r="C30" s="8"/>
      <c r="D30" s="19"/>
      <c r="E30" s="19"/>
      <c r="F30" s="19"/>
      <c r="G30" s="106"/>
      <c r="H30" s="106"/>
      <c r="I30" s="21"/>
    </row>
    <row r="31" spans="1:9" x14ac:dyDescent="0.25">
      <c r="A31" s="108"/>
      <c r="B31" s="231" t="s">
        <v>177</v>
      </c>
      <c r="C31" s="238"/>
      <c r="D31" s="19"/>
      <c r="E31" s="19"/>
      <c r="F31" s="19"/>
      <c r="G31" s="106"/>
      <c r="H31" s="106"/>
      <c r="I31" s="21"/>
    </row>
    <row r="32" spans="1:9" x14ac:dyDescent="0.25">
      <c r="A32" s="108"/>
      <c r="B32" s="19"/>
      <c r="C32" s="8" t="s">
        <v>22</v>
      </c>
      <c r="D32" s="19"/>
      <c r="E32" s="19"/>
      <c r="F32" s="19"/>
      <c r="G32" s="106"/>
      <c r="H32" s="106"/>
      <c r="I32" s="21"/>
    </row>
    <row r="33" spans="1:12" x14ac:dyDescent="0.25">
      <c r="A33" s="108"/>
      <c r="B33" s="19"/>
      <c r="C33" s="8" t="s">
        <v>171</v>
      </c>
      <c r="D33" s="19"/>
      <c r="E33" s="19"/>
      <c r="F33" s="19"/>
      <c r="G33" s="106"/>
      <c r="H33" s="106"/>
      <c r="I33" s="21"/>
    </row>
    <row r="34" spans="1:12" x14ac:dyDescent="0.25">
      <c r="A34" s="108"/>
      <c r="B34" s="19"/>
      <c r="C34" s="8" t="s">
        <v>401</v>
      </c>
      <c r="D34" s="19"/>
      <c r="E34" s="19"/>
      <c r="F34" s="19"/>
      <c r="G34" s="106"/>
      <c r="H34" s="106"/>
      <c r="I34" s="21"/>
    </row>
    <row r="35" spans="1:12" s="104" customFormat="1" ht="31.5" x14ac:dyDescent="0.25">
      <c r="A35" s="87"/>
      <c r="B35" s="113"/>
      <c r="C35" s="113" t="s">
        <v>14</v>
      </c>
      <c r="D35" s="113"/>
      <c r="E35" s="113" t="s">
        <v>15</v>
      </c>
      <c r="F35" s="138" t="s">
        <v>16</v>
      </c>
      <c r="G35" s="139" t="s">
        <v>17</v>
      </c>
      <c r="H35" s="139" t="s">
        <v>18</v>
      </c>
      <c r="I35" s="113" t="s">
        <v>21</v>
      </c>
    </row>
    <row r="36" spans="1:12" x14ac:dyDescent="0.25">
      <c r="A36" s="108"/>
      <c r="B36" s="21"/>
      <c r="C36" s="21"/>
      <c r="D36" s="19"/>
      <c r="E36" s="19"/>
      <c r="F36" s="19"/>
      <c r="G36" s="106"/>
      <c r="H36" s="106"/>
      <c r="I36" s="21"/>
    </row>
    <row r="37" spans="1:12" x14ac:dyDescent="0.25">
      <c r="A37" s="108"/>
      <c r="B37" s="119"/>
      <c r="C37" s="120" t="s">
        <v>19</v>
      </c>
      <c r="D37" s="19"/>
      <c r="E37" s="121">
        <f>2481126+((E41-2481126)*0.5)</f>
        <v>4020563</v>
      </c>
      <c r="F37" s="140">
        <f>E37/E41</f>
        <v>0.72312284172661867</v>
      </c>
      <c r="G37" s="106">
        <v>6.8000000000000005E-2</v>
      </c>
      <c r="H37" s="106">
        <f>F37*G37</f>
        <v>4.9172353237410073E-2</v>
      </c>
      <c r="I37" s="120">
        <f>H37</f>
        <v>4.9172353237410073E-2</v>
      </c>
    </row>
    <row r="38" spans="1:12" x14ac:dyDescent="0.25">
      <c r="A38" s="108"/>
      <c r="B38" s="119"/>
      <c r="C38" s="106"/>
      <c r="D38" s="19"/>
      <c r="F38" s="19"/>
      <c r="G38" s="106"/>
      <c r="H38" s="106"/>
      <c r="I38" s="21"/>
    </row>
    <row r="39" spans="1:12" x14ac:dyDescent="0.25">
      <c r="A39" s="108"/>
      <c r="B39" s="126"/>
      <c r="C39" s="120" t="s">
        <v>20</v>
      </c>
      <c r="D39" s="19"/>
      <c r="E39" s="127">
        <f>E41-E37</f>
        <v>1539437</v>
      </c>
      <c r="F39" s="177">
        <f>E39/E41</f>
        <v>0.27687715827338127</v>
      </c>
      <c r="G39" s="106">
        <v>0.11650000000000001</v>
      </c>
      <c r="H39" s="130">
        <f>F39*G39</f>
        <v>3.225618893884892E-2</v>
      </c>
      <c r="I39" s="130">
        <f>H39*$E$69</f>
        <v>4.2979598852563521E-2</v>
      </c>
    </row>
    <row r="40" spans="1:12" x14ac:dyDescent="0.25">
      <c r="A40" s="108"/>
      <c r="B40" s="119"/>
      <c r="C40" s="21"/>
      <c r="D40" s="19"/>
      <c r="E40" s="120"/>
      <c r="F40" s="19"/>
      <c r="G40" s="106"/>
      <c r="H40" s="106"/>
      <c r="I40" s="21"/>
    </row>
    <row r="41" spans="1:12" ht="16.5" thickBot="1" x14ac:dyDescent="0.3">
      <c r="A41" s="108"/>
      <c r="B41" s="133"/>
      <c r="C41" s="134" t="s">
        <v>15</v>
      </c>
      <c r="D41" s="19"/>
      <c r="E41" s="135">
        <v>5560000</v>
      </c>
      <c r="F41" s="178"/>
      <c r="G41" s="106"/>
      <c r="H41" s="137">
        <f>H37+H39</f>
        <v>8.1428542176259E-2</v>
      </c>
      <c r="I41" s="134">
        <f>I37+I39</f>
        <v>9.2151952089973593E-2</v>
      </c>
    </row>
    <row r="42" spans="1:12" ht="16.5" thickTop="1" x14ac:dyDescent="0.25">
      <c r="A42" s="108"/>
      <c r="B42" s="126"/>
      <c r="C42" s="120"/>
      <c r="D42" s="19"/>
      <c r="E42" s="19"/>
      <c r="F42" s="19"/>
      <c r="G42" s="106"/>
      <c r="H42" s="4"/>
      <c r="I42" s="21"/>
      <c r="L42" s="106"/>
    </row>
    <row r="43" spans="1:12" x14ac:dyDescent="0.25">
      <c r="A43" s="108"/>
      <c r="B43" s="126"/>
      <c r="C43" s="120"/>
      <c r="D43" s="19"/>
      <c r="E43" s="19"/>
      <c r="F43" s="19"/>
      <c r="G43" s="106"/>
      <c r="H43" s="4"/>
      <c r="I43" s="21"/>
      <c r="L43" s="106"/>
    </row>
    <row r="44" spans="1:12" x14ac:dyDescent="0.25">
      <c r="A44" s="108"/>
      <c r="B44" s="237" t="s">
        <v>178</v>
      </c>
      <c r="C44" s="238"/>
      <c r="D44" s="19"/>
      <c r="E44" s="19"/>
      <c r="F44" s="19"/>
      <c r="G44" s="106"/>
      <c r="H44" s="106"/>
      <c r="I44" s="21"/>
    </row>
    <row r="45" spans="1:12" x14ac:dyDescent="0.25">
      <c r="A45" s="108"/>
      <c r="B45" s="126"/>
      <c r="C45" s="8" t="s">
        <v>22</v>
      </c>
      <c r="D45" s="19"/>
      <c r="E45" s="19"/>
      <c r="F45" s="19"/>
      <c r="G45" s="106"/>
      <c r="H45" s="106"/>
      <c r="I45" s="21"/>
    </row>
    <row r="46" spans="1:12" x14ac:dyDescent="0.25">
      <c r="A46" s="108"/>
      <c r="B46" s="126"/>
      <c r="C46" s="8" t="s">
        <v>171</v>
      </c>
      <c r="D46" s="19"/>
      <c r="E46" s="19"/>
      <c r="F46" s="19"/>
      <c r="G46" s="106"/>
      <c r="H46" s="106"/>
      <c r="I46" s="21"/>
    </row>
    <row r="47" spans="1:12" x14ac:dyDescent="0.25">
      <c r="A47" s="108"/>
      <c r="B47" s="126"/>
      <c r="C47" s="8" t="s">
        <v>403</v>
      </c>
      <c r="D47" s="19"/>
      <c r="E47" s="19"/>
      <c r="F47" s="19"/>
      <c r="G47" s="106"/>
      <c r="H47" s="106"/>
      <c r="I47" s="21"/>
    </row>
    <row r="48" spans="1:12" ht="31.5" x14ac:dyDescent="0.25">
      <c r="A48" s="108"/>
      <c r="B48" s="19"/>
      <c r="C48" s="14" t="s">
        <v>14</v>
      </c>
      <c r="D48" s="110"/>
      <c r="E48" s="110" t="s">
        <v>15</v>
      </c>
      <c r="F48" s="111" t="s">
        <v>16</v>
      </c>
      <c r="G48" s="112" t="s">
        <v>17</v>
      </c>
      <c r="H48" s="112" t="s">
        <v>18</v>
      </c>
      <c r="I48" s="113" t="s">
        <v>21</v>
      </c>
    </row>
    <row r="49" spans="2:9" x14ac:dyDescent="0.25">
      <c r="B49" s="21"/>
      <c r="C49" s="21"/>
      <c r="D49" s="21"/>
      <c r="E49" s="21"/>
      <c r="F49" s="21"/>
      <c r="G49" s="106"/>
      <c r="H49" s="106"/>
      <c r="I49" s="21"/>
    </row>
    <row r="50" spans="2:9" x14ac:dyDescent="0.25">
      <c r="B50" s="119"/>
      <c r="C50" s="120" t="s">
        <v>19</v>
      </c>
      <c r="D50" s="120"/>
      <c r="E50" s="121">
        <f>2481126+((E54-2481126)*0.5)</f>
        <v>4020563</v>
      </c>
      <c r="F50" s="120">
        <f>E50/E54</f>
        <v>0.72312284172661867</v>
      </c>
      <c r="G50" s="106">
        <v>6.8000000000000005E-2</v>
      </c>
      <c r="H50" s="106">
        <f>F50*G50</f>
        <v>4.9172353237410073E-2</v>
      </c>
      <c r="I50" s="120">
        <f>H50</f>
        <v>4.9172353237410073E-2</v>
      </c>
    </row>
    <row r="51" spans="2:9" x14ac:dyDescent="0.25">
      <c r="B51" s="119"/>
      <c r="C51" s="106"/>
      <c r="D51" s="120"/>
      <c r="F51" s="120"/>
      <c r="G51" s="106"/>
      <c r="H51" s="106"/>
      <c r="I51" s="21"/>
    </row>
    <row r="52" spans="2:9" x14ac:dyDescent="0.25">
      <c r="B52" s="126"/>
      <c r="C52" s="120" t="s">
        <v>20</v>
      </c>
      <c r="D52" s="120"/>
      <c r="E52" s="127">
        <f>E54-E50</f>
        <v>1539437</v>
      </c>
      <c r="F52" s="128">
        <f>E52/E54</f>
        <v>0.27687715827338127</v>
      </c>
      <c r="G52" s="130">
        <v>9.9000000000000005E-2</v>
      </c>
      <c r="H52" s="130">
        <f>F52*G52</f>
        <v>2.7410838669064748E-2</v>
      </c>
      <c r="I52" s="130">
        <f>H52*$E$69</f>
        <v>3.6523435934796469E-2</v>
      </c>
    </row>
    <row r="53" spans="2:9" x14ac:dyDescent="0.25">
      <c r="B53" s="119"/>
      <c r="C53" s="21"/>
      <c r="D53" s="120"/>
      <c r="E53" s="120"/>
      <c r="F53" s="120"/>
      <c r="G53" s="106"/>
      <c r="H53" s="106"/>
      <c r="I53" s="21"/>
    </row>
    <row r="54" spans="2:9" ht="16.5" thickBot="1" x14ac:dyDescent="0.3">
      <c r="B54" s="133"/>
      <c r="C54" s="134" t="s">
        <v>15</v>
      </c>
      <c r="D54" s="120"/>
      <c r="E54" s="135">
        <v>5560000</v>
      </c>
      <c r="F54" s="136">
        <f>F50+F52</f>
        <v>1</v>
      </c>
      <c r="G54" s="106"/>
      <c r="H54" s="137">
        <f>H50+H52</f>
        <v>7.6583191906474821E-2</v>
      </c>
      <c r="I54" s="137">
        <f>I50+I52</f>
        <v>8.5695789172206549E-2</v>
      </c>
    </row>
    <row r="55" spans="2:9" ht="16.5" thickTop="1" x14ac:dyDescent="0.25">
      <c r="B55" s="21"/>
      <c r="C55" s="120"/>
      <c r="D55" s="120"/>
      <c r="E55" s="120"/>
      <c r="F55" s="120"/>
      <c r="G55" s="106"/>
      <c r="H55" s="106"/>
      <c r="I55" s="21"/>
    </row>
    <row r="56" spans="2:9" x14ac:dyDescent="0.25">
      <c r="B56" s="141"/>
      <c r="C56" s="141"/>
      <c r="D56" s="141"/>
      <c r="E56" s="141"/>
      <c r="F56" s="142"/>
      <c r="G56" s="106"/>
      <c r="H56" s="106"/>
      <c r="I56" s="21"/>
    </row>
    <row r="57" spans="2:9" x14ac:dyDescent="0.25">
      <c r="B57" s="21"/>
      <c r="C57" s="21"/>
      <c r="D57" s="21"/>
      <c r="E57" s="21"/>
      <c r="F57" s="21"/>
      <c r="G57" s="106"/>
      <c r="H57" s="106"/>
      <c r="I57" s="21"/>
    </row>
    <row r="58" spans="2:9" x14ac:dyDescent="0.25">
      <c r="C58" s="180" t="s">
        <v>23</v>
      </c>
      <c r="D58" s="30"/>
      <c r="E58" s="30"/>
      <c r="F58" s="181"/>
    </row>
    <row r="59" spans="2:9" x14ac:dyDescent="0.25">
      <c r="C59" s="169"/>
      <c r="F59" s="182"/>
    </row>
    <row r="60" spans="2:9" x14ac:dyDescent="0.25">
      <c r="C60" s="169" t="s">
        <v>24</v>
      </c>
      <c r="E60" s="183">
        <v>1</v>
      </c>
      <c r="F60" s="182"/>
    </row>
    <row r="61" spans="2:9" x14ac:dyDescent="0.25">
      <c r="C61" s="169" t="s">
        <v>25</v>
      </c>
      <c r="E61" s="143">
        <v>0.05</v>
      </c>
      <c r="F61" s="182"/>
    </row>
    <row r="62" spans="2:9" x14ac:dyDescent="0.25">
      <c r="C62" s="169" t="s">
        <v>26</v>
      </c>
      <c r="F62" s="184">
        <f>E60-E61</f>
        <v>0.95</v>
      </c>
    </row>
    <row r="63" spans="2:9" x14ac:dyDescent="0.25">
      <c r="C63" s="169" t="s">
        <v>27</v>
      </c>
      <c r="E63" s="143">
        <v>0.21</v>
      </c>
      <c r="F63" s="182"/>
    </row>
    <row r="64" spans="2:9" x14ac:dyDescent="0.25">
      <c r="C64" s="169" t="s">
        <v>28</v>
      </c>
      <c r="F64" s="184">
        <f>F62*E63</f>
        <v>0.19949999999999998</v>
      </c>
    </row>
    <row r="65" spans="3:6" x14ac:dyDescent="0.25">
      <c r="C65" s="169" t="s">
        <v>29</v>
      </c>
      <c r="F65" s="185">
        <v>0.05</v>
      </c>
    </row>
    <row r="66" spans="3:6" x14ac:dyDescent="0.25">
      <c r="C66" s="169" t="s">
        <v>30</v>
      </c>
      <c r="E66" s="183">
        <f>F64+F65</f>
        <v>0.2495</v>
      </c>
      <c r="F66" s="182"/>
    </row>
    <row r="67" spans="3:6" x14ac:dyDescent="0.25">
      <c r="C67" s="169" t="s">
        <v>31</v>
      </c>
      <c r="E67" s="186">
        <f>1-E66</f>
        <v>0.75049999999999994</v>
      </c>
      <c r="F67" s="182"/>
    </row>
    <row r="68" spans="3:6" x14ac:dyDescent="0.25">
      <c r="C68" s="169"/>
      <c r="F68" s="182"/>
    </row>
    <row r="69" spans="3:6" x14ac:dyDescent="0.25">
      <c r="C69" s="169" t="s">
        <v>169</v>
      </c>
      <c r="E69" s="187">
        <f>1/E67</f>
        <v>1.3324450366422387</v>
      </c>
      <c r="F69" s="182"/>
    </row>
    <row r="70" spans="3:6" x14ac:dyDescent="0.25">
      <c r="C70" s="169"/>
      <c r="F70" s="182"/>
    </row>
    <row r="71" spans="3:6" x14ac:dyDescent="0.25">
      <c r="C71" s="169" t="s">
        <v>174</v>
      </c>
      <c r="E71" s="101">
        <v>0.11650000000000001</v>
      </c>
      <c r="F71" s="182"/>
    </row>
    <row r="72" spans="3:6" x14ac:dyDescent="0.25">
      <c r="C72" s="169"/>
      <c r="F72" s="182"/>
    </row>
    <row r="73" spans="3:6" x14ac:dyDescent="0.25">
      <c r="C73" s="171" t="s">
        <v>175</v>
      </c>
      <c r="D73" s="13"/>
      <c r="E73" s="101">
        <f>E69*E71</f>
        <v>0.15522984676882082</v>
      </c>
      <c r="F73" s="188"/>
    </row>
  </sheetData>
  <mergeCells count="4">
    <mergeCell ref="B7:C7"/>
    <mergeCell ref="B19:C19"/>
    <mergeCell ref="B31:C31"/>
    <mergeCell ref="B44:C44"/>
  </mergeCells>
  <pageMargins left="0.7" right="0.7" top="0.75" bottom="0.75" header="0.3" footer="0.3"/>
  <pageSetup scale="5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41F15-318C-43FB-A5F2-7DC0D62DF8A9}">
  <sheetPr>
    <pageSetUpPr fitToPage="1"/>
  </sheetPr>
  <dimension ref="A1:S58"/>
  <sheetViews>
    <sheetView tabSelected="1" workbookViewId="0">
      <selection activeCell="E6" sqref="E6"/>
    </sheetView>
  </sheetViews>
  <sheetFormatPr defaultColWidth="15.140625" defaultRowHeight="15.75" x14ac:dyDescent="0.25"/>
  <cols>
    <col min="1" max="1" width="29.5703125" style="4" customWidth="1"/>
    <col min="2" max="3" width="15.140625" style="4"/>
    <col min="4" max="4" width="17.140625" style="4" customWidth="1"/>
    <col min="5" max="5" width="15.140625" style="4"/>
    <col min="6" max="6" width="9.85546875" style="4" hidden="1" customWidth="1"/>
    <col min="7" max="7" width="13.85546875" style="4" hidden="1" customWidth="1"/>
    <col min="8" max="8" width="10.85546875" style="4" hidden="1" customWidth="1"/>
    <col min="9" max="12" width="15.140625" style="4"/>
    <col min="13" max="13" width="5" style="4" customWidth="1"/>
    <col min="14" max="14" width="15.140625" style="4"/>
    <col min="15" max="15" width="3.7109375" style="4" customWidth="1"/>
    <col min="16" max="17" width="15.140625" style="4"/>
    <col min="18" max="18" width="5.140625" style="4" customWidth="1"/>
    <col min="19" max="16384" width="15.140625" style="4"/>
  </cols>
  <sheetData>
    <row r="1" spans="1:19" x14ac:dyDescent="0.25">
      <c r="C1" s="5" t="s">
        <v>0</v>
      </c>
    </row>
    <row r="2" spans="1:19" x14ac:dyDescent="0.25">
      <c r="C2" s="5" t="s">
        <v>419</v>
      </c>
    </row>
    <row r="3" spans="1:19" x14ac:dyDescent="0.25">
      <c r="C3" s="6" t="s">
        <v>1</v>
      </c>
    </row>
    <row r="4" spans="1:19" x14ac:dyDescent="0.25">
      <c r="C4" s="8" t="s">
        <v>3</v>
      </c>
      <c r="K4" s="59" t="s">
        <v>223</v>
      </c>
    </row>
    <row r="5" spans="1:19" x14ac:dyDescent="0.25">
      <c r="C5" s="8" t="s">
        <v>4</v>
      </c>
    </row>
    <row r="8" spans="1:19" x14ac:dyDescent="0.25">
      <c r="D8" s="272" t="s">
        <v>415</v>
      </c>
      <c r="E8" s="273"/>
      <c r="F8" s="273"/>
      <c r="G8" s="273"/>
      <c r="H8" s="273"/>
      <c r="I8" s="273"/>
      <c r="J8" s="273"/>
      <c r="K8" s="273"/>
      <c r="L8" s="273"/>
      <c r="N8" s="279" t="s">
        <v>416</v>
      </c>
      <c r="O8" s="238"/>
      <c r="P8" s="238"/>
      <c r="Q8" s="238"/>
      <c r="R8" s="238"/>
      <c r="S8" s="238"/>
    </row>
    <row r="9" spans="1:19" x14ac:dyDescent="0.25">
      <c r="A9" s="253"/>
      <c r="B9" s="253"/>
      <c r="C9" s="253"/>
      <c r="E9" s="253"/>
      <c r="F9" s="253"/>
      <c r="G9" s="253"/>
      <c r="H9" s="253"/>
      <c r="I9" s="253"/>
      <c r="J9" s="253"/>
      <c r="K9" s="253"/>
      <c r="L9" s="253"/>
      <c r="M9" s="253"/>
      <c r="N9" s="275" t="s">
        <v>212</v>
      </c>
      <c r="O9" s="275"/>
      <c r="P9" s="5"/>
      <c r="Q9" s="5"/>
      <c r="R9" s="5"/>
      <c r="S9" s="5"/>
    </row>
    <row r="10" spans="1:19" x14ac:dyDescent="0.25">
      <c r="A10" s="256" t="s">
        <v>183</v>
      </c>
      <c r="B10" s="257"/>
      <c r="C10" s="257"/>
      <c r="D10" s="257" t="s">
        <v>184</v>
      </c>
      <c r="E10" s="257" t="s">
        <v>185</v>
      </c>
      <c r="F10" s="257"/>
      <c r="G10" s="257" t="s">
        <v>184</v>
      </c>
      <c r="H10" s="257" t="s">
        <v>185</v>
      </c>
      <c r="I10" s="257" t="s">
        <v>184</v>
      </c>
      <c r="J10" s="257" t="s">
        <v>185</v>
      </c>
      <c r="K10" s="257"/>
      <c r="L10" s="277"/>
      <c r="M10" s="253"/>
      <c r="N10" s="275" t="s">
        <v>213</v>
      </c>
      <c r="O10" s="275"/>
      <c r="P10" s="275" t="s">
        <v>219</v>
      </c>
      <c r="Q10" s="275" t="s">
        <v>221</v>
      </c>
      <c r="R10" s="275"/>
      <c r="S10" s="275" t="s">
        <v>184</v>
      </c>
    </row>
    <row r="11" spans="1:19" x14ac:dyDescent="0.25">
      <c r="A11" s="258" t="s">
        <v>186</v>
      </c>
      <c r="B11" s="274" t="s">
        <v>187</v>
      </c>
      <c r="C11" s="274" t="s">
        <v>188</v>
      </c>
      <c r="D11" s="274" t="s">
        <v>189</v>
      </c>
      <c r="E11" s="274" t="s">
        <v>189</v>
      </c>
      <c r="F11" s="274" t="s">
        <v>190</v>
      </c>
      <c r="G11" s="274" t="s">
        <v>191</v>
      </c>
      <c r="H11" s="274" t="s">
        <v>191</v>
      </c>
      <c r="I11" s="274" t="s">
        <v>192</v>
      </c>
      <c r="J11" s="274" t="s">
        <v>192</v>
      </c>
      <c r="K11" s="274" t="s">
        <v>193</v>
      </c>
      <c r="L11" s="278" t="s">
        <v>194</v>
      </c>
      <c r="M11" s="253"/>
      <c r="N11" s="274" t="s">
        <v>186</v>
      </c>
      <c r="O11" s="275"/>
      <c r="P11" s="276" t="s">
        <v>220</v>
      </c>
      <c r="Q11" s="276" t="s">
        <v>212</v>
      </c>
      <c r="R11" s="276"/>
      <c r="S11" s="276" t="s">
        <v>191</v>
      </c>
    </row>
    <row r="12" spans="1:19" x14ac:dyDescent="0.25">
      <c r="A12" s="253"/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</row>
    <row r="13" spans="1:19" x14ac:dyDescent="0.25">
      <c r="A13" s="253" t="s">
        <v>195</v>
      </c>
      <c r="B13" s="119">
        <v>2373.2057676264208</v>
      </c>
      <c r="C13" s="259">
        <v>8.0333672352997279E-2</v>
      </c>
      <c r="D13" s="255">
        <v>99.37</v>
      </c>
      <c r="E13" s="255">
        <v>85.97</v>
      </c>
      <c r="F13" s="119">
        <v>0</v>
      </c>
      <c r="G13" s="119">
        <v>0</v>
      </c>
      <c r="H13" s="119">
        <v>0</v>
      </c>
      <c r="I13" s="260">
        <v>235825.45712903744</v>
      </c>
      <c r="J13" s="260">
        <v>204024.49984284339</v>
      </c>
      <c r="K13" s="260">
        <v>31800.957286194054</v>
      </c>
      <c r="L13" s="261">
        <v>0.15586832616028856</v>
      </c>
      <c r="M13" s="253"/>
      <c r="N13" s="121">
        <f>IF(E13=$E$13,J13,$E$13*B13)</f>
        <v>204024.49984284339</v>
      </c>
      <c r="O13" s="253"/>
      <c r="P13" s="121">
        <f>N13*-$J$42</f>
        <v>-410.42078549971262</v>
      </c>
      <c r="Q13" s="260">
        <f>N13+P13</f>
        <v>203614.07905734368</v>
      </c>
      <c r="R13" s="260"/>
      <c r="S13" s="262">
        <f>(Q13/B13)</f>
        <v>85.797060598327221</v>
      </c>
    </row>
    <row r="14" spans="1:19" x14ac:dyDescent="0.25">
      <c r="A14" s="253" t="s">
        <v>196</v>
      </c>
      <c r="B14" s="126">
        <v>309.98979639409106</v>
      </c>
      <c r="C14" s="254">
        <v>1.0493240441262616E-2</v>
      </c>
      <c r="D14" s="255">
        <v>99.37</v>
      </c>
      <c r="E14" s="255">
        <v>85.97</v>
      </c>
      <c r="F14" s="126">
        <v>0</v>
      </c>
      <c r="G14" s="126">
        <v>0</v>
      </c>
      <c r="H14" s="126">
        <v>0</v>
      </c>
      <c r="I14" s="260">
        <v>30803.686067680828</v>
      </c>
      <c r="J14" s="260">
        <v>26649.822796000008</v>
      </c>
      <c r="K14" s="260">
        <v>4153.8632716808206</v>
      </c>
      <c r="L14" s="261">
        <v>0.15586832616028851</v>
      </c>
      <c r="M14" s="253"/>
      <c r="N14" s="121">
        <f t="shared" ref="N14:N35" si="0">IF(E14=$E$13,J14,$E$13*B14)</f>
        <v>26649.822796000008</v>
      </c>
      <c r="O14" s="253"/>
      <c r="P14" s="121">
        <f t="shared" ref="P14:P35" si="1">N14*-$J$42</f>
        <v>-53.609449913062157</v>
      </c>
      <c r="Q14" s="260">
        <f t="shared" ref="Q14:Q35" si="2">N14+P14</f>
        <v>26596.213346086945</v>
      </c>
      <c r="R14" s="260"/>
      <c r="S14" s="262">
        <f t="shared" ref="S14:S35" si="3">Q14/B14</f>
        <v>85.797060598327207</v>
      </c>
    </row>
    <row r="15" spans="1:19" x14ac:dyDescent="0.25">
      <c r="A15" s="253" t="s">
        <v>197</v>
      </c>
      <c r="B15" s="119">
        <v>1119</v>
      </c>
      <c r="C15" s="259">
        <v>3.7878459840804908E-2</v>
      </c>
      <c r="D15" s="255">
        <v>74.527500000000003</v>
      </c>
      <c r="E15" s="255">
        <v>64.48</v>
      </c>
      <c r="F15" s="119">
        <v>0</v>
      </c>
      <c r="G15" s="119">
        <v>0</v>
      </c>
      <c r="H15" s="119">
        <v>0</v>
      </c>
      <c r="I15" s="260">
        <v>83396.272500000006</v>
      </c>
      <c r="J15" s="260">
        <v>72153.12000000001</v>
      </c>
      <c r="K15" s="260">
        <v>11243.152499999997</v>
      </c>
      <c r="L15" s="261">
        <v>0.15582351116625304</v>
      </c>
      <c r="M15" s="253"/>
      <c r="N15" s="121">
        <f t="shared" si="0"/>
        <v>96200.43</v>
      </c>
      <c r="O15" s="253"/>
      <c r="P15" s="121">
        <f t="shared" si="1"/>
        <v>-193.51919047184498</v>
      </c>
      <c r="Q15" s="260">
        <f t="shared" si="2"/>
        <v>96006.910809528141</v>
      </c>
      <c r="R15" s="260"/>
      <c r="S15" s="262">
        <f t="shared" si="3"/>
        <v>85.797060598327207</v>
      </c>
    </row>
    <row r="16" spans="1:19" x14ac:dyDescent="0.25">
      <c r="A16" s="253" t="s">
        <v>198</v>
      </c>
      <c r="B16" s="126">
        <v>883.98067346167272</v>
      </c>
      <c r="C16" s="254">
        <v>2.992299056279325E-2</v>
      </c>
      <c r="D16" s="255">
        <v>99.37</v>
      </c>
      <c r="E16" s="255">
        <v>85.97</v>
      </c>
      <c r="F16" s="126">
        <v>0</v>
      </c>
      <c r="G16" s="126">
        <v>0</v>
      </c>
      <c r="H16" s="126">
        <v>0</v>
      </c>
      <c r="I16" s="260">
        <v>87841.159521886424</v>
      </c>
      <c r="J16" s="260">
        <v>75995.818497500004</v>
      </c>
      <c r="K16" s="260">
        <v>11845.34102438642</v>
      </c>
      <c r="L16" s="261">
        <v>0.15586832616028853</v>
      </c>
      <c r="M16" s="253"/>
      <c r="N16" s="121">
        <f t="shared" si="0"/>
        <v>75995.818497500004</v>
      </c>
      <c r="O16" s="253"/>
      <c r="P16" s="121">
        <f t="shared" si="1"/>
        <v>-152.87508875876608</v>
      </c>
      <c r="Q16" s="260">
        <f t="shared" si="2"/>
        <v>75842.943408741237</v>
      </c>
      <c r="R16" s="260"/>
      <c r="S16" s="262">
        <f t="shared" si="3"/>
        <v>85.797060598327221</v>
      </c>
    </row>
    <row r="17" spans="1:19" x14ac:dyDescent="0.25">
      <c r="A17" s="253" t="s">
        <v>199</v>
      </c>
      <c r="B17" s="119">
        <v>454.16668605327447</v>
      </c>
      <c r="C17" s="259">
        <v>1.5373668077480257E-2</v>
      </c>
      <c r="D17" s="255">
        <v>99.37</v>
      </c>
      <c r="E17" s="255">
        <v>85.97</v>
      </c>
      <c r="F17" s="119">
        <v>0</v>
      </c>
      <c r="G17" s="119">
        <v>0</v>
      </c>
      <c r="H17" s="119">
        <v>0</v>
      </c>
      <c r="I17" s="260">
        <v>45130.543593113885</v>
      </c>
      <c r="J17" s="260">
        <v>39044.710000000006</v>
      </c>
      <c r="K17" s="260">
        <v>6085.833593113879</v>
      </c>
      <c r="L17" s="261">
        <v>0.15586832616028851</v>
      </c>
      <c r="M17" s="253"/>
      <c r="N17" s="121">
        <f t="shared" si="0"/>
        <v>39044.710000000006</v>
      </c>
      <c r="O17" s="253"/>
      <c r="P17" s="121">
        <f t="shared" si="1"/>
        <v>-78.543314945764294</v>
      </c>
      <c r="Q17" s="260">
        <f t="shared" si="2"/>
        <v>38966.166685054239</v>
      </c>
      <c r="R17" s="260"/>
      <c r="S17" s="262">
        <f t="shared" si="3"/>
        <v>85.797060598327207</v>
      </c>
    </row>
    <row r="18" spans="1:19" x14ac:dyDescent="0.25">
      <c r="A18" s="253" t="s">
        <v>200</v>
      </c>
      <c r="B18" s="126">
        <v>1400.2366666666667</v>
      </c>
      <c r="C18" s="254">
        <v>4.739839887931712E-2</v>
      </c>
      <c r="D18" s="255">
        <v>99.37</v>
      </c>
      <c r="E18" s="255">
        <v>45</v>
      </c>
      <c r="F18" s="126">
        <v>0</v>
      </c>
      <c r="G18" s="126">
        <v>0</v>
      </c>
      <c r="H18" s="126">
        <v>0</v>
      </c>
      <c r="I18" s="260">
        <v>139141.51756666668</v>
      </c>
      <c r="J18" s="260">
        <v>63010.65</v>
      </c>
      <c r="K18" s="260">
        <v>76130.867566666682</v>
      </c>
      <c r="L18" s="261">
        <v>1.2082222222222225</v>
      </c>
      <c r="M18" s="253"/>
      <c r="N18" s="121">
        <f t="shared" si="0"/>
        <v>120378.34623333333</v>
      </c>
      <c r="O18" s="253"/>
      <c r="P18" s="121">
        <f t="shared" si="1"/>
        <v>-242.15609133362642</v>
      </c>
      <c r="Q18" s="260">
        <f t="shared" si="2"/>
        <v>120136.1901419997</v>
      </c>
      <c r="R18" s="260"/>
      <c r="S18" s="262">
        <f t="shared" si="3"/>
        <v>85.797060598327207</v>
      </c>
    </row>
    <row r="19" spans="1:19" x14ac:dyDescent="0.25">
      <c r="A19" s="253" t="s">
        <v>201</v>
      </c>
      <c r="B19" s="119">
        <v>408</v>
      </c>
      <c r="C19" s="259">
        <v>1.3810912971446293E-2</v>
      </c>
      <c r="D19" s="255">
        <v>248.42500000000001</v>
      </c>
      <c r="E19" s="255">
        <v>0</v>
      </c>
      <c r="F19" s="119">
        <v>49776.577195725527</v>
      </c>
      <c r="G19" s="255">
        <v>14.909594874478614</v>
      </c>
      <c r="H19" s="255">
        <v>8.89</v>
      </c>
      <c r="I19" s="260">
        <v>843506.00022647844</v>
      </c>
      <c r="J19" s="260">
        <v>442513.77126999997</v>
      </c>
      <c r="K19" s="260">
        <v>400992.22895647847</v>
      </c>
      <c r="L19" s="261">
        <v>0.90616892623622525</v>
      </c>
      <c r="M19" s="253"/>
      <c r="N19" s="121">
        <f>J19</f>
        <v>442513.77126999997</v>
      </c>
      <c r="O19" s="253"/>
      <c r="P19" s="121">
        <f t="shared" si="1"/>
        <v>-890.17176730721019</v>
      </c>
      <c r="Q19" s="260">
        <f t="shared" si="2"/>
        <v>441623.59950269276</v>
      </c>
      <c r="R19" s="280" t="s">
        <v>417</v>
      </c>
    </row>
    <row r="20" spans="1:19" x14ac:dyDescent="0.25">
      <c r="A20" s="253" t="s">
        <v>35</v>
      </c>
      <c r="B20" s="126">
        <v>3654.2296000000001</v>
      </c>
      <c r="C20" s="254">
        <v>0.12369668378255637</v>
      </c>
      <c r="D20" s="255">
        <v>99.37</v>
      </c>
      <c r="E20" s="255">
        <v>12.5</v>
      </c>
      <c r="F20" s="126">
        <v>0</v>
      </c>
      <c r="G20" s="126">
        <v>0</v>
      </c>
      <c r="H20" s="126">
        <v>0</v>
      </c>
      <c r="I20" s="260">
        <v>363120.79535200004</v>
      </c>
      <c r="J20" s="260">
        <v>45677.87</v>
      </c>
      <c r="K20" s="260">
        <v>317442.92535200005</v>
      </c>
      <c r="L20" s="261">
        <v>6.9496000000000011</v>
      </c>
      <c r="M20" s="253"/>
      <c r="N20" s="121">
        <f t="shared" si="0"/>
        <v>314154.11871200002</v>
      </c>
      <c r="O20" s="253"/>
      <c r="P20" s="121">
        <f t="shared" si="1"/>
        <v>-631.96028059897583</v>
      </c>
      <c r="Q20" s="260">
        <f t="shared" si="2"/>
        <v>313522.15843140107</v>
      </c>
      <c r="R20" s="260"/>
      <c r="S20" s="262">
        <f t="shared" si="3"/>
        <v>85.797060598327221</v>
      </c>
    </row>
    <row r="21" spans="1:19" x14ac:dyDescent="0.25">
      <c r="A21" s="253" t="s">
        <v>202</v>
      </c>
      <c r="B21" s="119">
        <v>420.00000000000006</v>
      </c>
      <c r="C21" s="259">
        <v>1.4217116294135891E-2</v>
      </c>
      <c r="D21" s="255">
        <v>99.37</v>
      </c>
      <c r="E21" s="255">
        <v>85.97</v>
      </c>
      <c r="F21" s="119">
        <v>0</v>
      </c>
      <c r="G21" s="119">
        <v>0</v>
      </c>
      <c r="H21" s="119">
        <v>0</v>
      </c>
      <c r="I21" s="260">
        <v>41735.400000000009</v>
      </c>
      <c r="J21" s="260">
        <v>36107.4</v>
      </c>
      <c r="K21" s="260">
        <v>5628.0000000000073</v>
      </c>
      <c r="L21" s="261">
        <v>0.15586832616028867</v>
      </c>
      <c r="M21" s="253"/>
      <c r="N21" s="121">
        <f t="shared" si="0"/>
        <v>36107.4</v>
      </c>
      <c r="O21" s="253"/>
      <c r="P21" s="121">
        <f t="shared" si="1"/>
        <v>-72.634548702569163</v>
      </c>
      <c r="Q21" s="260">
        <f t="shared" si="2"/>
        <v>36034.765451297433</v>
      </c>
      <c r="R21" s="260"/>
      <c r="S21" s="262">
        <f t="shared" si="3"/>
        <v>85.797060598327207</v>
      </c>
    </row>
    <row r="22" spans="1:19" x14ac:dyDescent="0.25">
      <c r="A22" s="253" t="s">
        <v>203</v>
      </c>
      <c r="B22" s="126">
        <v>348.00000000000006</v>
      </c>
      <c r="C22" s="254">
        <v>1.1779896357998311E-2</v>
      </c>
      <c r="D22" s="255">
        <v>99.37</v>
      </c>
      <c r="E22" s="255">
        <v>85.97</v>
      </c>
      <c r="F22" s="126">
        <v>0</v>
      </c>
      <c r="G22" s="126">
        <v>0</v>
      </c>
      <c r="H22" s="126">
        <v>0</v>
      </c>
      <c r="I22" s="260">
        <v>34580.760000000009</v>
      </c>
      <c r="J22" s="260">
        <v>29917.560000000005</v>
      </c>
      <c r="K22" s="260">
        <v>4663.2000000000044</v>
      </c>
      <c r="L22" s="261">
        <v>0.15586832616028859</v>
      </c>
      <c r="M22" s="253"/>
      <c r="N22" s="121">
        <f t="shared" si="0"/>
        <v>29917.560000000005</v>
      </c>
      <c r="O22" s="253"/>
      <c r="P22" s="121">
        <f t="shared" si="1"/>
        <v>-60.182911782128741</v>
      </c>
      <c r="Q22" s="260">
        <f t="shared" si="2"/>
        <v>29857.377088217876</v>
      </c>
      <c r="R22" s="260"/>
      <c r="S22" s="262">
        <f t="shared" si="3"/>
        <v>85.797060598327221</v>
      </c>
    </row>
    <row r="23" spans="1:19" x14ac:dyDescent="0.25">
      <c r="A23" s="253" t="s">
        <v>204</v>
      </c>
      <c r="B23" s="119">
        <v>1927.3161567988834</v>
      </c>
      <c r="C23" s="259">
        <v>6.5240185563754202E-2</v>
      </c>
      <c r="D23" s="255">
        <v>99.37</v>
      </c>
      <c r="E23" s="255">
        <v>85.97</v>
      </c>
      <c r="F23" s="119">
        <v>0</v>
      </c>
      <c r="G23" s="119">
        <v>0</v>
      </c>
      <c r="H23" s="119">
        <v>0</v>
      </c>
      <c r="I23" s="260">
        <v>191517.40650110506</v>
      </c>
      <c r="J23" s="260">
        <v>165691.37</v>
      </c>
      <c r="K23" s="260">
        <v>25826.03650110506</v>
      </c>
      <c r="L23" s="261">
        <v>0.15586832616028862</v>
      </c>
      <c r="M23" s="253"/>
      <c r="N23" s="121">
        <f t="shared" si="0"/>
        <v>165691.37</v>
      </c>
      <c r="O23" s="253"/>
      <c r="P23" s="121">
        <f t="shared" si="1"/>
        <v>-333.3089029910879</v>
      </c>
      <c r="Q23" s="260">
        <f t="shared" si="2"/>
        <v>165358.0610970089</v>
      </c>
      <c r="R23" s="260"/>
      <c r="S23" s="262">
        <f t="shared" si="3"/>
        <v>85.797060598327207</v>
      </c>
    </row>
    <row r="24" spans="1:19" x14ac:dyDescent="0.25">
      <c r="A24" s="253" t="s">
        <v>120</v>
      </c>
      <c r="B24" s="126">
        <v>287.99999999999994</v>
      </c>
      <c r="C24" s="254">
        <v>9.7488797445503227E-3</v>
      </c>
      <c r="D24" s="255">
        <v>99.37</v>
      </c>
      <c r="E24" s="255">
        <v>49.66</v>
      </c>
      <c r="F24" s="126">
        <v>0</v>
      </c>
      <c r="G24" s="126">
        <v>0</v>
      </c>
      <c r="H24" s="126">
        <v>0</v>
      </c>
      <c r="I24" s="260">
        <v>28618.559999999994</v>
      </c>
      <c r="J24" s="260">
        <v>14302.079999999996</v>
      </c>
      <c r="K24" s="260">
        <v>14316.479999999998</v>
      </c>
      <c r="L24" s="261">
        <v>1.0010068465565849</v>
      </c>
      <c r="M24" s="253"/>
      <c r="N24" s="121">
        <f t="shared" si="0"/>
        <v>24759.359999999993</v>
      </c>
      <c r="O24" s="253"/>
      <c r="P24" s="121">
        <f t="shared" si="1"/>
        <v>-49.8065476817617</v>
      </c>
      <c r="Q24" s="260">
        <f t="shared" si="2"/>
        <v>24709.553452318232</v>
      </c>
      <c r="R24" s="260"/>
      <c r="S24" s="262">
        <f t="shared" si="3"/>
        <v>85.797060598327207</v>
      </c>
    </row>
    <row r="25" spans="1:19" x14ac:dyDescent="0.25">
      <c r="A25" s="253" t="s">
        <v>205</v>
      </c>
      <c r="B25" s="119">
        <v>1570.4330658899885</v>
      </c>
      <c r="C25" s="259">
        <v>5.3159594118843662E-2</v>
      </c>
      <c r="D25" s="255">
        <v>99.37</v>
      </c>
      <c r="E25" s="255">
        <v>85.97</v>
      </c>
      <c r="F25" s="119">
        <v>0</v>
      </c>
      <c r="G25" s="119">
        <v>0</v>
      </c>
      <c r="H25" s="119">
        <v>0</v>
      </c>
      <c r="I25" s="260">
        <v>156053.93375748815</v>
      </c>
      <c r="J25" s="260">
        <v>135010.1306745623</v>
      </c>
      <c r="K25" s="260">
        <v>21043.80308292585</v>
      </c>
      <c r="L25" s="261">
        <v>0.15586832616028851</v>
      </c>
      <c r="M25" s="253"/>
      <c r="N25" s="121">
        <f t="shared" si="0"/>
        <v>135010.1306745623</v>
      </c>
      <c r="O25" s="253"/>
      <c r="P25" s="121">
        <f t="shared" si="1"/>
        <v>-271.5897547821699</v>
      </c>
      <c r="Q25" s="260">
        <f t="shared" si="2"/>
        <v>134738.54091978012</v>
      </c>
      <c r="R25" s="260"/>
      <c r="S25" s="262">
        <f t="shared" si="3"/>
        <v>85.797060598327207</v>
      </c>
    </row>
    <row r="26" spans="1:19" x14ac:dyDescent="0.25">
      <c r="A26" s="253" t="s">
        <v>206</v>
      </c>
      <c r="B26" s="126">
        <v>396</v>
      </c>
      <c r="C26" s="254">
        <v>1.3404709648756697E-2</v>
      </c>
      <c r="D26" s="255">
        <v>99.37</v>
      </c>
      <c r="E26" s="255">
        <v>85.97</v>
      </c>
      <c r="F26" s="126">
        <v>0</v>
      </c>
      <c r="G26" s="126">
        <v>0</v>
      </c>
      <c r="H26" s="126">
        <v>0</v>
      </c>
      <c r="I26" s="260">
        <v>39350.520000000004</v>
      </c>
      <c r="J26" s="260">
        <v>34044.120000000003</v>
      </c>
      <c r="K26" s="260">
        <v>5306.4000000000015</v>
      </c>
      <c r="L26" s="261">
        <v>0.15586832616028851</v>
      </c>
      <c r="M26" s="253"/>
      <c r="N26" s="121">
        <f t="shared" si="0"/>
        <v>34044.120000000003</v>
      </c>
      <c r="O26" s="253"/>
      <c r="P26" s="121">
        <f t="shared" si="1"/>
        <v>-68.48400306242236</v>
      </c>
      <c r="Q26" s="260">
        <f t="shared" si="2"/>
        <v>33975.635996937577</v>
      </c>
      <c r="R26" s="260"/>
      <c r="S26" s="262">
        <f t="shared" si="3"/>
        <v>85.797060598327221</v>
      </c>
    </row>
    <row r="27" spans="1:19" x14ac:dyDescent="0.25">
      <c r="A27" s="253" t="s">
        <v>207</v>
      </c>
      <c r="B27" s="119">
        <v>3960.1664185180875</v>
      </c>
      <c r="C27" s="259">
        <v>0.13405272980048399</v>
      </c>
      <c r="D27" s="255">
        <v>99.37</v>
      </c>
      <c r="E27" s="255">
        <v>85.97</v>
      </c>
      <c r="F27" s="119">
        <v>0</v>
      </c>
      <c r="G27" s="119">
        <v>0</v>
      </c>
      <c r="H27" s="119">
        <v>0</v>
      </c>
      <c r="I27" s="260">
        <v>393521.7370081424</v>
      </c>
      <c r="J27" s="260">
        <v>340455.50699999998</v>
      </c>
      <c r="K27" s="260">
        <v>53066.230008142418</v>
      </c>
      <c r="L27" s="261">
        <v>0.15586832616028862</v>
      </c>
      <c r="M27" s="253"/>
      <c r="N27" s="121">
        <f t="shared" si="0"/>
        <v>340455.50699999998</v>
      </c>
      <c r="O27" s="253"/>
      <c r="P27" s="121">
        <f t="shared" si="1"/>
        <v>-684.8688109431688</v>
      </c>
      <c r="Q27" s="260">
        <f t="shared" si="2"/>
        <v>339770.63818905683</v>
      </c>
      <c r="R27" s="260"/>
      <c r="S27" s="262">
        <f t="shared" si="3"/>
        <v>85.797060598327221</v>
      </c>
    </row>
    <row r="28" spans="1:19" x14ac:dyDescent="0.25">
      <c r="A28" s="253" t="s">
        <v>208</v>
      </c>
      <c r="B28" s="126">
        <v>478.52634639990697</v>
      </c>
      <c r="C28" s="254">
        <v>1.61982493251796E-2</v>
      </c>
      <c r="D28" s="255">
        <v>99.37</v>
      </c>
      <c r="E28" s="255">
        <v>85.97</v>
      </c>
      <c r="F28" s="126">
        <v>0</v>
      </c>
      <c r="G28" s="126">
        <v>0</v>
      </c>
      <c r="H28" s="126">
        <v>0</v>
      </c>
      <c r="I28" s="260">
        <v>47551.163041758758</v>
      </c>
      <c r="J28" s="260">
        <v>41138.910000000003</v>
      </c>
      <c r="K28" s="260">
        <v>6412.253041758755</v>
      </c>
      <c r="L28" s="261">
        <v>0.15586832616028851</v>
      </c>
      <c r="M28" s="253"/>
      <c r="N28" s="121">
        <f t="shared" si="0"/>
        <v>41138.910000000003</v>
      </c>
      <c r="O28" s="253"/>
      <c r="P28" s="121">
        <f t="shared" si="1"/>
        <v>-82.756060031063157</v>
      </c>
      <c r="Q28" s="260">
        <f t="shared" si="2"/>
        <v>41056.153939968943</v>
      </c>
      <c r="R28" s="260"/>
      <c r="S28" s="262">
        <f t="shared" si="3"/>
        <v>85.797060598327221</v>
      </c>
    </row>
    <row r="29" spans="1:19" x14ac:dyDescent="0.25">
      <c r="A29" s="253" t="s">
        <v>209</v>
      </c>
      <c r="B29" s="119">
        <v>12.000255903222053</v>
      </c>
      <c r="C29" s="259">
        <v>4.0621198508452059E-4</v>
      </c>
      <c r="D29" s="255">
        <v>248.42500000000001</v>
      </c>
      <c r="E29" s="255">
        <v>214.92500000000001</v>
      </c>
      <c r="F29" s="119">
        <v>0</v>
      </c>
      <c r="G29" s="119">
        <v>0</v>
      </c>
      <c r="H29" s="119">
        <v>0</v>
      </c>
      <c r="I29" s="260">
        <v>2981.1635727579387</v>
      </c>
      <c r="J29" s="260">
        <v>2579.1549999999997</v>
      </c>
      <c r="K29" s="260">
        <v>402.00857275793896</v>
      </c>
      <c r="L29" s="261">
        <v>0.15586832616028853</v>
      </c>
      <c r="M29" s="253"/>
      <c r="N29" s="121">
        <f t="shared" si="0"/>
        <v>1031.6619999999998</v>
      </c>
      <c r="O29" s="253"/>
      <c r="P29" s="121">
        <f t="shared" si="1"/>
        <v>-2.0753170758235124</v>
      </c>
      <c r="Q29" s="260">
        <f t="shared" si="2"/>
        <v>1029.5866829241763</v>
      </c>
      <c r="R29" s="260"/>
      <c r="S29" s="262">
        <f t="shared" si="3"/>
        <v>85.797060598327207</v>
      </c>
    </row>
    <row r="30" spans="1:19" x14ac:dyDescent="0.25">
      <c r="A30" s="253" t="s">
        <v>210</v>
      </c>
      <c r="B30" s="126">
        <v>4292.0507454095277</v>
      </c>
      <c r="C30" s="254">
        <v>0.14528710616147592</v>
      </c>
      <c r="D30" s="255">
        <v>99.37</v>
      </c>
      <c r="E30" s="255">
        <v>85.97</v>
      </c>
      <c r="F30" s="126">
        <v>0</v>
      </c>
      <c r="G30" s="126">
        <v>0</v>
      </c>
      <c r="H30" s="126">
        <v>0</v>
      </c>
      <c r="I30" s="260">
        <v>426501.0825713448</v>
      </c>
      <c r="J30" s="260">
        <v>368987.60258285707</v>
      </c>
      <c r="K30" s="260">
        <v>57513.479988487728</v>
      </c>
      <c r="L30" s="261">
        <v>0.15586832616028864</v>
      </c>
      <c r="M30" s="253"/>
      <c r="N30" s="121">
        <f t="shared" si="0"/>
        <v>368987.60258285707</v>
      </c>
      <c r="O30" s="253"/>
      <c r="P30" s="121">
        <f t="shared" si="1"/>
        <v>-742.264687860349</v>
      </c>
      <c r="Q30" s="260">
        <f t="shared" si="2"/>
        <v>368245.33789499674</v>
      </c>
      <c r="R30" s="260"/>
      <c r="S30" s="262">
        <f t="shared" si="3"/>
        <v>85.797060598327221</v>
      </c>
    </row>
    <row r="31" spans="1:19" x14ac:dyDescent="0.25">
      <c r="A31" s="253" t="s">
        <v>211</v>
      </c>
      <c r="B31" s="119">
        <v>660.86204489938359</v>
      </c>
      <c r="C31" s="259">
        <v>2.2370363206464263E-2</v>
      </c>
      <c r="D31" s="255">
        <v>99.37</v>
      </c>
      <c r="E31" s="255">
        <v>85.97</v>
      </c>
      <c r="F31" s="119">
        <v>0</v>
      </c>
      <c r="G31" s="119">
        <v>0</v>
      </c>
      <c r="H31" s="119">
        <v>0</v>
      </c>
      <c r="I31" s="260">
        <v>65669.861401651753</v>
      </c>
      <c r="J31" s="260">
        <v>56814.310000000005</v>
      </c>
      <c r="K31" s="260">
        <v>8855.5514016517482</v>
      </c>
      <c r="L31" s="261">
        <v>0.15586832616028862</v>
      </c>
      <c r="M31" s="253"/>
      <c r="N31" s="121">
        <f t="shared" si="0"/>
        <v>56814.310000000005</v>
      </c>
      <c r="O31" s="253"/>
      <c r="P31" s="121">
        <f t="shared" si="1"/>
        <v>-114.28908663315173</v>
      </c>
      <c r="Q31" s="260">
        <f t="shared" si="2"/>
        <v>56700.020913366854</v>
      </c>
      <c r="R31" s="260"/>
      <c r="S31" s="262">
        <f t="shared" si="3"/>
        <v>85.797060598327221</v>
      </c>
    </row>
    <row r="32" spans="1:19" x14ac:dyDescent="0.25">
      <c r="A32" s="253" t="s">
        <v>36</v>
      </c>
      <c r="B32" s="126">
        <v>2164.1950744469741</v>
      </c>
      <c r="C32" s="254">
        <v>7.325860251573503E-2</v>
      </c>
      <c r="D32" s="255">
        <v>99.37</v>
      </c>
      <c r="E32" s="255">
        <v>85.97</v>
      </c>
      <c r="F32" s="126">
        <v>0</v>
      </c>
      <c r="G32" s="126">
        <v>0</v>
      </c>
      <c r="H32" s="126">
        <v>0</v>
      </c>
      <c r="I32" s="260">
        <v>215056.06454779583</v>
      </c>
      <c r="J32" s="260">
        <v>186055.85055020635</v>
      </c>
      <c r="K32" s="260">
        <v>29000.213997589482</v>
      </c>
      <c r="L32" s="261">
        <v>0.15586832616028864</v>
      </c>
      <c r="M32" s="253"/>
      <c r="N32" s="121">
        <f t="shared" si="0"/>
        <v>186055.85055020635</v>
      </c>
      <c r="O32" s="253"/>
      <c r="P32" s="121">
        <f t="shared" si="1"/>
        <v>-374.27460127804528</v>
      </c>
      <c r="Q32" s="260">
        <f t="shared" si="2"/>
        <v>185681.57594892831</v>
      </c>
      <c r="R32" s="260"/>
      <c r="S32" s="262">
        <f t="shared" si="3"/>
        <v>85.797060598327207</v>
      </c>
    </row>
    <row r="33" spans="1:19" x14ac:dyDescent="0.25">
      <c r="A33" s="253" t="s">
        <v>118</v>
      </c>
      <c r="B33" s="119">
        <v>504</v>
      </c>
      <c r="C33" s="259">
        <v>1.7060539552963067E-2</v>
      </c>
      <c r="D33" s="255">
        <v>99.37</v>
      </c>
      <c r="E33" s="255">
        <v>27.43</v>
      </c>
      <c r="F33" s="119">
        <v>0</v>
      </c>
      <c r="G33" s="119">
        <v>0</v>
      </c>
      <c r="H33" s="119">
        <v>0</v>
      </c>
      <c r="I33" s="260">
        <v>50082.48</v>
      </c>
      <c r="J33" s="260">
        <v>13824.72</v>
      </c>
      <c r="K33" s="260">
        <v>36257.760000000002</v>
      </c>
      <c r="L33" s="261">
        <v>2.6226759022967556</v>
      </c>
      <c r="M33" s="253"/>
      <c r="N33" s="121">
        <f t="shared" si="0"/>
        <v>43328.88</v>
      </c>
      <c r="O33" s="253"/>
      <c r="P33" s="121">
        <f t="shared" si="1"/>
        <v>-87.161458443082992</v>
      </c>
      <c r="Q33" s="260">
        <f t="shared" si="2"/>
        <v>43241.718541556911</v>
      </c>
      <c r="R33" s="260"/>
      <c r="S33" s="262">
        <f t="shared" si="3"/>
        <v>85.797060598327207</v>
      </c>
    </row>
    <row r="34" spans="1:19" x14ac:dyDescent="0.25">
      <c r="A34" s="253" t="s">
        <v>154</v>
      </c>
      <c r="B34" s="126">
        <v>826.3239668035593</v>
      </c>
      <c r="C34" s="254">
        <v>2.7971295077804492E-2</v>
      </c>
      <c r="D34" s="255">
        <v>99.37</v>
      </c>
      <c r="E34" s="255">
        <v>85.97</v>
      </c>
      <c r="F34" s="126">
        <v>0</v>
      </c>
      <c r="G34" s="126">
        <v>0</v>
      </c>
      <c r="H34" s="126">
        <v>0</v>
      </c>
      <c r="I34" s="260">
        <v>82111.812581269696</v>
      </c>
      <c r="J34" s="260">
        <v>71039.071426101989</v>
      </c>
      <c r="K34" s="260">
        <v>11072.741155167707</v>
      </c>
      <c r="L34" s="261">
        <v>0.15586832616028864</v>
      </c>
      <c r="M34" s="253"/>
      <c r="N34" s="121">
        <f t="shared" si="0"/>
        <v>71039.071426101989</v>
      </c>
      <c r="O34" s="253"/>
      <c r="P34" s="121">
        <f t="shared" si="1"/>
        <v>-142.90397240688873</v>
      </c>
      <c r="Q34" s="260">
        <f t="shared" si="2"/>
        <v>70896.167453695103</v>
      </c>
      <c r="R34" s="260"/>
      <c r="S34" s="262">
        <f t="shared" si="3"/>
        <v>85.797060598327221</v>
      </c>
    </row>
    <row r="35" spans="1:19" x14ac:dyDescent="0.25">
      <c r="A35" s="253" t="s">
        <v>119</v>
      </c>
      <c r="B35" s="119">
        <v>1091.1725731895224</v>
      </c>
      <c r="C35" s="259">
        <v>3.6936493738111774E-2</v>
      </c>
      <c r="D35" s="255">
        <v>99.37</v>
      </c>
      <c r="E35" s="255">
        <v>19.47</v>
      </c>
      <c r="F35" s="119">
        <v>0</v>
      </c>
      <c r="G35" s="119">
        <v>0</v>
      </c>
      <c r="H35" s="119">
        <v>0</v>
      </c>
      <c r="I35" s="260">
        <v>108429.81859784284</v>
      </c>
      <c r="J35" s="260">
        <v>21245.13</v>
      </c>
      <c r="K35" s="260">
        <v>87184.688597842833</v>
      </c>
      <c r="L35" s="261">
        <v>4.1037493579866462</v>
      </c>
      <c r="M35" s="253"/>
      <c r="N35" s="176">
        <f t="shared" si="0"/>
        <v>93808.106117103234</v>
      </c>
      <c r="O35" s="253"/>
      <c r="P35" s="176">
        <f t="shared" si="1"/>
        <v>-188.70673192914779</v>
      </c>
      <c r="Q35" s="260">
        <f t="shared" si="2"/>
        <v>93619.399385174082</v>
      </c>
      <c r="R35" s="260"/>
      <c r="S35" s="262">
        <f t="shared" si="3"/>
        <v>85.797060598327207</v>
      </c>
    </row>
    <row r="36" spans="1:19" x14ac:dyDescent="0.25">
      <c r="A36" s="253"/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</row>
    <row r="37" spans="1:19" x14ac:dyDescent="0.25">
      <c r="A37" s="263" t="s">
        <v>15</v>
      </c>
      <c r="B37" s="264">
        <v>29541.855838461186</v>
      </c>
      <c r="C37" s="265">
        <v>0.99999999999999978</v>
      </c>
      <c r="D37" s="264"/>
      <c r="E37" s="266"/>
      <c r="F37" s="266"/>
      <c r="G37" s="266"/>
      <c r="H37" s="266"/>
      <c r="I37" s="267">
        <v>3712527.1955380207</v>
      </c>
      <c r="J37" s="267">
        <v>2486283.1796400715</v>
      </c>
      <c r="K37" s="267">
        <v>1226244.0158979499</v>
      </c>
      <c r="L37" s="268">
        <v>0.49320368087575123</v>
      </c>
      <c r="M37" s="253"/>
      <c r="N37" s="260">
        <f>SUM(N13:N35)</f>
        <v>2947151.3577025076</v>
      </c>
      <c r="O37" s="253"/>
      <c r="P37" s="260">
        <f>SUM(P13:P35)</f>
        <v>-5928.563364431825</v>
      </c>
      <c r="Q37" s="260">
        <f>SUM(Q13:Q35)</f>
        <v>2941222.7943380759</v>
      </c>
      <c r="R37" s="260"/>
      <c r="S37" s="253"/>
    </row>
    <row r="38" spans="1:19" x14ac:dyDescent="0.25">
      <c r="A38" s="253"/>
      <c r="B38" s="253"/>
      <c r="C38" s="253"/>
      <c r="D38" s="269" t="s">
        <v>214</v>
      </c>
      <c r="E38" s="270"/>
      <c r="F38" s="270"/>
      <c r="G38" s="270"/>
      <c r="H38" s="270"/>
      <c r="I38" s="270"/>
      <c r="J38" s="271">
        <f>'DND-4'!L46*1000</f>
        <v>454939.61469800444</v>
      </c>
      <c r="K38" s="253"/>
      <c r="L38" s="253"/>
      <c r="M38" s="253"/>
      <c r="N38" s="253"/>
      <c r="O38" s="253"/>
      <c r="P38" s="253"/>
      <c r="Q38" s="253"/>
      <c r="R38" s="253"/>
      <c r="S38" s="253"/>
    </row>
    <row r="39" spans="1:19" x14ac:dyDescent="0.25">
      <c r="B39" s="58"/>
      <c r="D39" s="239" t="s">
        <v>215</v>
      </c>
      <c r="E39" s="240"/>
      <c r="H39" s="104"/>
      <c r="I39" s="104"/>
      <c r="J39" s="28">
        <f>J37+J38</f>
        <v>2941222.7943380759</v>
      </c>
      <c r="N39" s="28">
        <f>N37-J37</f>
        <v>460868.17806243617</v>
      </c>
    </row>
    <row r="40" spans="1:19" x14ac:dyDescent="0.25">
      <c r="B40" s="58"/>
      <c r="D40" s="239" t="s">
        <v>216</v>
      </c>
      <c r="E40" s="240"/>
      <c r="F40" s="240"/>
      <c r="G40" s="240"/>
      <c r="H40" s="240"/>
      <c r="I40" s="240"/>
      <c r="J40" s="174">
        <f>N37</f>
        <v>2947151.3577025076</v>
      </c>
      <c r="K40" s="28"/>
      <c r="N40" s="28"/>
    </row>
    <row r="41" spans="1:19" ht="30.75" customHeight="1" x14ac:dyDescent="0.25">
      <c r="B41" s="58"/>
      <c r="D41" s="239" t="s">
        <v>218</v>
      </c>
      <c r="E41" s="240"/>
      <c r="F41" s="240"/>
      <c r="G41" s="240"/>
      <c r="H41" s="240"/>
      <c r="I41" s="240"/>
      <c r="J41" s="190">
        <f>J39/J40</f>
        <v>0.99798837499508219</v>
      </c>
      <c r="M41" s="230" t="s">
        <v>364</v>
      </c>
      <c r="N41" s="30"/>
      <c r="O41" s="30"/>
      <c r="P41" s="30"/>
      <c r="Q41" s="30"/>
      <c r="R41" s="30"/>
      <c r="S41" s="181"/>
    </row>
    <row r="42" spans="1:19" x14ac:dyDescent="0.25">
      <c r="D42" s="104" t="s">
        <v>217</v>
      </c>
      <c r="H42" s="104"/>
      <c r="I42" s="104"/>
      <c r="J42" s="191">
        <f>1-J41</f>
        <v>2.0116250049178053E-3</v>
      </c>
      <c r="M42" s="169" t="s">
        <v>365</v>
      </c>
      <c r="N42" s="250"/>
      <c r="O42" s="250"/>
      <c r="P42" s="250"/>
      <c r="Q42" s="251">
        <f>J37</f>
        <v>2486283.1796400715</v>
      </c>
      <c r="R42" s="251"/>
      <c r="S42" s="182"/>
    </row>
    <row r="43" spans="1:19" x14ac:dyDescent="0.25">
      <c r="M43" s="169" t="s">
        <v>370</v>
      </c>
      <c r="N43" s="250"/>
      <c r="O43" s="250"/>
      <c r="P43" s="250"/>
      <c r="Q43" s="174">
        <f>N37</f>
        <v>2947151.3577025076</v>
      </c>
      <c r="R43" s="251"/>
      <c r="S43" s="182"/>
    </row>
    <row r="44" spans="1:19" x14ac:dyDescent="0.25">
      <c r="K44" s="252" t="s">
        <v>134</v>
      </c>
      <c r="M44" s="169" t="s">
        <v>366</v>
      </c>
      <c r="N44" s="250"/>
      <c r="O44" s="250"/>
      <c r="P44" s="250"/>
      <c r="Q44" s="250"/>
      <c r="R44" s="250"/>
      <c r="S44" s="196">
        <f>Q43-Q42</f>
        <v>460868.17806243617</v>
      </c>
    </row>
    <row r="45" spans="1:19" x14ac:dyDescent="0.25">
      <c r="D45" s="180" t="s">
        <v>131</v>
      </c>
      <c r="E45" s="31"/>
      <c r="F45" s="31"/>
      <c r="G45" s="31"/>
      <c r="H45" s="31"/>
      <c r="I45" s="31"/>
      <c r="J45" s="31"/>
      <c r="K45" s="192">
        <f>'DND-4'!L46</f>
        <v>454.93961469800445</v>
      </c>
      <c r="M45" s="169" t="s">
        <v>367</v>
      </c>
      <c r="N45" s="250"/>
      <c r="O45" s="250"/>
      <c r="P45" s="250"/>
      <c r="Q45" s="250"/>
      <c r="R45" s="250"/>
      <c r="S45" s="170">
        <f>J38</f>
        <v>454939.61469800444</v>
      </c>
    </row>
    <row r="46" spans="1:19" x14ac:dyDescent="0.25">
      <c r="D46" s="92" t="s">
        <v>132</v>
      </c>
      <c r="E46" s="21"/>
      <c r="F46" s="21"/>
      <c r="G46" s="34"/>
      <c r="H46" s="21"/>
      <c r="J46" s="21"/>
      <c r="K46" s="193">
        <f>'DND-4'!L47</f>
        <v>63.842228557889484</v>
      </c>
      <c r="M46" s="169" t="s">
        <v>368</v>
      </c>
      <c r="N46" s="250"/>
      <c r="O46" s="250"/>
      <c r="P46" s="250"/>
      <c r="Q46" s="173">
        <f>S45-S44</f>
        <v>-5928.5633644317277</v>
      </c>
      <c r="R46" s="242"/>
      <c r="S46" s="182"/>
    </row>
    <row r="47" spans="1:19" x14ac:dyDescent="0.25">
      <c r="D47" s="189" t="s">
        <v>133</v>
      </c>
      <c r="E47" s="36"/>
      <c r="F47" s="36"/>
      <c r="G47" s="37"/>
      <c r="H47" s="36"/>
      <c r="I47" s="38"/>
      <c r="J47" s="36"/>
      <c r="K47" s="193">
        <f>K45+K46</f>
        <v>518.78184325589393</v>
      </c>
      <c r="M47" s="171" t="s">
        <v>369</v>
      </c>
      <c r="N47" s="13"/>
      <c r="O47" s="13"/>
      <c r="P47" s="13"/>
      <c r="Q47" s="174">
        <f>Q43+Q46</f>
        <v>2941222.7943380759</v>
      </c>
      <c r="R47" s="174"/>
      <c r="S47" s="188"/>
    </row>
    <row r="48" spans="1:19" x14ac:dyDescent="0.25">
      <c r="B48" s="247"/>
      <c r="C48" s="247"/>
      <c r="D48" s="247"/>
      <c r="E48" s="43"/>
      <c r="F48" s="247"/>
      <c r="G48" s="248"/>
      <c r="H48" s="247"/>
      <c r="I48" s="249"/>
      <c r="M48" s="250"/>
      <c r="N48" s="250"/>
      <c r="O48" s="250"/>
      <c r="P48" s="250"/>
      <c r="Q48" s="242"/>
      <c r="R48" s="242"/>
      <c r="S48" s="250"/>
    </row>
    <row r="49" spans="2:19" x14ac:dyDescent="0.25">
      <c r="B49" s="247"/>
      <c r="C49" s="247"/>
      <c r="D49" s="247"/>
      <c r="E49" s="43"/>
      <c r="F49" s="247"/>
      <c r="G49" s="248"/>
      <c r="H49" s="247"/>
      <c r="I49" s="249"/>
      <c r="M49" s="250"/>
      <c r="N49" s="250"/>
      <c r="O49" s="250"/>
      <c r="P49" s="250"/>
      <c r="Q49" s="242"/>
      <c r="R49" s="242"/>
      <c r="S49" s="250"/>
    </row>
    <row r="50" spans="2:19" x14ac:dyDescent="0.25">
      <c r="M50" s="250"/>
      <c r="N50" s="250"/>
      <c r="O50" s="250"/>
      <c r="P50" s="250"/>
      <c r="Q50" s="250"/>
      <c r="R50" s="250"/>
      <c r="S50" s="250"/>
    </row>
    <row r="51" spans="2:19" x14ac:dyDescent="0.25">
      <c r="E51" s="281" t="s">
        <v>417</v>
      </c>
      <c r="I51" s="229" t="s">
        <v>414</v>
      </c>
      <c r="J51" s="30"/>
      <c r="K51" s="181"/>
    </row>
    <row r="52" spans="2:19" x14ac:dyDescent="0.25">
      <c r="I52" s="169" t="s">
        <v>190</v>
      </c>
      <c r="K52" s="194">
        <f>F19</f>
        <v>49776.577195725527</v>
      </c>
      <c r="P52" s="53"/>
    </row>
    <row r="53" spans="2:19" x14ac:dyDescent="0.25">
      <c r="I53" s="226" t="s">
        <v>371</v>
      </c>
      <c r="J53" s="59"/>
      <c r="K53" s="227">
        <f>H19</f>
        <v>8.89</v>
      </c>
      <c r="P53" s="53"/>
    </row>
    <row r="54" spans="2:19" x14ac:dyDescent="0.25">
      <c r="I54" s="169" t="s">
        <v>418</v>
      </c>
      <c r="K54" s="195">
        <f>K52*K53</f>
        <v>442513.77126999997</v>
      </c>
    </row>
    <row r="55" spans="2:19" x14ac:dyDescent="0.25">
      <c r="I55" s="169"/>
      <c r="K55" s="182"/>
      <c r="P55" s="53"/>
    </row>
    <row r="56" spans="2:19" x14ac:dyDescent="0.25">
      <c r="I56" s="169" t="s">
        <v>369</v>
      </c>
      <c r="K56" s="196">
        <f>Q19</f>
        <v>441623.59950269276</v>
      </c>
    </row>
    <row r="57" spans="2:19" x14ac:dyDescent="0.25">
      <c r="I57" s="169" t="s">
        <v>372</v>
      </c>
      <c r="K57" s="170">
        <f>F19</f>
        <v>49776.577195725527</v>
      </c>
    </row>
    <row r="58" spans="2:19" x14ac:dyDescent="0.25">
      <c r="I58" s="215" t="s">
        <v>373</v>
      </c>
      <c r="J58" s="98"/>
      <c r="K58" s="228">
        <f>K56/K57</f>
        <v>8.8721166537062821</v>
      </c>
    </row>
  </sheetData>
  <mergeCells count="6">
    <mergeCell ref="N8:S8"/>
    <mergeCell ref="D38:I38"/>
    <mergeCell ref="D39:E39"/>
    <mergeCell ref="D40:I40"/>
    <mergeCell ref="D41:I41"/>
    <mergeCell ref="D8:L8"/>
  </mergeCells>
  <pageMargins left="0.7" right="0.7" top="0.75" bottom="0.75" header="0.3" footer="0.3"/>
  <pageSetup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ECA45-3E91-4CB8-914C-CC175C90D73B}">
  <sheetPr>
    <pageSetUpPr fitToPage="1"/>
  </sheetPr>
  <dimension ref="A1:S61"/>
  <sheetViews>
    <sheetView workbookViewId="0">
      <selection activeCell="R23" sqref="R23"/>
    </sheetView>
  </sheetViews>
  <sheetFormatPr defaultRowHeight="15.75" x14ac:dyDescent="0.25"/>
  <cols>
    <col min="1" max="1" width="3" style="2" customWidth="1"/>
    <col min="2" max="2" width="9.7109375" style="2" customWidth="1"/>
    <col min="3" max="3" width="9.140625" style="3"/>
    <col min="4" max="4" width="9.140625" style="4"/>
    <col min="5" max="5" width="57.85546875" style="4" customWidth="1"/>
    <col min="6" max="6" width="10" style="4" customWidth="1"/>
    <col min="7" max="7" width="2" style="4" customWidth="1"/>
    <col min="8" max="8" width="10.85546875" style="4" customWidth="1"/>
    <col min="9" max="9" width="2" style="4" customWidth="1"/>
    <col min="10" max="10" width="12" style="4" bestFit="1" customWidth="1"/>
    <col min="11" max="11" width="2" style="4" customWidth="1"/>
    <col min="12" max="12" width="14.28515625" style="4" customWidth="1"/>
    <col min="13" max="13" width="1.5703125" style="4" customWidth="1"/>
    <col min="14" max="14" width="9.140625" style="4"/>
    <col min="15" max="15" width="10.28515625" style="4" bestFit="1" customWidth="1"/>
    <col min="16" max="16" width="14" style="4" bestFit="1" customWidth="1"/>
    <col min="17" max="17" width="15" style="4" bestFit="1" customWidth="1"/>
    <col min="18" max="18" width="10.5703125" style="4" customWidth="1"/>
    <col min="19" max="19" width="14" style="4" bestFit="1" customWidth="1"/>
    <col min="20" max="20" width="11.85546875" style="4" customWidth="1"/>
    <col min="21" max="16384" width="9.140625" style="4"/>
  </cols>
  <sheetData>
    <row r="1" spans="2:19" ht="6" customHeight="1" x14ac:dyDescent="0.25"/>
    <row r="2" spans="2:19" x14ac:dyDescent="0.25">
      <c r="E2" s="5" t="s">
        <v>0</v>
      </c>
    </row>
    <row r="3" spans="2:19" x14ac:dyDescent="0.25">
      <c r="B3" s="6"/>
      <c r="C3" s="7"/>
      <c r="D3" s="6"/>
      <c r="E3" s="5" t="s">
        <v>2</v>
      </c>
      <c r="F3" s="6"/>
      <c r="G3" s="6"/>
      <c r="H3" s="6"/>
      <c r="I3" s="6"/>
      <c r="J3" s="6"/>
      <c r="K3" s="6"/>
      <c r="L3" s="6"/>
      <c r="M3" s="2"/>
    </row>
    <row r="4" spans="2:19" x14ac:dyDescent="0.25">
      <c r="B4" s="8"/>
      <c r="C4" s="9"/>
      <c r="D4" s="8"/>
      <c r="E4" s="6" t="s">
        <v>1</v>
      </c>
      <c r="F4" s="8"/>
      <c r="G4" s="8"/>
      <c r="H4" s="8"/>
      <c r="I4" s="8"/>
      <c r="J4" s="8"/>
      <c r="K4" s="8"/>
      <c r="L4" s="8"/>
      <c r="M4" s="8"/>
    </row>
    <row r="5" spans="2:19" x14ac:dyDescent="0.25">
      <c r="B5" s="8"/>
      <c r="C5" s="9"/>
      <c r="D5" s="8"/>
      <c r="E5" s="8" t="s">
        <v>3</v>
      </c>
      <c r="F5" s="8"/>
      <c r="G5" s="8"/>
      <c r="H5" s="8"/>
      <c r="I5" s="8"/>
      <c r="J5" s="8"/>
      <c r="K5" s="8"/>
      <c r="L5" s="8"/>
      <c r="M5" s="8"/>
    </row>
    <row r="6" spans="2:19" x14ac:dyDescent="0.25">
      <c r="B6" s="8"/>
      <c r="C6" s="9"/>
      <c r="D6" s="8"/>
      <c r="E6" s="8" t="s">
        <v>4</v>
      </c>
      <c r="F6" s="8"/>
      <c r="G6" s="8"/>
      <c r="H6" s="8"/>
      <c r="I6" s="8"/>
      <c r="J6" s="8"/>
      <c r="K6" s="8" t="s">
        <v>109</v>
      </c>
      <c r="M6" s="8"/>
      <c r="P6" s="10"/>
      <c r="Q6" s="11"/>
      <c r="R6" s="11"/>
      <c r="S6" s="11"/>
    </row>
    <row r="7" spans="2:19" x14ac:dyDescent="0.25">
      <c r="B7" s="8"/>
      <c r="C7" s="9"/>
      <c r="D7" s="8"/>
      <c r="E7" s="8"/>
      <c r="F7" s="8"/>
      <c r="G7" s="8"/>
      <c r="H7" s="8"/>
      <c r="I7" s="8"/>
      <c r="J7" s="8"/>
      <c r="K7" s="8"/>
      <c r="M7" s="8"/>
      <c r="P7" s="10"/>
      <c r="Q7" s="11"/>
      <c r="R7" s="11"/>
      <c r="S7" s="11"/>
    </row>
    <row r="8" spans="2:19" x14ac:dyDescent="0.25">
      <c r="B8" s="8"/>
      <c r="C8" s="9"/>
      <c r="D8" s="8"/>
      <c r="E8" s="8"/>
      <c r="F8" s="231" t="s">
        <v>142</v>
      </c>
      <c r="G8" s="232"/>
      <c r="H8" s="232"/>
      <c r="I8" s="232"/>
      <c r="J8" s="232"/>
      <c r="K8" s="232"/>
      <c r="L8" s="232"/>
      <c r="M8" s="8"/>
      <c r="P8" s="10"/>
      <c r="Q8" s="11"/>
      <c r="R8" s="11"/>
      <c r="S8" s="11"/>
    </row>
    <row r="9" spans="2:19" x14ac:dyDescent="0.25">
      <c r="B9" s="8"/>
      <c r="C9" s="9"/>
      <c r="D9" s="8"/>
      <c r="E9" s="8"/>
      <c r="F9" s="8"/>
      <c r="G9" s="8"/>
      <c r="H9" s="8" t="s">
        <v>6</v>
      </c>
      <c r="I9" s="8"/>
      <c r="J9" s="8"/>
      <c r="K9" s="8"/>
      <c r="M9" s="8"/>
      <c r="P9" s="10"/>
      <c r="Q9" s="11"/>
      <c r="R9" s="11"/>
      <c r="S9" s="11"/>
    </row>
    <row r="10" spans="2:19" x14ac:dyDescent="0.25">
      <c r="B10" s="8"/>
      <c r="C10" s="9"/>
      <c r="D10" s="8"/>
      <c r="E10" s="8"/>
      <c r="F10" s="8"/>
      <c r="G10" s="8"/>
      <c r="H10" s="8" t="s">
        <v>7</v>
      </c>
      <c r="I10" s="8"/>
      <c r="K10" s="8"/>
      <c r="L10" s="8" t="s">
        <v>10</v>
      </c>
      <c r="M10" s="8"/>
      <c r="P10" s="10"/>
      <c r="Q10" s="11"/>
      <c r="R10" s="11"/>
      <c r="S10" s="11"/>
    </row>
    <row r="11" spans="2:19" x14ac:dyDescent="0.25">
      <c r="B11" s="8"/>
      <c r="C11" s="9"/>
      <c r="D11" s="8"/>
      <c r="E11" s="8"/>
      <c r="F11" s="8"/>
      <c r="G11" s="8"/>
      <c r="H11" s="8" t="s">
        <v>8</v>
      </c>
      <c r="I11" s="8"/>
      <c r="J11" s="8" t="s">
        <v>9</v>
      </c>
      <c r="K11" s="8"/>
      <c r="L11" s="8" t="s">
        <v>8</v>
      </c>
      <c r="M11" s="8"/>
      <c r="P11" s="10"/>
      <c r="Q11" s="11"/>
      <c r="R11" s="11"/>
      <c r="S11" s="11"/>
    </row>
    <row r="12" spans="2:19" x14ac:dyDescent="0.25">
      <c r="B12" s="12" t="s">
        <v>141</v>
      </c>
      <c r="C12" s="231" t="s">
        <v>420</v>
      </c>
      <c r="D12" s="282"/>
      <c r="E12" s="282"/>
      <c r="F12" s="12" t="s">
        <v>136</v>
      </c>
      <c r="G12" s="8"/>
      <c r="H12" s="12" t="s">
        <v>134</v>
      </c>
      <c r="I12" s="8"/>
      <c r="J12" s="12" t="s">
        <v>7</v>
      </c>
      <c r="K12" s="8"/>
      <c r="L12" s="14" t="s">
        <v>134</v>
      </c>
      <c r="M12" s="8"/>
      <c r="P12" s="10"/>
      <c r="Q12" s="11"/>
      <c r="R12" s="11"/>
      <c r="S12" s="11"/>
    </row>
    <row r="13" spans="2:19" x14ac:dyDescent="0.25">
      <c r="B13" s="8"/>
      <c r="C13" s="9"/>
      <c r="D13" s="8"/>
      <c r="E13" s="8"/>
      <c r="F13" s="8"/>
      <c r="G13" s="8"/>
      <c r="H13" s="8"/>
      <c r="I13" s="8"/>
      <c r="J13" s="8"/>
      <c r="K13" s="8"/>
      <c r="L13" s="8"/>
      <c r="M13" s="8"/>
      <c r="P13" s="10"/>
      <c r="Q13" s="11"/>
      <c r="R13" s="11"/>
      <c r="S13" s="11"/>
    </row>
    <row r="14" spans="2:19" x14ac:dyDescent="0.25">
      <c r="B14" s="8"/>
      <c r="C14" s="9"/>
      <c r="D14" s="8"/>
      <c r="E14" s="8"/>
      <c r="F14" s="8"/>
      <c r="G14" s="8"/>
      <c r="H14" s="8"/>
      <c r="I14" s="8"/>
      <c r="J14" s="8"/>
      <c r="K14" s="8"/>
      <c r="M14" s="8"/>
      <c r="P14" s="10"/>
      <c r="Q14" s="11"/>
      <c r="R14" s="11"/>
      <c r="S14" s="11"/>
    </row>
    <row r="15" spans="2:19" x14ac:dyDescent="0.25">
      <c r="C15" s="9"/>
      <c r="D15" s="8"/>
      <c r="E15" s="9" t="s">
        <v>5</v>
      </c>
      <c r="F15" s="15"/>
      <c r="G15" s="15"/>
      <c r="H15" s="15"/>
      <c r="I15" s="15"/>
      <c r="J15" s="15"/>
      <c r="K15" s="15"/>
      <c r="L15" s="16">
        <v>1291</v>
      </c>
      <c r="M15" s="8"/>
      <c r="P15" s="10"/>
      <c r="Q15" s="11"/>
      <c r="R15" s="11"/>
      <c r="S15" s="11"/>
    </row>
    <row r="16" spans="2:19" x14ac:dyDescent="0.25">
      <c r="B16" s="8"/>
      <c r="C16" s="9"/>
      <c r="D16" s="8"/>
      <c r="E16" s="8"/>
      <c r="F16" s="15"/>
      <c r="G16" s="15"/>
      <c r="H16" s="17"/>
      <c r="I16" s="15"/>
      <c r="J16" s="17"/>
      <c r="K16" s="15"/>
      <c r="L16" s="18"/>
      <c r="M16" s="8"/>
      <c r="P16" s="10"/>
      <c r="Q16" s="11"/>
      <c r="R16" s="11"/>
      <c r="S16" s="11"/>
    </row>
    <row r="17" spans="1:17" ht="14.1" customHeight="1" x14ac:dyDescent="0.25">
      <c r="A17" s="19"/>
      <c r="B17" s="2">
        <v>1</v>
      </c>
      <c r="C17" s="3" t="s">
        <v>37</v>
      </c>
      <c r="F17" s="17" t="s">
        <v>135</v>
      </c>
      <c r="G17" s="20"/>
      <c r="H17" s="17">
        <f>'DND-5'!F17*'DND-12'!I16</f>
        <v>-84.702138744340218</v>
      </c>
      <c r="I17" s="20"/>
      <c r="J17" s="18">
        <v>1</v>
      </c>
      <c r="K17" s="18"/>
      <c r="L17" s="17">
        <f>H17*J17</f>
        <v>-84.702138744340218</v>
      </c>
      <c r="M17" s="2"/>
    </row>
    <row r="18" spans="1:17" ht="14.1" customHeight="1" x14ac:dyDescent="0.25">
      <c r="A18" s="19"/>
      <c r="F18" s="17"/>
      <c r="G18" s="20"/>
      <c r="H18" s="17"/>
      <c r="I18" s="20"/>
      <c r="J18" s="18"/>
      <c r="K18" s="18"/>
      <c r="L18" s="17"/>
      <c r="M18" s="2"/>
    </row>
    <row r="19" spans="1:17" ht="14.1" customHeight="1" x14ac:dyDescent="0.25">
      <c r="A19" s="19"/>
      <c r="B19" s="2">
        <v>2</v>
      </c>
      <c r="C19" s="3" t="s">
        <v>128</v>
      </c>
      <c r="F19" s="17" t="s">
        <v>135</v>
      </c>
      <c r="G19" s="20"/>
      <c r="H19" s="17">
        <f>'DND-5'!F19*'DND-12'!I16</f>
        <v>-10.921479207722951</v>
      </c>
      <c r="I19" s="20"/>
      <c r="J19" s="18">
        <v>1</v>
      </c>
      <c r="K19" s="18"/>
      <c r="L19" s="17">
        <f>H19*J19</f>
        <v>-10.921479207722951</v>
      </c>
      <c r="M19" s="2"/>
    </row>
    <row r="20" spans="1:17" ht="14.1" customHeight="1" x14ac:dyDescent="0.25">
      <c r="A20" s="19"/>
      <c r="F20" s="17"/>
      <c r="G20" s="20"/>
      <c r="H20" s="17"/>
      <c r="I20" s="20"/>
      <c r="J20" s="18"/>
      <c r="K20" s="18"/>
      <c r="L20" s="17"/>
      <c r="M20" s="2"/>
    </row>
    <row r="21" spans="1:17" ht="14.1" customHeight="1" x14ac:dyDescent="0.25">
      <c r="A21" s="19"/>
      <c r="B21" s="2">
        <v>3</v>
      </c>
      <c r="C21" s="3" t="s">
        <v>129</v>
      </c>
      <c r="F21" s="17" t="s">
        <v>135</v>
      </c>
      <c r="G21" s="20"/>
      <c r="H21" s="17">
        <f>'DND-5'!F21*'DND-12'!I16</f>
        <v>-4.8539907589879778</v>
      </c>
      <c r="I21" s="20"/>
      <c r="J21" s="18">
        <v>1</v>
      </c>
      <c r="K21" s="18"/>
      <c r="L21" s="17">
        <f>H21*J21</f>
        <v>-4.8539907589879778</v>
      </c>
      <c r="M21" s="2"/>
    </row>
    <row r="22" spans="1:17" ht="14.1" customHeight="1" x14ac:dyDescent="0.25">
      <c r="A22" s="19"/>
      <c r="F22" s="17"/>
      <c r="G22" s="20"/>
      <c r="H22" s="17"/>
      <c r="I22" s="20"/>
      <c r="J22" s="18"/>
      <c r="K22" s="18"/>
      <c r="L22" s="17"/>
      <c r="M22" s="2"/>
    </row>
    <row r="23" spans="1:17" ht="14.1" customHeight="1" x14ac:dyDescent="0.25">
      <c r="A23" s="19"/>
      <c r="B23" s="2">
        <v>4</v>
      </c>
      <c r="C23" s="3" t="s">
        <v>54</v>
      </c>
      <c r="D23" s="21"/>
      <c r="F23" s="18" t="s">
        <v>138</v>
      </c>
      <c r="G23" s="20"/>
      <c r="H23" s="20">
        <f>-'DND-6'!F16/1000</f>
        <v>-341.78989300000018</v>
      </c>
      <c r="I23" s="20"/>
      <c r="J23" s="20">
        <v>1</v>
      </c>
      <c r="K23" s="20"/>
      <c r="L23" s="17">
        <f>H23*J23</f>
        <v>-341.78989300000018</v>
      </c>
      <c r="M23" s="2"/>
    </row>
    <row r="24" spans="1:17" ht="14.1" customHeight="1" x14ac:dyDescent="0.25">
      <c r="A24" s="19"/>
      <c r="F24" s="17"/>
      <c r="G24" s="20"/>
      <c r="H24" s="17"/>
      <c r="I24" s="20"/>
      <c r="J24" s="18"/>
      <c r="K24" s="18"/>
      <c r="L24" s="17"/>
      <c r="M24" s="2"/>
    </row>
    <row r="25" spans="1:17" ht="14.1" customHeight="1" x14ac:dyDescent="0.25">
      <c r="A25" s="19"/>
      <c r="B25" s="2">
        <v>5</v>
      </c>
      <c r="C25" s="3" t="s">
        <v>127</v>
      </c>
      <c r="F25" s="17" t="s">
        <v>140</v>
      </c>
      <c r="G25" s="20"/>
      <c r="H25" s="17">
        <f>'DND-7'!C45</f>
        <v>-3.2303630999999999</v>
      </c>
      <c r="I25" s="20"/>
      <c r="J25" s="18">
        <v>1</v>
      </c>
      <c r="K25" s="18"/>
      <c r="L25" s="17">
        <f>H25*J25</f>
        <v>-3.2303630999999999</v>
      </c>
      <c r="M25" s="2"/>
    </row>
    <row r="26" spans="1:17" ht="14.1" customHeight="1" x14ac:dyDescent="0.25">
      <c r="A26" s="19"/>
      <c r="F26" s="17"/>
      <c r="G26" s="20"/>
      <c r="H26" s="17"/>
      <c r="I26" s="20"/>
      <c r="J26" s="18"/>
      <c r="K26" s="18"/>
      <c r="L26" s="17"/>
      <c r="M26" s="2"/>
    </row>
    <row r="27" spans="1:17" ht="14.1" customHeight="1" x14ac:dyDescent="0.25">
      <c r="A27" s="19"/>
      <c r="B27" s="2">
        <v>6</v>
      </c>
      <c r="C27" s="3" t="s">
        <v>158</v>
      </c>
      <c r="F27" s="18" t="s">
        <v>159</v>
      </c>
      <c r="G27" s="20"/>
      <c r="H27" s="20">
        <f>[1]Implementation!K25</f>
        <v>-12.034704248530646</v>
      </c>
      <c r="I27" s="20"/>
      <c r="J27" s="20">
        <v>1</v>
      </c>
      <c r="K27" s="20"/>
      <c r="L27" s="17">
        <f>H27*J27</f>
        <v>-12.034704248530646</v>
      </c>
      <c r="M27" s="2"/>
    </row>
    <row r="28" spans="1:17" ht="14.1" customHeight="1" x14ac:dyDescent="0.25">
      <c r="B28" s="19"/>
      <c r="F28" s="20"/>
      <c r="G28" s="20"/>
      <c r="H28" s="20"/>
      <c r="I28" s="20"/>
      <c r="J28" s="20"/>
      <c r="K28" s="22"/>
      <c r="L28" s="20"/>
      <c r="M28" s="23"/>
      <c r="Q28" s="24"/>
    </row>
    <row r="29" spans="1:17" ht="14.1" customHeight="1" x14ac:dyDescent="0.25">
      <c r="B29" s="19">
        <v>7</v>
      </c>
      <c r="C29" s="3" t="s">
        <v>77</v>
      </c>
      <c r="F29" s="18" t="s">
        <v>161</v>
      </c>
      <c r="G29" s="25"/>
      <c r="H29" s="25">
        <f>'DND-9'!D22</f>
        <v>-42.413350000000001</v>
      </c>
      <c r="I29" s="20"/>
      <c r="J29" s="20">
        <v>1</v>
      </c>
      <c r="K29" s="26"/>
      <c r="L29" s="17">
        <f>H29*J29</f>
        <v>-42.413350000000001</v>
      </c>
      <c r="M29" s="2"/>
    </row>
    <row r="30" spans="1:17" ht="14.1" customHeight="1" x14ac:dyDescent="0.25">
      <c r="F30" s="18"/>
      <c r="G30" s="25"/>
      <c r="H30" s="25"/>
      <c r="I30" s="20"/>
      <c r="J30" s="20"/>
      <c r="K30" s="26"/>
      <c r="L30" s="18"/>
      <c r="M30" s="2"/>
    </row>
    <row r="31" spans="1:17" ht="14.1" customHeight="1" x14ac:dyDescent="0.25">
      <c r="B31" s="2">
        <v>8</v>
      </c>
      <c r="C31" s="3" t="s">
        <v>11</v>
      </c>
      <c r="F31" s="18" t="s">
        <v>163</v>
      </c>
      <c r="G31" s="20"/>
      <c r="H31" s="20">
        <f>'DND-10'!H40</f>
        <v>-89.411104699999996</v>
      </c>
      <c r="I31" s="20"/>
      <c r="J31" s="20">
        <v>1</v>
      </c>
      <c r="K31" s="20"/>
      <c r="L31" s="20">
        <f>H31*J31</f>
        <v>-89.411104699999996</v>
      </c>
      <c r="M31" s="2"/>
    </row>
    <row r="32" spans="1:17" ht="14.1" customHeight="1" x14ac:dyDescent="0.25">
      <c r="F32" s="20"/>
      <c r="G32" s="20"/>
      <c r="H32" s="20"/>
      <c r="I32" s="20"/>
      <c r="J32" s="20"/>
      <c r="K32" s="20"/>
      <c r="L32" s="20"/>
      <c r="M32" s="2"/>
    </row>
    <row r="33" spans="1:15" ht="14.1" customHeight="1" x14ac:dyDescent="0.25">
      <c r="B33" s="2">
        <v>9</v>
      </c>
      <c r="C33" s="3" t="s">
        <v>224</v>
      </c>
      <c r="F33" s="20" t="s">
        <v>167</v>
      </c>
      <c r="G33" s="20"/>
      <c r="H33" s="20">
        <f>'DND-11'!C61</f>
        <v>15.3749947173363</v>
      </c>
      <c r="I33" s="20"/>
      <c r="J33" s="20">
        <v>1</v>
      </c>
      <c r="K33" s="20"/>
      <c r="L33" s="20">
        <f>H33*J33</f>
        <v>15.3749947173363</v>
      </c>
      <c r="M33" s="2"/>
    </row>
    <row r="34" spans="1:15" ht="14.1" customHeight="1" x14ac:dyDescent="0.25">
      <c r="F34" s="20"/>
      <c r="G34" s="20"/>
      <c r="H34" s="20"/>
      <c r="I34" s="20"/>
      <c r="J34" s="20"/>
      <c r="K34" s="20"/>
      <c r="L34" s="20"/>
      <c r="M34" s="2"/>
    </row>
    <row r="35" spans="1:15" ht="14.1" customHeight="1" x14ac:dyDescent="0.25">
      <c r="B35" s="2">
        <v>10</v>
      </c>
      <c r="C35" s="3" t="s">
        <v>179</v>
      </c>
      <c r="F35" s="20" t="s">
        <v>173</v>
      </c>
      <c r="G35" s="20"/>
      <c r="H35" s="20">
        <f>'DND-5'!F23*('DND-12'!I16-'DND-12'!I28)*-1</f>
        <v>-54.125741482007093</v>
      </c>
      <c r="I35" s="20"/>
      <c r="J35" s="20">
        <v>1</v>
      </c>
      <c r="K35" s="20"/>
      <c r="L35" s="20">
        <f>H35*J35</f>
        <v>-54.125741482007093</v>
      </c>
      <c r="M35" s="2"/>
    </row>
    <row r="36" spans="1:15" ht="14.1" customHeight="1" x14ac:dyDescent="0.25">
      <c r="F36" s="20"/>
      <c r="G36" s="20"/>
      <c r="H36" s="20"/>
      <c r="I36" s="20"/>
      <c r="J36" s="20"/>
      <c r="K36" s="20"/>
      <c r="L36" s="20"/>
      <c r="M36" s="2"/>
    </row>
    <row r="37" spans="1:15" ht="33.75" customHeight="1" x14ac:dyDescent="0.25">
      <c r="B37" s="2">
        <v>11</v>
      </c>
      <c r="C37" s="233" t="s">
        <v>180</v>
      </c>
      <c r="D37" s="234"/>
      <c r="E37" s="234"/>
      <c r="F37" s="20" t="s">
        <v>173</v>
      </c>
      <c r="G37" s="20"/>
      <c r="H37" s="20">
        <f>'DND-5'!F23*('DND-12'!I41-'DND-12'!I28)</f>
        <v>-108.21412039706871</v>
      </c>
      <c r="I37" s="20"/>
      <c r="J37" s="20">
        <v>1</v>
      </c>
      <c r="K37" s="20"/>
      <c r="L37" s="20">
        <f>H37*J37</f>
        <v>-108.21412039706871</v>
      </c>
      <c r="M37" s="2"/>
    </row>
    <row r="38" spans="1:15" ht="21" customHeight="1" x14ac:dyDescent="0.25">
      <c r="C38" s="69"/>
      <c r="D38" s="1"/>
      <c r="E38" s="1"/>
      <c r="F38" s="20"/>
      <c r="G38" s="20"/>
      <c r="H38" s="20"/>
      <c r="I38" s="20"/>
      <c r="J38" s="20"/>
      <c r="K38" s="20"/>
      <c r="L38" s="20"/>
      <c r="M38" s="2"/>
    </row>
    <row r="39" spans="1:15" ht="33.75" customHeight="1" x14ac:dyDescent="0.25">
      <c r="B39" s="2">
        <v>12</v>
      </c>
      <c r="C39" s="233" t="s">
        <v>181</v>
      </c>
      <c r="D39" s="234"/>
      <c r="E39" s="234"/>
      <c r="F39" s="20" t="s">
        <v>173</v>
      </c>
      <c r="G39" s="20"/>
      <c r="H39" s="20">
        <f>'DND-5'!F23*('DND-12'!I54-'DND-12'!I41)</f>
        <v>-35.89626582278477</v>
      </c>
      <c r="I39" s="20"/>
      <c r="J39" s="20">
        <v>1</v>
      </c>
      <c r="K39" s="20"/>
      <c r="L39" s="27">
        <f>H39*J39</f>
        <v>-35.89626582278477</v>
      </c>
      <c r="M39" s="2"/>
    </row>
    <row r="40" spans="1:15" ht="14.1" customHeight="1" x14ac:dyDescent="0.25">
      <c r="M40" s="2"/>
    </row>
    <row r="42" spans="1:15" ht="14.1" customHeight="1" x14ac:dyDescent="0.25">
      <c r="B42" s="2">
        <v>13</v>
      </c>
      <c r="E42" s="4" t="s">
        <v>222</v>
      </c>
      <c r="L42" s="28">
        <f>SUM(L15:L39)</f>
        <v>518.78184325589393</v>
      </c>
      <c r="M42" s="2"/>
    </row>
    <row r="43" spans="1:15" ht="14.1" customHeight="1" x14ac:dyDescent="0.25">
      <c r="M43" s="2"/>
    </row>
    <row r="44" spans="1:15" ht="14.1" customHeight="1" x14ac:dyDescent="0.25">
      <c r="B44" s="2">
        <v>14</v>
      </c>
      <c r="C44" s="29" t="s">
        <v>405</v>
      </c>
      <c r="D44" s="30"/>
      <c r="E44" s="30"/>
      <c r="F44" s="31"/>
      <c r="G44" s="31"/>
      <c r="H44" s="31"/>
      <c r="I44" s="31"/>
      <c r="J44" s="31"/>
      <c r="K44" s="31"/>
      <c r="L44" s="192">
        <f>SUM(L15:L40)</f>
        <v>518.78184325589393</v>
      </c>
      <c r="M44" s="2"/>
    </row>
    <row r="45" spans="1:15" ht="14.1" customHeight="1" x14ac:dyDescent="0.25">
      <c r="C45" s="32"/>
      <c r="F45" s="20"/>
      <c r="G45" s="20"/>
      <c r="H45" s="20"/>
      <c r="I45" s="20"/>
      <c r="J45" s="20"/>
      <c r="K45" s="20"/>
      <c r="L45" s="197"/>
      <c r="M45" s="2"/>
    </row>
    <row r="46" spans="1:15" ht="14.1" customHeight="1" x14ac:dyDescent="0.25">
      <c r="B46" s="2">
        <v>15</v>
      </c>
      <c r="C46" s="32"/>
      <c r="E46" s="4" t="s">
        <v>131</v>
      </c>
      <c r="F46" s="20"/>
      <c r="G46" s="20"/>
      <c r="H46" s="20"/>
      <c r="I46" s="20"/>
      <c r="J46" s="20"/>
      <c r="K46" s="20"/>
      <c r="L46" s="197">
        <f>L44*'DND-6'!F28</f>
        <v>454.93961469800445</v>
      </c>
      <c r="M46" s="2"/>
      <c r="O46" s="50"/>
    </row>
    <row r="47" spans="1:15" ht="14.1" customHeight="1" x14ac:dyDescent="0.25">
      <c r="A47" s="19"/>
      <c r="B47" s="19">
        <v>16</v>
      </c>
      <c r="C47" s="33"/>
      <c r="D47" s="21"/>
      <c r="E47" s="21" t="s">
        <v>132</v>
      </c>
      <c r="F47" s="21"/>
      <c r="G47" s="21"/>
      <c r="H47" s="34"/>
      <c r="I47" s="21"/>
      <c r="K47" s="21"/>
      <c r="L47" s="193">
        <f>L48-L46</f>
        <v>63.842228557889484</v>
      </c>
      <c r="M47" s="2"/>
      <c r="N47" s="50"/>
    </row>
    <row r="48" spans="1:15" ht="14.1" customHeight="1" x14ac:dyDescent="0.25">
      <c r="A48" s="19"/>
      <c r="B48" s="19">
        <v>17</v>
      </c>
      <c r="C48" s="35"/>
      <c r="D48" s="36"/>
      <c r="E48" s="36" t="s">
        <v>133</v>
      </c>
      <c r="F48" s="36"/>
      <c r="G48" s="36"/>
      <c r="H48" s="37"/>
      <c r="I48" s="36"/>
      <c r="J48" s="38"/>
      <c r="K48" s="36"/>
      <c r="L48" s="193">
        <f>L44</f>
        <v>518.78184325589393</v>
      </c>
      <c r="M48" s="2"/>
    </row>
    <row r="49" spans="1:17" ht="6" customHeight="1" x14ac:dyDescent="0.25">
      <c r="A49" s="19"/>
      <c r="B49" s="19"/>
      <c r="M49" s="2"/>
    </row>
    <row r="50" spans="1:17" ht="16.5" customHeight="1" x14ac:dyDescent="0.25">
      <c r="A50" s="19"/>
      <c r="B50" s="19"/>
      <c r="M50" s="2"/>
    </row>
    <row r="51" spans="1:17" s="46" customFormat="1" ht="20.25" customHeight="1" x14ac:dyDescent="0.25">
      <c r="A51" s="39"/>
      <c r="B51" s="40"/>
      <c r="C51" s="41"/>
      <c r="D51" s="42"/>
      <c r="E51" s="42"/>
      <c r="F51" s="42"/>
      <c r="G51" s="42"/>
      <c r="H51" s="43"/>
      <c r="I51" s="42"/>
      <c r="J51" s="44"/>
      <c r="K51" s="42"/>
      <c r="L51" s="17"/>
      <c r="M51" s="45"/>
      <c r="P51" s="42"/>
    </row>
    <row r="52" spans="1:17" x14ac:dyDescent="0.25">
      <c r="B52" s="19"/>
      <c r="H52" s="47"/>
      <c r="J52" s="46"/>
      <c r="L52" s="48"/>
      <c r="M52" s="26"/>
    </row>
    <row r="53" spans="1:17" x14ac:dyDescent="0.25">
      <c r="H53" s="49"/>
      <c r="J53" s="46"/>
      <c r="L53" s="34"/>
      <c r="M53" s="26"/>
    </row>
    <row r="54" spans="1:17" x14ac:dyDescent="0.25">
      <c r="J54" s="46"/>
      <c r="L54" s="48"/>
      <c r="M54" s="26"/>
      <c r="P54" s="50"/>
      <c r="Q54" s="51"/>
    </row>
    <row r="55" spans="1:17" x14ac:dyDescent="0.25">
      <c r="H55" s="49"/>
      <c r="J55" s="46"/>
      <c r="L55" s="34"/>
      <c r="M55" s="21"/>
      <c r="P55" s="52"/>
      <c r="Q55" s="53"/>
    </row>
    <row r="56" spans="1:17" x14ac:dyDescent="0.25">
      <c r="J56" s="46"/>
      <c r="L56" s="54"/>
      <c r="M56" s="55"/>
      <c r="P56" s="51"/>
      <c r="Q56" s="51"/>
    </row>
    <row r="57" spans="1:17" x14ac:dyDescent="0.25">
      <c r="J57" s="46"/>
      <c r="L57" s="56"/>
      <c r="M57" s="55"/>
      <c r="P57" s="57"/>
    </row>
    <row r="58" spans="1:17" x14ac:dyDescent="0.25">
      <c r="H58" s="47"/>
      <c r="J58" s="46"/>
      <c r="L58" s="54"/>
      <c r="M58" s="55"/>
      <c r="P58" s="57"/>
    </row>
    <row r="59" spans="1:17" x14ac:dyDescent="0.25">
      <c r="L59" s="48"/>
      <c r="M59" s="55"/>
      <c r="P59" s="58"/>
    </row>
    <row r="60" spans="1:17" x14ac:dyDescent="0.25">
      <c r="L60" s="48"/>
      <c r="M60" s="55"/>
      <c r="P60" s="58"/>
    </row>
    <row r="61" spans="1:17" ht="12" customHeight="1" x14ac:dyDescent="0.25"/>
  </sheetData>
  <mergeCells count="4">
    <mergeCell ref="F8:L8"/>
    <mergeCell ref="C37:E37"/>
    <mergeCell ref="C39:E39"/>
    <mergeCell ref="C12:E12"/>
  </mergeCells>
  <pageMargins left="0.7" right="0.7" top="0.75" bottom="0.75" header="0.3" footer="0.3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2C662-8E77-48AB-827B-83EEF4E4CFE1}">
  <sheetPr>
    <pageSetUpPr fitToPage="1"/>
  </sheetPr>
  <dimension ref="A1:V67"/>
  <sheetViews>
    <sheetView workbookViewId="0">
      <selection activeCell="B9" sqref="B9"/>
    </sheetView>
  </sheetViews>
  <sheetFormatPr defaultRowHeight="15.95" customHeight="1" x14ac:dyDescent="0.25"/>
  <cols>
    <col min="1" max="1" width="10.42578125" style="19" customWidth="1"/>
    <col min="2" max="2" width="8.85546875" style="21" customWidth="1"/>
    <col min="3" max="3" width="48.85546875" style="21" bestFit="1" customWidth="1"/>
    <col min="4" max="4" width="10.28515625" style="19" customWidth="1"/>
    <col min="5" max="5" width="10" style="21" customWidth="1"/>
    <col min="6" max="6" width="24.42578125" style="66" bestFit="1" customWidth="1"/>
    <col min="7" max="7" width="4.140625" style="21" customWidth="1"/>
    <col min="8" max="8" width="22.7109375" style="21" bestFit="1" customWidth="1"/>
    <col min="9" max="9" width="4.7109375" style="21" customWidth="1"/>
    <col min="10" max="10" width="23.7109375" style="19" bestFit="1" customWidth="1"/>
    <col min="11" max="11" width="9.140625" style="21"/>
    <col min="12" max="12" width="11.140625" style="21" customWidth="1"/>
    <col min="13" max="13" width="11.7109375" style="21" bestFit="1" customWidth="1"/>
    <col min="14" max="14" width="9.140625" style="21"/>
    <col min="15" max="15" width="17.140625" style="21" customWidth="1"/>
    <col min="16" max="16" width="18.85546875" style="21" customWidth="1"/>
    <col min="17" max="17" width="3.85546875" style="21" customWidth="1"/>
    <col min="18" max="18" width="19" style="21" bestFit="1" customWidth="1"/>
    <col min="19" max="19" width="3.5703125" style="21" customWidth="1"/>
    <col min="20" max="20" width="12.28515625" style="21" bestFit="1" customWidth="1"/>
    <col min="21" max="21" width="3.5703125" style="21" customWidth="1"/>
    <col min="22" max="22" width="14" style="21" bestFit="1" customWidth="1"/>
    <col min="23" max="16384" width="9.140625" style="21"/>
  </cols>
  <sheetData>
    <row r="1" spans="1:13" ht="15.95" customHeight="1" x14ac:dyDescent="0.25">
      <c r="A1" s="8"/>
      <c r="B1" s="8"/>
      <c r="C1" s="8"/>
      <c r="D1" s="8"/>
      <c r="E1" s="8"/>
      <c r="F1" s="64"/>
      <c r="G1" s="8"/>
      <c r="H1" s="8"/>
      <c r="I1" s="8"/>
      <c r="J1" s="8"/>
      <c r="K1" s="8"/>
      <c r="L1" s="8"/>
      <c r="M1" s="8"/>
    </row>
    <row r="2" spans="1:13" ht="15.95" customHeight="1" x14ac:dyDescent="0.25">
      <c r="A2" s="8"/>
      <c r="B2" s="8"/>
      <c r="C2" s="5" t="s">
        <v>55</v>
      </c>
      <c r="D2" s="8"/>
      <c r="E2" s="8"/>
      <c r="F2" s="64"/>
      <c r="G2" s="8"/>
      <c r="H2" s="8"/>
      <c r="I2" s="8"/>
      <c r="J2" s="8"/>
      <c r="K2" s="8"/>
      <c r="L2" s="8"/>
      <c r="M2" s="8"/>
    </row>
    <row r="3" spans="1:13" ht="15.95" customHeight="1" x14ac:dyDescent="0.25">
      <c r="A3" s="8"/>
      <c r="B3" s="8"/>
      <c r="C3" s="5" t="s">
        <v>375</v>
      </c>
      <c r="D3" s="8"/>
      <c r="E3" s="8"/>
      <c r="F3" s="64"/>
      <c r="G3" s="8" t="s">
        <v>110</v>
      </c>
      <c r="H3" s="8"/>
      <c r="I3" s="8"/>
      <c r="J3" s="8"/>
      <c r="K3" s="8"/>
      <c r="L3" s="8"/>
      <c r="M3" s="8"/>
    </row>
    <row r="4" spans="1:13" ht="15.95" customHeight="1" x14ac:dyDescent="0.25">
      <c r="A4" s="8"/>
      <c r="B4" s="8"/>
      <c r="C4" s="6" t="s">
        <v>1</v>
      </c>
      <c r="D4" s="8"/>
      <c r="E4" s="8"/>
      <c r="F4" s="64"/>
      <c r="G4" s="8"/>
      <c r="H4" s="8"/>
      <c r="I4" s="8"/>
      <c r="J4" s="8"/>
      <c r="K4" s="8"/>
      <c r="L4" s="8"/>
      <c r="M4" s="8"/>
    </row>
    <row r="5" spans="1:13" ht="15.95" customHeight="1" x14ac:dyDescent="0.25">
      <c r="A5" s="8"/>
      <c r="B5" s="8"/>
      <c r="C5" s="8" t="s">
        <v>3</v>
      </c>
      <c r="D5" s="8"/>
      <c r="E5" s="8"/>
      <c r="F5" s="64"/>
      <c r="G5" s="8"/>
      <c r="H5" s="8"/>
      <c r="I5" s="8"/>
      <c r="J5" s="8"/>
      <c r="K5" s="8"/>
      <c r="L5" s="8"/>
      <c r="M5" s="8"/>
    </row>
    <row r="6" spans="1:13" ht="15.95" customHeight="1" x14ac:dyDescent="0.25">
      <c r="A6" s="8"/>
      <c r="B6" s="8"/>
      <c r="C6" s="8" t="s">
        <v>4</v>
      </c>
      <c r="D6" s="8"/>
      <c r="E6" s="8"/>
      <c r="F6" s="21"/>
      <c r="G6" s="8"/>
      <c r="H6" s="8"/>
      <c r="I6" s="8"/>
      <c r="J6" s="8"/>
      <c r="K6" s="8"/>
      <c r="L6" s="8"/>
      <c r="M6" s="8"/>
    </row>
    <row r="7" spans="1:13" ht="15.95" customHeight="1" x14ac:dyDescent="0.25">
      <c r="A7" s="8"/>
      <c r="B7" s="8"/>
      <c r="C7" s="8"/>
      <c r="D7" s="8"/>
      <c r="E7" s="8"/>
      <c r="F7" s="21"/>
      <c r="G7" s="8"/>
      <c r="H7" s="8"/>
      <c r="I7" s="8"/>
      <c r="J7" s="8"/>
      <c r="K7" s="8"/>
      <c r="L7" s="8"/>
      <c r="M7" s="8"/>
    </row>
    <row r="8" spans="1:13" ht="15.95" customHeight="1" x14ac:dyDescent="0.25">
      <c r="A8" s="8"/>
      <c r="B8" s="8"/>
      <c r="C8" s="8"/>
      <c r="D8" s="8"/>
      <c r="E8" s="8"/>
      <c r="F8" s="204" t="s">
        <v>87</v>
      </c>
      <c r="G8" s="8"/>
      <c r="H8" s="8"/>
      <c r="I8" s="8"/>
      <c r="J8" s="8"/>
      <c r="K8" s="8"/>
      <c r="L8" s="8"/>
      <c r="M8" s="8"/>
    </row>
    <row r="9" spans="1:13" ht="15.95" customHeight="1" x14ac:dyDescent="0.25">
      <c r="A9" s="12" t="s">
        <v>13</v>
      </c>
      <c r="B9" s="12" t="s">
        <v>141</v>
      </c>
      <c r="C9" s="12" t="s">
        <v>14</v>
      </c>
      <c r="D9" s="12" t="s">
        <v>40</v>
      </c>
      <c r="E9" s="12" t="s">
        <v>8</v>
      </c>
      <c r="F9" s="204" t="s">
        <v>33</v>
      </c>
      <c r="G9" s="12"/>
      <c r="H9" s="12" t="s">
        <v>42</v>
      </c>
      <c r="I9" s="8"/>
      <c r="J9" s="8"/>
      <c r="K9" s="8"/>
      <c r="L9" s="8"/>
      <c r="M9" s="8"/>
    </row>
    <row r="10" spans="1:13" ht="15.95" customHeight="1" x14ac:dyDescent="0.25">
      <c r="C10" s="19"/>
      <c r="F10" s="65"/>
      <c r="H10" s="19"/>
    </row>
    <row r="12" spans="1:13" ht="15.95" customHeight="1" x14ac:dyDescent="0.25">
      <c r="A12" s="19">
        <v>1</v>
      </c>
      <c r="C12" s="21" t="s">
        <v>32</v>
      </c>
      <c r="F12" s="55">
        <v>6388</v>
      </c>
    </row>
    <row r="13" spans="1:13" ht="15.95" customHeight="1" x14ac:dyDescent="0.25">
      <c r="C13" s="8"/>
    </row>
    <row r="14" spans="1:13" ht="15.95" customHeight="1" x14ac:dyDescent="0.25">
      <c r="A14" s="19">
        <v>2</v>
      </c>
      <c r="B14" s="19">
        <v>1</v>
      </c>
      <c r="C14" s="21" t="s">
        <v>34</v>
      </c>
    </row>
    <row r="15" spans="1:13" ht="15.95" customHeight="1" x14ac:dyDescent="0.25">
      <c r="A15" s="19">
        <v>3</v>
      </c>
      <c r="B15" s="19"/>
      <c r="C15" s="67" t="s">
        <v>35</v>
      </c>
      <c r="E15" s="66">
        <v>-608</v>
      </c>
      <c r="F15" s="55"/>
      <c r="H15" s="21" t="s">
        <v>111</v>
      </c>
    </row>
    <row r="16" spans="1:13" ht="15.95" customHeight="1" x14ac:dyDescent="0.25">
      <c r="A16" s="19">
        <v>4</v>
      </c>
      <c r="B16" s="19"/>
      <c r="C16" s="67" t="s">
        <v>36</v>
      </c>
      <c r="E16" s="70">
        <v>-90</v>
      </c>
    </row>
    <row r="17" spans="1:8" ht="15.95" customHeight="1" x14ac:dyDescent="0.25">
      <c r="A17" s="19">
        <v>5</v>
      </c>
      <c r="B17" s="19"/>
      <c r="C17" s="67" t="s">
        <v>39</v>
      </c>
      <c r="F17" s="66">
        <f>E15+E16</f>
        <v>-698</v>
      </c>
    </row>
    <row r="18" spans="1:8" ht="15.95" customHeight="1" x14ac:dyDescent="0.25">
      <c r="B18" s="19"/>
      <c r="H18" s="68"/>
    </row>
    <row r="19" spans="1:8" ht="15.95" customHeight="1" x14ac:dyDescent="0.25">
      <c r="A19" s="19">
        <v>6</v>
      </c>
      <c r="B19" s="19">
        <v>2</v>
      </c>
      <c r="C19" s="21" t="s">
        <v>38</v>
      </c>
      <c r="D19" s="19">
        <v>114</v>
      </c>
      <c r="F19" s="66">
        <v>-90</v>
      </c>
      <c r="H19" s="21" t="s">
        <v>112</v>
      </c>
    </row>
    <row r="20" spans="1:8" ht="15.95" customHeight="1" x14ac:dyDescent="0.25">
      <c r="B20" s="19"/>
      <c r="F20" s="55"/>
    </row>
    <row r="21" spans="1:8" ht="15.95" customHeight="1" x14ac:dyDescent="0.25">
      <c r="A21" s="19">
        <v>7</v>
      </c>
      <c r="B21" s="19">
        <v>3</v>
      </c>
      <c r="C21" s="69" t="s">
        <v>41</v>
      </c>
      <c r="D21" s="19">
        <v>352</v>
      </c>
      <c r="F21" s="70">
        <v>-40</v>
      </c>
      <c r="H21" s="55"/>
    </row>
    <row r="22" spans="1:8" ht="15.95" customHeight="1" x14ac:dyDescent="0.25">
      <c r="F22" s="55"/>
      <c r="H22" s="55"/>
    </row>
    <row r="23" spans="1:8" ht="15.95" customHeight="1" x14ac:dyDescent="0.25">
      <c r="A23" s="19">
        <v>8</v>
      </c>
      <c r="B23" s="19">
        <v>4</v>
      </c>
      <c r="C23" s="21" t="s">
        <v>130</v>
      </c>
      <c r="F23" s="66">
        <f>SUM(F12:F21)</f>
        <v>5560</v>
      </c>
      <c r="H23" s="55"/>
    </row>
    <row r="24" spans="1:8" ht="15.95" customHeight="1" x14ac:dyDescent="0.25">
      <c r="H24" s="55"/>
    </row>
    <row r="25" spans="1:8" ht="15.95" customHeight="1" x14ac:dyDescent="0.25">
      <c r="H25" s="55"/>
    </row>
    <row r="26" spans="1:8" ht="15.95" customHeight="1" x14ac:dyDescent="0.25">
      <c r="F26" s="55"/>
    </row>
    <row r="27" spans="1:8" ht="15.95" customHeight="1" x14ac:dyDescent="0.25">
      <c r="F27" s="55"/>
    </row>
    <row r="28" spans="1:8" ht="15.95" customHeight="1" x14ac:dyDescent="0.25">
      <c r="F28" s="55"/>
      <c r="H28" s="68"/>
    </row>
    <row r="29" spans="1:8" ht="15.95" customHeight="1" x14ac:dyDescent="0.25">
      <c r="F29" s="55"/>
      <c r="H29" s="68"/>
    </row>
    <row r="30" spans="1:8" ht="15.95" customHeight="1" x14ac:dyDescent="0.25">
      <c r="F30" s="55"/>
    </row>
    <row r="31" spans="1:8" ht="15.95" customHeight="1" x14ac:dyDescent="0.25">
      <c r="H31" s="55"/>
    </row>
    <row r="32" spans="1:8" ht="15.95" customHeight="1" x14ac:dyDescent="0.25">
      <c r="H32" s="55"/>
    </row>
    <row r="33" spans="3:8" ht="15.95" customHeight="1" x14ac:dyDescent="0.25">
      <c r="C33" s="8"/>
    </row>
    <row r="35" spans="3:8" ht="15.95" customHeight="1" x14ac:dyDescent="0.25">
      <c r="F35" s="55"/>
    </row>
    <row r="37" spans="3:8" ht="15.95" customHeight="1" x14ac:dyDescent="0.25">
      <c r="F37" s="55"/>
    </row>
    <row r="39" spans="3:8" ht="15.95" customHeight="1" x14ac:dyDescent="0.25">
      <c r="H39" s="68"/>
    </row>
    <row r="40" spans="3:8" ht="15.95" customHeight="1" x14ac:dyDescent="0.25">
      <c r="H40" s="68"/>
    </row>
    <row r="41" spans="3:8" ht="15.95" customHeight="1" x14ac:dyDescent="0.25">
      <c r="F41" s="55"/>
      <c r="H41" s="68"/>
    </row>
    <row r="42" spans="3:8" ht="15.95" customHeight="1" x14ac:dyDescent="0.25">
      <c r="H42" s="68"/>
    </row>
    <row r="43" spans="3:8" ht="15.95" customHeight="1" x14ac:dyDescent="0.25">
      <c r="H43" s="68"/>
    </row>
    <row r="45" spans="3:8" ht="15.95" customHeight="1" x14ac:dyDescent="0.25">
      <c r="F45" s="55"/>
      <c r="H45" s="68"/>
    </row>
    <row r="46" spans="3:8" ht="15.95" customHeight="1" x14ac:dyDescent="0.25">
      <c r="F46" s="55"/>
      <c r="H46" s="68"/>
    </row>
    <row r="47" spans="3:8" ht="15.95" customHeight="1" x14ac:dyDescent="0.25">
      <c r="F47" s="55"/>
      <c r="H47" s="68"/>
    </row>
    <row r="48" spans="3:8" ht="15.95" customHeight="1" x14ac:dyDescent="0.25">
      <c r="F48" s="55"/>
      <c r="H48" s="68"/>
    </row>
    <row r="49" spans="6:22" ht="15.95" customHeight="1" x14ac:dyDescent="0.25">
      <c r="F49" s="55"/>
      <c r="H49" s="68"/>
    </row>
    <row r="51" spans="6:22" ht="15.95" customHeight="1" x14ac:dyDescent="0.25">
      <c r="R51" s="8"/>
      <c r="S51" s="8"/>
      <c r="T51" s="8"/>
      <c r="U51" s="8"/>
    </row>
    <row r="52" spans="6:22" ht="15.95" customHeight="1" x14ac:dyDescent="0.25">
      <c r="P52" s="8"/>
      <c r="Q52" s="8"/>
      <c r="R52" s="8"/>
      <c r="S52" s="8"/>
      <c r="T52" s="8"/>
      <c r="U52" s="8"/>
      <c r="V52" s="8"/>
    </row>
    <row r="53" spans="6:22" ht="15.95" customHeight="1" x14ac:dyDescent="0.25">
      <c r="F53" s="55"/>
      <c r="H53" s="68"/>
    </row>
    <row r="54" spans="6:22" ht="15.95" customHeight="1" x14ac:dyDescent="0.25">
      <c r="F54" s="55"/>
      <c r="H54" s="68"/>
      <c r="R54" s="19"/>
      <c r="S54" s="19"/>
      <c r="T54" s="19"/>
      <c r="V54" s="19"/>
    </row>
    <row r="55" spans="6:22" ht="15.95" customHeight="1" x14ac:dyDescent="0.25">
      <c r="F55" s="55"/>
      <c r="H55" s="68"/>
      <c r="P55" s="71"/>
      <c r="R55" s="55"/>
      <c r="S55" s="55"/>
      <c r="U55" s="55"/>
      <c r="V55" s="55"/>
    </row>
    <row r="56" spans="6:22" ht="15.95" customHeight="1" x14ac:dyDescent="0.25">
      <c r="F56" s="55"/>
      <c r="H56" s="68"/>
      <c r="P56" s="71"/>
      <c r="R56" s="55"/>
      <c r="S56" s="55"/>
      <c r="T56" s="55"/>
      <c r="U56" s="55"/>
      <c r="V56" s="55"/>
    </row>
    <row r="57" spans="6:22" ht="15.95" customHeight="1" x14ac:dyDescent="0.25">
      <c r="F57" s="55"/>
      <c r="H57" s="68"/>
      <c r="P57" s="71"/>
      <c r="R57" s="55"/>
      <c r="S57" s="55"/>
      <c r="T57" s="55"/>
      <c r="U57" s="55"/>
      <c r="V57" s="55"/>
    </row>
    <row r="58" spans="6:22" ht="15.95" customHeight="1" x14ac:dyDescent="0.25">
      <c r="H58" s="68"/>
    </row>
    <row r="59" spans="6:22" ht="15.95" customHeight="1" x14ac:dyDescent="0.25">
      <c r="H59" s="68"/>
      <c r="R59" s="68"/>
      <c r="T59" s="68"/>
      <c r="V59" s="68"/>
    </row>
    <row r="60" spans="6:22" ht="15.95" customHeight="1" x14ac:dyDescent="0.25">
      <c r="H60" s="68"/>
    </row>
    <row r="61" spans="6:22" ht="15.95" customHeight="1" x14ac:dyDescent="0.25">
      <c r="H61" s="68"/>
    </row>
    <row r="67" spans="6:10" ht="15.95" customHeight="1" x14ac:dyDescent="0.25">
      <c r="F67" s="64"/>
      <c r="G67" s="8"/>
      <c r="H67" s="8"/>
      <c r="J67" s="21"/>
    </row>
  </sheetData>
  <pageMargins left="0.7" right="0.7" top="0.75" bottom="0.75" header="0.3" footer="0.3"/>
  <pageSetup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0D8A1-387F-4A3E-9626-7D680FCC770B}">
  <sheetPr>
    <pageSetUpPr fitToPage="1"/>
  </sheetPr>
  <dimension ref="A1:W69"/>
  <sheetViews>
    <sheetView topLeftCell="A4" workbookViewId="0">
      <selection activeCell="F28" sqref="F28"/>
    </sheetView>
  </sheetViews>
  <sheetFormatPr defaultRowHeight="15.75" x14ac:dyDescent="0.25"/>
  <cols>
    <col min="1" max="1" width="4.5703125" style="19" customWidth="1"/>
    <col min="2" max="2" width="8.85546875" style="21" customWidth="1"/>
    <col min="3" max="3" width="4.28515625" style="21" customWidth="1"/>
    <col min="4" max="4" width="48.85546875" style="21" bestFit="1" customWidth="1"/>
    <col min="5" max="5" width="4.85546875" style="21" customWidth="1"/>
    <col min="6" max="6" width="14.140625" style="21" customWidth="1"/>
    <col min="7" max="7" width="3.140625" style="66" customWidth="1"/>
    <col min="8" max="8" width="32.5703125" style="73" customWidth="1"/>
    <col min="9" max="9" width="17.5703125" style="21" bestFit="1" customWidth="1"/>
    <col min="10" max="10" width="4.7109375" style="21" customWidth="1"/>
    <col min="11" max="11" width="23.7109375" style="19" bestFit="1" customWidth="1"/>
    <col min="12" max="12" width="9.140625" style="21"/>
    <col min="13" max="13" width="11.140625" style="21" customWidth="1"/>
    <col min="14" max="14" width="11.7109375" style="21" bestFit="1" customWidth="1"/>
    <col min="15" max="15" width="9.140625" style="21"/>
    <col min="16" max="16" width="17.140625" style="21" customWidth="1"/>
    <col min="17" max="17" width="18.85546875" style="21" customWidth="1"/>
    <col min="18" max="18" width="3.85546875" style="21" customWidth="1"/>
    <col min="19" max="19" width="19" style="21" bestFit="1" customWidth="1"/>
    <col min="20" max="20" width="3.5703125" style="21" customWidth="1"/>
    <col min="21" max="21" width="12.28515625" style="21" bestFit="1" customWidth="1"/>
    <col min="22" max="22" width="3.5703125" style="21" customWidth="1"/>
    <col min="23" max="23" width="14" style="21" bestFit="1" customWidth="1"/>
    <col min="24" max="16384" width="9.140625" style="21"/>
  </cols>
  <sheetData>
    <row r="1" spans="1:14" x14ac:dyDescent="0.25">
      <c r="A1" s="8"/>
      <c r="B1" s="8"/>
      <c r="C1" s="8"/>
      <c r="D1" s="8"/>
      <c r="E1" s="8"/>
      <c r="F1" s="8"/>
      <c r="G1" s="64"/>
      <c r="H1" s="72"/>
      <c r="I1" s="8"/>
      <c r="J1" s="8"/>
      <c r="K1" s="8"/>
      <c r="L1" s="8"/>
      <c r="M1" s="8"/>
      <c r="N1" s="8"/>
    </row>
    <row r="2" spans="1:14" x14ac:dyDescent="0.25">
      <c r="A2" s="8"/>
      <c r="B2" s="8"/>
      <c r="C2" s="8"/>
      <c r="D2" s="5" t="s">
        <v>55</v>
      </c>
      <c r="E2" s="8"/>
      <c r="F2" s="8"/>
      <c r="G2" s="64"/>
      <c r="H2" s="72"/>
      <c r="I2" s="8"/>
      <c r="J2" s="8"/>
      <c r="K2" s="8"/>
      <c r="L2" s="8"/>
      <c r="M2" s="8"/>
      <c r="N2" s="8"/>
    </row>
    <row r="3" spans="1:14" x14ac:dyDescent="0.25">
      <c r="A3" s="8"/>
      <c r="B3" s="8"/>
      <c r="C3" s="8"/>
      <c r="D3" s="5" t="s">
        <v>383</v>
      </c>
      <c r="E3" s="8"/>
      <c r="F3" s="8"/>
      <c r="G3" s="64"/>
      <c r="H3" s="72"/>
      <c r="I3" s="8"/>
      <c r="J3" s="8"/>
      <c r="K3" s="8"/>
      <c r="L3" s="8"/>
      <c r="M3" s="8"/>
      <c r="N3" s="8"/>
    </row>
    <row r="4" spans="1:14" x14ac:dyDescent="0.25">
      <c r="A4" s="8"/>
      <c r="B4" s="8"/>
      <c r="C4" s="8"/>
      <c r="D4" s="5" t="s">
        <v>376</v>
      </c>
      <c r="E4" s="8"/>
      <c r="F4" s="8"/>
      <c r="G4" s="64"/>
      <c r="H4" s="72"/>
      <c r="I4" s="8"/>
      <c r="J4" s="8"/>
      <c r="K4" s="8"/>
      <c r="L4" s="8"/>
      <c r="M4" s="8"/>
      <c r="N4" s="8"/>
    </row>
    <row r="5" spans="1:14" x14ac:dyDescent="0.25">
      <c r="A5" s="8"/>
      <c r="B5" s="8"/>
      <c r="C5" s="8"/>
      <c r="D5" s="6" t="s">
        <v>1</v>
      </c>
      <c r="E5" s="8"/>
      <c r="F5" s="8"/>
      <c r="G5" s="64"/>
      <c r="H5" s="72"/>
      <c r="I5" s="8"/>
      <c r="J5" s="8"/>
      <c r="K5" s="8"/>
      <c r="L5" s="8"/>
      <c r="M5" s="8"/>
      <c r="N5" s="8"/>
    </row>
    <row r="6" spans="1:14" x14ac:dyDescent="0.25">
      <c r="A6" s="8"/>
      <c r="B6" s="8"/>
      <c r="C6" s="8"/>
      <c r="D6" s="8" t="s">
        <v>3</v>
      </c>
      <c r="E6" s="8"/>
      <c r="F6" s="8"/>
      <c r="G6" s="64"/>
      <c r="H6" s="72"/>
      <c r="I6" s="8"/>
      <c r="J6" s="8"/>
      <c r="K6" s="8"/>
      <c r="L6" s="8"/>
      <c r="M6" s="8"/>
      <c r="N6" s="8"/>
    </row>
    <row r="7" spans="1:14" x14ac:dyDescent="0.25">
      <c r="A7" s="8"/>
      <c r="B7" s="8"/>
      <c r="C7" s="8"/>
      <c r="D7" s="8" t="s">
        <v>4</v>
      </c>
      <c r="E7" s="8"/>
      <c r="F7" s="8"/>
      <c r="G7" s="64"/>
      <c r="I7" s="8"/>
      <c r="J7" s="8"/>
      <c r="K7" s="8"/>
      <c r="L7" s="8"/>
      <c r="M7" s="8"/>
      <c r="N7" s="8"/>
    </row>
    <row r="8" spans="1:14" x14ac:dyDescent="0.25">
      <c r="A8" s="8"/>
      <c r="B8" s="8"/>
      <c r="C8" s="8"/>
      <c r="D8" s="8"/>
      <c r="E8" s="8"/>
      <c r="F8" s="8"/>
      <c r="G8" s="64"/>
      <c r="H8" s="72" t="s">
        <v>137</v>
      </c>
      <c r="I8" s="8"/>
      <c r="J8" s="8"/>
      <c r="K8" s="8"/>
      <c r="L8" s="8"/>
      <c r="M8" s="8"/>
      <c r="N8" s="8"/>
    </row>
    <row r="9" spans="1:14" x14ac:dyDescent="0.25">
      <c r="D9" s="19"/>
      <c r="G9" s="65"/>
      <c r="I9" s="19"/>
    </row>
    <row r="10" spans="1:14" x14ac:dyDescent="0.25">
      <c r="B10" s="12" t="s">
        <v>13</v>
      </c>
      <c r="C10" s="8"/>
      <c r="D10" s="12" t="s">
        <v>14</v>
      </c>
      <c r="F10" s="12" t="s">
        <v>8</v>
      </c>
      <c r="H10" s="205" t="s">
        <v>42</v>
      </c>
    </row>
    <row r="11" spans="1:14" x14ac:dyDescent="0.25">
      <c r="B11" s="8"/>
      <c r="C11" s="8"/>
      <c r="G11" s="55"/>
    </row>
    <row r="12" spans="1:14" ht="63" x14ac:dyDescent="0.25">
      <c r="B12" s="8">
        <v>1</v>
      </c>
      <c r="C12" s="8"/>
      <c r="D12" s="74" t="s">
        <v>44</v>
      </c>
      <c r="E12" s="75"/>
      <c r="F12" s="206">
        <v>356034.24300000013</v>
      </c>
      <c r="G12" s="76"/>
      <c r="H12" s="77" t="s">
        <v>43</v>
      </c>
    </row>
    <row r="13" spans="1:14" x14ac:dyDescent="0.25">
      <c r="B13" s="8"/>
      <c r="C13" s="8"/>
      <c r="D13" s="78"/>
      <c r="E13" s="241"/>
      <c r="F13" s="241"/>
      <c r="G13" s="55"/>
      <c r="H13" s="79"/>
    </row>
    <row r="14" spans="1:14" x14ac:dyDescent="0.25">
      <c r="B14" s="8">
        <v>2</v>
      </c>
      <c r="C14" s="8"/>
      <c r="D14" s="78" t="s">
        <v>45</v>
      </c>
      <c r="E14" s="241"/>
      <c r="F14" s="243">
        <v>-14244.35</v>
      </c>
      <c r="G14" s="55"/>
      <c r="H14" s="79" t="s">
        <v>168</v>
      </c>
    </row>
    <row r="15" spans="1:14" x14ac:dyDescent="0.25">
      <c r="B15" s="8"/>
      <c r="C15" s="8"/>
      <c r="D15" s="78"/>
      <c r="E15" s="241"/>
      <c r="F15" s="241"/>
      <c r="G15" s="80"/>
      <c r="H15" s="79"/>
    </row>
    <row r="16" spans="1:14" x14ac:dyDescent="0.25">
      <c r="B16" s="8">
        <v>3</v>
      </c>
      <c r="C16" s="8"/>
      <c r="D16" s="245" t="s">
        <v>46</v>
      </c>
      <c r="E16" s="241"/>
      <c r="F16" s="244">
        <f>F12+F14</f>
        <v>341789.89300000016</v>
      </c>
      <c r="G16" s="55"/>
      <c r="H16" s="79"/>
    </row>
    <row r="17" spans="2:9" x14ac:dyDescent="0.25">
      <c r="B17" s="8">
        <v>4</v>
      </c>
      <c r="C17" s="8"/>
      <c r="D17" s="81" t="s">
        <v>404</v>
      </c>
      <c r="E17" s="82"/>
      <c r="F17" s="83">
        <f>F16/1000</f>
        <v>341.78989300000018</v>
      </c>
      <c r="G17" s="70"/>
      <c r="H17" s="85"/>
    </row>
    <row r="18" spans="2:9" x14ac:dyDescent="0.25">
      <c r="B18" s="8"/>
      <c r="C18" s="8"/>
      <c r="D18" s="86"/>
    </row>
    <row r="19" spans="2:9" ht="12" customHeight="1" x14ac:dyDescent="0.25">
      <c r="B19" s="8"/>
      <c r="C19" s="8"/>
      <c r="D19" s="73"/>
      <c r="I19" s="68"/>
    </row>
    <row r="20" spans="2:9" ht="14.1" customHeight="1" x14ac:dyDescent="0.25">
      <c r="B20" s="8"/>
      <c r="C20" s="8"/>
      <c r="D20" s="87" t="s">
        <v>47</v>
      </c>
    </row>
    <row r="21" spans="2:9" ht="14.1" customHeight="1" x14ac:dyDescent="0.25">
      <c r="B21" s="8"/>
      <c r="C21" s="8"/>
      <c r="D21" s="73"/>
      <c r="G21" s="55"/>
    </row>
    <row r="22" spans="2:9" ht="14.1" customHeight="1" x14ac:dyDescent="0.25">
      <c r="B22" s="8">
        <v>5</v>
      </c>
      <c r="C22" s="8"/>
      <c r="D22" s="88" t="s">
        <v>48</v>
      </c>
      <c r="E22" s="75"/>
      <c r="F22" s="89">
        <f>F16</f>
        <v>341789.89300000016</v>
      </c>
      <c r="H22" s="73" t="s">
        <v>52</v>
      </c>
      <c r="I22" s="55"/>
    </row>
    <row r="23" spans="2:9" ht="14.1" customHeight="1" x14ac:dyDescent="0.25">
      <c r="B23" s="8"/>
      <c r="C23" s="8"/>
      <c r="D23" s="90"/>
      <c r="F23" s="91"/>
      <c r="I23" s="55"/>
    </row>
    <row r="24" spans="2:9" ht="14.1" customHeight="1" x14ac:dyDescent="0.25">
      <c r="B24" s="8">
        <v>6</v>
      </c>
      <c r="C24" s="8"/>
      <c r="D24" s="92" t="s">
        <v>49</v>
      </c>
      <c r="F24" s="93">
        <v>2435594.21</v>
      </c>
      <c r="G24" s="55"/>
      <c r="H24" s="73" t="s">
        <v>53</v>
      </c>
      <c r="I24" s="55"/>
    </row>
    <row r="25" spans="2:9" ht="14.1" customHeight="1" x14ac:dyDescent="0.25">
      <c r="B25" s="8"/>
      <c r="C25" s="8"/>
      <c r="D25" s="92"/>
      <c r="F25" s="94"/>
      <c r="I25" s="55"/>
    </row>
    <row r="26" spans="2:9" ht="30" customHeight="1" x14ac:dyDescent="0.25">
      <c r="B26" s="8">
        <v>7</v>
      </c>
      <c r="C26" s="8"/>
      <c r="D26" s="78" t="s">
        <v>50</v>
      </c>
      <c r="F26" s="95">
        <f>F22/(F24+F22)</f>
        <v>0.12306180215794234</v>
      </c>
      <c r="H26" s="73" t="s">
        <v>411</v>
      </c>
      <c r="I26" s="55"/>
    </row>
    <row r="27" spans="2:9" ht="14.1" customHeight="1" x14ac:dyDescent="0.25">
      <c r="B27" s="8"/>
      <c r="C27" s="8"/>
      <c r="D27" s="92"/>
      <c r="F27" s="94"/>
      <c r="I27" s="55"/>
    </row>
    <row r="28" spans="2:9" ht="14.1" customHeight="1" x14ac:dyDescent="0.25">
      <c r="B28" s="8">
        <v>8</v>
      </c>
      <c r="C28" s="8"/>
      <c r="D28" s="96" t="s">
        <v>51</v>
      </c>
      <c r="E28" s="82"/>
      <c r="F28" s="97">
        <f>1-F26</f>
        <v>0.87693819784205762</v>
      </c>
      <c r="G28" s="55"/>
      <c r="H28" s="73" t="s">
        <v>412</v>
      </c>
    </row>
    <row r="29" spans="2:9" ht="14.1" customHeight="1" x14ac:dyDescent="0.25">
      <c r="B29" s="8"/>
      <c r="C29" s="8"/>
      <c r="G29" s="55"/>
    </row>
    <row r="30" spans="2:9" ht="14.1" customHeight="1" x14ac:dyDescent="0.25">
      <c r="G30" s="55"/>
      <c r="I30" s="68"/>
    </row>
    <row r="31" spans="2:9" ht="12.75" customHeight="1" x14ac:dyDescent="0.25">
      <c r="G31" s="55"/>
      <c r="I31" s="68"/>
    </row>
    <row r="32" spans="2:9" ht="12.75" customHeight="1" x14ac:dyDescent="0.25">
      <c r="G32" s="55"/>
    </row>
    <row r="33" spans="4:9" ht="12.75" customHeight="1" x14ac:dyDescent="0.25">
      <c r="I33" s="55"/>
    </row>
    <row r="34" spans="4:9" ht="12.75" customHeight="1" x14ac:dyDescent="0.25">
      <c r="I34" s="55"/>
    </row>
    <row r="35" spans="4:9" x14ac:dyDescent="0.25">
      <c r="D35" s="8"/>
    </row>
    <row r="37" spans="4:9" x14ac:dyDescent="0.25">
      <c r="G37" s="55"/>
    </row>
    <row r="39" spans="4:9" x14ac:dyDescent="0.25">
      <c r="G39" s="55"/>
    </row>
    <row r="41" spans="4:9" x14ac:dyDescent="0.25">
      <c r="I41" s="68"/>
    </row>
    <row r="42" spans="4:9" x14ac:dyDescent="0.25">
      <c r="I42" s="68"/>
    </row>
    <row r="43" spans="4:9" x14ac:dyDescent="0.25">
      <c r="G43" s="55"/>
      <c r="I43" s="68"/>
    </row>
    <row r="44" spans="4:9" x14ac:dyDescent="0.25">
      <c r="I44" s="68"/>
    </row>
    <row r="45" spans="4:9" x14ac:dyDescent="0.25">
      <c r="I45" s="68"/>
    </row>
    <row r="47" spans="4:9" x14ac:dyDescent="0.25">
      <c r="G47" s="55"/>
      <c r="I47" s="68"/>
    </row>
    <row r="48" spans="4:9" x14ac:dyDescent="0.25">
      <c r="G48" s="55"/>
      <c r="I48" s="68"/>
    </row>
    <row r="49" spans="7:23" x14ac:dyDescent="0.25">
      <c r="G49" s="55"/>
      <c r="I49" s="68"/>
    </row>
    <row r="50" spans="7:23" x14ac:dyDescent="0.25">
      <c r="G50" s="55"/>
      <c r="I50" s="68"/>
    </row>
    <row r="51" spans="7:23" x14ac:dyDescent="0.25">
      <c r="G51" s="55"/>
      <c r="I51" s="68"/>
    </row>
    <row r="53" spans="7:23" x14ac:dyDescent="0.25">
      <c r="S53" s="8"/>
      <c r="T53" s="8"/>
      <c r="U53" s="8"/>
      <c r="V53" s="8"/>
    </row>
    <row r="54" spans="7:23" x14ac:dyDescent="0.25">
      <c r="Q54" s="8"/>
      <c r="R54" s="8"/>
      <c r="S54" s="8"/>
      <c r="T54" s="8"/>
      <c r="U54" s="8"/>
      <c r="V54" s="8"/>
      <c r="W54" s="8"/>
    </row>
    <row r="55" spans="7:23" x14ac:dyDescent="0.25">
      <c r="G55" s="55"/>
      <c r="I55" s="68"/>
    </row>
    <row r="56" spans="7:23" x14ac:dyDescent="0.25">
      <c r="G56" s="55"/>
      <c r="I56" s="68"/>
      <c r="S56" s="19"/>
      <c r="T56" s="19"/>
      <c r="U56" s="19"/>
      <c r="W56" s="19"/>
    </row>
    <row r="57" spans="7:23" x14ac:dyDescent="0.25">
      <c r="G57" s="55"/>
      <c r="I57" s="68"/>
      <c r="Q57" s="71"/>
      <c r="S57" s="55"/>
      <c r="T57" s="55"/>
      <c r="V57" s="55"/>
      <c r="W57" s="55"/>
    </row>
    <row r="58" spans="7:23" x14ac:dyDescent="0.25">
      <c r="G58" s="55"/>
      <c r="I58" s="68"/>
      <c r="Q58" s="71"/>
      <c r="S58" s="55"/>
      <c r="T58" s="55"/>
      <c r="U58" s="55"/>
      <c r="V58" s="55"/>
      <c r="W58" s="55"/>
    </row>
    <row r="59" spans="7:23" x14ac:dyDescent="0.25">
      <c r="G59" s="55"/>
      <c r="I59" s="68"/>
      <c r="Q59" s="71"/>
      <c r="S59" s="55"/>
      <c r="T59" s="55"/>
      <c r="U59" s="55"/>
      <c r="V59" s="55"/>
      <c r="W59" s="55"/>
    </row>
    <row r="60" spans="7:23" x14ac:dyDescent="0.25">
      <c r="I60" s="68"/>
    </row>
    <row r="61" spans="7:23" x14ac:dyDescent="0.25">
      <c r="I61" s="68"/>
      <c r="S61" s="68"/>
      <c r="U61" s="68"/>
      <c r="W61" s="68"/>
    </row>
    <row r="62" spans="7:23" x14ac:dyDescent="0.25">
      <c r="I62" s="68"/>
    </row>
    <row r="63" spans="7:23" x14ac:dyDescent="0.25">
      <c r="I63" s="68"/>
    </row>
    <row r="69" spans="7:11" x14ac:dyDescent="0.25">
      <c r="G69" s="64"/>
      <c r="H69" s="72"/>
      <c r="I69" s="8"/>
      <c r="K69" s="21"/>
    </row>
  </sheetData>
  <pageMargins left="0.7" right="0.7" top="0.75" bottom="0.75" header="0.3" footer="0.3"/>
  <pageSetup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DC026-32E9-4E00-BAB8-054F7574979E}">
  <sheetPr>
    <pageSetUpPr fitToPage="1"/>
  </sheetPr>
  <dimension ref="A2:E48"/>
  <sheetViews>
    <sheetView topLeftCell="A7" workbookViewId="0">
      <selection activeCell="C4" sqref="C4"/>
    </sheetView>
  </sheetViews>
  <sheetFormatPr defaultRowHeight="15.75" x14ac:dyDescent="0.25"/>
  <cols>
    <col min="1" max="1" width="7.7109375" style="2" customWidth="1"/>
    <col min="2" max="2" width="46.7109375" style="4" customWidth="1"/>
    <col min="3" max="3" width="16.85546875" style="4" customWidth="1"/>
    <col min="4" max="4" width="4.140625" style="4" customWidth="1"/>
    <col min="5" max="5" width="30.7109375" style="4" bestFit="1" customWidth="1"/>
    <col min="6" max="16384" width="9.140625" style="4"/>
  </cols>
  <sheetData>
    <row r="2" spans="1:5" x14ac:dyDescent="0.25">
      <c r="C2" s="5" t="s">
        <v>55</v>
      </c>
    </row>
    <row r="3" spans="1:5" x14ac:dyDescent="0.25">
      <c r="C3" s="5" t="s">
        <v>382</v>
      </c>
    </row>
    <row r="4" spans="1:5" x14ac:dyDescent="0.25">
      <c r="C4" s="6" t="s">
        <v>1</v>
      </c>
    </row>
    <row r="5" spans="1:5" x14ac:dyDescent="0.25">
      <c r="C5" s="8" t="s">
        <v>3</v>
      </c>
    </row>
    <row r="6" spans="1:5" x14ac:dyDescent="0.25">
      <c r="C6" s="8" t="s">
        <v>4</v>
      </c>
    </row>
    <row r="7" spans="1:5" x14ac:dyDescent="0.25">
      <c r="E7" s="5" t="s">
        <v>139</v>
      </c>
    </row>
    <row r="9" spans="1:5" x14ac:dyDescent="0.25">
      <c r="A9" s="2" t="s">
        <v>155</v>
      </c>
      <c r="B9" s="98" t="s">
        <v>113</v>
      </c>
      <c r="C9" s="207" t="s">
        <v>8</v>
      </c>
      <c r="D9" s="5"/>
      <c r="E9" s="207" t="s">
        <v>42</v>
      </c>
    </row>
    <row r="10" spans="1:5" x14ac:dyDescent="0.25">
      <c r="B10" s="59"/>
      <c r="C10" s="99"/>
    </row>
    <row r="11" spans="1:5" x14ac:dyDescent="0.25">
      <c r="B11" s="4" t="s">
        <v>145</v>
      </c>
      <c r="C11" s="99">
        <v>5588</v>
      </c>
      <c r="E11" s="4" t="s">
        <v>115</v>
      </c>
    </row>
    <row r="12" spans="1:5" x14ac:dyDescent="0.25">
      <c r="B12" s="4" t="s">
        <v>146</v>
      </c>
      <c r="C12" s="99">
        <v>13865</v>
      </c>
      <c r="E12" s="2" t="s">
        <v>377</v>
      </c>
    </row>
    <row r="13" spans="1:5" x14ac:dyDescent="0.25">
      <c r="B13" s="4" t="s">
        <v>147</v>
      </c>
      <c r="C13" s="99">
        <v>2689</v>
      </c>
      <c r="E13" s="2" t="s">
        <v>377</v>
      </c>
    </row>
    <row r="14" spans="1:5" x14ac:dyDescent="0.25">
      <c r="B14" s="4" t="s">
        <v>148</v>
      </c>
      <c r="C14" s="99">
        <v>850</v>
      </c>
      <c r="E14" s="2" t="s">
        <v>377</v>
      </c>
    </row>
    <row r="15" spans="1:5" x14ac:dyDescent="0.25">
      <c r="B15" s="4" t="s">
        <v>149</v>
      </c>
      <c r="C15" s="99">
        <v>850</v>
      </c>
      <c r="E15" s="2" t="s">
        <v>377</v>
      </c>
    </row>
    <row r="16" spans="1:5" x14ac:dyDescent="0.25">
      <c r="B16" s="4" t="s">
        <v>150</v>
      </c>
      <c r="C16" s="99">
        <v>10248</v>
      </c>
      <c r="E16" s="2" t="s">
        <v>377</v>
      </c>
    </row>
    <row r="17" spans="1:5" x14ac:dyDescent="0.25">
      <c r="B17" s="4" t="s">
        <v>151</v>
      </c>
      <c r="C17" s="99">
        <v>2689</v>
      </c>
      <c r="E17" s="2" t="s">
        <v>377</v>
      </c>
    </row>
    <row r="18" spans="1:5" x14ac:dyDescent="0.25">
      <c r="B18" s="4" t="s">
        <v>152</v>
      </c>
      <c r="C18" s="99">
        <v>36863</v>
      </c>
      <c r="E18" s="2" t="s">
        <v>377</v>
      </c>
    </row>
    <row r="19" spans="1:5" x14ac:dyDescent="0.25">
      <c r="B19" s="4" t="s">
        <v>153</v>
      </c>
      <c r="C19" s="99">
        <v>16404</v>
      </c>
      <c r="E19" s="2" t="s">
        <v>377</v>
      </c>
    </row>
    <row r="20" spans="1:5" x14ac:dyDescent="0.25">
      <c r="B20" s="4" t="s">
        <v>154</v>
      </c>
      <c r="C20" s="100">
        <v>125</v>
      </c>
      <c r="E20" s="2" t="s">
        <v>377</v>
      </c>
    </row>
    <row r="21" spans="1:5" x14ac:dyDescent="0.25">
      <c r="B21" s="4" t="s">
        <v>39</v>
      </c>
      <c r="C21" s="99">
        <f>SUM(C11:C20)</f>
        <v>90171</v>
      </c>
    </row>
    <row r="23" spans="1:5" x14ac:dyDescent="0.25">
      <c r="B23" s="4" t="s">
        <v>114</v>
      </c>
      <c r="C23" s="101">
        <v>2.6100000000000002E-2</v>
      </c>
      <c r="E23" s="4" t="s">
        <v>116</v>
      </c>
    </row>
    <row r="25" spans="1:5" x14ac:dyDescent="0.25">
      <c r="B25" s="4" t="s">
        <v>10</v>
      </c>
      <c r="C25" s="63">
        <f>C21*C23</f>
        <v>2353.4630999999999</v>
      </c>
    </row>
    <row r="27" spans="1:5" x14ac:dyDescent="0.25">
      <c r="B27" s="4" t="s">
        <v>107</v>
      </c>
      <c r="C27" s="102">
        <f>-C25/1000</f>
        <v>-2.3534630999999999</v>
      </c>
    </row>
    <row r="29" spans="1:5" x14ac:dyDescent="0.25">
      <c r="A29" s="2" t="s">
        <v>156</v>
      </c>
      <c r="B29" s="59" t="s">
        <v>117</v>
      </c>
    </row>
    <row r="31" spans="1:5" x14ac:dyDescent="0.25">
      <c r="B31" s="4" t="s">
        <v>118</v>
      </c>
      <c r="C31" s="102">
        <v>15000</v>
      </c>
      <c r="E31" s="4" t="s">
        <v>121</v>
      </c>
    </row>
    <row r="32" spans="1:5" x14ac:dyDescent="0.25">
      <c r="B32" s="4" t="s">
        <v>119</v>
      </c>
      <c r="C32" s="102">
        <v>10000</v>
      </c>
      <c r="E32" s="2" t="s">
        <v>377</v>
      </c>
    </row>
    <row r="33" spans="2:5" x14ac:dyDescent="0.25">
      <c r="B33" s="4" t="s">
        <v>120</v>
      </c>
      <c r="C33" s="103">
        <v>14500</v>
      </c>
      <c r="E33" s="2" t="s">
        <v>377</v>
      </c>
    </row>
    <row r="35" spans="2:5" x14ac:dyDescent="0.25">
      <c r="B35" s="4" t="s">
        <v>39</v>
      </c>
      <c r="C35" s="58">
        <f>SUM(C31:C33)</f>
        <v>39500</v>
      </c>
    </row>
    <row r="37" spans="2:5" x14ac:dyDescent="0.25">
      <c r="B37" s="4" t="s">
        <v>122</v>
      </c>
      <c r="C37" s="101">
        <v>2.2200000000000001E-2</v>
      </c>
      <c r="E37" s="4" t="s">
        <v>123</v>
      </c>
    </row>
    <row r="39" spans="2:5" x14ac:dyDescent="0.25">
      <c r="B39" s="4" t="s">
        <v>124</v>
      </c>
      <c r="C39" s="63">
        <f>C35*C37</f>
        <v>876.90000000000009</v>
      </c>
    </row>
    <row r="41" spans="2:5" x14ac:dyDescent="0.25">
      <c r="B41" s="4" t="s">
        <v>125</v>
      </c>
      <c r="C41" s="103">
        <f>-C39/1000</f>
        <v>-0.87690000000000012</v>
      </c>
    </row>
    <row r="43" spans="2:5" x14ac:dyDescent="0.25">
      <c r="B43" s="4" t="s">
        <v>143</v>
      </c>
      <c r="C43" s="63">
        <f>C25+C39</f>
        <v>3230.3631</v>
      </c>
    </row>
    <row r="45" spans="2:5" ht="47.25" x14ac:dyDescent="0.25">
      <c r="B45" s="104" t="s">
        <v>144</v>
      </c>
      <c r="C45" s="58">
        <f>C27+C41</f>
        <v>-3.2303630999999999</v>
      </c>
    </row>
    <row r="48" spans="2:5" ht="63" x14ac:dyDescent="0.25">
      <c r="B48" s="104" t="s">
        <v>126</v>
      </c>
    </row>
  </sheetData>
  <pageMargins left="0.7" right="0.7" top="0.75" bottom="0.75" header="0.3" footer="0.3"/>
  <pageSetup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6B6B8-9BDC-4A6E-A0C2-DF12136E54AF}">
  <sheetPr>
    <pageSetUpPr fitToPage="1"/>
  </sheetPr>
  <dimension ref="B2:G26"/>
  <sheetViews>
    <sheetView workbookViewId="0">
      <selection activeCell="B22" sqref="B22"/>
    </sheetView>
  </sheetViews>
  <sheetFormatPr defaultRowHeight="15.75" x14ac:dyDescent="0.25"/>
  <cols>
    <col min="1" max="1" width="7" style="4" customWidth="1"/>
    <col min="2" max="2" width="25.28515625" style="4" bestFit="1" customWidth="1"/>
    <col min="3" max="3" width="16.5703125" style="4" bestFit="1" customWidth="1"/>
    <col min="4" max="4" width="16.5703125" style="4" customWidth="1"/>
    <col min="5" max="5" width="14.140625" style="4" bestFit="1" customWidth="1"/>
    <col min="6" max="6" width="16.5703125" style="4" bestFit="1" customWidth="1"/>
    <col min="7" max="7" width="24.28515625" style="4" bestFit="1" customWidth="1"/>
    <col min="8" max="8" width="15.5703125" style="4" bestFit="1" customWidth="1"/>
    <col min="9" max="9" width="15.140625" style="4" customWidth="1"/>
    <col min="10" max="10" width="21.85546875" style="4" bestFit="1" customWidth="1"/>
    <col min="11" max="16384" width="9.140625" style="4"/>
  </cols>
  <sheetData>
    <row r="2" spans="2:7" x14ac:dyDescent="0.25">
      <c r="C2" s="5" t="s">
        <v>55</v>
      </c>
    </row>
    <row r="3" spans="2:7" x14ac:dyDescent="0.25">
      <c r="C3" s="5" t="s">
        <v>381</v>
      </c>
    </row>
    <row r="4" spans="2:7" x14ac:dyDescent="0.25">
      <c r="C4" s="5" t="s">
        <v>379</v>
      </c>
    </row>
    <row r="5" spans="2:7" x14ac:dyDescent="0.25">
      <c r="C5" s="6" t="s">
        <v>1</v>
      </c>
    </row>
    <row r="6" spans="2:7" x14ac:dyDescent="0.25">
      <c r="C6" s="8" t="s">
        <v>3</v>
      </c>
      <c r="G6" s="59" t="s">
        <v>157</v>
      </c>
    </row>
    <row r="7" spans="2:7" x14ac:dyDescent="0.25">
      <c r="C7" s="8" t="s">
        <v>4</v>
      </c>
    </row>
    <row r="9" spans="2:7" x14ac:dyDescent="0.25">
      <c r="F9" s="5" t="s">
        <v>104</v>
      </c>
      <c r="G9" s="59" t="s">
        <v>105</v>
      </c>
    </row>
    <row r="10" spans="2:7" x14ac:dyDescent="0.25">
      <c r="B10" s="98" t="s">
        <v>14</v>
      </c>
      <c r="C10" s="98" t="s">
        <v>8</v>
      </c>
      <c r="D10" s="98" t="s">
        <v>99</v>
      </c>
      <c r="E10" s="98" t="s">
        <v>378</v>
      </c>
      <c r="F10" s="207" t="s">
        <v>408</v>
      </c>
      <c r="G10" s="98" t="s">
        <v>106</v>
      </c>
    </row>
    <row r="11" spans="2:7" x14ac:dyDescent="0.25">
      <c r="B11" s="59"/>
      <c r="C11" s="59"/>
      <c r="D11" s="59"/>
      <c r="E11" s="59"/>
      <c r="F11" s="59"/>
      <c r="G11" s="59"/>
    </row>
    <row r="12" spans="2:7" x14ac:dyDescent="0.25">
      <c r="B12" s="4" t="s">
        <v>100</v>
      </c>
      <c r="C12" s="60">
        <v>83333.33</v>
      </c>
      <c r="D12" s="4" t="s">
        <v>101</v>
      </c>
      <c r="E12" s="4" t="s">
        <v>102</v>
      </c>
      <c r="F12" s="61">
        <f>'[2]OHA Calc'!$F$11*'[2]OHA Calc'!$F$20</f>
        <v>5.0726280436607894E-2</v>
      </c>
      <c r="G12" s="60">
        <f>C12*F12</f>
        <v>4227.1898672963898</v>
      </c>
    </row>
    <row r="13" spans="2:7" x14ac:dyDescent="0.25">
      <c r="B13" s="4" t="s">
        <v>100</v>
      </c>
      <c r="C13" s="60">
        <v>83333.33</v>
      </c>
      <c r="D13" s="4" t="s">
        <v>101</v>
      </c>
      <c r="E13" s="4" t="s">
        <v>102</v>
      </c>
      <c r="F13" s="61">
        <f>'[2]OHA Calc'!$G$11*'[2]OHA Calc'!$G$20</f>
        <v>4.6845088161209067E-2</v>
      </c>
      <c r="G13" s="60">
        <f>C13*F13</f>
        <v>3903.7571906171283</v>
      </c>
    </row>
    <row r="14" spans="2:7" x14ac:dyDescent="0.25">
      <c r="B14" s="4" t="s">
        <v>100</v>
      </c>
      <c r="C14" s="60">
        <v>83333.33</v>
      </c>
      <c r="D14" s="4" t="s">
        <v>101</v>
      </c>
      <c r="E14" s="4" t="s">
        <v>102</v>
      </c>
      <c r="F14" s="61">
        <f>'[2]OHA Calc'!$G$11*'[2]OHA Calc'!$G$20</f>
        <v>4.6845088161209067E-2</v>
      </c>
      <c r="G14" s="62">
        <f>C14*F14</f>
        <v>3903.7571906171283</v>
      </c>
    </row>
    <row r="16" spans="2:7" x14ac:dyDescent="0.25">
      <c r="C16" s="4" t="s">
        <v>108</v>
      </c>
      <c r="G16" s="63">
        <f>SUM(G12:G14)</f>
        <v>12034.704248530647</v>
      </c>
    </row>
    <row r="17" spans="2:7" x14ac:dyDescent="0.25">
      <c r="C17" s="4" t="s">
        <v>107</v>
      </c>
      <c r="G17" s="63">
        <f>-G16/1000</f>
        <v>-12.034704248530646</v>
      </c>
    </row>
    <row r="21" spans="2:7" x14ac:dyDescent="0.25">
      <c r="B21" s="4" t="s">
        <v>103</v>
      </c>
    </row>
    <row r="22" spans="2:7" x14ac:dyDescent="0.25">
      <c r="B22" s="59" t="s">
        <v>160</v>
      </c>
    </row>
    <row r="24" spans="2:7" x14ac:dyDescent="0.25">
      <c r="B24" s="4" t="s">
        <v>409</v>
      </c>
    </row>
    <row r="26" spans="2:7" x14ac:dyDescent="0.25">
      <c r="C26" s="4" t="s">
        <v>410</v>
      </c>
    </row>
  </sheetData>
  <pageMargins left="0.7" right="0.7" top="0.75" bottom="0.75" header="0.3" footer="0.3"/>
  <pageSetup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B96F7-9FF6-4E02-B60F-393C3645C601}">
  <sheetPr>
    <pageSetUpPr fitToPage="1"/>
  </sheetPr>
  <dimension ref="A1:W71"/>
  <sheetViews>
    <sheetView workbookViewId="0">
      <selection activeCell="C10" sqref="C10:F10"/>
    </sheetView>
  </sheetViews>
  <sheetFormatPr defaultRowHeight="15.75" x14ac:dyDescent="0.25"/>
  <cols>
    <col min="1" max="1" width="3.28515625" style="19" customWidth="1"/>
    <col min="2" max="2" width="8.85546875" style="21" customWidth="1"/>
    <col min="3" max="3" width="48.85546875" style="21" bestFit="1" customWidth="1"/>
    <col min="4" max="4" width="14.28515625" style="145" customWidth="1"/>
    <col min="5" max="5" width="15.28515625" style="19" customWidth="1"/>
    <col min="6" max="6" width="25.140625" style="21" customWidth="1"/>
    <col min="7" max="7" width="3.140625" style="66" customWidth="1"/>
    <col min="8" max="8" width="11.85546875" style="73" bestFit="1" customWidth="1"/>
    <col min="9" max="9" width="17.5703125" style="21" bestFit="1" customWidth="1"/>
    <col min="10" max="10" width="4.7109375" style="21" customWidth="1"/>
    <col min="11" max="11" width="23.7109375" style="19" bestFit="1" customWidth="1"/>
    <col min="12" max="12" width="9.140625" style="21"/>
    <col min="13" max="13" width="11.140625" style="21" customWidth="1"/>
    <col min="14" max="14" width="11.7109375" style="21" bestFit="1" customWidth="1"/>
    <col min="15" max="15" width="9.140625" style="21"/>
    <col min="16" max="16" width="17.140625" style="21" customWidth="1"/>
    <col min="17" max="17" width="18.85546875" style="21" customWidth="1"/>
    <col min="18" max="18" width="3.85546875" style="21" customWidth="1"/>
    <col min="19" max="19" width="19" style="21" bestFit="1" customWidth="1"/>
    <col min="20" max="20" width="3.5703125" style="21" customWidth="1"/>
    <col min="21" max="21" width="12.28515625" style="21" bestFit="1" customWidth="1"/>
    <col min="22" max="22" width="3.5703125" style="21" customWidth="1"/>
    <col min="23" max="23" width="14" style="21" bestFit="1" customWidth="1"/>
    <col min="24" max="16384" width="9.140625" style="21"/>
  </cols>
  <sheetData>
    <row r="1" spans="1:14" x14ac:dyDescent="0.25">
      <c r="A1" s="8"/>
      <c r="B1" s="8"/>
      <c r="C1" s="8"/>
      <c r="D1" s="144"/>
      <c r="E1" s="8"/>
      <c r="F1" s="8"/>
      <c r="G1" s="64"/>
      <c r="H1" s="72"/>
      <c r="I1" s="8"/>
      <c r="J1" s="8"/>
      <c r="K1" s="8"/>
      <c r="L1" s="8"/>
      <c r="M1" s="8"/>
      <c r="N1" s="8"/>
    </row>
    <row r="2" spans="1:14" x14ac:dyDescent="0.25">
      <c r="A2" s="8"/>
      <c r="B2" s="8"/>
      <c r="C2" s="5"/>
      <c r="D2" s="144"/>
      <c r="E2" s="8"/>
      <c r="F2" s="8"/>
      <c r="G2" s="64"/>
      <c r="H2" s="72"/>
      <c r="I2" s="8"/>
      <c r="J2" s="8"/>
      <c r="K2" s="8"/>
      <c r="L2" s="8"/>
      <c r="M2" s="8"/>
      <c r="N2" s="8"/>
    </row>
    <row r="3" spans="1:14" x14ac:dyDescent="0.25">
      <c r="A3" s="8"/>
      <c r="B3" s="8"/>
      <c r="C3" s="5" t="s">
        <v>55</v>
      </c>
      <c r="D3" s="144"/>
      <c r="E3" s="8"/>
      <c r="F3" s="8"/>
      <c r="G3" s="64"/>
      <c r="H3" s="72"/>
      <c r="I3" s="8"/>
      <c r="J3" s="8"/>
      <c r="K3" s="8"/>
      <c r="L3" s="8"/>
      <c r="M3" s="8"/>
      <c r="N3" s="8"/>
    </row>
    <row r="4" spans="1:14" x14ac:dyDescent="0.25">
      <c r="A4" s="8"/>
      <c r="B4" s="8"/>
      <c r="C4" s="5" t="s">
        <v>78</v>
      </c>
      <c r="D4" s="144"/>
      <c r="E4" s="8"/>
      <c r="F4" s="8"/>
      <c r="G4" s="64"/>
      <c r="H4" s="72"/>
      <c r="I4" s="8"/>
      <c r="J4" s="8"/>
      <c r="K4" s="8"/>
      <c r="L4" s="8"/>
      <c r="M4" s="8"/>
      <c r="N4" s="8"/>
    </row>
    <row r="5" spans="1:14" x14ac:dyDescent="0.25">
      <c r="A5" s="8"/>
      <c r="B5" s="8"/>
      <c r="C5" s="6" t="s">
        <v>1</v>
      </c>
      <c r="D5" s="144"/>
      <c r="E5" s="8"/>
      <c r="F5" s="8"/>
      <c r="G5" s="64"/>
      <c r="H5" s="72"/>
      <c r="I5" s="8"/>
      <c r="J5" s="8"/>
      <c r="K5" s="8"/>
      <c r="L5" s="8"/>
      <c r="M5" s="8"/>
      <c r="N5" s="8"/>
    </row>
    <row r="6" spans="1:14" x14ac:dyDescent="0.25">
      <c r="A6" s="8"/>
      <c r="B6" s="8"/>
      <c r="C6" s="8" t="s">
        <v>3</v>
      </c>
      <c r="D6" s="144"/>
      <c r="E6" s="8"/>
      <c r="F6" s="8"/>
      <c r="G6" s="64"/>
      <c r="H6" s="72"/>
      <c r="I6" s="8"/>
      <c r="J6" s="8"/>
      <c r="K6" s="8"/>
      <c r="L6" s="8"/>
      <c r="M6" s="8"/>
      <c r="N6" s="8"/>
    </row>
    <row r="7" spans="1:14" x14ac:dyDescent="0.25">
      <c r="A7" s="8"/>
      <c r="B7" s="8"/>
      <c r="C7" s="8" t="s">
        <v>4</v>
      </c>
      <c r="D7" s="144"/>
      <c r="E7" s="8"/>
      <c r="F7" s="8"/>
      <c r="G7" s="64"/>
      <c r="H7" s="72"/>
      <c r="I7" s="8"/>
      <c r="J7" s="8"/>
      <c r="K7" s="8"/>
      <c r="L7" s="8"/>
      <c r="M7" s="8"/>
      <c r="N7" s="8"/>
    </row>
    <row r="8" spans="1:14" x14ac:dyDescent="0.25">
      <c r="C8" s="19"/>
      <c r="F8" s="8" t="s">
        <v>162</v>
      </c>
      <c r="G8" s="65"/>
      <c r="I8" s="19"/>
    </row>
    <row r="9" spans="1:14" x14ac:dyDescent="0.25">
      <c r="B9" s="8"/>
      <c r="D9" s="144"/>
      <c r="E9" s="8"/>
      <c r="F9" s="8"/>
      <c r="G9" s="55"/>
    </row>
    <row r="10" spans="1:14" x14ac:dyDescent="0.25">
      <c r="B10" s="8"/>
      <c r="C10" s="205" t="s">
        <v>14</v>
      </c>
      <c r="D10" s="204" t="s">
        <v>8</v>
      </c>
      <c r="E10" s="8"/>
      <c r="F10" s="204" t="s">
        <v>42</v>
      </c>
      <c r="G10" s="80"/>
    </row>
    <row r="11" spans="1:14" x14ac:dyDescent="0.25">
      <c r="B11" s="8"/>
      <c r="C11" s="86"/>
      <c r="D11" s="146"/>
      <c r="F11" s="147"/>
      <c r="G11" s="55"/>
    </row>
    <row r="12" spans="1:14" x14ac:dyDescent="0.25">
      <c r="B12" s="8"/>
      <c r="C12" s="86" t="s">
        <v>82</v>
      </c>
      <c r="D12" s="149">
        <f>'[3]Write Offs'!$C$22</f>
        <v>2528.65</v>
      </c>
      <c r="F12" s="148" t="s">
        <v>83</v>
      </c>
      <c r="G12" s="55"/>
    </row>
    <row r="13" spans="1:14" x14ac:dyDescent="0.25">
      <c r="B13" s="8"/>
      <c r="C13" s="86"/>
      <c r="D13" s="146"/>
      <c r="F13" s="148"/>
      <c r="G13" s="55"/>
    </row>
    <row r="14" spans="1:14" x14ac:dyDescent="0.25">
      <c r="B14" s="8"/>
      <c r="C14" s="71" t="s">
        <v>79</v>
      </c>
      <c r="D14" s="21"/>
      <c r="E14" s="146">
        <v>32027</v>
      </c>
      <c r="F14" s="148" t="s">
        <v>80</v>
      </c>
      <c r="G14" s="55"/>
    </row>
    <row r="15" spans="1:14" x14ac:dyDescent="0.25">
      <c r="B15" s="8"/>
      <c r="C15" s="86"/>
      <c r="D15" s="21"/>
      <c r="E15" s="146"/>
      <c r="F15" s="148"/>
      <c r="G15" s="80"/>
    </row>
    <row r="16" spans="1:14" x14ac:dyDescent="0.25">
      <c r="B16" s="8"/>
      <c r="C16" s="86" t="s">
        <v>81</v>
      </c>
      <c r="D16" s="21"/>
      <c r="E16" s="149">
        <v>12915</v>
      </c>
      <c r="F16" s="148" t="s">
        <v>80</v>
      </c>
      <c r="G16" s="55"/>
    </row>
    <row r="17" spans="2:9" x14ac:dyDescent="0.25">
      <c r="B17" s="8"/>
      <c r="C17" s="86"/>
      <c r="D17" s="146"/>
      <c r="F17" s="148"/>
      <c r="G17" s="80"/>
    </row>
    <row r="18" spans="2:9" x14ac:dyDescent="0.25">
      <c r="B18" s="8"/>
      <c r="C18" s="86" t="s">
        <v>413</v>
      </c>
      <c r="D18" s="146">
        <f>E14+E16</f>
        <v>44942</v>
      </c>
      <c r="F18" s="148"/>
      <c r="G18" s="80"/>
    </row>
    <row r="19" spans="2:9" ht="12" customHeight="1" x14ac:dyDescent="0.25">
      <c r="B19" s="8"/>
      <c r="C19" s="86"/>
      <c r="D19" s="146"/>
      <c r="F19" s="148"/>
      <c r="G19" s="80"/>
      <c r="I19" s="68"/>
    </row>
    <row r="20" spans="2:9" ht="29.25" customHeight="1" thickBot="1" x14ac:dyDescent="0.3">
      <c r="B20" s="8"/>
      <c r="C20" s="86" t="s">
        <v>84</v>
      </c>
      <c r="D20" s="150">
        <f>D12-D18</f>
        <v>-42413.35</v>
      </c>
      <c r="F20" s="151" t="s">
        <v>85</v>
      </c>
      <c r="G20" s="80"/>
      <c r="I20" s="55"/>
    </row>
    <row r="21" spans="2:9" ht="14.1" customHeight="1" thickTop="1" x14ac:dyDescent="0.25">
      <c r="B21" s="8"/>
      <c r="C21" s="86"/>
      <c r="D21" s="146"/>
      <c r="F21" s="147"/>
      <c r="G21" s="80"/>
      <c r="I21" s="55"/>
    </row>
    <row r="22" spans="2:9" ht="14.1" customHeight="1" x14ac:dyDescent="0.25">
      <c r="B22" s="8"/>
      <c r="C22" s="86" t="s">
        <v>86</v>
      </c>
      <c r="D22" s="146">
        <f>D20/1000</f>
        <v>-42.413350000000001</v>
      </c>
      <c r="F22" s="147"/>
      <c r="G22" s="55"/>
      <c r="I22" s="55"/>
    </row>
    <row r="23" spans="2:9" ht="13.5" customHeight="1" x14ac:dyDescent="0.25">
      <c r="B23" s="8"/>
      <c r="C23" s="71"/>
      <c r="D23" s="146"/>
      <c r="F23" s="147"/>
      <c r="G23" s="80"/>
      <c r="I23" s="55"/>
    </row>
    <row r="24" spans="2:9" ht="13.5" customHeight="1" x14ac:dyDescent="0.25">
      <c r="B24" s="8"/>
      <c r="C24" s="86"/>
      <c r="D24" s="146"/>
      <c r="G24" s="80"/>
      <c r="H24" s="147"/>
      <c r="I24" s="55"/>
    </row>
    <row r="25" spans="2:9" ht="13.5" customHeight="1" x14ac:dyDescent="0.25">
      <c r="B25" s="8"/>
      <c r="C25" s="71"/>
      <c r="D25" s="146"/>
      <c r="F25" s="147"/>
      <c r="G25" s="80"/>
      <c r="I25" s="55"/>
    </row>
    <row r="26" spans="2:9" ht="13.5" customHeight="1" x14ac:dyDescent="0.25">
      <c r="B26" s="8"/>
      <c r="C26" s="71"/>
      <c r="D26" s="146"/>
      <c r="F26" s="147"/>
      <c r="G26" s="55"/>
    </row>
    <row r="27" spans="2:9" ht="13.5" customHeight="1" x14ac:dyDescent="0.25">
      <c r="B27" s="8"/>
      <c r="C27" s="71"/>
      <c r="D27" s="146"/>
      <c r="F27" s="147"/>
      <c r="G27" s="55"/>
    </row>
    <row r="28" spans="2:9" ht="13.5" customHeight="1" x14ac:dyDescent="0.25">
      <c r="C28" s="71"/>
      <c r="D28" s="146"/>
      <c r="F28" s="147"/>
      <c r="G28" s="55"/>
      <c r="I28" s="68"/>
    </row>
    <row r="29" spans="2:9" ht="13.5" customHeight="1" x14ac:dyDescent="0.25">
      <c r="C29" s="71"/>
      <c r="G29" s="55"/>
      <c r="I29" s="68"/>
    </row>
    <row r="30" spans="2:9" ht="12.75" customHeight="1" x14ac:dyDescent="0.25">
      <c r="C30" s="71"/>
      <c r="F30" s="152"/>
      <c r="G30" s="55"/>
    </row>
    <row r="31" spans="2:9" ht="12.75" customHeight="1" x14ac:dyDescent="0.25">
      <c r="C31" s="71"/>
      <c r="I31" s="55"/>
    </row>
    <row r="32" spans="2:9" ht="12.75" customHeight="1" x14ac:dyDescent="0.25">
      <c r="C32" s="71"/>
      <c r="H32" s="153"/>
      <c r="I32" s="55"/>
    </row>
    <row r="33" spans="3:9" x14ac:dyDescent="0.25">
      <c r="C33" s="71"/>
    </row>
    <row r="34" spans="3:9" x14ac:dyDescent="0.25">
      <c r="C34" s="71"/>
      <c r="H34" s="153"/>
    </row>
    <row r="35" spans="3:9" x14ac:dyDescent="0.25">
      <c r="C35" s="71"/>
      <c r="H35" s="153"/>
    </row>
    <row r="36" spans="3:9" x14ac:dyDescent="0.25">
      <c r="C36" s="71"/>
      <c r="H36" s="154"/>
    </row>
    <row r="37" spans="3:9" x14ac:dyDescent="0.25">
      <c r="C37" s="71"/>
    </row>
    <row r="38" spans="3:9" x14ac:dyDescent="0.25">
      <c r="C38" s="71"/>
    </row>
    <row r="39" spans="3:9" x14ac:dyDescent="0.25">
      <c r="C39" s="71"/>
      <c r="G39" s="55"/>
    </row>
    <row r="40" spans="3:9" x14ac:dyDescent="0.25">
      <c r="C40" s="71"/>
    </row>
    <row r="41" spans="3:9" x14ac:dyDescent="0.25">
      <c r="C41" s="71"/>
      <c r="G41" s="55"/>
    </row>
    <row r="43" spans="3:9" x14ac:dyDescent="0.25">
      <c r="I43" s="68"/>
    </row>
    <row r="44" spans="3:9" x14ac:dyDescent="0.25">
      <c r="I44" s="68"/>
    </row>
    <row r="45" spans="3:9" x14ac:dyDescent="0.25">
      <c r="G45" s="55"/>
      <c r="I45" s="68"/>
    </row>
    <row r="46" spans="3:9" x14ac:dyDescent="0.25">
      <c r="I46" s="68"/>
    </row>
    <row r="47" spans="3:9" x14ac:dyDescent="0.25">
      <c r="I47" s="68"/>
    </row>
    <row r="49" spans="7:23" x14ac:dyDescent="0.25">
      <c r="G49" s="55"/>
      <c r="I49" s="68"/>
    </row>
    <row r="50" spans="7:23" x14ac:dyDescent="0.25">
      <c r="G50" s="55"/>
      <c r="I50" s="68"/>
    </row>
    <row r="51" spans="7:23" x14ac:dyDescent="0.25">
      <c r="G51" s="55"/>
      <c r="I51" s="68"/>
    </row>
    <row r="52" spans="7:23" x14ac:dyDescent="0.25">
      <c r="G52" s="55"/>
      <c r="I52" s="68"/>
    </row>
    <row r="53" spans="7:23" x14ac:dyDescent="0.25">
      <c r="G53" s="55"/>
      <c r="I53" s="68"/>
    </row>
    <row r="55" spans="7:23" x14ac:dyDescent="0.25">
      <c r="S55" s="8"/>
      <c r="T55" s="8"/>
      <c r="U55" s="8"/>
      <c r="V55" s="8"/>
    </row>
    <row r="56" spans="7:23" x14ac:dyDescent="0.25">
      <c r="Q56" s="8"/>
      <c r="R56" s="8"/>
      <c r="S56" s="8"/>
      <c r="T56" s="8"/>
      <c r="U56" s="8"/>
      <c r="V56" s="8"/>
      <c r="W56" s="8"/>
    </row>
    <row r="57" spans="7:23" x14ac:dyDescent="0.25">
      <c r="G57" s="55"/>
      <c r="I57" s="68"/>
    </row>
    <row r="58" spans="7:23" x14ac:dyDescent="0.25">
      <c r="G58" s="55"/>
      <c r="I58" s="68"/>
      <c r="S58" s="19"/>
      <c r="T58" s="19"/>
      <c r="U58" s="19"/>
      <c r="W58" s="19"/>
    </row>
    <row r="59" spans="7:23" x14ac:dyDescent="0.25">
      <c r="G59" s="55"/>
      <c r="I59" s="68"/>
      <c r="Q59" s="71"/>
      <c r="S59" s="55"/>
      <c r="T59" s="55"/>
      <c r="V59" s="55"/>
      <c r="W59" s="55"/>
    </row>
    <row r="60" spans="7:23" x14ac:dyDescent="0.25">
      <c r="G60" s="55"/>
      <c r="I60" s="68"/>
      <c r="Q60" s="71"/>
      <c r="S60" s="55"/>
      <c r="T60" s="55"/>
      <c r="U60" s="55"/>
      <c r="V60" s="55"/>
      <c r="W60" s="55"/>
    </row>
    <row r="61" spans="7:23" x14ac:dyDescent="0.25">
      <c r="G61" s="55"/>
      <c r="I61" s="68"/>
      <c r="Q61" s="71"/>
      <c r="S61" s="55"/>
      <c r="T61" s="55"/>
      <c r="U61" s="55"/>
      <c r="V61" s="55"/>
      <c r="W61" s="55"/>
    </row>
    <row r="62" spans="7:23" x14ac:dyDescent="0.25">
      <c r="I62" s="68"/>
    </row>
    <row r="63" spans="7:23" x14ac:dyDescent="0.25">
      <c r="I63" s="68"/>
      <c r="S63" s="68"/>
      <c r="U63" s="68"/>
      <c r="W63" s="68"/>
    </row>
    <row r="64" spans="7:23" x14ac:dyDescent="0.25">
      <c r="I64" s="68"/>
    </row>
    <row r="65" spans="7:11" x14ac:dyDescent="0.25">
      <c r="I65" s="68"/>
    </row>
    <row r="71" spans="7:11" x14ac:dyDescent="0.25">
      <c r="G71" s="64"/>
      <c r="H71" s="72"/>
      <c r="I71" s="8"/>
      <c r="K71" s="21"/>
    </row>
  </sheetData>
  <pageMargins left="0.7" right="0.7" top="0.75" bottom="0.75" header="0.3" footer="0.3"/>
  <pageSetup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9625D-A394-4B15-A4EF-6AC7A1C8D083}">
  <sheetPr>
    <pageSetUpPr fitToPage="1"/>
  </sheetPr>
  <dimension ref="A1:W74"/>
  <sheetViews>
    <sheetView topLeftCell="A7" workbookViewId="0">
      <selection activeCell="H40" sqref="H40"/>
    </sheetView>
  </sheetViews>
  <sheetFormatPr defaultRowHeight="15.95" customHeight="1" x14ac:dyDescent="0.25"/>
  <cols>
    <col min="1" max="1" width="8.42578125" style="19" bestFit="1" customWidth="1"/>
    <col min="2" max="2" width="8.85546875" style="21" customWidth="1"/>
    <col min="3" max="3" width="48.85546875" style="21" bestFit="1" customWidth="1"/>
    <col min="4" max="4" width="10.85546875" style="19" customWidth="1"/>
    <col min="5" max="5" width="5.28515625" style="19" customWidth="1"/>
    <col min="6" max="6" width="14.140625" style="21" customWidth="1"/>
    <col min="7" max="7" width="3.140625" style="66" customWidth="1"/>
    <col min="8" max="8" width="14.42578125" style="73" bestFit="1" customWidth="1"/>
    <col min="9" max="9" width="17.5703125" style="21" bestFit="1" customWidth="1"/>
    <col min="10" max="10" width="4.7109375" style="21" customWidth="1"/>
    <col min="11" max="11" width="23.7109375" style="19" bestFit="1" customWidth="1"/>
    <col min="12" max="12" width="9.140625" style="21"/>
    <col min="13" max="13" width="11.140625" style="21" customWidth="1"/>
    <col min="14" max="14" width="11.7109375" style="21" bestFit="1" customWidth="1"/>
    <col min="15" max="15" width="9.140625" style="21"/>
    <col min="16" max="16" width="17.140625" style="21" customWidth="1"/>
    <col min="17" max="17" width="18.85546875" style="21" customWidth="1"/>
    <col min="18" max="18" width="3.85546875" style="21" customWidth="1"/>
    <col min="19" max="19" width="19" style="21" bestFit="1" customWidth="1"/>
    <col min="20" max="20" width="3.5703125" style="21" customWidth="1"/>
    <col min="21" max="21" width="12.28515625" style="21" bestFit="1" customWidth="1"/>
    <col min="22" max="22" width="3.5703125" style="21" customWidth="1"/>
    <col min="23" max="23" width="14" style="21" bestFit="1" customWidth="1"/>
    <col min="24" max="16384" width="9.140625" style="21"/>
  </cols>
  <sheetData>
    <row r="1" spans="1:14" ht="15.95" customHeight="1" x14ac:dyDescent="0.25">
      <c r="A1" s="8"/>
      <c r="B1" s="8"/>
      <c r="C1" s="8"/>
      <c r="D1" s="8"/>
      <c r="E1" s="8"/>
      <c r="F1" s="8"/>
      <c r="G1" s="64"/>
      <c r="H1" s="72"/>
      <c r="I1" s="8"/>
      <c r="J1" s="8"/>
      <c r="K1" s="8"/>
      <c r="L1" s="8"/>
      <c r="M1" s="8"/>
      <c r="N1" s="8"/>
    </row>
    <row r="2" spans="1:14" ht="15.95" customHeight="1" x14ac:dyDescent="0.25">
      <c r="A2" s="8"/>
      <c r="B2" s="8"/>
      <c r="C2" s="5"/>
      <c r="D2" s="8"/>
      <c r="E2" s="8"/>
      <c r="F2" s="8"/>
      <c r="G2" s="64"/>
      <c r="H2" s="72"/>
      <c r="I2" s="8"/>
      <c r="J2" s="8"/>
      <c r="K2" s="8"/>
      <c r="L2" s="8"/>
      <c r="M2" s="8"/>
      <c r="N2" s="8"/>
    </row>
    <row r="3" spans="1:14" ht="15.95" customHeight="1" x14ac:dyDescent="0.25">
      <c r="A3" s="8"/>
      <c r="B3" s="8"/>
      <c r="C3" s="5" t="s">
        <v>55</v>
      </c>
      <c r="D3" s="8"/>
      <c r="E3" s="8"/>
      <c r="F3" s="8"/>
      <c r="G3" s="64"/>
      <c r="H3" s="72"/>
      <c r="I3" s="8"/>
      <c r="J3" s="8"/>
      <c r="K3" s="8"/>
      <c r="L3" s="8"/>
      <c r="M3" s="8"/>
      <c r="N3" s="8"/>
    </row>
    <row r="4" spans="1:14" ht="15.95" customHeight="1" x14ac:dyDescent="0.25">
      <c r="A4" s="8"/>
      <c r="B4" s="8"/>
      <c r="C4" s="5" t="s">
        <v>380</v>
      </c>
      <c r="D4" s="8"/>
      <c r="E4" s="8"/>
      <c r="F4" s="8"/>
      <c r="G4" s="64"/>
      <c r="H4" s="72"/>
      <c r="I4" s="8"/>
      <c r="J4" s="8"/>
      <c r="K4" s="8"/>
      <c r="L4" s="8"/>
      <c r="M4" s="8"/>
      <c r="N4" s="8"/>
    </row>
    <row r="5" spans="1:14" ht="15.95" customHeight="1" x14ac:dyDescent="0.25">
      <c r="A5" s="8"/>
      <c r="B5" s="8"/>
      <c r="C5" s="6" t="s">
        <v>1</v>
      </c>
      <c r="D5" s="8"/>
      <c r="E5" s="8"/>
      <c r="F5" s="8"/>
      <c r="G5" s="64"/>
      <c r="H5" s="72"/>
      <c r="I5" s="8"/>
      <c r="J5" s="8"/>
      <c r="K5" s="8"/>
      <c r="L5" s="8"/>
      <c r="M5" s="8"/>
      <c r="N5" s="8"/>
    </row>
    <row r="6" spans="1:14" ht="15.95" customHeight="1" x14ac:dyDescent="0.25">
      <c r="A6" s="8"/>
      <c r="B6" s="8"/>
      <c r="C6" s="8" t="s">
        <v>3</v>
      </c>
      <c r="D6" s="8"/>
      <c r="E6" s="8"/>
      <c r="F6" s="8"/>
      <c r="G6" s="64"/>
      <c r="H6" s="72"/>
      <c r="I6" s="8"/>
      <c r="J6" s="8"/>
      <c r="K6" s="8"/>
      <c r="L6" s="8"/>
      <c r="M6" s="8"/>
      <c r="N6" s="8"/>
    </row>
    <row r="7" spans="1:14" ht="15.95" customHeight="1" x14ac:dyDescent="0.25">
      <c r="A7" s="8"/>
      <c r="B7" s="8"/>
      <c r="C7" s="8" t="s">
        <v>4</v>
      </c>
      <c r="D7" s="8"/>
      <c r="E7" s="8"/>
      <c r="F7" s="8" t="s">
        <v>164</v>
      </c>
      <c r="G7" s="64"/>
      <c r="H7" s="72"/>
      <c r="I7" s="8"/>
      <c r="J7" s="8"/>
      <c r="K7" s="8"/>
      <c r="L7" s="8"/>
      <c r="M7" s="8"/>
      <c r="N7" s="8"/>
    </row>
    <row r="8" spans="1:14" ht="15.95" customHeight="1" x14ac:dyDescent="0.25">
      <c r="C8" s="19"/>
      <c r="G8" s="65"/>
      <c r="I8" s="19"/>
    </row>
    <row r="9" spans="1:14" ht="15.95" customHeight="1" x14ac:dyDescent="0.25">
      <c r="B9" s="8"/>
      <c r="C9" s="8"/>
      <c r="H9" s="72"/>
    </row>
    <row r="10" spans="1:14" ht="15.95" customHeight="1" x14ac:dyDescent="0.25">
      <c r="B10" s="8"/>
      <c r="C10" s="12" t="s">
        <v>56</v>
      </c>
      <c r="D10" s="12" t="s">
        <v>70</v>
      </c>
      <c r="E10" s="12"/>
      <c r="F10" s="12" t="s">
        <v>8</v>
      </c>
      <c r="G10" s="84"/>
      <c r="H10" s="205" t="s">
        <v>384</v>
      </c>
    </row>
    <row r="11" spans="1:14" ht="15.95" customHeight="1" x14ac:dyDescent="0.25">
      <c r="B11" s="8"/>
      <c r="C11" s="86"/>
      <c r="F11" s="80"/>
      <c r="G11" s="80"/>
    </row>
    <row r="12" spans="1:14" ht="15.95" customHeight="1" x14ac:dyDescent="0.25">
      <c r="B12" s="8"/>
      <c r="C12" s="73" t="s">
        <v>57</v>
      </c>
      <c r="D12" s="19">
        <v>2021</v>
      </c>
      <c r="F12" s="147">
        <v>20812.59</v>
      </c>
      <c r="G12" s="55"/>
    </row>
    <row r="13" spans="1:14" ht="15.95" customHeight="1" x14ac:dyDescent="0.25">
      <c r="B13" s="8"/>
      <c r="C13" s="73" t="s">
        <v>58</v>
      </c>
      <c r="D13" s="19">
        <v>2021</v>
      </c>
      <c r="F13" s="147">
        <v>20926.340000000004</v>
      </c>
      <c r="G13" s="55"/>
    </row>
    <row r="14" spans="1:14" ht="15.95" customHeight="1" x14ac:dyDescent="0.25">
      <c r="B14" s="8"/>
      <c r="C14" s="73" t="s">
        <v>59</v>
      </c>
      <c r="D14" s="19">
        <v>2021</v>
      </c>
      <c r="F14" s="147">
        <v>20926.340000000004</v>
      </c>
      <c r="G14" s="80"/>
    </row>
    <row r="15" spans="1:14" ht="15.95" customHeight="1" x14ac:dyDescent="0.25">
      <c r="B15" s="8"/>
      <c r="C15" s="73" t="s">
        <v>60</v>
      </c>
      <c r="D15" s="19">
        <v>2021</v>
      </c>
      <c r="F15" s="147">
        <v>20926.34</v>
      </c>
      <c r="G15" s="55"/>
    </row>
    <row r="16" spans="1:14" ht="15.95" customHeight="1" x14ac:dyDescent="0.25">
      <c r="B16" s="8"/>
      <c r="C16" s="73" t="s">
        <v>61</v>
      </c>
      <c r="D16" s="19">
        <v>2021</v>
      </c>
      <c r="F16" s="147">
        <v>19552.21</v>
      </c>
      <c r="G16" s="80"/>
    </row>
    <row r="17" spans="2:9" ht="15.95" customHeight="1" x14ac:dyDescent="0.25">
      <c r="B17" s="8"/>
      <c r="C17" s="73" t="s">
        <v>62</v>
      </c>
      <c r="D17" s="19">
        <v>2021</v>
      </c>
      <c r="F17" s="147">
        <v>22910.73</v>
      </c>
      <c r="G17" s="80"/>
    </row>
    <row r="18" spans="2:9" ht="15.95" customHeight="1" x14ac:dyDescent="0.25">
      <c r="B18" s="8"/>
      <c r="C18" s="73" t="s">
        <v>63</v>
      </c>
      <c r="D18" s="19">
        <v>2022</v>
      </c>
      <c r="F18" s="147">
        <v>19748</v>
      </c>
      <c r="G18" s="80"/>
      <c r="I18" s="68"/>
    </row>
    <row r="19" spans="2:9" ht="15.95" customHeight="1" x14ac:dyDescent="0.25">
      <c r="B19" s="8"/>
      <c r="C19" s="73" t="s">
        <v>64</v>
      </c>
      <c r="D19" s="19">
        <v>2022</v>
      </c>
      <c r="F19" s="147">
        <v>19748</v>
      </c>
      <c r="G19" s="80"/>
    </row>
    <row r="20" spans="2:9" ht="15.95" customHeight="1" x14ac:dyDescent="0.25">
      <c r="B20" s="8"/>
      <c r="C20" s="73" t="s">
        <v>65</v>
      </c>
      <c r="D20" s="19">
        <v>2022</v>
      </c>
      <c r="F20" s="147">
        <v>19748</v>
      </c>
      <c r="G20" s="55"/>
    </row>
    <row r="21" spans="2:9" ht="15.95" customHeight="1" x14ac:dyDescent="0.25">
      <c r="B21" s="8"/>
      <c r="C21" s="73" t="s">
        <v>66</v>
      </c>
      <c r="D21" s="19">
        <v>2022</v>
      </c>
      <c r="F21" s="147">
        <v>19748</v>
      </c>
      <c r="G21" s="80"/>
      <c r="I21" s="55"/>
    </row>
    <row r="22" spans="2:9" ht="15.95" customHeight="1" x14ac:dyDescent="0.25">
      <c r="B22" s="8"/>
      <c r="C22" s="73" t="s">
        <v>67</v>
      </c>
      <c r="D22" s="19">
        <v>2022</v>
      </c>
      <c r="F22" s="147">
        <v>19748</v>
      </c>
      <c r="G22" s="80"/>
      <c r="I22" s="55"/>
    </row>
    <row r="23" spans="2:9" ht="15.95" customHeight="1" x14ac:dyDescent="0.25">
      <c r="B23" s="8"/>
      <c r="C23" s="73" t="s">
        <v>68</v>
      </c>
      <c r="D23" s="19">
        <v>2022</v>
      </c>
      <c r="F23" s="208">
        <v>19800.95</v>
      </c>
      <c r="G23" s="55"/>
      <c r="I23" s="55"/>
    </row>
    <row r="24" spans="2:9" ht="15.95" customHeight="1" x14ac:dyDescent="0.25">
      <c r="B24" s="8"/>
      <c r="F24" s="147"/>
      <c r="G24" s="80"/>
      <c r="I24" s="55"/>
    </row>
    <row r="25" spans="2:9" ht="15.95" customHeight="1" x14ac:dyDescent="0.25">
      <c r="B25" s="8"/>
      <c r="C25" s="73" t="s">
        <v>69</v>
      </c>
      <c r="G25" s="80"/>
      <c r="H25" s="209">
        <f>SUM(F12:F23)</f>
        <v>244595.5</v>
      </c>
      <c r="I25" s="55"/>
    </row>
    <row r="26" spans="2:9" ht="15.95" customHeight="1" x14ac:dyDescent="0.25">
      <c r="B26" s="8"/>
      <c r="F26" s="147"/>
      <c r="G26" s="80"/>
      <c r="H26" s="154"/>
      <c r="I26" s="55"/>
    </row>
    <row r="27" spans="2:9" ht="15.95" customHeight="1" x14ac:dyDescent="0.25">
      <c r="B27" s="8"/>
      <c r="C27" s="21" t="s">
        <v>71</v>
      </c>
      <c r="D27" s="19">
        <v>2023</v>
      </c>
      <c r="F27" s="147">
        <v>12128</v>
      </c>
      <c r="G27" s="55"/>
      <c r="H27" s="154"/>
    </row>
    <row r="28" spans="2:9" ht="15.95" customHeight="1" x14ac:dyDescent="0.25">
      <c r="B28" s="8"/>
      <c r="C28" s="21" t="s">
        <v>64</v>
      </c>
      <c r="D28" s="19">
        <v>2023</v>
      </c>
      <c r="F28" s="147">
        <v>12128</v>
      </c>
      <c r="G28" s="55"/>
      <c r="H28" s="154"/>
    </row>
    <row r="29" spans="2:9" ht="15.95" customHeight="1" x14ac:dyDescent="0.25">
      <c r="C29" s="21" t="s">
        <v>65</v>
      </c>
      <c r="D29" s="19">
        <v>2023</v>
      </c>
      <c r="F29" s="147">
        <v>12128</v>
      </c>
      <c r="G29" s="55"/>
      <c r="H29" s="154"/>
      <c r="I29" s="68"/>
    </row>
    <row r="30" spans="2:9" ht="15.95" customHeight="1" x14ac:dyDescent="0.25">
      <c r="G30" s="55"/>
      <c r="H30" s="154"/>
      <c r="I30" s="68"/>
    </row>
    <row r="31" spans="2:9" ht="15.95" customHeight="1" x14ac:dyDescent="0.25">
      <c r="C31" s="21" t="s">
        <v>74</v>
      </c>
      <c r="F31" s="152">
        <f>SUM(F27:F29)</f>
        <v>36384</v>
      </c>
      <c r="G31" s="55"/>
      <c r="H31" s="154"/>
    </row>
    <row r="32" spans="2:9" ht="15.95" customHeight="1" x14ac:dyDescent="0.25">
      <c r="H32" s="154"/>
      <c r="I32" s="55"/>
    </row>
    <row r="33" spans="3:9" ht="15.95" customHeight="1" x14ac:dyDescent="0.25">
      <c r="C33" s="21" t="s">
        <v>73</v>
      </c>
      <c r="H33" s="210">
        <f>F31*4</f>
        <v>145536</v>
      </c>
      <c r="I33" s="55"/>
    </row>
    <row r="34" spans="3:9" ht="15.95" customHeight="1" x14ac:dyDescent="0.25">
      <c r="C34" s="8"/>
    </row>
    <row r="35" spans="3:9" ht="15.95" customHeight="1" x14ac:dyDescent="0.25">
      <c r="C35" s="71" t="s">
        <v>75</v>
      </c>
      <c r="H35" s="154">
        <f>H33-H25</f>
        <v>-99059.5</v>
      </c>
    </row>
    <row r="36" spans="3:9" ht="15.95" customHeight="1" x14ac:dyDescent="0.25">
      <c r="C36" s="71"/>
      <c r="H36" s="154"/>
    </row>
    <row r="37" spans="3:9" ht="15.95" customHeight="1" x14ac:dyDescent="0.25">
      <c r="C37" s="71" t="s">
        <v>406</v>
      </c>
      <c r="H37" s="246">
        <v>0.90259999999999996</v>
      </c>
    </row>
    <row r="38" spans="3:9" ht="15.95" customHeight="1" x14ac:dyDescent="0.25">
      <c r="C38" s="71"/>
      <c r="H38" s="153"/>
    </row>
    <row r="39" spans="3:9" ht="15.95" customHeight="1" x14ac:dyDescent="0.25">
      <c r="C39" s="21" t="s">
        <v>407</v>
      </c>
      <c r="H39" s="154">
        <f>H35*H37</f>
        <v>-89411.104699999996</v>
      </c>
    </row>
    <row r="40" spans="3:9" ht="15.95" customHeight="1" x14ac:dyDescent="0.25">
      <c r="C40" s="71" t="s">
        <v>76</v>
      </c>
      <c r="H40" s="154">
        <f>H39/1000</f>
        <v>-89.411104699999996</v>
      </c>
    </row>
    <row r="42" spans="3:9" ht="15.95" customHeight="1" x14ac:dyDescent="0.25">
      <c r="C42" s="21" t="s">
        <v>72</v>
      </c>
      <c r="G42" s="55"/>
    </row>
    <row r="44" spans="3:9" ht="15.95" customHeight="1" x14ac:dyDescent="0.25">
      <c r="G44" s="55"/>
    </row>
    <row r="46" spans="3:9" ht="15.95" customHeight="1" x14ac:dyDescent="0.25">
      <c r="I46" s="68"/>
    </row>
    <row r="47" spans="3:9" ht="15.95" customHeight="1" x14ac:dyDescent="0.25">
      <c r="I47" s="68"/>
    </row>
    <row r="48" spans="3:9" ht="15.95" customHeight="1" x14ac:dyDescent="0.25">
      <c r="G48" s="55"/>
      <c r="I48" s="68"/>
    </row>
    <row r="49" spans="7:23" ht="15.95" customHeight="1" x14ac:dyDescent="0.25">
      <c r="I49" s="68"/>
    </row>
    <row r="50" spans="7:23" ht="15.95" customHeight="1" x14ac:dyDescent="0.25">
      <c r="I50" s="68"/>
    </row>
    <row r="52" spans="7:23" ht="15.95" customHeight="1" x14ac:dyDescent="0.25">
      <c r="G52" s="55"/>
      <c r="I52" s="68"/>
    </row>
    <row r="53" spans="7:23" ht="15.95" customHeight="1" x14ac:dyDescent="0.25">
      <c r="G53" s="55"/>
      <c r="I53" s="68"/>
    </row>
    <row r="54" spans="7:23" ht="15.95" customHeight="1" x14ac:dyDescent="0.25">
      <c r="G54" s="55"/>
      <c r="I54" s="68"/>
    </row>
    <row r="55" spans="7:23" ht="15.95" customHeight="1" x14ac:dyDescent="0.25">
      <c r="G55" s="55"/>
      <c r="I55" s="68"/>
    </row>
    <row r="56" spans="7:23" ht="15.95" customHeight="1" x14ac:dyDescent="0.25">
      <c r="G56" s="55"/>
      <c r="I56" s="68"/>
    </row>
    <row r="58" spans="7:23" ht="15.95" customHeight="1" x14ac:dyDescent="0.25">
      <c r="S58" s="8"/>
      <c r="T58" s="8"/>
      <c r="U58" s="8"/>
      <c r="V58" s="8"/>
    </row>
    <row r="59" spans="7:23" ht="15.95" customHeight="1" x14ac:dyDescent="0.25">
      <c r="Q59" s="8"/>
      <c r="R59" s="8"/>
      <c r="S59" s="8"/>
      <c r="T59" s="8"/>
      <c r="U59" s="8"/>
      <c r="V59" s="8"/>
      <c r="W59" s="8"/>
    </row>
    <row r="60" spans="7:23" ht="15.95" customHeight="1" x14ac:dyDescent="0.25">
      <c r="G60" s="55"/>
      <c r="I60" s="68"/>
    </row>
    <row r="61" spans="7:23" ht="15.95" customHeight="1" x14ac:dyDescent="0.25">
      <c r="G61" s="55"/>
      <c r="I61" s="68"/>
      <c r="S61" s="19"/>
      <c r="T61" s="19"/>
      <c r="U61" s="19"/>
      <c r="W61" s="19"/>
    </row>
    <row r="62" spans="7:23" ht="15.95" customHeight="1" x14ac:dyDescent="0.25">
      <c r="G62" s="55"/>
      <c r="I62" s="68"/>
      <c r="Q62" s="71"/>
      <c r="S62" s="55"/>
      <c r="T62" s="55"/>
      <c r="V62" s="55"/>
      <c r="W62" s="55"/>
    </row>
    <row r="63" spans="7:23" ht="15.95" customHeight="1" x14ac:dyDescent="0.25">
      <c r="G63" s="55"/>
      <c r="I63" s="68"/>
      <c r="Q63" s="71"/>
      <c r="S63" s="55"/>
      <c r="T63" s="55"/>
      <c r="U63" s="55"/>
      <c r="V63" s="55"/>
      <c r="W63" s="55"/>
    </row>
    <row r="64" spans="7:23" ht="15.95" customHeight="1" x14ac:dyDescent="0.25">
      <c r="G64" s="55"/>
      <c r="I64" s="68"/>
      <c r="Q64" s="71"/>
      <c r="S64" s="55"/>
      <c r="T64" s="55"/>
      <c r="U64" s="55"/>
      <c r="V64" s="55"/>
      <c r="W64" s="55"/>
    </row>
    <row r="65" spans="7:23" ht="15.95" customHeight="1" x14ac:dyDescent="0.25">
      <c r="I65" s="68"/>
    </row>
    <row r="66" spans="7:23" ht="15.95" customHeight="1" x14ac:dyDescent="0.25">
      <c r="I66" s="68"/>
      <c r="S66" s="68"/>
      <c r="U66" s="68"/>
      <c r="W66" s="68"/>
    </row>
    <row r="67" spans="7:23" ht="15.95" customHeight="1" x14ac:dyDescent="0.25">
      <c r="I67" s="68"/>
    </row>
    <row r="68" spans="7:23" ht="15.95" customHeight="1" x14ac:dyDescent="0.25">
      <c r="I68" s="68"/>
    </row>
    <row r="74" spans="7:23" ht="15.95" customHeight="1" x14ac:dyDescent="0.25">
      <c r="G74" s="64"/>
      <c r="H74" s="72"/>
      <c r="I74" s="8"/>
      <c r="K74" s="21"/>
    </row>
  </sheetData>
  <phoneticPr fontId="5" type="noConversion"/>
  <pageMargins left="0.7" right="0.7" top="0.75" bottom="0.75" header="0.3" footer="0.3"/>
  <pageSetup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C5004-9217-4890-ACFE-8F0C32ACAEC9}">
  <sheetPr>
    <pageSetUpPr fitToPage="1"/>
  </sheetPr>
  <dimension ref="B2:J61"/>
  <sheetViews>
    <sheetView topLeftCell="A10" workbookViewId="0">
      <selection activeCell="G28" sqref="G28"/>
    </sheetView>
  </sheetViews>
  <sheetFormatPr defaultRowHeight="15.75" x14ac:dyDescent="0.25"/>
  <cols>
    <col min="1" max="1" width="4.85546875" style="4" customWidth="1"/>
    <col min="2" max="2" width="24.85546875" style="4" customWidth="1"/>
    <col min="3" max="3" width="16.5703125" style="4" customWidth="1"/>
    <col min="4" max="4" width="13" style="4" customWidth="1"/>
    <col min="5" max="5" width="20.5703125" style="4" customWidth="1"/>
    <col min="6" max="6" width="4.28515625" style="4" customWidth="1"/>
    <col min="7" max="7" width="14.28515625" style="4" customWidth="1"/>
    <col min="8" max="8" width="15.140625" style="58" customWidth="1"/>
    <col min="9" max="9" width="8.7109375" style="4" customWidth="1"/>
    <col min="10" max="10" width="13.42578125" style="4" customWidth="1"/>
    <col min="11" max="11" width="18.140625" style="4" customWidth="1"/>
    <col min="12" max="12" width="14.28515625" style="4" customWidth="1"/>
    <col min="13" max="13" width="10.7109375" style="4" customWidth="1"/>
    <col min="14" max="16384" width="9.140625" style="4"/>
  </cols>
  <sheetData>
    <row r="2" spans="2:9" x14ac:dyDescent="0.25">
      <c r="D2" s="5" t="s">
        <v>55</v>
      </c>
    </row>
    <row r="3" spans="2:9" x14ac:dyDescent="0.25">
      <c r="D3" s="5" t="s">
        <v>399</v>
      </c>
    </row>
    <row r="4" spans="2:9" x14ac:dyDescent="0.25">
      <c r="D4" s="6" t="s">
        <v>1</v>
      </c>
    </row>
    <row r="5" spans="2:9" x14ac:dyDescent="0.25">
      <c r="D5" s="8" t="s">
        <v>3</v>
      </c>
    </row>
    <row r="6" spans="2:9" x14ac:dyDescent="0.25">
      <c r="D6" s="8" t="s">
        <v>4</v>
      </c>
      <c r="G6" s="59" t="s">
        <v>165</v>
      </c>
    </row>
    <row r="8" spans="2:9" x14ac:dyDescent="0.25">
      <c r="C8" s="59" t="s">
        <v>88</v>
      </c>
    </row>
    <row r="9" spans="2:9" x14ac:dyDescent="0.25">
      <c r="C9" s="59" t="s">
        <v>89</v>
      </c>
    </row>
    <row r="11" spans="2:9" ht="63" x14ac:dyDescent="0.25">
      <c r="B11" s="198" t="s">
        <v>387</v>
      </c>
      <c r="C11" s="156" t="s">
        <v>90</v>
      </c>
      <c r="D11" s="156" t="s">
        <v>91</v>
      </c>
      <c r="E11" s="157" t="s">
        <v>92</v>
      </c>
      <c r="G11" s="156" t="s">
        <v>93</v>
      </c>
      <c r="H11" s="156" t="s">
        <v>94</v>
      </c>
      <c r="I11" s="59"/>
    </row>
    <row r="12" spans="2:9" hidden="1" x14ac:dyDescent="0.25">
      <c r="B12" s="158">
        <v>44197</v>
      </c>
      <c r="C12" s="159">
        <v>59071.07</v>
      </c>
      <c r="D12" s="159">
        <v>528.38</v>
      </c>
      <c r="E12" s="107">
        <f t="shared" ref="E12:E29" si="0">C12-D12</f>
        <v>58542.69</v>
      </c>
      <c r="G12" s="159"/>
      <c r="H12" s="159"/>
    </row>
    <row r="13" spans="2:9" hidden="1" x14ac:dyDescent="0.25">
      <c r="B13" s="158">
        <v>44228</v>
      </c>
      <c r="C13" s="159">
        <v>60807.34</v>
      </c>
      <c r="D13" s="159">
        <v>544.11</v>
      </c>
      <c r="E13" s="107">
        <f t="shared" si="0"/>
        <v>60263.229999999996</v>
      </c>
      <c r="G13" s="159"/>
      <c r="H13" s="159"/>
    </row>
    <row r="14" spans="2:9" hidden="1" x14ac:dyDescent="0.25">
      <c r="B14" s="158">
        <v>44256</v>
      </c>
      <c r="C14" s="159">
        <v>54398.15</v>
      </c>
      <c r="D14" s="159">
        <v>549.27</v>
      </c>
      <c r="E14" s="107">
        <f t="shared" si="0"/>
        <v>53848.880000000005</v>
      </c>
      <c r="G14" s="159"/>
      <c r="H14" s="159"/>
    </row>
    <row r="15" spans="2:9" hidden="1" x14ac:dyDescent="0.25">
      <c r="B15" s="158">
        <v>44287</v>
      </c>
      <c r="C15" s="159">
        <v>50601.62</v>
      </c>
      <c r="D15" s="159">
        <v>549.27</v>
      </c>
      <c r="E15" s="107">
        <f t="shared" si="0"/>
        <v>50052.350000000006</v>
      </c>
      <c r="G15" s="159"/>
      <c r="H15" s="159"/>
    </row>
    <row r="16" spans="2:9" hidden="1" x14ac:dyDescent="0.25">
      <c r="B16" s="158">
        <v>44317</v>
      </c>
      <c r="C16" s="159">
        <v>49889.08</v>
      </c>
      <c r="D16" s="159">
        <v>549.27</v>
      </c>
      <c r="E16" s="107">
        <f t="shared" si="0"/>
        <v>49339.810000000005</v>
      </c>
      <c r="G16" s="159"/>
      <c r="H16" s="159"/>
    </row>
    <row r="17" spans="2:10" hidden="1" x14ac:dyDescent="0.25">
      <c r="B17" s="158">
        <v>44348</v>
      </c>
      <c r="C17" s="159">
        <v>52066.394195552311</v>
      </c>
      <c r="D17" s="159">
        <v>549.27</v>
      </c>
      <c r="E17" s="107">
        <f t="shared" si="0"/>
        <v>51517.124195552315</v>
      </c>
      <c r="G17" s="159"/>
      <c r="H17" s="159"/>
    </row>
    <row r="18" spans="2:10" x14ac:dyDescent="0.25">
      <c r="B18" s="158">
        <v>44378</v>
      </c>
      <c r="C18" s="107">
        <v>54659.08</v>
      </c>
      <c r="D18" s="107">
        <v>56.48</v>
      </c>
      <c r="E18" s="107">
        <f t="shared" si="0"/>
        <v>54602.6</v>
      </c>
      <c r="G18" s="160">
        <f>G19</f>
        <v>4.2924075173355961E-2</v>
      </c>
      <c r="H18" s="107">
        <f t="shared" ref="H18:H29" si="1">E18*G18</f>
        <v>2343.766107060686</v>
      </c>
    </row>
    <row r="19" spans="2:10" x14ac:dyDescent="0.25">
      <c r="B19" s="158">
        <v>44409</v>
      </c>
      <c r="C19" s="107">
        <v>56671.24</v>
      </c>
      <c r="D19" s="107">
        <v>1112.68</v>
      </c>
      <c r="E19" s="107">
        <f t="shared" si="0"/>
        <v>55558.559999999998</v>
      </c>
      <c r="G19" s="160">
        <v>4.2924075173355961E-2</v>
      </c>
      <c r="H19" s="107">
        <f t="shared" si="1"/>
        <v>2384.7998059634074</v>
      </c>
    </row>
    <row r="20" spans="2:10" x14ac:dyDescent="0.25">
      <c r="B20" s="158">
        <v>44440</v>
      </c>
      <c r="C20" s="107">
        <v>60166.738166632684</v>
      </c>
      <c r="D20" s="107">
        <v>606.41999999999996</v>
      </c>
      <c r="E20" s="107">
        <f t="shared" si="0"/>
        <v>59560.318166632685</v>
      </c>
      <c r="G20" s="160">
        <v>4.2924075173355961E-2</v>
      </c>
      <c r="H20" s="107">
        <f t="shared" si="1"/>
        <v>2556.57157433354</v>
      </c>
    </row>
    <row r="21" spans="2:10" x14ac:dyDescent="0.25">
      <c r="B21" s="158">
        <v>44470</v>
      </c>
      <c r="C21" s="107">
        <v>65542.081202714529</v>
      </c>
      <c r="D21" s="107">
        <v>574.64</v>
      </c>
      <c r="E21" s="107">
        <f t="shared" si="0"/>
        <v>64967.44120271453</v>
      </c>
      <c r="G21" s="160">
        <f>G22</f>
        <v>4.7698582753612898E-2</v>
      </c>
      <c r="H21" s="107">
        <f t="shared" si="1"/>
        <v>3098.854870498159</v>
      </c>
    </row>
    <row r="22" spans="2:10" x14ac:dyDescent="0.25">
      <c r="B22" s="158">
        <v>44501</v>
      </c>
      <c r="C22" s="107">
        <v>67334.789999999994</v>
      </c>
      <c r="D22" s="107">
        <v>597.80999999999995</v>
      </c>
      <c r="E22" s="107">
        <f t="shared" si="0"/>
        <v>66736.98</v>
      </c>
      <c r="G22" s="105">
        <v>4.7698582753612898E-2</v>
      </c>
      <c r="H22" s="107">
        <f t="shared" si="1"/>
        <v>3183.2593632562089</v>
      </c>
    </row>
    <row r="23" spans="2:10" x14ac:dyDescent="0.25">
      <c r="B23" s="158">
        <v>44531</v>
      </c>
      <c r="C23" s="107">
        <v>58763.63</v>
      </c>
      <c r="D23" s="107">
        <v>612.83000000000004</v>
      </c>
      <c r="E23" s="107">
        <f t="shared" si="0"/>
        <v>58150.799999999996</v>
      </c>
      <c r="G23" s="105">
        <v>4.7698582753612898E-2</v>
      </c>
      <c r="H23" s="107">
        <f t="shared" si="1"/>
        <v>2773.7107459887925</v>
      </c>
    </row>
    <row r="24" spans="2:10" x14ac:dyDescent="0.25">
      <c r="B24" s="158">
        <f t="shared" ref="B24:B40" si="2">EOMONTH(B23,1)</f>
        <v>44592</v>
      </c>
      <c r="C24" s="107">
        <v>0</v>
      </c>
      <c r="D24" s="107">
        <v>612.92999999999995</v>
      </c>
      <c r="E24" s="107">
        <f t="shared" si="0"/>
        <v>-612.92999999999995</v>
      </c>
      <c r="G24" s="105">
        <f>G25</f>
        <v>3.3707131677143558E-2</v>
      </c>
      <c r="H24" s="107">
        <f t="shared" si="1"/>
        <v>-20.6601122188716</v>
      </c>
    </row>
    <row r="25" spans="2:10" x14ac:dyDescent="0.25">
      <c r="B25" s="158">
        <f t="shared" si="2"/>
        <v>44620</v>
      </c>
      <c r="C25" s="107">
        <v>60291.583108266314</v>
      </c>
      <c r="D25" s="107">
        <v>605.14</v>
      </c>
      <c r="E25" s="107">
        <f t="shared" si="0"/>
        <v>59686.443108266314</v>
      </c>
      <c r="G25" s="105">
        <v>3.3707131677143558E-2</v>
      </c>
      <c r="H25" s="107">
        <f t="shared" si="1"/>
        <v>2011.8587971906702</v>
      </c>
    </row>
    <row r="26" spans="2:10" x14ac:dyDescent="0.25">
      <c r="B26" s="158">
        <f t="shared" si="2"/>
        <v>44651</v>
      </c>
      <c r="C26" s="107">
        <v>59453.002713211295</v>
      </c>
      <c r="D26" s="107">
        <v>636.1</v>
      </c>
      <c r="E26" s="107">
        <f t="shared" si="0"/>
        <v>58816.902713211297</v>
      </c>
      <c r="G26" s="105">
        <v>3.3707131677143558E-2</v>
      </c>
      <c r="H26" s="107">
        <f t="shared" si="1"/>
        <v>1982.5490845959555</v>
      </c>
    </row>
    <row r="27" spans="2:10" x14ac:dyDescent="0.25">
      <c r="B27" s="158">
        <f t="shared" si="2"/>
        <v>44681</v>
      </c>
      <c r="C27" s="107">
        <v>72949.649999999994</v>
      </c>
      <c r="D27" s="107">
        <v>725.15</v>
      </c>
      <c r="E27" s="107">
        <f t="shared" si="0"/>
        <v>72224.5</v>
      </c>
      <c r="G27" s="105">
        <f>G28</f>
        <v>4.4188541902440683E-2</v>
      </c>
      <c r="H27" s="107">
        <f t="shared" si="1"/>
        <v>3191.4953446328273</v>
      </c>
      <c r="J27" s="160"/>
    </row>
    <row r="28" spans="2:10" x14ac:dyDescent="0.25">
      <c r="B28" s="158">
        <f t="shared" si="2"/>
        <v>44712</v>
      </c>
      <c r="C28" s="107">
        <v>72315.429999999993</v>
      </c>
      <c r="D28" s="107">
        <v>782.21</v>
      </c>
      <c r="E28" s="107">
        <f t="shared" si="0"/>
        <v>71533.219999999987</v>
      </c>
      <c r="G28" s="105">
        <v>4.4188541902440683E-2</v>
      </c>
      <c r="H28" s="107">
        <f t="shared" si="1"/>
        <v>3160.9486893865073</v>
      </c>
      <c r="J28" s="160"/>
    </row>
    <row r="29" spans="2:10" x14ac:dyDescent="0.25">
      <c r="B29" s="158">
        <f t="shared" si="2"/>
        <v>44742</v>
      </c>
      <c r="C29" s="161">
        <v>75557.524156820087</v>
      </c>
      <c r="D29" s="161">
        <v>873.52</v>
      </c>
      <c r="E29" s="161">
        <f t="shared" si="0"/>
        <v>74684.004156820083</v>
      </c>
      <c r="G29" s="105">
        <v>4.4188541902440683E-2</v>
      </c>
      <c r="H29" s="161">
        <f t="shared" si="1"/>
        <v>3300.1772471256982</v>
      </c>
      <c r="J29" s="160"/>
    </row>
    <row r="30" spans="2:10" x14ac:dyDescent="0.25">
      <c r="B30" s="158"/>
      <c r="C30" s="107">
        <f>SUM(C18:C29)</f>
        <v>703704.74934764486</v>
      </c>
      <c r="D30" s="58">
        <f>SUM(D18:D29)</f>
        <v>7795.91</v>
      </c>
      <c r="E30" s="107">
        <f>SUM(E18:E29)</f>
        <v>695908.83934764494</v>
      </c>
      <c r="G30" s="105"/>
      <c r="H30" s="162"/>
      <c r="J30" s="160"/>
    </row>
    <row r="31" spans="2:10" ht="31.5" x14ac:dyDescent="0.25">
      <c r="B31" s="158"/>
      <c r="C31" s="107"/>
      <c r="D31" s="107"/>
      <c r="E31" s="107"/>
      <c r="G31" s="211" t="s">
        <v>388</v>
      </c>
      <c r="H31" s="107">
        <f>SUM(H18:H29)</f>
        <v>29967.331517813578</v>
      </c>
      <c r="J31" s="160"/>
    </row>
    <row r="32" spans="2:10" x14ac:dyDescent="0.25">
      <c r="B32" s="158">
        <f>EOMONTH(B29,1)</f>
        <v>44773</v>
      </c>
      <c r="C32" s="107">
        <v>95818.559999999998</v>
      </c>
      <c r="D32" s="107">
        <v>915.09</v>
      </c>
      <c r="E32" s="107">
        <f t="shared" ref="E32:E40" si="3">C32-D32</f>
        <v>94903.47</v>
      </c>
      <c r="G32" s="105"/>
      <c r="H32" s="159"/>
      <c r="J32" s="160"/>
    </row>
    <row r="33" spans="2:10" x14ac:dyDescent="0.25">
      <c r="B33" s="158">
        <f t="shared" si="2"/>
        <v>44804</v>
      </c>
      <c r="C33" s="107">
        <v>95831.43</v>
      </c>
      <c r="D33" s="107">
        <f>856.68+74.28</f>
        <v>930.95999999999992</v>
      </c>
      <c r="E33" s="107">
        <f t="shared" si="3"/>
        <v>94900.469999999987</v>
      </c>
      <c r="G33" s="105"/>
      <c r="H33" s="159"/>
      <c r="J33" s="105"/>
    </row>
    <row r="34" spans="2:10" x14ac:dyDescent="0.25">
      <c r="B34" s="158">
        <f t="shared" si="2"/>
        <v>44834</v>
      </c>
      <c r="C34" s="107">
        <v>79866.227124867262</v>
      </c>
      <c r="D34" s="107">
        <v>955.96</v>
      </c>
      <c r="E34" s="107">
        <f t="shared" si="3"/>
        <v>78910.267124867256</v>
      </c>
      <c r="G34" s="159"/>
      <c r="H34" s="159"/>
      <c r="J34" s="105"/>
    </row>
    <row r="35" spans="2:10" x14ac:dyDescent="0.25">
      <c r="B35" s="158">
        <f t="shared" si="2"/>
        <v>44865</v>
      </c>
      <c r="C35" s="107">
        <v>98480.43</v>
      </c>
      <c r="D35" s="107">
        <f>74.28+972.99</f>
        <v>1047.27</v>
      </c>
      <c r="E35" s="107">
        <f t="shared" si="3"/>
        <v>97433.159999999989</v>
      </c>
      <c r="G35" s="159"/>
      <c r="H35" s="159"/>
      <c r="J35" s="105"/>
    </row>
    <row r="36" spans="2:10" x14ac:dyDescent="0.25">
      <c r="B36" s="158">
        <f t="shared" si="2"/>
        <v>44895</v>
      </c>
      <c r="C36" s="107">
        <v>102170.44</v>
      </c>
      <c r="D36" s="107">
        <v>1072.1400000000001</v>
      </c>
      <c r="E36" s="107">
        <f t="shared" si="3"/>
        <v>101098.3</v>
      </c>
      <c r="G36" s="159"/>
      <c r="H36" s="159"/>
      <c r="J36" s="105"/>
    </row>
    <row r="37" spans="2:10" x14ac:dyDescent="0.25">
      <c r="B37" s="158">
        <f t="shared" si="2"/>
        <v>44926</v>
      </c>
      <c r="C37" s="107">
        <v>107632.80429309765</v>
      </c>
      <c r="D37" s="107">
        <v>1088.8399999999999</v>
      </c>
      <c r="E37" s="107">
        <f t="shared" si="3"/>
        <v>106543.96429309766</v>
      </c>
      <c r="G37" s="159"/>
      <c r="H37" s="159"/>
      <c r="J37" s="105"/>
    </row>
    <row r="38" spans="2:10" x14ac:dyDescent="0.25">
      <c r="B38" s="158">
        <f t="shared" si="2"/>
        <v>44957</v>
      </c>
      <c r="C38" s="107">
        <v>108816.53</v>
      </c>
      <c r="D38" s="107">
        <f>90.98+1005.52</f>
        <v>1096.5</v>
      </c>
      <c r="E38" s="107">
        <f t="shared" si="3"/>
        <v>107720.03</v>
      </c>
      <c r="G38" s="159"/>
      <c r="H38" s="159"/>
      <c r="J38" s="105"/>
    </row>
    <row r="39" spans="2:10" x14ac:dyDescent="0.25">
      <c r="B39" s="158">
        <f t="shared" si="2"/>
        <v>44985</v>
      </c>
      <c r="C39" s="107">
        <v>108816.53</v>
      </c>
      <c r="D39" s="107">
        <f>115.84+1038.74</f>
        <v>1154.58</v>
      </c>
      <c r="E39" s="107">
        <f t="shared" si="3"/>
        <v>107661.95</v>
      </c>
      <c r="G39" s="159"/>
      <c r="H39" s="159"/>
      <c r="J39" s="105"/>
    </row>
    <row r="40" spans="2:10" x14ac:dyDescent="0.25">
      <c r="B40" s="158">
        <f t="shared" si="2"/>
        <v>45016</v>
      </c>
      <c r="C40" s="107">
        <v>119851.17</v>
      </c>
      <c r="D40" s="107">
        <v>1179.46</v>
      </c>
      <c r="E40" s="107">
        <f t="shared" si="3"/>
        <v>118671.70999999999</v>
      </c>
      <c r="G40" s="159"/>
      <c r="H40" s="162"/>
      <c r="J40" s="163"/>
    </row>
    <row r="41" spans="2:10" x14ac:dyDescent="0.25">
      <c r="F41" s="58"/>
      <c r="G41" s="159"/>
      <c r="H41" s="159"/>
    </row>
    <row r="42" spans="2:10" x14ac:dyDescent="0.25">
      <c r="B42" s="212" t="s">
        <v>385</v>
      </c>
      <c r="C42" s="30"/>
      <c r="D42" s="30"/>
      <c r="E42" s="213">
        <f>SUM(E18:E29)</f>
        <v>695908.83934764494</v>
      </c>
      <c r="H42" s="4"/>
      <c r="J42" s="63"/>
    </row>
    <row r="43" spans="2:10" x14ac:dyDescent="0.25">
      <c r="B43" s="167" t="s">
        <v>166</v>
      </c>
      <c r="C43" s="162"/>
      <c r="D43" s="162"/>
      <c r="E43" s="214">
        <v>59</v>
      </c>
      <c r="G43" s="159"/>
      <c r="H43" s="107"/>
    </row>
    <row r="44" spans="2:10" x14ac:dyDescent="0.25">
      <c r="B44" s="215" t="s">
        <v>386</v>
      </c>
      <c r="C44" s="13"/>
      <c r="D44" s="13"/>
      <c r="E44" s="216">
        <f>E42/E43</f>
        <v>11795.065073688897</v>
      </c>
      <c r="G44" s="159"/>
      <c r="J44" s="61"/>
    </row>
    <row r="45" spans="2:10" x14ac:dyDescent="0.25">
      <c r="G45" s="159"/>
      <c r="H45" s="107"/>
    </row>
    <row r="46" spans="2:10" x14ac:dyDescent="0.25">
      <c r="B46" s="164" t="s">
        <v>95</v>
      </c>
      <c r="C46" s="165"/>
      <c r="D46" s="165"/>
      <c r="E46" s="166"/>
      <c r="J46" s="28"/>
    </row>
    <row r="47" spans="2:10" x14ac:dyDescent="0.25">
      <c r="B47" s="167" t="s">
        <v>96</v>
      </c>
      <c r="D47" s="162"/>
      <c r="E47" s="168">
        <f>H31</f>
        <v>29967.331517813578</v>
      </c>
      <c r="G47" s="50"/>
    </row>
    <row r="48" spans="2:10" x14ac:dyDescent="0.25">
      <c r="B48" s="169" t="s">
        <v>97</v>
      </c>
      <c r="E48" s="170">
        <f>E30</f>
        <v>695908.83934764494</v>
      </c>
      <c r="J48" s="222"/>
    </row>
    <row r="49" spans="2:10" x14ac:dyDescent="0.25">
      <c r="B49" s="171" t="s">
        <v>98</v>
      </c>
      <c r="C49" s="13"/>
      <c r="D49" s="13"/>
      <c r="E49" s="172">
        <f>E47/E48</f>
        <v>4.3062150993663756E-2</v>
      </c>
    </row>
    <row r="50" spans="2:10" x14ac:dyDescent="0.25">
      <c r="E50" s="222"/>
    </row>
    <row r="51" spans="2:10" x14ac:dyDescent="0.25">
      <c r="B51" s="223" t="s">
        <v>398</v>
      </c>
      <c r="H51" s="4"/>
      <c r="J51" s="28"/>
    </row>
    <row r="52" spans="2:10" x14ac:dyDescent="0.25">
      <c r="B52" s="180" t="s">
        <v>389</v>
      </c>
      <c r="C52" s="217">
        <f>SUM(C38:C40)</f>
        <v>337484.23</v>
      </c>
      <c r="D52" s="4" t="s">
        <v>400</v>
      </c>
      <c r="H52" s="4"/>
    </row>
    <row r="53" spans="2:10" x14ac:dyDescent="0.25">
      <c r="B53" s="169" t="s">
        <v>390</v>
      </c>
      <c r="C53" s="195">
        <f>C52*4</f>
        <v>1349936.92</v>
      </c>
      <c r="H53" s="4"/>
      <c r="J53" s="58"/>
    </row>
    <row r="54" spans="2:10" x14ac:dyDescent="0.25">
      <c r="B54" s="169" t="s">
        <v>391</v>
      </c>
      <c r="C54" s="218">
        <v>0.78</v>
      </c>
      <c r="H54" s="4"/>
    </row>
    <row r="55" spans="2:10" ht="28.5" customHeight="1" x14ac:dyDescent="0.25">
      <c r="B55" s="169" t="s">
        <v>392</v>
      </c>
      <c r="C55" s="196">
        <f>C53*C54</f>
        <v>1052950.7975999999</v>
      </c>
      <c r="G55" s="104"/>
      <c r="H55" s="4"/>
      <c r="J55" s="175"/>
    </row>
    <row r="56" spans="2:10" x14ac:dyDescent="0.25">
      <c r="B56" s="169" t="s">
        <v>393</v>
      </c>
      <c r="C56" s="219">
        <f>E49</f>
        <v>4.3062150993663756E-2</v>
      </c>
    </row>
    <row r="57" spans="2:10" ht="31.5" x14ac:dyDescent="0.25">
      <c r="B57" s="220" t="s">
        <v>394</v>
      </c>
      <c r="C57" s="196">
        <f>C55*C56</f>
        <v>45342.326235149878</v>
      </c>
    </row>
    <row r="58" spans="2:10" ht="31.5" x14ac:dyDescent="0.25">
      <c r="B58" s="220" t="s">
        <v>395</v>
      </c>
      <c r="C58" s="170">
        <f>-H31</f>
        <v>-29967.331517813578</v>
      </c>
    </row>
    <row r="59" spans="2:10" ht="31.5" x14ac:dyDescent="0.25">
      <c r="B59" s="220" t="s">
        <v>396</v>
      </c>
      <c r="C59" s="196">
        <f>C57+C58</f>
        <v>15374.9947173363</v>
      </c>
    </row>
    <row r="60" spans="2:10" x14ac:dyDescent="0.25">
      <c r="B60" s="169"/>
      <c r="C60" s="182"/>
    </row>
    <row r="61" spans="2:10" x14ac:dyDescent="0.25">
      <c r="B61" s="171" t="s">
        <v>397</v>
      </c>
      <c r="C61" s="221">
        <f>C59/1000</f>
        <v>15.3749947173363</v>
      </c>
    </row>
  </sheetData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DND-2</vt:lpstr>
      <vt:lpstr>DND-4</vt:lpstr>
      <vt:lpstr>DND-5</vt:lpstr>
      <vt:lpstr>DND-6</vt:lpstr>
      <vt:lpstr>DND-7</vt:lpstr>
      <vt:lpstr>DND-8</vt:lpstr>
      <vt:lpstr>DND-9</vt:lpstr>
      <vt:lpstr>DND-10</vt:lpstr>
      <vt:lpstr>DND-11</vt:lpstr>
      <vt:lpstr>DND-12</vt:lpstr>
      <vt:lpstr>DND-13</vt:lpstr>
      <vt:lpstr>'DND-10'!Print_Area</vt:lpstr>
      <vt:lpstr>'DND-11'!Print_Area</vt:lpstr>
      <vt:lpstr>'DND-13'!Print_Area</vt:lpstr>
      <vt:lpstr>'DND-2'!Print_Area</vt:lpstr>
      <vt:lpstr>'DND-4'!Print_Area</vt:lpstr>
      <vt:lpstr>'DND-6'!Print_Area</vt:lpstr>
      <vt:lpstr>'DND-7'!Print_Area</vt:lpstr>
      <vt:lpstr>'DND-8'!Print_Area</vt:lpstr>
      <vt:lpstr>'DND-9'!Print_Area</vt:lpstr>
      <vt:lpstr>'DND-2'!Print_Titles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2023-06-30T01:23:53Z</cp:lastPrinted>
  <dcterms:created xsi:type="dcterms:W3CDTF">2023-05-27T20:55:58Z</dcterms:created>
  <dcterms:modified xsi:type="dcterms:W3CDTF">2023-06-30T01:31:03Z</dcterms:modified>
</cp:coreProperties>
</file>